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G Schedules\Common\"/>
    </mc:Choice>
  </mc:AlternateContent>
  <bookViews>
    <workbookView xWindow="0" yWindow="0" windowWidth="19200" windowHeight="5250" activeTab="3"/>
  </bookViews>
  <sheets>
    <sheet name="working capital and def tax 21" sheetId="1" r:id="rId1"/>
    <sheet name="WC def tax 22" sheetId="6" r:id="rId2"/>
    <sheet name="WC def tax 23" sheetId="7" r:id="rId3"/>
    <sheet name="FC common plant 21" sheetId="3" r:id="rId4"/>
    <sheet name="FC Common pl 22" sheetId="8" r:id="rId5"/>
    <sheet name="FC common pl 23" sheetId="9" r:id="rId6"/>
    <sheet name="FC depreciation adjustment 21" sheetId="4" r:id="rId7"/>
    <sheet name="FC depreciation adjustment 22" sheetId="10" r:id="rId8"/>
    <sheet name="FC depreciation adjustment 23" sheetId="11" r:id="rId9"/>
    <sheet name="Corporate and Skipjack Alloc 21" sheetId="5" r:id="rId10"/>
    <sheet name="CU and Skipjack 22" sheetId="12" r:id="rId11"/>
    <sheet name="CU and Skipjack 23" sheetId="13" r:id="rId12"/>
    <sheet name="Allocation Factors 21" sheetId="14" r:id="rId13"/>
    <sheet name="Allocation Factors 22" sheetId="15" r:id="rId14"/>
    <sheet name="Allocation Factors 23" sheetId="16" r:id="rId1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44" i="7" l="1"/>
  <c r="O244" i="7"/>
  <c r="AG244" i="7" l="1"/>
  <c r="AC244" i="7"/>
  <c r="E244" i="6"/>
  <c r="F244" i="6" s="1"/>
  <c r="G244" i="6" s="1"/>
  <c r="H244" i="6" s="1"/>
  <c r="I244" i="6" s="1"/>
  <c r="J244" i="6" s="1"/>
  <c r="K244" i="6" s="1"/>
  <c r="L244" i="6" s="1"/>
  <c r="M244" i="6" s="1"/>
  <c r="N244" i="6" s="1"/>
  <c r="D244" i="6"/>
  <c r="P244" i="6" s="1"/>
  <c r="AH244" i="6"/>
  <c r="AD244" i="6"/>
  <c r="AC244" i="6"/>
  <c r="C213" i="6" l="1"/>
  <c r="C235" i="6"/>
  <c r="C256" i="6"/>
  <c r="R29" i="6"/>
  <c r="R31" i="6"/>
  <c r="R32" i="6"/>
  <c r="R34" i="6"/>
  <c r="R36" i="6"/>
  <c r="R37" i="6"/>
  <c r="R52" i="6"/>
  <c r="R54" i="6"/>
  <c r="R56" i="6"/>
  <c r="R57" i="6"/>
  <c r="R58" i="6"/>
  <c r="R65" i="6"/>
  <c r="R67" i="6"/>
  <c r="R69" i="6"/>
  <c r="R70" i="6"/>
  <c r="R71" i="6"/>
  <c r="R72" i="6"/>
  <c r="R78" i="6"/>
  <c r="R80" i="6"/>
  <c r="R81" i="6"/>
  <c r="R85" i="6"/>
  <c r="R87" i="6"/>
  <c r="R88" i="6"/>
  <c r="R91" i="6"/>
  <c r="R93" i="6"/>
  <c r="R94" i="6"/>
  <c r="R130" i="6"/>
  <c r="R215" i="6"/>
  <c r="R216" i="6"/>
  <c r="R217" i="6"/>
  <c r="R234" i="6"/>
  <c r="R236" i="6"/>
  <c r="R237" i="6"/>
  <c r="R240" i="6"/>
  <c r="R242" i="6"/>
  <c r="R243" i="6"/>
  <c r="R250" i="6"/>
  <c r="R253" i="6"/>
  <c r="R255" i="6"/>
  <c r="R257" i="6"/>
  <c r="R258" i="6"/>
  <c r="R259" i="6"/>
  <c r="R260" i="6"/>
  <c r="R264" i="6"/>
  <c r="R266" i="6"/>
  <c r="R268" i="6"/>
  <c r="R270" i="6"/>
  <c r="R273" i="6"/>
  <c r="R274" i="6"/>
  <c r="R275" i="6"/>
  <c r="R276" i="6"/>
  <c r="R277" i="6"/>
  <c r="R278" i="6"/>
  <c r="R279" i="6"/>
  <c r="R280" i="6"/>
  <c r="R281" i="6"/>
  <c r="R282" i="6"/>
  <c r="R283" i="6"/>
  <c r="R284" i="6"/>
  <c r="R285" i="6"/>
  <c r="R286" i="6"/>
  <c r="R287" i="6"/>
  <c r="R288" i="6"/>
  <c r="R289" i="6"/>
  <c r="R290" i="6"/>
  <c r="R291" i="6"/>
  <c r="R292" i="6"/>
  <c r="R293" i="6"/>
  <c r="R294" i="6"/>
  <c r="R295" i="6"/>
  <c r="R296" i="6"/>
  <c r="R297" i="6"/>
  <c r="R298" i="6"/>
  <c r="R299" i="6"/>
  <c r="R300" i="6"/>
  <c r="R301" i="6"/>
  <c r="R302" i="6"/>
  <c r="R303" i="6"/>
  <c r="R304" i="6"/>
  <c r="R305" i="6"/>
  <c r="R306" i="6"/>
  <c r="R307" i="6"/>
  <c r="R308" i="6"/>
  <c r="D97" i="6"/>
  <c r="E97" i="6" s="1"/>
  <c r="F97" i="6" s="1"/>
  <c r="G97" i="6" s="1"/>
  <c r="H97" i="6" s="1"/>
  <c r="I97" i="6" s="1"/>
  <c r="J97" i="6" s="1"/>
  <c r="K97" i="6" s="1"/>
  <c r="L97" i="6" s="1"/>
  <c r="M97" i="6" s="1"/>
  <c r="N97" i="6" s="1"/>
  <c r="O97" i="6" s="1"/>
  <c r="C98" i="7" s="1"/>
  <c r="R132" i="6" l="1"/>
  <c r="P97" i="6"/>
  <c r="Q97" i="6" s="1"/>
  <c r="R97" i="6" s="1"/>
  <c r="R133" i="6" l="1"/>
  <c r="P99" i="6"/>
  <c r="Q99" i="6" s="1"/>
  <c r="R99" i="6" s="1"/>
  <c r="Q249" i="6"/>
  <c r="Q248" i="6"/>
  <c r="Q247" i="6"/>
  <c r="Q245" i="6"/>
  <c r="Q210" i="6"/>
  <c r="Q209" i="6"/>
  <c r="Q208" i="6"/>
  <c r="Q207" i="6"/>
  <c r="Q205" i="6"/>
  <c r="Q198" i="6"/>
  <c r="Q199" i="6"/>
  <c r="Q200" i="6"/>
  <c r="Q197" i="6"/>
  <c r="Q192" i="6"/>
  <c r="Q191" i="6"/>
  <c r="Q190" i="6"/>
  <c r="Q189" i="6"/>
  <c r="Q188" i="6"/>
  <c r="Q187" i="6"/>
  <c r="Q182" i="6"/>
  <c r="Q181" i="6"/>
  <c r="Q176" i="6"/>
  <c r="Q175" i="6"/>
  <c r="Q175" i="7" s="1"/>
  <c r="P175" i="7" s="1"/>
  <c r="Q174" i="6"/>
  <c r="Q173" i="6"/>
  <c r="Q173" i="7" s="1"/>
  <c r="P173" i="7" s="1"/>
  <c r="Q172" i="6"/>
  <c r="Q171" i="6"/>
  <c r="Q171" i="7" s="1"/>
  <c r="P171" i="7" s="1"/>
  <c r="Q170" i="6"/>
  <c r="Q169" i="6"/>
  <c r="Q140" i="6"/>
  <c r="Q135" i="6"/>
  <c r="Q134" i="6"/>
  <c r="S134" i="6"/>
  <c r="Q90" i="6"/>
  <c r="Q89" i="6"/>
  <c r="Q84" i="6"/>
  <c r="Q83" i="6"/>
  <c r="Q82" i="6"/>
  <c r="P82" i="6" l="1"/>
  <c r="Q82" i="7"/>
  <c r="P82" i="7" s="1"/>
  <c r="P140" i="6"/>
  <c r="Q140" i="7"/>
  <c r="P140" i="7" s="1"/>
  <c r="P188" i="6"/>
  <c r="Q188" i="7"/>
  <c r="P188" i="7" s="1"/>
  <c r="P189" i="6"/>
  <c r="Q189" i="7"/>
  <c r="P189" i="7" s="1"/>
  <c r="P210" i="6"/>
  <c r="Q210" i="7"/>
  <c r="P210" i="7" s="1"/>
  <c r="P84" i="6"/>
  <c r="Q84" i="7"/>
  <c r="P84" i="7" s="1"/>
  <c r="P170" i="6"/>
  <c r="Q170" i="7"/>
  <c r="P170" i="7" s="1"/>
  <c r="P182" i="6"/>
  <c r="Q182" i="7"/>
  <c r="P182" i="7" s="1"/>
  <c r="P89" i="6"/>
  <c r="Q89" i="7"/>
  <c r="P89" i="7" s="1"/>
  <c r="P135" i="6"/>
  <c r="Q135" i="7"/>
  <c r="P135" i="7" s="1"/>
  <c r="P187" i="6"/>
  <c r="Q187" i="7"/>
  <c r="P187" i="7" s="1"/>
  <c r="P191" i="6"/>
  <c r="Q191" i="7"/>
  <c r="P191" i="7" s="1"/>
  <c r="P199" i="6"/>
  <c r="Q199" i="7"/>
  <c r="P199" i="7" s="1"/>
  <c r="P208" i="6"/>
  <c r="Q208" i="7"/>
  <c r="P208" i="7" s="1"/>
  <c r="P247" i="6"/>
  <c r="X247" i="6"/>
  <c r="Y247" i="6"/>
  <c r="U247" i="6"/>
  <c r="V247" i="6"/>
  <c r="Z247" i="6"/>
  <c r="W247" i="6"/>
  <c r="Q247" i="7"/>
  <c r="P172" i="6"/>
  <c r="Q172" i="7"/>
  <c r="P172" i="7" s="1"/>
  <c r="P192" i="6"/>
  <c r="Q192" i="7"/>
  <c r="P192" i="7" s="1"/>
  <c r="P198" i="6"/>
  <c r="Q198" i="7"/>
  <c r="P198" i="7" s="1"/>
  <c r="P209" i="6"/>
  <c r="Q209" i="7"/>
  <c r="P209" i="7" s="1"/>
  <c r="P248" i="6"/>
  <c r="O248" i="6" s="1"/>
  <c r="V248" i="6"/>
  <c r="Z248" i="6"/>
  <c r="X248" i="6"/>
  <c r="U248" i="6"/>
  <c r="Y248" i="6"/>
  <c r="W248" i="6"/>
  <c r="Q248" i="7"/>
  <c r="P83" i="6"/>
  <c r="O83" i="6" s="1"/>
  <c r="Q83" i="7"/>
  <c r="P83" i="7" s="1"/>
  <c r="P90" i="6"/>
  <c r="Q90" i="7"/>
  <c r="P90" i="7" s="1"/>
  <c r="P176" i="6"/>
  <c r="Q176" i="7"/>
  <c r="P176" i="7" s="1"/>
  <c r="P169" i="6"/>
  <c r="Q169" i="7"/>
  <c r="P169" i="7" s="1"/>
  <c r="P181" i="6"/>
  <c r="Q181" i="7"/>
  <c r="P181" i="7" s="1"/>
  <c r="P197" i="6"/>
  <c r="Q197" i="7"/>
  <c r="P197" i="7" s="1"/>
  <c r="P205" i="6"/>
  <c r="U205" i="6"/>
  <c r="V205" i="6"/>
  <c r="Z205" i="6"/>
  <c r="Q205" i="7"/>
  <c r="P249" i="6"/>
  <c r="X249" i="6"/>
  <c r="U249" i="6"/>
  <c r="V249" i="6"/>
  <c r="Z249" i="6"/>
  <c r="W249" i="6"/>
  <c r="Y249" i="6"/>
  <c r="Q249" i="7"/>
  <c r="P134" i="6"/>
  <c r="Q134" i="7"/>
  <c r="P134" i="7" s="1"/>
  <c r="P174" i="6"/>
  <c r="Q174" i="7"/>
  <c r="P174" i="7" s="1"/>
  <c r="P190" i="6"/>
  <c r="Q190" i="7"/>
  <c r="P190" i="7" s="1"/>
  <c r="P200" i="6"/>
  <c r="Q200" i="7"/>
  <c r="P200" i="7" s="1"/>
  <c r="P207" i="6"/>
  <c r="Q207" i="7"/>
  <c r="P207" i="7" s="1"/>
  <c r="P245" i="6"/>
  <c r="X245" i="6"/>
  <c r="U245" i="6"/>
  <c r="Y245" i="6"/>
  <c r="V245" i="6"/>
  <c r="Z245" i="6"/>
  <c r="W245" i="6"/>
  <c r="Q245" i="7"/>
  <c r="R139" i="6"/>
  <c r="R136" i="6"/>
  <c r="R138" i="6"/>
  <c r="P173" i="6"/>
  <c r="P175" i="6"/>
  <c r="P171" i="6"/>
  <c r="M135" i="6"/>
  <c r="N135" i="6"/>
  <c r="H135" i="6"/>
  <c r="L135" i="6"/>
  <c r="G135" i="6"/>
  <c r="O135" i="6"/>
  <c r="J135" i="6"/>
  <c r="K135" i="6"/>
  <c r="F135" i="6"/>
  <c r="D135" i="6"/>
  <c r="M134" i="6"/>
  <c r="L134" i="6"/>
  <c r="H134" i="6"/>
  <c r="D134" i="6"/>
  <c r="N134" i="6"/>
  <c r="K134" i="6"/>
  <c r="G134" i="6"/>
  <c r="I134" i="6"/>
  <c r="O134" i="6"/>
  <c r="J134" i="6"/>
  <c r="F134" i="6"/>
  <c r="E134" i="6"/>
  <c r="M247" i="6"/>
  <c r="I247" i="6"/>
  <c r="E247" i="6"/>
  <c r="J247" i="6"/>
  <c r="L247" i="6"/>
  <c r="H247" i="6"/>
  <c r="D247" i="6"/>
  <c r="R247" i="6" s="1"/>
  <c r="O247" i="6"/>
  <c r="K247" i="6"/>
  <c r="G247" i="6"/>
  <c r="N247" i="6"/>
  <c r="F247" i="6"/>
  <c r="M249" i="6"/>
  <c r="I249" i="6"/>
  <c r="E249" i="6"/>
  <c r="F249" i="6"/>
  <c r="L249" i="6"/>
  <c r="H249" i="6"/>
  <c r="D249" i="6"/>
  <c r="R249" i="6" s="1"/>
  <c r="J249" i="6"/>
  <c r="O249" i="6"/>
  <c r="K249" i="6"/>
  <c r="G249" i="6"/>
  <c r="N249" i="6"/>
  <c r="D248" i="6"/>
  <c r="R248" i="6" s="1"/>
  <c r="H248" i="6"/>
  <c r="L248" i="6"/>
  <c r="E248" i="6"/>
  <c r="I248" i="6"/>
  <c r="M248" i="6"/>
  <c r="F248" i="6"/>
  <c r="J248" i="6"/>
  <c r="N248" i="6"/>
  <c r="G248" i="6"/>
  <c r="K248" i="6"/>
  <c r="M245" i="6"/>
  <c r="I245" i="6"/>
  <c r="E245" i="6"/>
  <c r="J245" i="6"/>
  <c r="L245" i="6"/>
  <c r="H245" i="6"/>
  <c r="D245" i="6"/>
  <c r="R245" i="6" s="1"/>
  <c r="F245" i="6"/>
  <c r="O245" i="6"/>
  <c r="C245" i="7" s="1"/>
  <c r="K245" i="6"/>
  <c r="G245" i="6"/>
  <c r="N245" i="6"/>
  <c r="M140" i="6"/>
  <c r="I140" i="6"/>
  <c r="E140" i="6"/>
  <c r="K140" i="6"/>
  <c r="N140" i="6"/>
  <c r="F140" i="6"/>
  <c r="L140" i="6"/>
  <c r="H140" i="6"/>
  <c r="D140" i="6"/>
  <c r="O140" i="6"/>
  <c r="G140" i="6"/>
  <c r="J140" i="6"/>
  <c r="E135" i="6"/>
  <c r="I135" i="6"/>
  <c r="O89" i="6"/>
  <c r="D89" i="6"/>
  <c r="R89" i="6" s="1"/>
  <c r="M90" i="6"/>
  <c r="I90" i="6"/>
  <c r="E90" i="6"/>
  <c r="J90" i="6"/>
  <c r="L90" i="6"/>
  <c r="H90" i="6"/>
  <c r="D90" i="6"/>
  <c r="R90" i="6" s="1"/>
  <c r="O90" i="6"/>
  <c r="K90" i="6"/>
  <c r="G90" i="6"/>
  <c r="N90" i="6"/>
  <c r="F90" i="6"/>
  <c r="H89" i="6"/>
  <c r="L89" i="6"/>
  <c r="E89" i="6"/>
  <c r="I89" i="6"/>
  <c r="M89" i="6"/>
  <c r="F89" i="6"/>
  <c r="J89" i="6"/>
  <c r="N89" i="6"/>
  <c r="G89" i="6"/>
  <c r="K89" i="6"/>
  <c r="M82" i="6"/>
  <c r="I82" i="6"/>
  <c r="E82" i="6"/>
  <c r="G82" i="6"/>
  <c r="N82" i="6"/>
  <c r="F82" i="6"/>
  <c r="L82" i="6"/>
  <c r="H82" i="6"/>
  <c r="D82" i="6"/>
  <c r="R82" i="6" s="1"/>
  <c r="O82" i="6"/>
  <c r="K82" i="6"/>
  <c r="J82" i="6"/>
  <c r="M84" i="6"/>
  <c r="I84" i="6"/>
  <c r="E84" i="6"/>
  <c r="K84" i="6"/>
  <c r="J84" i="6"/>
  <c r="L84" i="6"/>
  <c r="H84" i="6"/>
  <c r="D84" i="6"/>
  <c r="R84" i="6" s="1"/>
  <c r="O84" i="6"/>
  <c r="G84" i="6"/>
  <c r="N84" i="6"/>
  <c r="F84" i="6"/>
  <c r="D83" i="6"/>
  <c r="R83" i="6" s="1"/>
  <c r="H83" i="6"/>
  <c r="L83" i="6"/>
  <c r="E83" i="6"/>
  <c r="I83" i="6"/>
  <c r="M83" i="6"/>
  <c r="F83" i="6"/>
  <c r="J83" i="6"/>
  <c r="N83" i="6"/>
  <c r="G83" i="6"/>
  <c r="K83" i="6"/>
  <c r="AF248" i="7" l="1"/>
  <c r="T248" i="7"/>
  <c r="X248" i="7"/>
  <c r="AD248" i="7"/>
  <c r="W248" i="7"/>
  <c r="AE248" i="7"/>
  <c r="Y248" i="7"/>
  <c r="V248" i="7"/>
  <c r="U248" i="7"/>
  <c r="P248" i="7"/>
  <c r="AD249" i="7"/>
  <c r="V249" i="7"/>
  <c r="W249" i="7"/>
  <c r="AE249" i="7"/>
  <c r="X249" i="7"/>
  <c r="AF249" i="7"/>
  <c r="T249" i="7"/>
  <c r="Y249" i="7"/>
  <c r="U249" i="7"/>
  <c r="P249" i="7"/>
  <c r="P205" i="7"/>
  <c r="U205" i="7"/>
  <c r="Y205" i="7"/>
  <c r="T205" i="7"/>
  <c r="AD247" i="7"/>
  <c r="V247" i="7"/>
  <c r="AE247" i="7"/>
  <c r="X247" i="7"/>
  <c r="T247" i="7"/>
  <c r="Y247" i="7"/>
  <c r="AF247" i="7"/>
  <c r="U247" i="7"/>
  <c r="W247" i="7"/>
  <c r="P247" i="7"/>
  <c r="P245" i="7"/>
  <c r="AD245" i="7"/>
  <c r="V245" i="7"/>
  <c r="AE245" i="7"/>
  <c r="AF245" i="7"/>
  <c r="T245" i="7"/>
  <c r="Y245" i="7"/>
  <c r="U245" i="7"/>
  <c r="W245" i="7"/>
  <c r="X245" i="7"/>
  <c r="R145" i="6"/>
  <c r="R135" i="6"/>
  <c r="R141" i="6"/>
  <c r="R140" i="6"/>
  <c r="R134" i="6"/>
  <c r="F245" i="7" l="1"/>
  <c r="J245" i="7"/>
  <c r="N245" i="7"/>
  <c r="E245" i="7"/>
  <c r="M245" i="7"/>
  <c r="L245" i="7"/>
  <c r="O245" i="7"/>
  <c r="G245" i="7"/>
  <c r="I245" i="7"/>
  <c r="H245" i="7"/>
  <c r="K245" i="7"/>
  <c r="D245" i="7"/>
  <c r="R146" i="6"/>
  <c r="AC245" i="7" l="1"/>
  <c r="AG245" i="7"/>
  <c r="AB245" i="7"/>
  <c r="R150" i="6"/>
  <c r="R148" i="6"/>
  <c r="R147" i="6"/>
  <c r="R152" i="6" l="1"/>
  <c r="R153" i="6"/>
  <c r="R156" i="6" l="1"/>
  <c r="R158" i="6" l="1"/>
  <c r="R164" i="6" l="1"/>
  <c r="R162" i="6"/>
  <c r="C271" i="6"/>
  <c r="C272" i="6" s="1"/>
  <c r="R160" i="6"/>
  <c r="R163" i="6" l="1"/>
  <c r="R165" i="6"/>
  <c r="I171" i="6" l="1"/>
  <c r="N171" i="6"/>
  <c r="K171" i="6"/>
  <c r="J171" i="6"/>
  <c r="O171" i="6"/>
  <c r="F171" i="6"/>
  <c r="L171" i="6"/>
  <c r="H171" i="6"/>
  <c r="G171" i="6"/>
  <c r="E171" i="6"/>
  <c r="D171" i="6"/>
  <c r="M171" i="6"/>
  <c r="R166" i="6"/>
  <c r="R168" i="6"/>
  <c r="R167" i="6"/>
  <c r="R171" i="6" l="1"/>
  <c r="L174" i="6"/>
  <c r="K174" i="6"/>
  <c r="F174" i="6"/>
  <c r="I174" i="6"/>
  <c r="D174" i="6"/>
  <c r="N174" i="6"/>
  <c r="O174" i="6"/>
  <c r="H174" i="6"/>
  <c r="M174" i="6"/>
  <c r="G174" i="6"/>
  <c r="E174" i="6"/>
  <c r="J174" i="6"/>
  <c r="L170" i="6"/>
  <c r="F170" i="6"/>
  <c r="J170" i="6"/>
  <c r="M170" i="6"/>
  <c r="O170" i="6"/>
  <c r="H170" i="6"/>
  <c r="I170" i="6"/>
  <c r="D170" i="6"/>
  <c r="K170" i="6"/>
  <c r="N170" i="6"/>
  <c r="G170" i="6"/>
  <c r="E170" i="6"/>
  <c r="N169" i="6"/>
  <c r="G169" i="6"/>
  <c r="O169" i="6"/>
  <c r="H169" i="6"/>
  <c r="D169" i="6"/>
  <c r="I169" i="6"/>
  <c r="F169" i="6"/>
  <c r="J169" i="6"/>
  <c r="K169" i="6"/>
  <c r="E169" i="6"/>
  <c r="M169" i="6"/>
  <c r="L169" i="6"/>
  <c r="R170" i="6" l="1"/>
  <c r="R169" i="6"/>
  <c r="R174" i="6"/>
  <c r="L176" i="6"/>
  <c r="F176" i="6"/>
  <c r="N176" i="6"/>
  <c r="I176" i="6"/>
  <c r="D176" i="6"/>
  <c r="K176" i="6"/>
  <c r="E176" i="6"/>
  <c r="G176" i="6"/>
  <c r="H176" i="6"/>
  <c r="M176" i="6"/>
  <c r="J176" i="6"/>
  <c r="O176" i="6"/>
  <c r="E175" i="6"/>
  <c r="H175" i="6"/>
  <c r="G175" i="6"/>
  <c r="D175" i="6"/>
  <c r="M175" i="6"/>
  <c r="J175" i="6"/>
  <c r="N175" i="6"/>
  <c r="I175" i="6"/>
  <c r="K175" i="6"/>
  <c r="L175" i="6"/>
  <c r="F175" i="6"/>
  <c r="O175" i="6"/>
  <c r="N173" i="6"/>
  <c r="L173" i="6"/>
  <c r="D173" i="6"/>
  <c r="H173" i="6"/>
  <c r="I173" i="6"/>
  <c r="F173" i="6"/>
  <c r="G173" i="6"/>
  <c r="M173" i="6"/>
  <c r="E173" i="6"/>
  <c r="J173" i="6"/>
  <c r="K173" i="6"/>
  <c r="O173" i="6"/>
  <c r="L172" i="6"/>
  <c r="J172" i="6"/>
  <c r="F172" i="6"/>
  <c r="M172" i="6"/>
  <c r="O172" i="6"/>
  <c r="H172" i="6"/>
  <c r="I172" i="6"/>
  <c r="D172" i="6"/>
  <c r="K172" i="6"/>
  <c r="G172" i="6"/>
  <c r="E172" i="6"/>
  <c r="N172" i="6"/>
  <c r="R173" i="6" l="1"/>
  <c r="R176" i="6"/>
  <c r="R172" i="6"/>
  <c r="R175" i="6"/>
  <c r="K182" i="6"/>
  <c r="F182" i="6"/>
  <c r="O182" i="6"/>
  <c r="G182" i="6"/>
  <c r="M182" i="6"/>
  <c r="L182" i="6"/>
  <c r="I182" i="6"/>
  <c r="N182" i="6"/>
  <c r="H182" i="6"/>
  <c r="D182" i="6"/>
  <c r="J182" i="6"/>
  <c r="E182" i="6"/>
  <c r="L181" i="6"/>
  <c r="E181" i="6"/>
  <c r="K181" i="6"/>
  <c r="F181" i="6"/>
  <c r="O181" i="6"/>
  <c r="I181" i="6"/>
  <c r="D181" i="6"/>
  <c r="J181" i="6"/>
  <c r="M181" i="6"/>
  <c r="H181" i="6"/>
  <c r="N181" i="6"/>
  <c r="G181" i="6"/>
  <c r="R180" i="6"/>
  <c r="R177" i="6"/>
  <c r="R179" i="6"/>
  <c r="R181" i="6" l="1"/>
  <c r="R182" i="6"/>
  <c r="R185" i="6"/>
  <c r="R186" i="6"/>
  <c r="R183" i="6"/>
  <c r="M190" i="6" l="1"/>
  <c r="G190" i="6"/>
  <c r="D190" i="6"/>
  <c r="I190" i="6"/>
  <c r="F190" i="6"/>
  <c r="K190" i="6"/>
  <c r="E190" i="6"/>
  <c r="L190" i="6"/>
  <c r="N190" i="6"/>
  <c r="O190" i="6"/>
  <c r="H190" i="6"/>
  <c r="J190" i="6"/>
  <c r="M188" i="6"/>
  <c r="K188" i="6"/>
  <c r="F188" i="6"/>
  <c r="I188" i="6"/>
  <c r="G188" i="6"/>
  <c r="L188" i="6"/>
  <c r="E188" i="6"/>
  <c r="N188" i="6"/>
  <c r="H188" i="6"/>
  <c r="D188" i="6"/>
  <c r="J188" i="6"/>
  <c r="O188" i="6"/>
  <c r="O189" i="6"/>
  <c r="D189" i="6"/>
  <c r="N189" i="6"/>
  <c r="H189" i="6"/>
  <c r="E189" i="6"/>
  <c r="I189" i="6"/>
  <c r="L189" i="6"/>
  <c r="G189" i="6"/>
  <c r="F189" i="6"/>
  <c r="M189" i="6"/>
  <c r="K189" i="6"/>
  <c r="J189" i="6"/>
  <c r="J187" i="6"/>
  <c r="K187" i="6"/>
  <c r="N187" i="6"/>
  <c r="E187" i="6"/>
  <c r="H187" i="6"/>
  <c r="F187" i="6"/>
  <c r="G187" i="6"/>
  <c r="O187" i="6"/>
  <c r="D187" i="6"/>
  <c r="L187" i="6"/>
  <c r="M187" i="6"/>
  <c r="I187" i="6"/>
  <c r="R187" i="6" l="1"/>
  <c r="R188" i="6"/>
  <c r="R189" i="6"/>
  <c r="R190" i="6"/>
  <c r="O191" i="6"/>
  <c r="D191" i="6"/>
  <c r="E191" i="6"/>
  <c r="K191" i="6"/>
  <c r="H191" i="6"/>
  <c r="I191" i="6"/>
  <c r="F191" i="6"/>
  <c r="L191" i="6"/>
  <c r="M191" i="6"/>
  <c r="J191" i="6"/>
  <c r="G191" i="6"/>
  <c r="N191" i="6"/>
  <c r="R193" i="6"/>
  <c r="M192" i="6"/>
  <c r="G192" i="6"/>
  <c r="D192" i="6"/>
  <c r="I192" i="6"/>
  <c r="J192" i="6"/>
  <c r="O192" i="6"/>
  <c r="E192" i="6"/>
  <c r="L192" i="6"/>
  <c r="N192" i="6"/>
  <c r="K192" i="6"/>
  <c r="H192" i="6"/>
  <c r="F192" i="6"/>
  <c r="R191" i="6" l="1"/>
  <c r="R192" i="6"/>
  <c r="D197" i="6"/>
  <c r="I197" i="6"/>
  <c r="G197" i="6"/>
  <c r="O197" i="6"/>
  <c r="H197" i="6"/>
  <c r="F197" i="6"/>
  <c r="L197" i="6"/>
  <c r="K197" i="6"/>
  <c r="J197" i="6"/>
  <c r="E197" i="6"/>
  <c r="M197" i="6"/>
  <c r="N197" i="6"/>
  <c r="R196" i="6"/>
  <c r="N198" i="6"/>
  <c r="K198" i="6"/>
  <c r="E198" i="6"/>
  <c r="H198" i="6"/>
  <c r="L198" i="6"/>
  <c r="I198" i="6"/>
  <c r="O198" i="6"/>
  <c r="D198" i="6"/>
  <c r="M198" i="6"/>
  <c r="F198" i="6"/>
  <c r="G198" i="6"/>
  <c r="J198" i="6"/>
  <c r="R195" i="6"/>
  <c r="R198" i="6" l="1"/>
  <c r="R197" i="6"/>
  <c r="L200" i="6"/>
  <c r="J200" i="6"/>
  <c r="D200" i="6"/>
  <c r="K200" i="6"/>
  <c r="F200" i="6"/>
  <c r="E200" i="6"/>
  <c r="M200" i="6"/>
  <c r="N200" i="6"/>
  <c r="I200" i="6"/>
  <c r="G200" i="6"/>
  <c r="O200" i="6"/>
  <c r="H200" i="6"/>
  <c r="R201" i="6"/>
  <c r="D199" i="6"/>
  <c r="L199" i="6"/>
  <c r="H199" i="6"/>
  <c r="O199" i="6"/>
  <c r="N199" i="6"/>
  <c r="M199" i="6"/>
  <c r="K199" i="6"/>
  <c r="J199" i="6"/>
  <c r="I199" i="6"/>
  <c r="E199" i="6"/>
  <c r="G199" i="6"/>
  <c r="F199" i="6"/>
  <c r="R199" i="6" l="1"/>
  <c r="R200" i="6"/>
  <c r="R203" i="6"/>
  <c r="M205" i="6"/>
  <c r="L205" i="6"/>
  <c r="O205" i="6"/>
  <c r="I205" i="6"/>
  <c r="H205" i="6"/>
  <c r="K205" i="6"/>
  <c r="E205" i="6"/>
  <c r="D205" i="6"/>
  <c r="G205" i="6"/>
  <c r="J205" i="6"/>
  <c r="N205" i="6"/>
  <c r="F205" i="6"/>
  <c r="R204" i="6"/>
  <c r="R205" i="6" l="1"/>
  <c r="O207" i="6"/>
  <c r="M207" i="6"/>
  <c r="F207" i="6"/>
  <c r="G207" i="6"/>
  <c r="D207" i="6"/>
  <c r="J207" i="6"/>
  <c r="J213" i="6" s="1"/>
  <c r="K207" i="6"/>
  <c r="N207" i="6"/>
  <c r="H207" i="6"/>
  <c r="L207" i="6"/>
  <c r="E207" i="6"/>
  <c r="I207" i="6"/>
  <c r="I208" i="6"/>
  <c r="J208" i="6"/>
  <c r="D208" i="6"/>
  <c r="E208" i="6"/>
  <c r="F208" i="6"/>
  <c r="O208" i="6"/>
  <c r="K208" i="6"/>
  <c r="L208" i="6"/>
  <c r="G208" i="6"/>
  <c r="N208" i="6"/>
  <c r="M208" i="6"/>
  <c r="H208" i="6"/>
  <c r="R211" i="6"/>
  <c r="O209" i="6"/>
  <c r="J209" i="6"/>
  <c r="D209" i="6"/>
  <c r="E209" i="6"/>
  <c r="N209" i="6"/>
  <c r="H209" i="6"/>
  <c r="I209" i="6"/>
  <c r="L209" i="6"/>
  <c r="G209" i="6"/>
  <c r="F209" i="6"/>
  <c r="M209" i="6"/>
  <c r="K209" i="6"/>
  <c r="I210" i="6"/>
  <c r="F210" i="6"/>
  <c r="O210" i="6"/>
  <c r="E210" i="6"/>
  <c r="L210" i="6"/>
  <c r="G210" i="6"/>
  <c r="K210" i="6"/>
  <c r="H210" i="6"/>
  <c r="N210" i="6"/>
  <c r="D210" i="6"/>
  <c r="J210" i="6"/>
  <c r="M210" i="6"/>
  <c r="M213" i="6" l="1"/>
  <c r="H213" i="6"/>
  <c r="D213" i="6"/>
  <c r="O213" i="6"/>
  <c r="I213" i="6"/>
  <c r="N213" i="6"/>
  <c r="G213" i="6"/>
  <c r="L213" i="6"/>
  <c r="R210" i="6"/>
  <c r="E213" i="6"/>
  <c r="K213" i="6"/>
  <c r="F213" i="6"/>
  <c r="R207" i="6"/>
  <c r="R209" i="6"/>
  <c r="R208" i="6"/>
  <c r="R213" i="6" l="1"/>
  <c r="Q74" i="6"/>
  <c r="Q75" i="6"/>
  <c r="Q76" i="6"/>
  <c r="Q73" i="6"/>
  <c r="P73" i="6" l="1"/>
  <c r="Q73" i="7"/>
  <c r="P73" i="7" s="1"/>
  <c r="P76" i="6"/>
  <c r="Q76" i="7"/>
  <c r="P76" i="7" s="1"/>
  <c r="P75" i="6"/>
  <c r="Q75" i="7"/>
  <c r="P75" i="7" s="1"/>
  <c r="P74" i="6"/>
  <c r="Q74" i="7"/>
  <c r="P74" i="7" s="1"/>
  <c r="G74" i="6"/>
  <c r="K74" i="6"/>
  <c r="O74" i="6"/>
  <c r="D74" i="6"/>
  <c r="R74" i="6" s="1"/>
  <c r="H74" i="6"/>
  <c r="L74" i="6"/>
  <c r="J74" i="6"/>
  <c r="E74" i="6"/>
  <c r="I74" i="6"/>
  <c r="M74" i="6"/>
  <c r="F74" i="6"/>
  <c r="N74" i="6"/>
  <c r="H73" i="6"/>
  <c r="L73" i="6"/>
  <c r="D73" i="6"/>
  <c r="R73" i="6" s="1"/>
  <c r="K73" i="6"/>
  <c r="E73" i="6"/>
  <c r="I73" i="6"/>
  <c r="M73" i="6"/>
  <c r="O73" i="6"/>
  <c r="F73" i="6"/>
  <c r="J73" i="6"/>
  <c r="N73" i="6"/>
  <c r="G73" i="6"/>
  <c r="G76" i="6"/>
  <c r="K76" i="6"/>
  <c r="O76" i="6"/>
  <c r="F76" i="6"/>
  <c r="D76" i="6"/>
  <c r="R76" i="6" s="1"/>
  <c r="H76" i="6"/>
  <c r="L76" i="6"/>
  <c r="N76" i="6"/>
  <c r="E76" i="6"/>
  <c r="I76" i="6"/>
  <c r="M76" i="6"/>
  <c r="J76" i="6"/>
  <c r="G75" i="6"/>
  <c r="K75" i="6"/>
  <c r="O75" i="6"/>
  <c r="D75" i="6"/>
  <c r="R75" i="6" s="1"/>
  <c r="H75" i="6"/>
  <c r="L75" i="6"/>
  <c r="F75" i="6"/>
  <c r="N75" i="6"/>
  <c r="E75" i="6"/>
  <c r="I75" i="6"/>
  <c r="M75" i="6"/>
  <c r="J75" i="6"/>
  <c r="G4" i="16" l="1"/>
  <c r="F4" i="16"/>
  <c r="E4" i="16"/>
  <c r="D4" i="16"/>
  <c r="C4" i="16"/>
  <c r="B4" i="16"/>
  <c r="S18" i="8" l="1"/>
  <c r="R18" i="8"/>
  <c r="Q18" i="8"/>
  <c r="P18" i="8"/>
  <c r="O18" i="8"/>
  <c r="N18" i="8"/>
  <c r="M18" i="8"/>
  <c r="L18" i="8"/>
  <c r="K18" i="8"/>
  <c r="J18" i="8"/>
  <c r="S16" i="8"/>
  <c r="R16" i="8"/>
  <c r="Q16" i="8"/>
  <c r="P16" i="8"/>
  <c r="O16" i="8"/>
  <c r="N16" i="8"/>
  <c r="M16" i="8"/>
  <c r="L16" i="8"/>
  <c r="K16" i="8"/>
  <c r="J16" i="8"/>
  <c r="S15" i="8"/>
  <c r="R15" i="8"/>
  <c r="Q15" i="8"/>
  <c r="P15" i="8"/>
  <c r="O15" i="8"/>
  <c r="N15" i="8"/>
  <c r="M15" i="8"/>
  <c r="L15" i="8"/>
  <c r="K15" i="8"/>
  <c r="J15" i="8"/>
  <c r="I18" i="8"/>
  <c r="I16" i="8"/>
  <c r="I15" i="8"/>
  <c r="D246" i="6" l="1"/>
  <c r="E246" i="6" s="1"/>
  <c r="F246" i="6" s="1"/>
  <c r="G246" i="6" s="1"/>
  <c r="H246" i="6" s="1"/>
  <c r="I246" i="6" s="1"/>
  <c r="J246" i="6" s="1"/>
  <c r="K246" i="6" s="1"/>
  <c r="L246" i="6" s="1"/>
  <c r="M246" i="6" s="1"/>
  <c r="N246" i="6" s="1"/>
  <c r="O246" i="6" s="1"/>
  <c r="P77" i="1" l="1"/>
  <c r="AC205" i="1" l="1"/>
  <c r="AD205" i="1"/>
  <c r="AE205" i="1"/>
  <c r="AF205" i="1"/>
  <c r="AG205" i="1"/>
  <c r="AB205" i="1"/>
  <c r="U205" i="1"/>
  <c r="V205" i="1"/>
  <c r="W205" i="1"/>
  <c r="X205" i="1"/>
  <c r="Y205" i="1"/>
  <c r="T205" i="1"/>
  <c r="D96" i="6" l="1"/>
  <c r="E96" i="6" s="1"/>
  <c r="F96" i="6" s="1"/>
  <c r="G96" i="6" s="1"/>
  <c r="H96" i="6" s="1"/>
  <c r="I96" i="6" s="1"/>
  <c r="J96" i="6" s="1"/>
  <c r="K96" i="6" s="1"/>
  <c r="L96" i="6" s="1"/>
  <c r="M96" i="6" s="1"/>
  <c r="N96" i="6" s="1"/>
  <c r="O96" i="6" s="1"/>
  <c r="D98" i="6"/>
  <c r="E98" i="6" s="1"/>
  <c r="F98" i="6" s="1"/>
  <c r="G98" i="6" s="1"/>
  <c r="H98" i="6" s="1"/>
  <c r="I98" i="6" s="1"/>
  <c r="J98" i="6" s="1"/>
  <c r="K98" i="6" s="1"/>
  <c r="L98" i="6" s="1"/>
  <c r="M98" i="6" s="1"/>
  <c r="N98" i="6" s="1"/>
  <c r="O98" i="6" s="1"/>
  <c r="D100" i="6"/>
  <c r="E100" i="6" s="1"/>
  <c r="F100" i="6" s="1"/>
  <c r="G100" i="6" s="1"/>
  <c r="H100" i="6" s="1"/>
  <c r="I100" i="6" s="1"/>
  <c r="J100" i="6" s="1"/>
  <c r="K100" i="6" s="1"/>
  <c r="L100" i="6" s="1"/>
  <c r="M100" i="6" s="1"/>
  <c r="N100" i="6" s="1"/>
  <c r="O100" i="6" s="1"/>
  <c r="D101" i="6"/>
  <c r="E101" i="6" s="1"/>
  <c r="F101" i="6" s="1"/>
  <c r="G101" i="6" s="1"/>
  <c r="H101" i="6" s="1"/>
  <c r="I101" i="6" s="1"/>
  <c r="J101" i="6" s="1"/>
  <c r="K101" i="6" s="1"/>
  <c r="L101" i="6" s="1"/>
  <c r="M101" i="6" s="1"/>
  <c r="N101" i="6" s="1"/>
  <c r="O101" i="6" s="1"/>
  <c r="D102" i="6"/>
  <c r="E102" i="6" s="1"/>
  <c r="F102" i="6" s="1"/>
  <c r="G102" i="6" s="1"/>
  <c r="H102" i="6" s="1"/>
  <c r="I102" i="6" s="1"/>
  <c r="J102" i="6" s="1"/>
  <c r="K102" i="6" s="1"/>
  <c r="L102" i="6" s="1"/>
  <c r="M102" i="6" s="1"/>
  <c r="N102" i="6" s="1"/>
  <c r="O102" i="6" s="1"/>
  <c r="D103" i="6"/>
  <c r="E103" i="6" s="1"/>
  <c r="F103" i="6" s="1"/>
  <c r="G103" i="6" s="1"/>
  <c r="H103" i="6" s="1"/>
  <c r="I103" i="6" s="1"/>
  <c r="J103" i="6" s="1"/>
  <c r="K103" i="6" s="1"/>
  <c r="L103" i="6" s="1"/>
  <c r="M103" i="6" s="1"/>
  <c r="N103" i="6" s="1"/>
  <c r="O103" i="6" s="1"/>
  <c r="D104" i="6"/>
  <c r="E104" i="6" s="1"/>
  <c r="F104" i="6" s="1"/>
  <c r="G104" i="6" s="1"/>
  <c r="H104" i="6" s="1"/>
  <c r="I104" i="6" s="1"/>
  <c r="J104" i="6" s="1"/>
  <c r="K104" i="6" s="1"/>
  <c r="L104" i="6" s="1"/>
  <c r="M104" i="6" s="1"/>
  <c r="N104" i="6" s="1"/>
  <c r="O104" i="6" s="1"/>
  <c r="D105" i="6"/>
  <c r="E105" i="6" s="1"/>
  <c r="F105" i="6" s="1"/>
  <c r="G105" i="6" s="1"/>
  <c r="H105" i="6" s="1"/>
  <c r="I105" i="6" s="1"/>
  <c r="J105" i="6" s="1"/>
  <c r="K105" i="6" s="1"/>
  <c r="L105" i="6" s="1"/>
  <c r="M105" i="6" s="1"/>
  <c r="N105" i="6" s="1"/>
  <c r="O105" i="6" s="1"/>
  <c r="D106" i="6"/>
  <c r="E106" i="6" s="1"/>
  <c r="F106" i="6" s="1"/>
  <c r="G106" i="6" s="1"/>
  <c r="H106" i="6" s="1"/>
  <c r="I106" i="6" s="1"/>
  <c r="J106" i="6" s="1"/>
  <c r="K106" i="6" s="1"/>
  <c r="L106" i="6" s="1"/>
  <c r="M106" i="6" s="1"/>
  <c r="N106" i="6" s="1"/>
  <c r="O106" i="6" s="1"/>
  <c r="D107" i="6"/>
  <c r="E107" i="6" s="1"/>
  <c r="F107" i="6" s="1"/>
  <c r="G107" i="6" s="1"/>
  <c r="H107" i="6" s="1"/>
  <c r="I107" i="6" s="1"/>
  <c r="J107" i="6" s="1"/>
  <c r="K107" i="6" s="1"/>
  <c r="L107" i="6" s="1"/>
  <c r="M107" i="6" s="1"/>
  <c r="N107" i="6" s="1"/>
  <c r="O107" i="6" s="1"/>
  <c r="D108" i="6"/>
  <c r="E108" i="6" s="1"/>
  <c r="F108" i="6" s="1"/>
  <c r="G108" i="6" s="1"/>
  <c r="H108" i="6" s="1"/>
  <c r="I108" i="6" s="1"/>
  <c r="J108" i="6" s="1"/>
  <c r="K108" i="6" s="1"/>
  <c r="L108" i="6" s="1"/>
  <c r="M108" i="6" s="1"/>
  <c r="N108" i="6" s="1"/>
  <c r="O108" i="6" s="1"/>
  <c r="D109" i="6"/>
  <c r="E109" i="6" s="1"/>
  <c r="F109" i="6" s="1"/>
  <c r="G109" i="6" s="1"/>
  <c r="H109" i="6" s="1"/>
  <c r="I109" i="6" s="1"/>
  <c r="J109" i="6" s="1"/>
  <c r="K109" i="6" s="1"/>
  <c r="L109" i="6" s="1"/>
  <c r="M109" i="6" s="1"/>
  <c r="N109" i="6" s="1"/>
  <c r="O109" i="6" s="1"/>
  <c r="D110" i="6"/>
  <c r="E110" i="6" s="1"/>
  <c r="F110" i="6" s="1"/>
  <c r="G110" i="6" s="1"/>
  <c r="H110" i="6" s="1"/>
  <c r="I110" i="6" s="1"/>
  <c r="J110" i="6" s="1"/>
  <c r="K110" i="6" s="1"/>
  <c r="L110" i="6" s="1"/>
  <c r="M110" i="6" s="1"/>
  <c r="N110" i="6" s="1"/>
  <c r="O110" i="6" s="1"/>
  <c r="D111" i="6"/>
  <c r="E111" i="6" s="1"/>
  <c r="F111" i="6" s="1"/>
  <c r="G111" i="6" s="1"/>
  <c r="H111" i="6" s="1"/>
  <c r="I111" i="6" s="1"/>
  <c r="J111" i="6" s="1"/>
  <c r="K111" i="6" s="1"/>
  <c r="L111" i="6" s="1"/>
  <c r="M111" i="6" s="1"/>
  <c r="N111" i="6" s="1"/>
  <c r="O111" i="6" s="1"/>
  <c r="D112" i="6"/>
  <c r="E112" i="6" s="1"/>
  <c r="F112" i="6" s="1"/>
  <c r="G112" i="6" s="1"/>
  <c r="H112" i="6" s="1"/>
  <c r="I112" i="6" s="1"/>
  <c r="J112" i="6" s="1"/>
  <c r="K112" i="6" s="1"/>
  <c r="L112" i="6" s="1"/>
  <c r="M112" i="6" s="1"/>
  <c r="N112" i="6" s="1"/>
  <c r="O112" i="6" s="1"/>
  <c r="D113" i="6"/>
  <c r="E113" i="6" s="1"/>
  <c r="F113" i="6" s="1"/>
  <c r="G113" i="6" s="1"/>
  <c r="H113" i="6" s="1"/>
  <c r="I113" i="6" s="1"/>
  <c r="J113" i="6" s="1"/>
  <c r="K113" i="6" s="1"/>
  <c r="L113" i="6" s="1"/>
  <c r="M113" i="6" s="1"/>
  <c r="N113" i="6" s="1"/>
  <c r="O113" i="6" s="1"/>
  <c r="D114" i="6"/>
  <c r="E114" i="6" s="1"/>
  <c r="F114" i="6" s="1"/>
  <c r="G114" i="6" s="1"/>
  <c r="H114" i="6" s="1"/>
  <c r="I114" i="6" s="1"/>
  <c r="J114" i="6" s="1"/>
  <c r="K114" i="6" s="1"/>
  <c r="L114" i="6" s="1"/>
  <c r="M114" i="6" s="1"/>
  <c r="N114" i="6" s="1"/>
  <c r="O114" i="6" s="1"/>
  <c r="D115" i="6"/>
  <c r="E115" i="6" s="1"/>
  <c r="F115" i="6" s="1"/>
  <c r="G115" i="6" s="1"/>
  <c r="H115" i="6" s="1"/>
  <c r="I115" i="6" s="1"/>
  <c r="J115" i="6" s="1"/>
  <c r="K115" i="6" s="1"/>
  <c r="L115" i="6" s="1"/>
  <c r="M115" i="6" s="1"/>
  <c r="N115" i="6" s="1"/>
  <c r="O115" i="6" s="1"/>
  <c r="D116" i="6"/>
  <c r="E116" i="6" s="1"/>
  <c r="F116" i="6" s="1"/>
  <c r="G116" i="6" s="1"/>
  <c r="H116" i="6" s="1"/>
  <c r="I116" i="6" s="1"/>
  <c r="J116" i="6" s="1"/>
  <c r="K116" i="6" s="1"/>
  <c r="L116" i="6" s="1"/>
  <c r="M116" i="6" s="1"/>
  <c r="N116" i="6" s="1"/>
  <c r="O116" i="6" s="1"/>
  <c r="D117" i="6"/>
  <c r="E117" i="6" s="1"/>
  <c r="F117" i="6" s="1"/>
  <c r="G117" i="6" s="1"/>
  <c r="H117" i="6" s="1"/>
  <c r="I117" i="6" s="1"/>
  <c r="J117" i="6" s="1"/>
  <c r="K117" i="6" s="1"/>
  <c r="L117" i="6" s="1"/>
  <c r="M117" i="6" s="1"/>
  <c r="N117" i="6" s="1"/>
  <c r="O117" i="6" s="1"/>
  <c r="D118" i="6"/>
  <c r="E118" i="6" s="1"/>
  <c r="F118" i="6" s="1"/>
  <c r="G118" i="6" s="1"/>
  <c r="H118" i="6" s="1"/>
  <c r="I118" i="6" s="1"/>
  <c r="J118" i="6" s="1"/>
  <c r="K118" i="6" s="1"/>
  <c r="L118" i="6" s="1"/>
  <c r="M118" i="6" s="1"/>
  <c r="N118" i="6" s="1"/>
  <c r="O118" i="6" s="1"/>
  <c r="D119" i="6"/>
  <c r="E119" i="6" s="1"/>
  <c r="F119" i="6" s="1"/>
  <c r="G119" i="6" s="1"/>
  <c r="H119" i="6" s="1"/>
  <c r="I119" i="6" s="1"/>
  <c r="J119" i="6" s="1"/>
  <c r="K119" i="6" s="1"/>
  <c r="L119" i="6" s="1"/>
  <c r="M119" i="6" s="1"/>
  <c r="N119" i="6" s="1"/>
  <c r="O119" i="6" s="1"/>
  <c r="D120" i="6"/>
  <c r="E120" i="6" s="1"/>
  <c r="F120" i="6" s="1"/>
  <c r="G120" i="6" s="1"/>
  <c r="H120" i="6" s="1"/>
  <c r="I120" i="6" s="1"/>
  <c r="J120" i="6" s="1"/>
  <c r="K120" i="6" s="1"/>
  <c r="L120" i="6" s="1"/>
  <c r="M120" i="6" s="1"/>
  <c r="N120" i="6" s="1"/>
  <c r="O120" i="6" s="1"/>
  <c r="D121" i="6"/>
  <c r="E121" i="6" s="1"/>
  <c r="F121" i="6" s="1"/>
  <c r="G121" i="6" s="1"/>
  <c r="H121" i="6" s="1"/>
  <c r="I121" i="6" s="1"/>
  <c r="J121" i="6" s="1"/>
  <c r="K121" i="6" s="1"/>
  <c r="L121" i="6" s="1"/>
  <c r="M121" i="6" s="1"/>
  <c r="N121" i="6" s="1"/>
  <c r="O121" i="6" s="1"/>
  <c r="D122" i="6"/>
  <c r="E122" i="6" s="1"/>
  <c r="F122" i="6" s="1"/>
  <c r="G122" i="6" s="1"/>
  <c r="H122" i="6" s="1"/>
  <c r="I122" i="6" s="1"/>
  <c r="J122" i="6" s="1"/>
  <c r="K122" i="6" s="1"/>
  <c r="L122" i="6" s="1"/>
  <c r="M122" i="6" s="1"/>
  <c r="N122" i="6" s="1"/>
  <c r="O122" i="6" s="1"/>
  <c r="D123" i="6"/>
  <c r="D124" i="6"/>
  <c r="D125" i="6"/>
  <c r="D126" i="6"/>
  <c r="D127" i="6"/>
  <c r="D128" i="6"/>
  <c r="D129" i="6"/>
  <c r="D95" i="6"/>
  <c r="E95" i="6" s="1"/>
  <c r="F95" i="6" s="1"/>
  <c r="G95" i="6" s="1"/>
  <c r="H95" i="6" s="1"/>
  <c r="I95" i="6" s="1"/>
  <c r="J95" i="6" s="1"/>
  <c r="K95" i="6" s="1"/>
  <c r="L95" i="6" s="1"/>
  <c r="M95" i="6" s="1"/>
  <c r="N95" i="6" s="1"/>
  <c r="O95" i="6" s="1"/>
  <c r="D262" i="6"/>
  <c r="E262" i="6" s="1"/>
  <c r="F262" i="6" s="1"/>
  <c r="G262" i="6" s="1"/>
  <c r="H262" i="6" s="1"/>
  <c r="I262" i="6" s="1"/>
  <c r="J262" i="6" s="1"/>
  <c r="K262" i="6" s="1"/>
  <c r="L262" i="6" s="1"/>
  <c r="M262" i="6" s="1"/>
  <c r="N262" i="6" s="1"/>
  <c r="O262" i="6" s="1"/>
  <c r="D263" i="6"/>
  <c r="E263" i="6" s="1"/>
  <c r="F263" i="6" s="1"/>
  <c r="G263" i="6" s="1"/>
  <c r="H263" i="6" s="1"/>
  <c r="I263" i="6" s="1"/>
  <c r="J263" i="6" s="1"/>
  <c r="K263" i="6" s="1"/>
  <c r="L263" i="6" s="1"/>
  <c r="M263" i="6" s="1"/>
  <c r="N263" i="6" s="1"/>
  <c r="O263" i="6" s="1"/>
  <c r="D261" i="6"/>
  <c r="E261" i="6" s="1"/>
  <c r="F261" i="6" s="1"/>
  <c r="G261" i="6" s="1"/>
  <c r="H261" i="6" s="1"/>
  <c r="I261" i="6" s="1"/>
  <c r="J261" i="6" s="1"/>
  <c r="K261" i="6" s="1"/>
  <c r="L261" i="6" s="1"/>
  <c r="M261" i="6" s="1"/>
  <c r="N261" i="6" s="1"/>
  <c r="O261" i="6" s="1"/>
  <c r="E125" i="6" l="1"/>
  <c r="F125" i="6" s="1"/>
  <c r="G125" i="6" s="1"/>
  <c r="H125" i="6" s="1"/>
  <c r="I125" i="6" s="1"/>
  <c r="J125" i="6" s="1"/>
  <c r="K125" i="6" s="1"/>
  <c r="L125" i="6" s="1"/>
  <c r="M125" i="6" s="1"/>
  <c r="N125" i="6" s="1"/>
  <c r="O125" i="6" s="1"/>
  <c r="E124" i="6"/>
  <c r="F124" i="6" s="1"/>
  <c r="G124" i="6" s="1"/>
  <c r="H124" i="6" s="1"/>
  <c r="I124" i="6" s="1"/>
  <c r="J124" i="6" s="1"/>
  <c r="K124" i="6" s="1"/>
  <c r="L124" i="6" s="1"/>
  <c r="M124" i="6" s="1"/>
  <c r="N124" i="6" s="1"/>
  <c r="O124" i="6" s="1"/>
  <c r="E129" i="6"/>
  <c r="F129" i="6" s="1"/>
  <c r="G129" i="6" s="1"/>
  <c r="H129" i="6" s="1"/>
  <c r="I129" i="6" s="1"/>
  <c r="J129" i="6" s="1"/>
  <c r="K129" i="6" s="1"/>
  <c r="L129" i="6" s="1"/>
  <c r="M129" i="6" s="1"/>
  <c r="N129" i="6" s="1"/>
  <c r="O129" i="6" s="1"/>
  <c r="E127" i="6"/>
  <c r="F127" i="6" s="1"/>
  <c r="G127" i="6" s="1"/>
  <c r="H127" i="6" s="1"/>
  <c r="I127" i="6" s="1"/>
  <c r="J127" i="6" s="1"/>
  <c r="K127" i="6" s="1"/>
  <c r="L127" i="6" s="1"/>
  <c r="M127" i="6" s="1"/>
  <c r="N127" i="6" s="1"/>
  <c r="O127" i="6" s="1"/>
  <c r="E123" i="6"/>
  <c r="F123" i="6" s="1"/>
  <c r="G123" i="6" s="1"/>
  <c r="H123" i="6" s="1"/>
  <c r="I123" i="6" s="1"/>
  <c r="J123" i="6" s="1"/>
  <c r="K123" i="6" s="1"/>
  <c r="L123" i="6" s="1"/>
  <c r="M123" i="6" s="1"/>
  <c r="N123" i="6" s="1"/>
  <c r="O123" i="6" s="1"/>
  <c r="E128" i="6"/>
  <c r="F128" i="6" s="1"/>
  <c r="G128" i="6" s="1"/>
  <c r="H128" i="6" s="1"/>
  <c r="I128" i="6" s="1"/>
  <c r="J128" i="6" s="1"/>
  <c r="K128" i="6" s="1"/>
  <c r="L128" i="6" s="1"/>
  <c r="M128" i="6" s="1"/>
  <c r="N128" i="6" s="1"/>
  <c r="O128" i="6" s="1"/>
  <c r="E126" i="6"/>
  <c r="F126" i="6" s="1"/>
  <c r="G126" i="6" s="1"/>
  <c r="H126" i="6" s="1"/>
  <c r="I126" i="6" s="1"/>
  <c r="J126" i="6" s="1"/>
  <c r="K126" i="6" s="1"/>
  <c r="L126" i="6" s="1"/>
  <c r="M126" i="6" s="1"/>
  <c r="N126" i="6" s="1"/>
  <c r="O126" i="6" s="1"/>
  <c r="O131" i="6" s="1"/>
  <c r="D131" i="6"/>
  <c r="K131" i="6" l="1"/>
  <c r="N131" i="6"/>
  <c r="J131" i="6"/>
  <c r="M131" i="6"/>
  <c r="I131" i="6"/>
  <c r="L131" i="6"/>
  <c r="H131" i="6"/>
  <c r="E131" i="6"/>
  <c r="G131" i="6"/>
  <c r="F131" i="6"/>
  <c r="C263" i="7"/>
  <c r="D263" i="7" s="1"/>
  <c r="E263" i="7" s="1"/>
  <c r="F263" i="7" s="1"/>
  <c r="G263" i="7" s="1"/>
  <c r="H263" i="7" s="1"/>
  <c r="I263" i="7" s="1"/>
  <c r="J263" i="7" s="1"/>
  <c r="K263" i="7" s="1"/>
  <c r="L263" i="7" s="1"/>
  <c r="M263" i="7" s="1"/>
  <c r="N263" i="7" s="1"/>
  <c r="O263" i="7" s="1"/>
  <c r="C262" i="7"/>
  <c r="C261" i="7"/>
  <c r="C254" i="7"/>
  <c r="P254" i="7" s="1"/>
  <c r="Q254" i="7" s="1"/>
  <c r="C249" i="7"/>
  <c r="C248" i="7"/>
  <c r="C247" i="7"/>
  <c r="C246" i="7"/>
  <c r="C244" i="7"/>
  <c r="C233" i="7"/>
  <c r="D233" i="7" s="1"/>
  <c r="E233" i="7" s="1"/>
  <c r="F233" i="7" s="1"/>
  <c r="G233" i="7" s="1"/>
  <c r="H233" i="7" s="1"/>
  <c r="I233" i="7" s="1"/>
  <c r="J233" i="7" s="1"/>
  <c r="K233" i="7" s="1"/>
  <c r="L233" i="7" s="1"/>
  <c r="M233" i="7" s="1"/>
  <c r="N233" i="7" s="1"/>
  <c r="O233" i="7" s="1"/>
  <c r="C232" i="7"/>
  <c r="C231" i="7"/>
  <c r="C230" i="7"/>
  <c r="C229" i="7"/>
  <c r="C228" i="7"/>
  <c r="C227" i="7"/>
  <c r="C226" i="7"/>
  <c r="C225" i="7"/>
  <c r="D225" i="7" s="1"/>
  <c r="E225" i="7" s="1"/>
  <c r="F225" i="7" s="1"/>
  <c r="G225" i="7" s="1"/>
  <c r="H225" i="7" s="1"/>
  <c r="I225" i="7" s="1"/>
  <c r="J225" i="7" s="1"/>
  <c r="K225" i="7" s="1"/>
  <c r="L225" i="7" s="1"/>
  <c r="M225" i="7" s="1"/>
  <c r="N225" i="7" s="1"/>
  <c r="O225" i="7" s="1"/>
  <c r="C224" i="7"/>
  <c r="C223" i="7"/>
  <c r="D223" i="7" s="1"/>
  <c r="E223" i="7" s="1"/>
  <c r="F223" i="7" s="1"/>
  <c r="G223" i="7" s="1"/>
  <c r="H223" i="7" s="1"/>
  <c r="I223" i="7" s="1"/>
  <c r="J223" i="7" s="1"/>
  <c r="K223" i="7" s="1"/>
  <c r="L223" i="7" s="1"/>
  <c r="M223" i="7" s="1"/>
  <c r="N223" i="7" s="1"/>
  <c r="O223" i="7" s="1"/>
  <c r="AF223" i="7" s="1"/>
  <c r="C222" i="7"/>
  <c r="C221" i="7"/>
  <c r="C220" i="7"/>
  <c r="C219" i="7"/>
  <c r="D219" i="7" s="1"/>
  <c r="E219" i="7" s="1"/>
  <c r="F219" i="7" s="1"/>
  <c r="G219" i="7" s="1"/>
  <c r="H219" i="7" s="1"/>
  <c r="I219" i="7" s="1"/>
  <c r="J219" i="7" s="1"/>
  <c r="K219" i="7" s="1"/>
  <c r="L219" i="7" s="1"/>
  <c r="M219" i="7" s="1"/>
  <c r="N219" i="7" s="1"/>
  <c r="O219" i="7" s="1"/>
  <c r="AE219" i="7" s="1"/>
  <c r="C218" i="7"/>
  <c r="C210" i="7"/>
  <c r="C209" i="7"/>
  <c r="C208" i="7"/>
  <c r="C207" i="7"/>
  <c r="C206" i="7"/>
  <c r="P206" i="7" s="1"/>
  <c r="Q206" i="7" s="1"/>
  <c r="W206" i="7" s="1"/>
  <c r="C197" i="7"/>
  <c r="C192" i="7"/>
  <c r="C191" i="7"/>
  <c r="C190" i="7"/>
  <c r="C189" i="7"/>
  <c r="C188" i="7"/>
  <c r="C187" i="7"/>
  <c r="C182" i="7"/>
  <c r="C181" i="7"/>
  <c r="C176" i="7"/>
  <c r="C175" i="7"/>
  <c r="C174" i="7"/>
  <c r="C173" i="7"/>
  <c r="C172" i="7"/>
  <c r="C171" i="7"/>
  <c r="C170" i="7"/>
  <c r="C169" i="7"/>
  <c r="C155" i="7"/>
  <c r="P155" i="7" s="1"/>
  <c r="Q155" i="7" s="1"/>
  <c r="Y155" i="7" s="1"/>
  <c r="C154" i="7"/>
  <c r="P154" i="7" s="1"/>
  <c r="Q154" i="7" s="1"/>
  <c r="C140" i="7"/>
  <c r="C135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P99" i="7"/>
  <c r="Q99" i="7" s="1"/>
  <c r="C97" i="7"/>
  <c r="C96" i="7"/>
  <c r="C95" i="7"/>
  <c r="D95" i="7" s="1"/>
  <c r="E95" i="7" s="1"/>
  <c r="F95" i="7" s="1"/>
  <c r="G95" i="7" s="1"/>
  <c r="H95" i="7" s="1"/>
  <c r="I95" i="7" s="1"/>
  <c r="J95" i="7" s="1"/>
  <c r="K95" i="7" s="1"/>
  <c r="L95" i="7" s="1"/>
  <c r="M95" i="7" s="1"/>
  <c r="N95" i="7" s="1"/>
  <c r="O95" i="7" s="1"/>
  <c r="C90" i="7"/>
  <c r="C89" i="7"/>
  <c r="C84" i="7"/>
  <c r="C83" i="7"/>
  <c r="C82" i="7"/>
  <c r="C76" i="7"/>
  <c r="C75" i="7"/>
  <c r="C73" i="7"/>
  <c r="C64" i="7"/>
  <c r="P64" i="7" s="1"/>
  <c r="Q64" i="7" s="1"/>
  <c r="C63" i="7"/>
  <c r="C62" i="7"/>
  <c r="C61" i="7"/>
  <c r="C60" i="7"/>
  <c r="P60" i="7" s="1"/>
  <c r="Q60" i="7" s="1"/>
  <c r="C59" i="7"/>
  <c r="P59" i="7" s="1"/>
  <c r="C51" i="7"/>
  <c r="C50" i="7"/>
  <c r="P50" i="7" s="1"/>
  <c r="Q50" i="7" s="1"/>
  <c r="C49" i="7"/>
  <c r="P49" i="7" s="1"/>
  <c r="Q49" i="7" s="1"/>
  <c r="C48" i="7"/>
  <c r="P48" i="7" s="1"/>
  <c r="Q48" i="7" s="1"/>
  <c r="C47" i="7"/>
  <c r="C46" i="7"/>
  <c r="P46" i="7" s="1"/>
  <c r="Q46" i="7" s="1"/>
  <c r="C45" i="7"/>
  <c r="P45" i="7" s="1"/>
  <c r="Q45" i="7" s="1"/>
  <c r="C44" i="7"/>
  <c r="P44" i="7" s="1"/>
  <c r="Q44" i="7" s="1"/>
  <c r="C43" i="7"/>
  <c r="C42" i="7"/>
  <c r="P42" i="7" s="1"/>
  <c r="Q42" i="7" s="1"/>
  <c r="C41" i="7"/>
  <c r="P41" i="7" s="1"/>
  <c r="Q41" i="7" s="1"/>
  <c r="C40" i="7"/>
  <c r="P40" i="7" s="1"/>
  <c r="Q40" i="7" s="1"/>
  <c r="C39" i="7"/>
  <c r="C33" i="7"/>
  <c r="C17" i="7"/>
  <c r="P17" i="7" s="1"/>
  <c r="Q17" i="7" s="1"/>
  <c r="C18" i="7"/>
  <c r="P18" i="7" s="1"/>
  <c r="Q18" i="7" s="1"/>
  <c r="C19" i="7"/>
  <c r="C20" i="7"/>
  <c r="P20" i="7" s="1"/>
  <c r="Q20" i="7" s="1"/>
  <c r="C21" i="7"/>
  <c r="P21" i="7" s="1"/>
  <c r="Q21" i="7" s="1"/>
  <c r="C22" i="7"/>
  <c r="P22" i="7" s="1"/>
  <c r="Q22" i="7" s="1"/>
  <c r="C23" i="7"/>
  <c r="P23" i="7" s="1"/>
  <c r="Q23" i="7" s="1"/>
  <c r="C24" i="7"/>
  <c r="P24" i="7" s="1"/>
  <c r="Q24" i="7" s="1"/>
  <c r="C25" i="7"/>
  <c r="P25" i="7" s="1"/>
  <c r="Q25" i="7" s="1"/>
  <c r="C26" i="7"/>
  <c r="P26" i="7" s="1"/>
  <c r="Q26" i="7" s="1"/>
  <c r="C27" i="7"/>
  <c r="P27" i="7" s="1"/>
  <c r="Q27" i="7" s="1"/>
  <c r="C28" i="7"/>
  <c r="P28" i="7" s="1"/>
  <c r="Q28" i="7" s="1"/>
  <c r="P16" i="7"/>
  <c r="P263" i="7"/>
  <c r="Q263" i="7" s="1"/>
  <c r="AG254" i="7"/>
  <c r="AF254" i="7"/>
  <c r="AE254" i="7"/>
  <c r="AD254" i="7"/>
  <c r="AC254" i="7"/>
  <c r="AB254" i="7"/>
  <c r="AG233" i="7"/>
  <c r="AF233" i="7"/>
  <c r="AE233" i="7"/>
  <c r="AD233" i="7"/>
  <c r="AC233" i="7"/>
  <c r="AB233" i="7"/>
  <c r="P233" i="7"/>
  <c r="Q233" i="7" s="1"/>
  <c r="Y233" i="7" s="1"/>
  <c r="AG225" i="7"/>
  <c r="AF225" i="7"/>
  <c r="AE225" i="7"/>
  <c r="AD225" i="7"/>
  <c r="AC225" i="7"/>
  <c r="AB225" i="7"/>
  <c r="P225" i="7"/>
  <c r="Q225" i="7" s="1"/>
  <c r="AG223" i="7"/>
  <c r="AG206" i="7"/>
  <c r="AF206" i="7"/>
  <c r="AE206" i="7"/>
  <c r="AD206" i="7"/>
  <c r="AC206" i="7"/>
  <c r="AB206" i="7"/>
  <c r="W171" i="7"/>
  <c r="O157" i="7"/>
  <c r="N157" i="7"/>
  <c r="M157" i="7"/>
  <c r="L157" i="7"/>
  <c r="K157" i="7"/>
  <c r="J157" i="7"/>
  <c r="I157" i="7"/>
  <c r="H157" i="7"/>
  <c r="G157" i="7"/>
  <c r="F157" i="7"/>
  <c r="E157" i="7"/>
  <c r="D157" i="7"/>
  <c r="AG155" i="7"/>
  <c r="AF155" i="7"/>
  <c r="AE155" i="7"/>
  <c r="AD155" i="7"/>
  <c r="AC155" i="7"/>
  <c r="AB155" i="7"/>
  <c r="AG154" i="7"/>
  <c r="AF154" i="7"/>
  <c r="AE154" i="7"/>
  <c r="AD154" i="7"/>
  <c r="AC154" i="7"/>
  <c r="AB154" i="7"/>
  <c r="C142" i="7"/>
  <c r="Q68" i="7"/>
  <c r="O66" i="7"/>
  <c r="O68" i="7" s="1"/>
  <c r="N66" i="7"/>
  <c r="N68" i="7" s="1"/>
  <c r="M66" i="7"/>
  <c r="M68" i="7" s="1"/>
  <c r="L66" i="7"/>
  <c r="L68" i="7" s="1"/>
  <c r="K66" i="7"/>
  <c r="K68" i="7" s="1"/>
  <c r="J66" i="7"/>
  <c r="J68" i="7" s="1"/>
  <c r="I66" i="7"/>
  <c r="I68" i="7" s="1"/>
  <c r="H66" i="7"/>
  <c r="H68" i="7" s="1"/>
  <c r="G66" i="7"/>
  <c r="G68" i="7" s="1"/>
  <c r="F66" i="7"/>
  <c r="F68" i="7" s="1"/>
  <c r="E66" i="7"/>
  <c r="E68" i="7" s="1"/>
  <c r="D66" i="7"/>
  <c r="D68" i="7" s="1"/>
  <c r="P63" i="7"/>
  <c r="Q63" i="7" s="1"/>
  <c r="P62" i="7"/>
  <c r="Q62" i="7" s="1"/>
  <c r="P51" i="7"/>
  <c r="Q51" i="7" s="1"/>
  <c r="P47" i="7"/>
  <c r="Q47" i="7" s="1"/>
  <c r="P43" i="7"/>
  <c r="Q43" i="7" s="1"/>
  <c r="P39" i="7"/>
  <c r="Q39" i="7" s="1"/>
  <c r="O35" i="7"/>
  <c r="N35" i="7"/>
  <c r="M35" i="7"/>
  <c r="L35" i="7"/>
  <c r="K35" i="7"/>
  <c r="J35" i="7"/>
  <c r="I35" i="7"/>
  <c r="H35" i="7"/>
  <c r="G35" i="7"/>
  <c r="F35" i="7"/>
  <c r="E35" i="7"/>
  <c r="D35" i="7"/>
  <c r="P33" i="7"/>
  <c r="O30" i="7"/>
  <c r="N30" i="7"/>
  <c r="M30" i="7"/>
  <c r="L30" i="7"/>
  <c r="K30" i="7"/>
  <c r="J30" i="7"/>
  <c r="I30" i="7"/>
  <c r="H30" i="7"/>
  <c r="G30" i="7"/>
  <c r="F30" i="7"/>
  <c r="E30" i="7"/>
  <c r="D30" i="7"/>
  <c r="G15" i="9"/>
  <c r="H15" i="9" s="1"/>
  <c r="I15" i="9" s="1"/>
  <c r="J15" i="9" s="1"/>
  <c r="K15" i="9" s="1"/>
  <c r="L15" i="9" s="1"/>
  <c r="M15" i="9" s="1"/>
  <c r="N15" i="9" s="1"/>
  <c r="O15" i="9" s="1"/>
  <c r="P15" i="9" s="1"/>
  <c r="Q15" i="9" s="1"/>
  <c r="R15" i="9" s="1"/>
  <c r="S15" i="9" s="1"/>
  <c r="G16" i="9"/>
  <c r="H16" i="9" s="1"/>
  <c r="I16" i="9" s="1"/>
  <c r="J16" i="9" s="1"/>
  <c r="K16" i="9" s="1"/>
  <c r="L16" i="9" s="1"/>
  <c r="M16" i="9" s="1"/>
  <c r="N16" i="9" s="1"/>
  <c r="O16" i="9" s="1"/>
  <c r="P16" i="9" s="1"/>
  <c r="Q16" i="9" s="1"/>
  <c r="R16" i="9" s="1"/>
  <c r="S16" i="9" s="1"/>
  <c r="G17" i="9"/>
  <c r="H17" i="9" s="1"/>
  <c r="I17" i="9" s="1"/>
  <c r="J17" i="9" s="1"/>
  <c r="K17" i="9" s="1"/>
  <c r="L17" i="9" s="1"/>
  <c r="M17" i="9" s="1"/>
  <c r="N17" i="9" s="1"/>
  <c r="O17" i="9" s="1"/>
  <c r="P17" i="9" s="1"/>
  <c r="Q17" i="9" s="1"/>
  <c r="R17" i="9" s="1"/>
  <c r="S17" i="9" s="1"/>
  <c r="G18" i="9"/>
  <c r="H18" i="9" s="1"/>
  <c r="I18" i="9" s="1"/>
  <c r="J18" i="9" s="1"/>
  <c r="K18" i="9" s="1"/>
  <c r="L18" i="9" s="1"/>
  <c r="M18" i="9" s="1"/>
  <c r="N18" i="9" s="1"/>
  <c r="O18" i="9" s="1"/>
  <c r="P18" i="9" s="1"/>
  <c r="Q18" i="9" s="1"/>
  <c r="R18" i="9" s="1"/>
  <c r="S18" i="9" s="1"/>
  <c r="G19" i="9"/>
  <c r="H19" i="9" s="1"/>
  <c r="I19" i="9" s="1"/>
  <c r="J19" i="9" s="1"/>
  <c r="K19" i="9" s="1"/>
  <c r="L19" i="9" s="1"/>
  <c r="M19" i="9" s="1"/>
  <c r="N19" i="9" s="1"/>
  <c r="O19" i="9" s="1"/>
  <c r="P19" i="9" s="1"/>
  <c r="Q19" i="9" s="1"/>
  <c r="R19" i="9" s="1"/>
  <c r="S19" i="9" s="1"/>
  <c r="G20" i="9"/>
  <c r="H20" i="9" s="1"/>
  <c r="I20" i="9" s="1"/>
  <c r="J20" i="9" s="1"/>
  <c r="K20" i="9" s="1"/>
  <c r="L20" i="9" s="1"/>
  <c r="M20" i="9" s="1"/>
  <c r="N20" i="9" s="1"/>
  <c r="O20" i="9" s="1"/>
  <c r="P20" i="9" s="1"/>
  <c r="Q20" i="9" s="1"/>
  <c r="R20" i="9" s="1"/>
  <c r="S20" i="9" s="1"/>
  <c r="G21" i="9"/>
  <c r="H21" i="9" s="1"/>
  <c r="I21" i="9" s="1"/>
  <c r="J21" i="9" s="1"/>
  <c r="K21" i="9" s="1"/>
  <c r="L21" i="9" s="1"/>
  <c r="M21" i="9" s="1"/>
  <c r="N21" i="9" s="1"/>
  <c r="O21" i="9" s="1"/>
  <c r="P21" i="9" s="1"/>
  <c r="Q21" i="9" s="1"/>
  <c r="R21" i="9" s="1"/>
  <c r="S21" i="9" s="1"/>
  <c r="G22" i="9"/>
  <c r="H22" i="9" s="1"/>
  <c r="I22" i="9" s="1"/>
  <c r="J22" i="9" s="1"/>
  <c r="K22" i="9" s="1"/>
  <c r="L22" i="9" s="1"/>
  <c r="M22" i="9" s="1"/>
  <c r="N22" i="9" s="1"/>
  <c r="O22" i="9" s="1"/>
  <c r="P22" i="9" s="1"/>
  <c r="Q22" i="9" s="1"/>
  <c r="R22" i="9" s="1"/>
  <c r="S22" i="9" s="1"/>
  <c r="G23" i="9"/>
  <c r="H23" i="9" s="1"/>
  <c r="I23" i="9" s="1"/>
  <c r="J23" i="9" s="1"/>
  <c r="K23" i="9" s="1"/>
  <c r="L23" i="9" s="1"/>
  <c r="M23" i="9" s="1"/>
  <c r="N23" i="9" s="1"/>
  <c r="O23" i="9" s="1"/>
  <c r="P23" i="9" s="1"/>
  <c r="Q23" i="9" s="1"/>
  <c r="R23" i="9" s="1"/>
  <c r="S23" i="9" s="1"/>
  <c r="G24" i="9"/>
  <c r="G14" i="9"/>
  <c r="H14" i="9" s="1"/>
  <c r="I14" i="9" s="1"/>
  <c r="J14" i="9" s="1"/>
  <c r="K14" i="9" s="1"/>
  <c r="L14" i="9" s="1"/>
  <c r="M14" i="9" s="1"/>
  <c r="N14" i="9" s="1"/>
  <c r="O14" i="9" s="1"/>
  <c r="P14" i="9" s="1"/>
  <c r="Q14" i="9" s="1"/>
  <c r="R14" i="9" s="1"/>
  <c r="S14" i="9" s="1"/>
  <c r="G44" i="8"/>
  <c r="H44" i="8" s="1"/>
  <c r="I44" i="8" s="1"/>
  <c r="J44" i="8" s="1"/>
  <c r="K44" i="8" s="1"/>
  <c r="L44" i="8" s="1"/>
  <c r="M44" i="8" s="1"/>
  <c r="N44" i="8" s="1"/>
  <c r="O44" i="8" s="1"/>
  <c r="P44" i="8" s="1"/>
  <c r="Q44" i="8" s="1"/>
  <c r="R44" i="8" s="1"/>
  <c r="S44" i="8" s="1"/>
  <c r="G44" i="9" s="1"/>
  <c r="C5" i="10"/>
  <c r="D5" i="10" s="1"/>
  <c r="E5" i="10" s="1"/>
  <c r="F5" i="10" s="1"/>
  <c r="G5" i="10" s="1"/>
  <c r="H5" i="10" s="1"/>
  <c r="I5" i="10" s="1"/>
  <c r="J5" i="10" s="1"/>
  <c r="K5" i="10" s="1"/>
  <c r="L5" i="10" s="1"/>
  <c r="M5" i="10" s="1"/>
  <c r="B5" i="11" s="1"/>
  <c r="C5" i="11" s="1"/>
  <c r="D5" i="11" s="1"/>
  <c r="E5" i="11" s="1"/>
  <c r="F5" i="11" s="1"/>
  <c r="G5" i="11" s="1"/>
  <c r="H5" i="11" s="1"/>
  <c r="I5" i="11" s="1"/>
  <c r="J5" i="11" s="1"/>
  <c r="K5" i="11" s="1"/>
  <c r="L5" i="11" s="1"/>
  <c r="M5" i="11" s="1"/>
  <c r="C6" i="10"/>
  <c r="D6" i="10" s="1"/>
  <c r="C9" i="10"/>
  <c r="D9" i="10" s="1"/>
  <c r="E9" i="10" s="1"/>
  <c r="F9" i="10" s="1"/>
  <c r="G9" i="10" s="1"/>
  <c r="H9" i="10" s="1"/>
  <c r="I9" i="10" s="1"/>
  <c r="J9" i="10" s="1"/>
  <c r="K9" i="10" s="1"/>
  <c r="L9" i="10" s="1"/>
  <c r="M9" i="10" s="1"/>
  <c r="B9" i="11" s="1"/>
  <c r="C9" i="11" s="1"/>
  <c r="D9" i="11" s="1"/>
  <c r="E9" i="11" s="1"/>
  <c r="F9" i="11" s="1"/>
  <c r="G9" i="11" s="1"/>
  <c r="H9" i="11" s="1"/>
  <c r="I9" i="11" s="1"/>
  <c r="J9" i="11" s="1"/>
  <c r="K9" i="11" s="1"/>
  <c r="L9" i="11" s="1"/>
  <c r="M9" i="11" s="1"/>
  <c r="C10" i="10"/>
  <c r="D10" i="10" s="1"/>
  <c r="B4" i="10"/>
  <c r="C4" i="10" s="1"/>
  <c r="B5" i="10"/>
  <c r="B6" i="10"/>
  <c r="B7" i="10"/>
  <c r="C7" i="10" s="1"/>
  <c r="D7" i="10" s="1"/>
  <c r="E7" i="10" s="1"/>
  <c r="F7" i="10" s="1"/>
  <c r="G7" i="10" s="1"/>
  <c r="H7" i="10" s="1"/>
  <c r="I7" i="10" s="1"/>
  <c r="J7" i="10" s="1"/>
  <c r="K7" i="10" s="1"/>
  <c r="L7" i="10" s="1"/>
  <c r="M7" i="10" s="1"/>
  <c r="B7" i="11" s="1"/>
  <c r="C7" i="11" s="1"/>
  <c r="D7" i="11" s="1"/>
  <c r="E7" i="11" s="1"/>
  <c r="F7" i="11" s="1"/>
  <c r="G7" i="11" s="1"/>
  <c r="H7" i="11" s="1"/>
  <c r="I7" i="11" s="1"/>
  <c r="J7" i="11" s="1"/>
  <c r="K7" i="11" s="1"/>
  <c r="L7" i="11" s="1"/>
  <c r="M7" i="11" s="1"/>
  <c r="B8" i="10"/>
  <c r="C8" i="10" s="1"/>
  <c r="D8" i="10" s="1"/>
  <c r="B9" i="10"/>
  <c r="B10" i="10"/>
  <c r="B11" i="10"/>
  <c r="C11" i="10" s="1"/>
  <c r="D11" i="10" s="1"/>
  <c r="E11" i="10" s="1"/>
  <c r="F11" i="10" s="1"/>
  <c r="G11" i="10" s="1"/>
  <c r="H11" i="10" s="1"/>
  <c r="I11" i="10" s="1"/>
  <c r="J11" i="10" s="1"/>
  <c r="K11" i="10" s="1"/>
  <c r="L11" i="10" s="1"/>
  <c r="M11" i="10" s="1"/>
  <c r="B11" i="11" s="1"/>
  <c r="C11" i="11" s="1"/>
  <c r="D11" i="11" s="1"/>
  <c r="E11" i="11" s="1"/>
  <c r="F11" i="11" s="1"/>
  <c r="G11" i="11" s="1"/>
  <c r="H11" i="11" s="1"/>
  <c r="I11" i="11" s="1"/>
  <c r="J11" i="11" s="1"/>
  <c r="K11" i="11" s="1"/>
  <c r="L11" i="11" s="1"/>
  <c r="M11" i="11" s="1"/>
  <c r="B12" i="10"/>
  <c r="C12" i="10" s="1"/>
  <c r="D12" i="10" s="1"/>
  <c r="B3" i="10"/>
  <c r="B13" i="10" s="1"/>
  <c r="E12" i="10" l="1"/>
  <c r="F12" i="10" s="1"/>
  <c r="G12" i="10" s="1"/>
  <c r="H12" i="10" s="1"/>
  <c r="I12" i="10" s="1"/>
  <c r="J12" i="10" s="1"/>
  <c r="K12" i="10" s="1"/>
  <c r="L12" i="10" s="1"/>
  <c r="M12" i="10" s="1"/>
  <c r="B12" i="11" s="1"/>
  <c r="C12" i="11" s="1"/>
  <c r="D12" i="11" s="1"/>
  <c r="E12" i="11" s="1"/>
  <c r="F12" i="11" s="1"/>
  <c r="G12" i="11" s="1"/>
  <c r="H12" i="11" s="1"/>
  <c r="I12" i="11" s="1"/>
  <c r="J12" i="11" s="1"/>
  <c r="K12" i="11" s="1"/>
  <c r="L12" i="11" s="1"/>
  <c r="M12" i="11" s="1"/>
  <c r="D4" i="10"/>
  <c r="C13" i="10"/>
  <c r="E10" i="10"/>
  <c r="F10" i="10" s="1"/>
  <c r="G10" i="10" s="1"/>
  <c r="H10" i="10" s="1"/>
  <c r="I10" i="10" s="1"/>
  <c r="J10" i="10" s="1"/>
  <c r="K10" i="10" s="1"/>
  <c r="L10" i="10" s="1"/>
  <c r="M10" i="10" s="1"/>
  <c r="B10" i="11" s="1"/>
  <c r="C10" i="11" s="1"/>
  <c r="D10" i="11" s="1"/>
  <c r="E10" i="11" s="1"/>
  <c r="F10" i="11" s="1"/>
  <c r="G10" i="11" s="1"/>
  <c r="H10" i="11" s="1"/>
  <c r="I10" i="11" s="1"/>
  <c r="J10" i="11" s="1"/>
  <c r="K10" i="11" s="1"/>
  <c r="L10" i="11" s="1"/>
  <c r="M10" i="11" s="1"/>
  <c r="E8" i="10"/>
  <c r="F8" i="10" s="1"/>
  <c r="G8" i="10" s="1"/>
  <c r="H8" i="10" s="1"/>
  <c r="I8" i="10" s="1"/>
  <c r="J8" i="10" s="1"/>
  <c r="K8" i="10" s="1"/>
  <c r="L8" i="10" s="1"/>
  <c r="M8" i="10" s="1"/>
  <c r="B8" i="11" s="1"/>
  <c r="C8" i="11" s="1"/>
  <c r="D8" i="11" s="1"/>
  <c r="E8" i="11" s="1"/>
  <c r="F8" i="11" s="1"/>
  <c r="G8" i="11" s="1"/>
  <c r="H8" i="11" s="1"/>
  <c r="I8" i="11" s="1"/>
  <c r="J8" i="11" s="1"/>
  <c r="K8" i="11" s="1"/>
  <c r="L8" i="11" s="1"/>
  <c r="M8" i="11" s="1"/>
  <c r="E6" i="10"/>
  <c r="F6" i="10" s="1"/>
  <c r="G6" i="10" s="1"/>
  <c r="H6" i="10" s="1"/>
  <c r="I6" i="10" s="1"/>
  <c r="J6" i="10" s="1"/>
  <c r="K6" i="10" s="1"/>
  <c r="L6" i="10" s="1"/>
  <c r="M6" i="10" s="1"/>
  <c r="B6" i="11" s="1"/>
  <c r="C6" i="11" s="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F76" i="7"/>
  <c r="L76" i="7"/>
  <c r="G76" i="7"/>
  <c r="J76" i="7"/>
  <c r="E76" i="7"/>
  <c r="I76" i="7"/>
  <c r="K76" i="7"/>
  <c r="O76" i="7"/>
  <c r="H76" i="7"/>
  <c r="M76" i="7"/>
  <c r="D76" i="7"/>
  <c r="N76" i="7"/>
  <c r="M84" i="7"/>
  <c r="E84" i="7"/>
  <c r="J84" i="7"/>
  <c r="L84" i="7"/>
  <c r="I84" i="7"/>
  <c r="G84" i="7"/>
  <c r="N84" i="7"/>
  <c r="H84" i="7"/>
  <c r="D84" i="7"/>
  <c r="O84" i="7"/>
  <c r="K84" i="7"/>
  <c r="F84" i="7"/>
  <c r="D172" i="7"/>
  <c r="J172" i="7"/>
  <c r="M172" i="7"/>
  <c r="G172" i="7"/>
  <c r="F172" i="7"/>
  <c r="O172" i="7"/>
  <c r="L172" i="7"/>
  <c r="N172" i="7"/>
  <c r="H172" i="7"/>
  <c r="E172" i="7"/>
  <c r="I172" i="7"/>
  <c r="K172" i="7"/>
  <c r="G176" i="7"/>
  <c r="H176" i="7"/>
  <c r="D176" i="7"/>
  <c r="E176" i="7"/>
  <c r="L176" i="7"/>
  <c r="I176" i="7"/>
  <c r="J176" i="7"/>
  <c r="O176" i="7"/>
  <c r="M176" i="7"/>
  <c r="N176" i="7"/>
  <c r="F176" i="7"/>
  <c r="K176" i="7"/>
  <c r="J188" i="7"/>
  <c r="F188" i="7"/>
  <c r="I188" i="7"/>
  <c r="M188" i="7"/>
  <c r="D188" i="7"/>
  <c r="N188" i="7"/>
  <c r="K188" i="7"/>
  <c r="H188" i="7"/>
  <c r="G188" i="7"/>
  <c r="O188" i="7"/>
  <c r="L188" i="7"/>
  <c r="E188" i="7"/>
  <c r="F192" i="7"/>
  <c r="L192" i="7"/>
  <c r="E192" i="7"/>
  <c r="O192" i="7"/>
  <c r="G192" i="7"/>
  <c r="I192" i="7"/>
  <c r="M192" i="7"/>
  <c r="J192" i="7"/>
  <c r="N192" i="7"/>
  <c r="K192" i="7"/>
  <c r="D192" i="7"/>
  <c r="H192" i="7"/>
  <c r="H208" i="7"/>
  <c r="N208" i="7"/>
  <c r="E208" i="7"/>
  <c r="O208" i="7"/>
  <c r="M208" i="7"/>
  <c r="I208" i="7"/>
  <c r="J208" i="7"/>
  <c r="K208" i="7"/>
  <c r="G208" i="7"/>
  <c r="D208" i="7"/>
  <c r="F208" i="7"/>
  <c r="L208" i="7"/>
  <c r="O89" i="7"/>
  <c r="K89" i="7"/>
  <c r="I89" i="7"/>
  <c r="D89" i="7"/>
  <c r="E89" i="7"/>
  <c r="N89" i="7"/>
  <c r="H89" i="7"/>
  <c r="F89" i="7"/>
  <c r="J89" i="7"/>
  <c r="G89" i="7"/>
  <c r="L89" i="7"/>
  <c r="M89" i="7"/>
  <c r="O135" i="7"/>
  <c r="M135" i="7"/>
  <c r="H135" i="7"/>
  <c r="E135" i="7"/>
  <c r="F135" i="7"/>
  <c r="I135" i="7"/>
  <c r="D135" i="7"/>
  <c r="N135" i="7"/>
  <c r="L135" i="7"/>
  <c r="G135" i="7"/>
  <c r="J135" i="7"/>
  <c r="K135" i="7"/>
  <c r="E169" i="7"/>
  <c r="J169" i="7"/>
  <c r="G169" i="7"/>
  <c r="O169" i="7"/>
  <c r="F169" i="7"/>
  <c r="N169" i="7"/>
  <c r="D169" i="7"/>
  <c r="L169" i="7"/>
  <c r="K169" i="7"/>
  <c r="H169" i="7"/>
  <c r="I169" i="7"/>
  <c r="M169" i="7"/>
  <c r="M173" i="7"/>
  <c r="G173" i="7"/>
  <c r="J173" i="7"/>
  <c r="N173" i="7"/>
  <c r="D173" i="7"/>
  <c r="L173" i="7"/>
  <c r="E173" i="7"/>
  <c r="H173" i="7"/>
  <c r="K173" i="7"/>
  <c r="O173" i="7"/>
  <c r="F173" i="7"/>
  <c r="I173" i="7"/>
  <c r="G181" i="7"/>
  <c r="K181" i="7"/>
  <c r="D181" i="7"/>
  <c r="O181" i="7"/>
  <c r="I181" i="7"/>
  <c r="F181" i="7"/>
  <c r="H181" i="7"/>
  <c r="L181" i="7"/>
  <c r="M181" i="7"/>
  <c r="J181" i="7"/>
  <c r="N181" i="7"/>
  <c r="E181" i="7"/>
  <c r="O189" i="7"/>
  <c r="E189" i="7"/>
  <c r="M189" i="7"/>
  <c r="K189" i="7"/>
  <c r="J189" i="7"/>
  <c r="I189" i="7"/>
  <c r="D189" i="7"/>
  <c r="F189" i="7"/>
  <c r="G189" i="7"/>
  <c r="H189" i="7"/>
  <c r="L189" i="7"/>
  <c r="N189" i="7"/>
  <c r="J197" i="7"/>
  <c r="G197" i="7"/>
  <c r="H197" i="7"/>
  <c r="O197" i="7"/>
  <c r="AD197" i="7" s="1"/>
  <c r="F197" i="7"/>
  <c r="M197" i="7"/>
  <c r="D197" i="7"/>
  <c r="E197" i="7"/>
  <c r="I197" i="7"/>
  <c r="L197" i="7"/>
  <c r="N197" i="7"/>
  <c r="K197" i="7"/>
  <c r="F209" i="7"/>
  <c r="I209" i="7"/>
  <c r="K209" i="7"/>
  <c r="L209" i="7"/>
  <c r="G209" i="7"/>
  <c r="H209" i="7"/>
  <c r="O209" i="7"/>
  <c r="E209" i="7"/>
  <c r="N209" i="7"/>
  <c r="D209" i="7"/>
  <c r="J209" i="7"/>
  <c r="M209" i="7"/>
  <c r="N247" i="7"/>
  <c r="D247" i="7"/>
  <c r="I247" i="7"/>
  <c r="H247" i="7"/>
  <c r="L247" i="7"/>
  <c r="E247" i="7"/>
  <c r="M247" i="7"/>
  <c r="K247" i="7"/>
  <c r="G247" i="7"/>
  <c r="J247" i="7"/>
  <c r="O247" i="7"/>
  <c r="F247" i="7"/>
  <c r="O73" i="7"/>
  <c r="M73" i="7"/>
  <c r="G73" i="7"/>
  <c r="F73" i="7"/>
  <c r="D73" i="7"/>
  <c r="K73" i="7"/>
  <c r="I73" i="7"/>
  <c r="L73" i="7"/>
  <c r="E73" i="7"/>
  <c r="N73" i="7"/>
  <c r="J73" i="7"/>
  <c r="H73" i="7"/>
  <c r="M82" i="7"/>
  <c r="K82" i="7"/>
  <c r="L82" i="7"/>
  <c r="H82" i="7"/>
  <c r="O82" i="7"/>
  <c r="E82" i="7"/>
  <c r="F82" i="7"/>
  <c r="G82" i="7"/>
  <c r="J82" i="7"/>
  <c r="N82" i="7"/>
  <c r="D82" i="7"/>
  <c r="I82" i="7"/>
  <c r="K90" i="7"/>
  <c r="O90" i="7"/>
  <c r="E90" i="7"/>
  <c r="J90" i="7"/>
  <c r="G90" i="7"/>
  <c r="I90" i="7"/>
  <c r="F90" i="7"/>
  <c r="M90" i="7"/>
  <c r="D90" i="7"/>
  <c r="N90" i="7"/>
  <c r="L90" i="7"/>
  <c r="H90" i="7"/>
  <c r="E140" i="7"/>
  <c r="E142" i="7" s="1"/>
  <c r="G140" i="7"/>
  <c r="G142" i="7" s="1"/>
  <c r="M140" i="7"/>
  <c r="M142" i="7" s="1"/>
  <c r="L140" i="7"/>
  <c r="L142" i="7" s="1"/>
  <c r="N140" i="7"/>
  <c r="N142" i="7" s="1"/>
  <c r="H140" i="7"/>
  <c r="H142" i="7" s="1"/>
  <c r="K140" i="7"/>
  <c r="K142" i="7" s="1"/>
  <c r="F140" i="7"/>
  <c r="F142" i="7" s="1"/>
  <c r="D140" i="7"/>
  <c r="D142" i="7" s="1"/>
  <c r="J140" i="7"/>
  <c r="J142" i="7" s="1"/>
  <c r="I140" i="7"/>
  <c r="I142" i="7" s="1"/>
  <c r="O140" i="7"/>
  <c r="E170" i="7"/>
  <c r="D170" i="7"/>
  <c r="M170" i="7"/>
  <c r="H170" i="7"/>
  <c r="N170" i="7"/>
  <c r="O170" i="7"/>
  <c r="G170" i="7"/>
  <c r="F170" i="7"/>
  <c r="K170" i="7"/>
  <c r="J170" i="7"/>
  <c r="L170" i="7"/>
  <c r="I170" i="7"/>
  <c r="D174" i="7"/>
  <c r="H174" i="7"/>
  <c r="G174" i="7"/>
  <c r="E174" i="7"/>
  <c r="L174" i="7"/>
  <c r="M174" i="7"/>
  <c r="J174" i="7"/>
  <c r="O174" i="7"/>
  <c r="K174" i="7"/>
  <c r="N174" i="7"/>
  <c r="F174" i="7"/>
  <c r="I174" i="7"/>
  <c r="I182" i="7"/>
  <c r="E182" i="7"/>
  <c r="N182" i="7"/>
  <c r="H182" i="7"/>
  <c r="D182" i="7"/>
  <c r="G182" i="7"/>
  <c r="O182" i="7"/>
  <c r="K182" i="7"/>
  <c r="M182" i="7"/>
  <c r="L182" i="7"/>
  <c r="J182" i="7"/>
  <c r="F182" i="7"/>
  <c r="O190" i="7"/>
  <c r="N190" i="7"/>
  <c r="I190" i="7"/>
  <c r="M190" i="7"/>
  <c r="J190" i="7"/>
  <c r="H190" i="7"/>
  <c r="K190" i="7"/>
  <c r="D190" i="7"/>
  <c r="L190" i="7"/>
  <c r="F190" i="7"/>
  <c r="G190" i="7"/>
  <c r="E190" i="7"/>
  <c r="O210" i="7"/>
  <c r="F210" i="7"/>
  <c r="E210" i="7"/>
  <c r="K210" i="7"/>
  <c r="M210" i="7"/>
  <c r="I210" i="7"/>
  <c r="L210" i="7"/>
  <c r="G210" i="7"/>
  <c r="J210" i="7"/>
  <c r="N210" i="7"/>
  <c r="H210" i="7"/>
  <c r="D210" i="7"/>
  <c r="L248" i="7"/>
  <c r="G248" i="7"/>
  <c r="K248" i="7"/>
  <c r="O248" i="7"/>
  <c r="F248" i="7"/>
  <c r="M248" i="7"/>
  <c r="H248" i="7"/>
  <c r="E248" i="7"/>
  <c r="I248" i="7"/>
  <c r="D248" i="7"/>
  <c r="J248" i="7"/>
  <c r="N248" i="7"/>
  <c r="J75" i="7"/>
  <c r="I75" i="7"/>
  <c r="K75" i="7"/>
  <c r="G75" i="7"/>
  <c r="N75" i="7"/>
  <c r="H75" i="7"/>
  <c r="D75" i="7"/>
  <c r="M75" i="7"/>
  <c r="F75" i="7"/>
  <c r="O75" i="7"/>
  <c r="L75" i="7"/>
  <c r="E75" i="7"/>
  <c r="O83" i="7"/>
  <c r="J83" i="7"/>
  <c r="N83" i="7"/>
  <c r="H83" i="7"/>
  <c r="G83" i="7"/>
  <c r="K83" i="7"/>
  <c r="D83" i="7"/>
  <c r="L83" i="7"/>
  <c r="M83" i="7"/>
  <c r="E83" i="7"/>
  <c r="I83" i="7"/>
  <c r="F83" i="7"/>
  <c r="D171" i="7"/>
  <c r="G171" i="7"/>
  <c r="K171" i="7"/>
  <c r="I171" i="7"/>
  <c r="M171" i="7"/>
  <c r="E171" i="7"/>
  <c r="L171" i="7"/>
  <c r="N171" i="7"/>
  <c r="F171" i="7"/>
  <c r="O171" i="7"/>
  <c r="J171" i="7"/>
  <c r="H171" i="7"/>
  <c r="D175" i="7"/>
  <c r="E175" i="7"/>
  <c r="I175" i="7"/>
  <c r="G175" i="7"/>
  <c r="F175" i="7"/>
  <c r="J175" i="7"/>
  <c r="M175" i="7"/>
  <c r="K175" i="7"/>
  <c r="L175" i="7"/>
  <c r="O175" i="7"/>
  <c r="N175" i="7"/>
  <c r="H175" i="7"/>
  <c r="O187" i="7"/>
  <c r="N187" i="7"/>
  <c r="E187" i="7"/>
  <c r="J187" i="7"/>
  <c r="K187" i="7"/>
  <c r="I187" i="7"/>
  <c r="D187" i="7"/>
  <c r="G187" i="7"/>
  <c r="F187" i="7"/>
  <c r="L187" i="7"/>
  <c r="H187" i="7"/>
  <c r="M187" i="7"/>
  <c r="L191" i="7"/>
  <c r="M191" i="7"/>
  <c r="E191" i="7"/>
  <c r="O191" i="7"/>
  <c r="I191" i="7"/>
  <c r="J191" i="7"/>
  <c r="H191" i="7"/>
  <c r="F191" i="7"/>
  <c r="G191" i="7"/>
  <c r="D191" i="7"/>
  <c r="K191" i="7"/>
  <c r="N191" i="7"/>
  <c r="H207" i="7"/>
  <c r="H213" i="7" s="1"/>
  <c r="E207" i="7"/>
  <c r="E213" i="7" s="1"/>
  <c r="N207" i="7"/>
  <c r="N213" i="7" s="1"/>
  <c r="O207" i="7"/>
  <c r="O213" i="7" s="1"/>
  <c r="K207" i="7"/>
  <c r="K213" i="7" s="1"/>
  <c r="M207" i="7"/>
  <c r="M213" i="7" s="1"/>
  <c r="L207" i="7"/>
  <c r="L213" i="7" s="1"/>
  <c r="G207" i="7"/>
  <c r="G213" i="7" s="1"/>
  <c r="J207" i="7"/>
  <c r="J213" i="7" s="1"/>
  <c r="D207" i="7"/>
  <c r="D213" i="7" s="1"/>
  <c r="F207" i="7"/>
  <c r="F213" i="7" s="1"/>
  <c r="I207" i="7"/>
  <c r="I213" i="7" s="1"/>
  <c r="D244" i="7"/>
  <c r="E244" i="7" s="1"/>
  <c r="F244" i="7" s="1"/>
  <c r="G244" i="7" s="1"/>
  <c r="H244" i="7" s="1"/>
  <c r="I244" i="7" s="1"/>
  <c r="J244" i="7" s="1"/>
  <c r="K244" i="7" s="1"/>
  <c r="L244" i="7" s="1"/>
  <c r="M244" i="7" s="1"/>
  <c r="N244" i="7" s="1"/>
  <c r="F249" i="7"/>
  <c r="O249" i="7"/>
  <c r="K249" i="7"/>
  <c r="D249" i="7"/>
  <c r="J249" i="7"/>
  <c r="I249" i="7"/>
  <c r="N249" i="7"/>
  <c r="L249" i="7"/>
  <c r="E249" i="7"/>
  <c r="M249" i="7"/>
  <c r="H249" i="7"/>
  <c r="G249" i="7"/>
  <c r="AF197" i="7"/>
  <c r="AB197" i="7"/>
  <c r="AC197" i="7"/>
  <c r="AE197" i="7"/>
  <c r="AB219" i="7"/>
  <c r="AG197" i="7"/>
  <c r="AF219" i="7"/>
  <c r="AC223" i="7"/>
  <c r="AC219" i="7"/>
  <c r="AG219" i="7"/>
  <c r="AD223" i="7"/>
  <c r="AD219" i="7"/>
  <c r="P223" i="7"/>
  <c r="Q223" i="7" s="1"/>
  <c r="X223" i="7" s="1"/>
  <c r="AE223" i="7"/>
  <c r="P219" i="7"/>
  <c r="Q219" i="7" s="1"/>
  <c r="AB223" i="7"/>
  <c r="D101" i="7"/>
  <c r="E101" i="7" s="1"/>
  <c r="F101" i="7" s="1"/>
  <c r="G101" i="7" s="1"/>
  <c r="H101" i="7" s="1"/>
  <c r="I101" i="7" s="1"/>
  <c r="J101" i="7" s="1"/>
  <c r="K101" i="7" s="1"/>
  <c r="L101" i="7" s="1"/>
  <c r="M101" i="7" s="1"/>
  <c r="N101" i="7" s="1"/>
  <c r="O101" i="7" s="1"/>
  <c r="D109" i="7"/>
  <c r="E109" i="7" s="1"/>
  <c r="F109" i="7" s="1"/>
  <c r="G109" i="7" s="1"/>
  <c r="H109" i="7" s="1"/>
  <c r="I109" i="7" s="1"/>
  <c r="J109" i="7" s="1"/>
  <c r="K109" i="7" s="1"/>
  <c r="L109" i="7" s="1"/>
  <c r="M109" i="7" s="1"/>
  <c r="N109" i="7" s="1"/>
  <c r="O109" i="7" s="1"/>
  <c r="D117" i="7"/>
  <c r="E117" i="7" s="1"/>
  <c r="F117" i="7" s="1"/>
  <c r="G117" i="7" s="1"/>
  <c r="H117" i="7" s="1"/>
  <c r="I117" i="7" s="1"/>
  <c r="J117" i="7" s="1"/>
  <c r="K117" i="7" s="1"/>
  <c r="L117" i="7" s="1"/>
  <c r="M117" i="7" s="1"/>
  <c r="N117" i="7" s="1"/>
  <c r="O117" i="7" s="1"/>
  <c r="D129" i="7"/>
  <c r="E129" i="7" s="1"/>
  <c r="F129" i="7" s="1"/>
  <c r="G129" i="7" s="1"/>
  <c r="H129" i="7" s="1"/>
  <c r="I129" i="7" s="1"/>
  <c r="J129" i="7" s="1"/>
  <c r="K129" i="7" s="1"/>
  <c r="L129" i="7" s="1"/>
  <c r="M129" i="7" s="1"/>
  <c r="N129" i="7" s="1"/>
  <c r="O129" i="7" s="1"/>
  <c r="D98" i="7"/>
  <c r="E98" i="7" s="1"/>
  <c r="F98" i="7" s="1"/>
  <c r="G98" i="7" s="1"/>
  <c r="H98" i="7" s="1"/>
  <c r="I98" i="7" s="1"/>
  <c r="J98" i="7" s="1"/>
  <c r="K98" i="7" s="1"/>
  <c r="L98" i="7" s="1"/>
  <c r="M98" i="7" s="1"/>
  <c r="N98" i="7" s="1"/>
  <c r="O98" i="7" s="1"/>
  <c r="D102" i="7"/>
  <c r="E102" i="7" s="1"/>
  <c r="F102" i="7" s="1"/>
  <c r="G102" i="7" s="1"/>
  <c r="H102" i="7" s="1"/>
  <c r="I102" i="7" s="1"/>
  <c r="J102" i="7" s="1"/>
  <c r="K102" i="7" s="1"/>
  <c r="L102" i="7" s="1"/>
  <c r="M102" i="7" s="1"/>
  <c r="N102" i="7" s="1"/>
  <c r="O102" i="7" s="1"/>
  <c r="D106" i="7"/>
  <c r="E106" i="7" s="1"/>
  <c r="F106" i="7" s="1"/>
  <c r="G106" i="7" s="1"/>
  <c r="H106" i="7" s="1"/>
  <c r="I106" i="7" s="1"/>
  <c r="J106" i="7" s="1"/>
  <c r="K106" i="7" s="1"/>
  <c r="L106" i="7" s="1"/>
  <c r="M106" i="7" s="1"/>
  <c r="N106" i="7" s="1"/>
  <c r="O106" i="7" s="1"/>
  <c r="D110" i="7"/>
  <c r="E110" i="7" s="1"/>
  <c r="F110" i="7" s="1"/>
  <c r="G110" i="7" s="1"/>
  <c r="H110" i="7" s="1"/>
  <c r="I110" i="7" s="1"/>
  <c r="J110" i="7" s="1"/>
  <c r="K110" i="7" s="1"/>
  <c r="L110" i="7" s="1"/>
  <c r="M110" i="7" s="1"/>
  <c r="N110" i="7" s="1"/>
  <c r="O110" i="7" s="1"/>
  <c r="D114" i="7"/>
  <c r="E114" i="7" s="1"/>
  <c r="F114" i="7" s="1"/>
  <c r="G114" i="7" s="1"/>
  <c r="H114" i="7" s="1"/>
  <c r="I114" i="7" s="1"/>
  <c r="J114" i="7" s="1"/>
  <c r="K114" i="7" s="1"/>
  <c r="L114" i="7" s="1"/>
  <c r="M114" i="7" s="1"/>
  <c r="N114" i="7" s="1"/>
  <c r="O114" i="7" s="1"/>
  <c r="D118" i="7"/>
  <c r="E118" i="7" s="1"/>
  <c r="F118" i="7" s="1"/>
  <c r="G118" i="7" s="1"/>
  <c r="H118" i="7" s="1"/>
  <c r="I118" i="7" s="1"/>
  <c r="J118" i="7" s="1"/>
  <c r="K118" i="7" s="1"/>
  <c r="L118" i="7" s="1"/>
  <c r="M118" i="7" s="1"/>
  <c r="N118" i="7" s="1"/>
  <c r="O118" i="7" s="1"/>
  <c r="D122" i="7"/>
  <c r="E122" i="7" s="1"/>
  <c r="F122" i="7" s="1"/>
  <c r="G122" i="7" s="1"/>
  <c r="H122" i="7" s="1"/>
  <c r="I122" i="7" s="1"/>
  <c r="J122" i="7" s="1"/>
  <c r="K122" i="7" s="1"/>
  <c r="L122" i="7" s="1"/>
  <c r="M122" i="7" s="1"/>
  <c r="N122" i="7" s="1"/>
  <c r="O122" i="7" s="1"/>
  <c r="D126" i="7"/>
  <c r="E126" i="7" s="1"/>
  <c r="F126" i="7" s="1"/>
  <c r="G126" i="7" s="1"/>
  <c r="H126" i="7" s="1"/>
  <c r="I126" i="7" s="1"/>
  <c r="J126" i="7" s="1"/>
  <c r="K126" i="7" s="1"/>
  <c r="L126" i="7" s="1"/>
  <c r="M126" i="7" s="1"/>
  <c r="N126" i="7" s="1"/>
  <c r="O126" i="7" s="1"/>
  <c r="C265" i="7"/>
  <c r="D261" i="7"/>
  <c r="D113" i="7"/>
  <c r="E113" i="7" s="1"/>
  <c r="F113" i="7" s="1"/>
  <c r="G113" i="7" s="1"/>
  <c r="H113" i="7" s="1"/>
  <c r="I113" i="7" s="1"/>
  <c r="J113" i="7" s="1"/>
  <c r="K113" i="7" s="1"/>
  <c r="L113" i="7" s="1"/>
  <c r="M113" i="7" s="1"/>
  <c r="N113" i="7" s="1"/>
  <c r="O113" i="7" s="1"/>
  <c r="D125" i="7"/>
  <c r="E125" i="7" s="1"/>
  <c r="F125" i="7" s="1"/>
  <c r="G125" i="7" s="1"/>
  <c r="H125" i="7" s="1"/>
  <c r="I125" i="7" s="1"/>
  <c r="J125" i="7" s="1"/>
  <c r="K125" i="7" s="1"/>
  <c r="L125" i="7" s="1"/>
  <c r="M125" i="7" s="1"/>
  <c r="N125" i="7" s="1"/>
  <c r="O125" i="7" s="1"/>
  <c r="D103" i="7"/>
  <c r="E103" i="7" s="1"/>
  <c r="F103" i="7" s="1"/>
  <c r="G103" i="7" s="1"/>
  <c r="H103" i="7" s="1"/>
  <c r="I103" i="7" s="1"/>
  <c r="J103" i="7" s="1"/>
  <c r="K103" i="7" s="1"/>
  <c r="L103" i="7" s="1"/>
  <c r="M103" i="7" s="1"/>
  <c r="N103" i="7" s="1"/>
  <c r="O103" i="7" s="1"/>
  <c r="D107" i="7"/>
  <c r="E107" i="7" s="1"/>
  <c r="F107" i="7" s="1"/>
  <c r="G107" i="7" s="1"/>
  <c r="H107" i="7" s="1"/>
  <c r="I107" i="7" s="1"/>
  <c r="J107" i="7" s="1"/>
  <c r="K107" i="7" s="1"/>
  <c r="L107" i="7" s="1"/>
  <c r="M107" i="7" s="1"/>
  <c r="N107" i="7" s="1"/>
  <c r="O107" i="7" s="1"/>
  <c r="D111" i="7"/>
  <c r="E111" i="7" s="1"/>
  <c r="F111" i="7" s="1"/>
  <c r="G111" i="7" s="1"/>
  <c r="H111" i="7" s="1"/>
  <c r="I111" i="7" s="1"/>
  <c r="J111" i="7" s="1"/>
  <c r="K111" i="7" s="1"/>
  <c r="L111" i="7" s="1"/>
  <c r="M111" i="7" s="1"/>
  <c r="N111" i="7" s="1"/>
  <c r="O111" i="7" s="1"/>
  <c r="D115" i="7"/>
  <c r="E115" i="7" s="1"/>
  <c r="F115" i="7" s="1"/>
  <c r="G115" i="7" s="1"/>
  <c r="H115" i="7" s="1"/>
  <c r="I115" i="7" s="1"/>
  <c r="J115" i="7" s="1"/>
  <c r="K115" i="7" s="1"/>
  <c r="L115" i="7" s="1"/>
  <c r="M115" i="7" s="1"/>
  <c r="N115" i="7" s="1"/>
  <c r="O115" i="7" s="1"/>
  <c r="D119" i="7"/>
  <c r="E119" i="7" s="1"/>
  <c r="F119" i="7" s="1"/>
  <c r="G119" i="7" s="1"/>
  <c r="H119" i="7" s="1"/>
  <c r="I119" i="7" s="1"/>
  <c r="J119" i="7" s="1"/>
  <c r="K119" i="7" s="1"/>
  <c r="L119" i="7" s="1"/>
  <c r="M119" i="7" s="1"/>
  <c r="N119" i="7" s="1"/>
  <c r="O119" i="7" s="1"/>
  <c r="D123" i="7"/>
  <c r="E123" i="7" s="1"/>
  <c r="F123" i="7" s="1"/>
  <c r="G123" i="7" s="1"/>
  <c r="H123" i="7" s="1"/>
  <c r="I123" i="7" s="1"/>
  <c r="J123" i="7" s="1"/>
  <c r="K123" i="7" s="1"/>
  <c r="L123" i="7" s="1"/>
  <c r="M123" i="7" s="1"/>
  <c r="N123" i="7" s="1"/>
  <c r="O123" i="7" s="1"/>
  <c r="D127" i="7"/>
  <c r="E127" i="7" s="1"/>
  <c r="F127" i="7" s="1"/>
  <c r="G127" i="7" s="1"/>
  <c r="H127" i="7" s="1"/>
  <c r="I127" i="7" s="1"/>
  <c r="J127" i="7" s="1"/>
  <c r="K127" i="7" s="1"/>
  <c r="L127" i="7" s="1"/>
  <c r="M127" i="7" s="1"/>
  <c r="N127" i="7" s="1"/>
  <c r="O127" i="7" s="1"/>
  <c r="X140" i="7"/>
  <c r="AD170" i="7"/>
  <c r="D262" i="7"/>
  <c r="E262" i="7" s="1"/>
  <c r="F262" i="7" s="1"/>
  <c r="G262" i="7" s="1"/>
  <c r="H262" i="7" s="1"/>
  <c r="I262" i="7" s="1"/>
  <c r="J262" i="7" s="1"/>
  <c r="K262" i="7" s="1"/>
  <c r="L262" i="7" s="1"/>
  <c r="M262" i="7" s="1"/>
  <c r="N262" i="7" s="1"/>
  <c r="O262" i="7" s="1"/>
  <c r="P262" i="7" s="1"/>
  <c r="Q262" i="7" s="1"/>
  <c r="D97" i="7"/>
  <c r="E97" i="7" s="1"/>
  <c r="F97" i="7" s="1"/>
  <c r="G97" i="7" s="1"/>
  <c r="H97" i="7" s="1"/>
  <c r="I97" i="7" s="1"/>
  <c r="J97" i="7" s="1"/>
  <c r="K97" i="7" s="1"/>
  <c r="L97" i="7" s="1"/>
  <c r="M97" i="7" s="1"/>
  <c r="N97" i="7" s="1"/>
  <c r="O97" i="7" s="1"/>
  <c r="D105" i="7"/>
  <c r="E105" i="7" s="1"/>
  <c r="F105" i="7" s="1"/>
  <c r="G105" i="7" s="1"/>
  <c r="H105" i="7" s="1"/>
  <c r="I105" i="7" s="1"/>
  <c r="J105" i="7" s="1"/>
  <c r="K105" i="7" s="1"/>
  <c r="L105" i="7" s="1"/>
  <c r="M105" i="7" s="1"/>
  <c r="N105" i="7" s="1"/>
  <c r="O105" i="7" s="1"/>
  <c r="D121" i="7"/>
  <c r="E121" i="7" s="1"/>
  <c r="F121" i="7" s="1"/>
  <c r="G121" i="7" s="1"/>
  <c r="H121" i="7" s="1"/>
  <c r="I121" i="7" s="1"/>
  <c r="J121" i="7" s="1"/>
  <c r="K121" i="7" s="1"/>
  <c r="L121" i="7" s="1"/>
  <c r="M121" i="7" s="1"/>
  <c r="N121" i="7" s="1"/>
  <c r="O121" i="7" s="1"/>
  <c r="D96" i="7"/>
  <c r="D100" i="7"/>
  <c r="E100" i="7" s="1"/>
  <c r="F100" i="7" s="1"/>
  <c r="G100" i="7" s="1"/>
  <c r="H100" i="7" s="1"/>
  <c r="I100" i="7" s="1"/>
  <c r="J100" i="7" s="1"/>
  <c r="K100" i="7" s="1"/>
  <c r="L100" i="7" s="1"/>
  <c r="M100" i="7" s="1"/>
  <c r="N100" i="7" s="1"/>
  <c r="O100" i="7" s="1"/>
  <c r="D104" i="7"/>
  <c r="E104" i="7" s="1"/>
  <c r="F104" i="7" s="1"/>
  <c r="G104" i="7" s="1"/>
  <c r="H104" i="7" s="1"/>
  <c r="I104" i="7" s="1"/>
  <c r="J104" i="7" s="1"/>
  <c r="K104" i="7" s="1"/>
  <c r="L104" i="7" s="1"/>
  <c r="M104" i="7" s="1"/>
  <c r="N104" i="7" s="1"/>
  <c r="O104" i="7" s="1"/>
  <c r="D108" i="7"/>
  <c r="E108" i="7" s="1"/>
  <c r="F108" i="7" s="1"/>
  <c r="G108" i="7" s="1"/>
  <c r="H108" i="7" s="1"/>
  <c r="I108" i="7" s="1"/>
  <c r="J108" i="7" s="1"/>
  <c r="K108" i="7" s="1"/>
  <c r="L108" i="7" s="1"/>
  <c r="M108" i="7" s="1"/>
  <c r="N108" i="7" s="1"/>
  <c r="O108" i="7" s="1"/>
  <c r="D112" i="7"/>
  <c r="E112" i="7" s="1"/>
  <c r="F112" i="7" s="1"/>
  <c r="G112" i="7" s="1"/>
  <c r="H112" i="7" s="1"/>
  <c r="I112" i="7" s="1"/>
  <c r="J112" i="7" s="1"/>
  <c r="K112" i="7" s="1"/>
  <c r="L112" i="7" s="1"/>
  <c r="M112" i="7" s="1"/>
  <c r="N112" i="7" s="1"/>
  <c r="O112" i="7" s="1"/>
  <c r="D116" i="7"/>
  <c r="E116" i="7" s="1"/>
  <c r="F116" i="7" s="1"/>
  <c r="G116" i="7" s="1"/>
  <c r="H116" i="7" s="1"/>
  <c r="I116" i="7" s="1"/>
  <c r="J116" i="7" s="1"/>
  <c r="K116" i="7" s="1"/>
  <c r="L116" i="7" s="1"/>
  <c r="M116" i="7" s="1"/>
  <c r="N116" i="7" s="1"/>
  <c r="O116" i="7" s="1"/>
  <c r="D120" i="7"/>
  <c r="E120" i="7" s="1"/>
  <c r="F120" i="7" s="1"/>
  <c r="G120" i="7" s="1"/>
  <c r="H120" i="7" s="1"/>
  <c r="I120" i="7" s="1"/>
  <c r="J120" i="7" s="1"/>
  <c r="K120" i="7" s="1"/>
  <c r="L120" i="7" s="1"/>
  <c r="M120" i="7" s="1"/>
  <c r="N120" i="7" s="1"/>
  <c r="O120" i="7" s="1"/>
  <c r="D124" i="7"/>
  <c r="E124" i="7" s="1"/>
  <c r="F124" i="7" s="1"/>
  <c r="G124" i="7" s="1"/>
  <c r="H124" i="7" s="1"/>
  <c r="I124" i="7" s="1"/>
  <c r="J124" i="7" s="1"/>
  <c r="K124" i="7" s="1"/>
  <c r="L124" i="7" s="1"/>
  <c r="M124" i="7" s="1"/>
  <c r="N124" i="7" s="1"/>
  <c r="O124" i="7" s="1"/>
  <c r="D128" i="7"/>
  <c r="E128" i="7" s="1"/>
  <c r="F128" i="7" s="1"/>
  <c r="G128" i="7" s="1"/>
  <c r="H128" i="7" s="1"/>
  <c r="I128" i="7" s="1"/>
  <c r="J128" i="7" s="1"/>
  <c r="K128" i="7" s="1"/>
  <c r="L128" i="7" s="1"/>
  <c r="M128" i="7" s="1"/>
  <c r="N128" i="7" s="1"/>
  <c r="O128" i="7" s="1"/>
  <c r="C92" i="7"/>
  <c r="AF170" i="7"/>
  <c r="V170" i="7"/>
  <c r="D246" i="7"/>
  <c r="E246" i="7" s="1"/>
  <c r="F246" i="7" s="1"/>
  <c r="G246" i="7" s="1"/>
  <c r="H246" i="7" s="1"/>
  <c r="I246" i="7" s="1"/>
  <c r="J246" i="7" s="1"/>
  <c r="K246" i="7" s="1"/>
  <c r="L246" i="7" s="1"/>
  <c r="M246" i="7" s="1"/>
  <c r="N246" i="7" s="1"/>
  <c r="O246" i="7" s="1"/>
  <c r="D228" i="7"/>
  <c r="E228" i="7" s="1"/>
  <c r="F228" i="7" s="1"/>
  <c r="G228" i="7" s="1"/>
  <c r="H228" i="7" s="1"/>
  <c r="I228" i="7" s="1"/>
  <c r="J228" i="7" s="1"/>
  <c r="K228" i="7" s="1"/>
  <c r="L228" i="7" s="1"/>
  <c r="M228" i="7" s="1"/>
  <c r="N228" i="7" s="1"/>
  <c r="O228" i="7" s="1"/>
  <c r="D221" i="7"/>
  <c r="E221" i="7" s="1"/>
  <c r="F221" i="7" s="1"/>
  <c r="G221" i="7" s="1"/>
  <c r="H221" i="7" s="1"/>
  <c r="I221" i="7" s="1"/>
  <c r="J221" i="7" s="1"/>
  <c r="K221" i="7" s="1"/>
  <c r="L221" i="7" s="1"/>
  <c r="M221" i="7" s="1"/>
  <c r="N221" i="7" s="1"/>
  <c r="O221" i="7" s="1"/>
  <c r="D229" i="7"/>
  <c r="E229" i="7" s="1"/>
  <c r="F229" i="7" s="1"/>
  <c r="G229" i="7" s="1"/>
  <c r="H229" i="7" s="1"/>
  <c r="I229" i="7" s="1"/>
  <c r="J229" i="7" s="1"/>
  <c r="K229" i="7" s="1"/>
  <c r="L229" i="7" s="1"/>
  <c r="M229" i="7" s="1"/>
  <c r="N229" i="7" s="1"/>
  <c r="O229" i="7" s="1"/>
  <c r="D224" i="7"/>
  <c r="E224" i="7" s="1"/>
  <c r="F224" i="7" s="1"/>
  <c r="G224" i="7" s="1"/>
  <c r="H224" i="7" s="1"/>
  <c r="I224" i="7" s="1"/>
  <c r="J224" i="7" s="1"/>
  <c r="K224" i="7" s="1"/>
  <c r="L224" i="7" s="1"/>
  <c r="M224" i="7" s="1"/>
  <c r="N224" i="7" s="1"/>
  <c r="O224" i="7" s="1"/>
  <c r="D222" i="7"/>
  <c r="E222" i="7" s="1"/>
  <c r="F222" i="7" s="1"/>
  <c r="G222" i="7" s="1"/>
  <c r="H222" i="7" s="1"/>
  <c r="I222" i="7" s="1"/>
  <c r="J222" i="7" s="1"/>
  <c r="K222" i="7" s="1"/>
  <c r="L222" i="7" s="1"/>
  <c r="M222" i="7" s="1"/>
  <c r="N222" i="7" s="1"/>
  <c r="O222" i="7" s="1"/>
  <c r="D226" i="7"/>
  <c r="E226" i="7" s="1"/>
  <c r="F226" i="7" s="1"/>
  <c r="G226" i="7" s="1"/>
  <c r="H226" i="7" s="1"/>
  <c r="I226" i="7" s="1"/>
  <c r="J226" i="7" s="1"/>
  <c r="K226" i="7" s="1"/>
  <c r="L226" i="7" s="1"/>
  <c r="M226" i="7" s="1"/>
  <c r="N226" i="7" s="1"/>
  <c r="O226" i="7" s="1"/>
  <c r="D230" i="7"/>
  <c r="E230" i="7" s="1"/>
  <c r="F230" i="7" s="1"/>
  <c r="G230" i="7" s="1"/>
  <c r="H230" i="7" s="1"/>
  <c r="I230" i="7" s="1"/>
  <c r="J230" i="7" s="1"/>
  <c r="K230" i="7" s="1"/>
  <c r="L230" i="7" s="1"/>
  <c r="M230" i="7" s="1"/>
  <c r="N230" i="7" s="1"/>
  <c r="O230" i="7" s="1"/>
  <c r="D220" i="7"/>
  <c r="E220" i="7" s="1"/>
  <c r="F220" i="7" s="1"/>
  <c r="G220" i="7" s="1"/>
  <c r="H220" i="7" s="1"/>
  <c r="I220" i="7" s="1"/>
  <c r="J220" i="7" s="1"/>
  <c r="K220" i="7" s="1"/>
  <c r="L220" i="7" s="1"/>
  <c r="M220" i="7" s="1"/>
  <c r="N220" i="7" s="1"/>
  <c r="O220" i="7" s="1"/>
  <c r="D232" i="7"/>
  <c r="E232" i="7" s="1"/>
  <c r="F232" i="7" s="1"/>
  <c r="G232" i="7" s="1"/>
  <c r="H232" i="7" s="1"/>
  <c r="I232" i="7" s="1"/>
  <c r="J232" i="7" s="1"/>
  <c r="K232" i="7" s="1"/>
  <c r="L232" i="7" s="1"/>
  <c r="M232" i="7" s="1"/>
  <c r="N232" i="7" s="1"/>
  <c r="O232" i="7" s="1"/>
  <c r="D227" i="7"/>
  <c r="E227" i="7" s="1"/>
  <c r="F227" i="7" s="1"/>
  <c r="G227" i="7" s="1"/>
  <c r="H227" i="7" s="1"/>
  <c r="I227" i="7" s="1"/>
  <c r="J227" i="7" s="1"/>
  <c r="K227" i="7" s="1"/>
  <c r="L227" i="7" s="1"/>
  <c r="M227" i="7" s="1"/>
  <c r="N227" i="7" s="1"/>
  <c r="O227" i="7" s="1"/>
  <c r="D231" i="7"/>
  <c r="E231" i="7" s="1"/>
  <c r="F231" i="7" s="1"/>
  <c r="G231" i="7" s="1"/>
  <c r="H231" i="7" s="1"/>
  <c r="I231" i="7" s="1"/>
  <c r="J231" i="7" s="1"/>
  <c r="K231" i="7" s="1"/>
  <c r="L231" i="7" s="1"/>
  <c r="M231" i="7" s="1"/>
  <c r="N231" i="7" s="1"/>
  <c r="O231" i="7" s="1"/>
  <c r="C184" i="7"/>
  <c r="C131" i="7"/>
  <c r="C157" i="7"/>
  <c r="C30" i="7"/>
  <c r="C66" i="7"/>
  <c r="C68" i="7" s="1"/>
  <c r="C178" i="7"/>
  <c r="C194" i="7"/>
  <c r="C86" i="7"/>
  <c r="C235" i="7"/>
  <c r="U233" i="7"/>
  <c r="X176" i="7"/>
  <c r="U176" i="7"/>
  <c r="Y176" i="7"/>
  <c r="W172" i="7"/>
  <c r="X172" i="7"/>
  <c r="T172" i="7"/>
  <c r="V154" i="7"/>
  <c r="U154" i="7"/>
  <c r="Y154" i="7"/>
  <c r="P157" i="7"/>
  <c r="P95" i="7"/>
  <c r="P61" i="7"/>
  <c r="Q61" i="7" s="1"/>
  <c r="Q59" i="7"/>
  <c r="P19" i="7"/>
  <c r="Q19" i="7" s="1"/>
  <c r="Q16" i="7"/>
  <c r="Q33" i="7"/>
  <c r="Q35" i="7" s="1"/>
  <c r="R35" i="7" s="1"/>
  <c r="P35" i="7"/>
  <c r="C35" i="7"/>
  <c r="X155" i="7"/>
  <c r="V155" i="7"/>
  <c r="W155" i="7"/>
  <c r="U155" i="7"/>
  <c r="T155" i="7"/>
  <c r="V206" i="7"/>
  <c r="Y206" i="7"/>
  <c r="U206" i="7"/>
  <c r="X206" i="7"/>
  <c r="T206" i="7"/>
  <c r="Q157" i="7"/>
  <c r="W154" i="7"/>
  <c r="W219" i="7"/>
  <c r="V219" i="7"/>
  <c r="Y219" i="7"/>
  <c r="U219" i="7"/>
  <c r="X219" i="7"/>
  <c r="T219" i="7"/>
  <c r="Y225" i="7"/>
  <c r="U225" i="7"/>
  <c r="X225" i="7"/>
  <c r="T225" i="7"/>
  <c r="W225" i="7"/>
  <c r="V225" i="7"/>
  <c r="T154" i="7"/>
  <c r="X154" i="7"/>
  <c r="Y170" i="7"/>
  <c r="U170" i="7"/>
  <c r="X170" i="7"/>
  <c r="T170" i="7"/>
  <c r="W170" i="7"/>
  <c r="V171" i="7"/>
  <c r="Y171" i="7"/>
  <c r="U171" i="7"/>
  <c r="X171" i="7"/>
  <c r="T171" i="7"/>
  <c r="U172" i="7"/>
  <c r="Y172" i="7"/>
  <c r="V176" i="7"/>
  <c r="U223" i="7"/>
  <c r="X233" i="7"/>
  <c r="T233" i="7"/>
  <c r="W233" i="7"/>
  <c r="V233" i="7"/>
  <c r="X254" i="7"/>
  <c r="T254" i="7"/>
  <c r="W254" i="7"/>
  <c r="V254" i="7"/>
  <c r="V172" i="7"/>
  <c r="W176" i="7"/>
  <c r="U254" i="7"/>
  <c r="T176" i="7"/>
  <c r="Y254" i="7"/>
  <c r="C45" i="12"/>
  <c r="C45" i="13" s="1"/>
  <c r="D45" i="12"/>
  <c r="C42" i="12"/>
  <c r="D42" i="12" s="1"/>
  <c r="E42" i="12" s="1"/>
  <c r="F42" i="12" s="1"/>
  <c r="G42" i="12" s="1"/>
  <c r="H42" i="12" s="1"/>
  <c r="I42" i="12" s="1"/>
  <c r="J42" i="12" s="1"/>
  <c r="K42" i="12" s="1"/>
  <c r="L42" i="12" s="1"/>
  <c r="M42" i="12" s="1"/>
  <c r="N42" i="12" s="1"/>
  <c r="C43" i="12"/>
  <c r="D43" i="12" s="1"/>
  <c r="E43" i="12" s="1"/>
  <c r="F43" i="12" s="1"/>
  <c r="G43" i="12" s="1"/>
  <c r="H43" i="12" s="1"/>
  <c r="I43" i="12" s="1"/>
  <c r="J43" i="12" s="1"/>
  <c r="K43" i="12" s="1"/>
  <c r="L43" i="12" s="1"/>
  <c r="M43" i="12" s="1"/>
  <c r="N43" i="12" s="1"/>
  <c r="C44" i="12"/>
  <c r="D44" i="12" s="1"/>
  <c r="E44" i="12" s="1"/>
  <c r="F44" i="12" s="1"/>
  <c r="G44" i="12" s="1"/>
  <c r="H44" i="12" s="1"/>
  <c r="I44" i="12" s="1"/>
  <c r="J44" i="12" s="1"/>
  <c r="K44" i="12" s="1"/>
  <c r="L44" i="12" s="1"/>
  <c r="M44" i="12" s="1"/>
  <c r="N44" i="12" s="1"/>
  <c r="C46" i="12"/>
  <c r="D46" i="12" s="1"/>
  <c r="E46" i="12" s="1"/>
  <c r="F46" i="12" s="1"/>
  <c r="G46" i="12" s="1"/>
  <c r="H46" i="12" s="1"/>
  <c r="I46" i="12" s="1"/>
  <c r="J46" i="12" s="1"/>
  <c r="K46" i="12" s="1"/>
  <c r="L46" i="12" s="1"/>
  <c r="M46" i="12" s="1"/>
  <c r="N46" i="12" s="1"/>
  <c r="C47" i="12"/>
  <c r="D47" i="12" s="1"/>
  <c r="E47" i="12" s="1"/>
  <c r="F47" i="12" s="1"/>
  <c r="G47" i="12" s="1"/>
  <c r="H47" i="12" s="1"/>
  <c r="I47" i="12" s="1"/>
  <c r="J47" i="12" s="1"/>
  <c r="K47" i="12" s="1"/>
  <c r="L47" i="12" s="1"/>
  <c r="M47" i="12" s="1"/>
  <c r="N47" i="12" s="1"/>
  <c r="C48" i="12"/>
  <c r="D48" i="12" s="1"/>
  <c r="E48" i="12" s="1"/>
  <c r="F48" i="12" s="1"/>
  <c r="G48" i="12" s="1"/>
  <c r="H48" i="12" s="1"/>
  <c r="I48" i="12" s="1"/>
  <c r="J48" i="12" s="1"/>
  <c r="K48" i="12" s="1"/>
  <c r="L48" i="12" s="1"/>
  <c r="M48" i="12" s="1"/>
  <c r="N48" i="12" s="1"/>
  <c r="C49" i="12"/>
  <c r="C50" i="12"/>
  <c r="D50" i="12" s="1"/>
  <c r="E50" i="12" s="1"/>
  <c r="F50" i="12" s="1"/>
  <c r="G50" i="12" s="1"/>
  <c r="H50" i="12" s="1"/>
  <c r="I50" i="12" s="1"/>
  <c r="J50" i="12" s="1"/>
  <c r="K50" i="12" s="1"/>
  <c r="L50" i="12" s="1"/>
  <c r="M50" i="12" s="1"/>
  <c r="N50" i="12" s="1"/>
  <c r="C52" i="12"/>
  <c r="C52" i="13" s="1"/>
  <c r="D52" i="13" s="1"/>
  <c r="E52" i="13" s="1"/>
  <c r="F52" i="13" s="1"/>
  <c r="G52" i="13" s="1"/>
  <c r="H52" i="13" s="1"/>
  <c r="I52" i="13" s="1"/>
  <c r="J52" i="13" s="1"/>
  <c r="K52" i="13" s="1"/>
  <c r="L52" i="13" s="1"/>
  <c r="M52" i="13" s="1"/>
  <c r="N52" i="13" s="1"/>
  <c r="C53" i="12"/>
  <c r="C53" i="13" s="1"/>
  <c r="D53" i="13" s="1"/>
  <c r="E53" i="13" s="1"/>
  <c r="F53" i="13" s="1"/>
  <c r="G53" i="13" s="1"/>
  <c r="H53" i="13" s="1"/>
  <c r="I53" i="13" s="1"/>
  <c r="J53" i="13" s="1"/>
  <c r="K53" i="13" s="1"/>
  <c r="L53" i="13" s="1"/>
  <c r="M53" i="13" s="1"/>
  <c r="N53" i="13" s="1"/>
  <c r="C41" i="12"/>
  <c r="D41" i="12" s="1"/>
  <c r="E41" i="12" s="1"/>
  <c r="F41" i="12" s="1"/>
  <c r="G41" i="12" s="1"/>
  <c r="H41" i="12" s="1"/>
  <c r="I41" i="12" s="1"/>
  <c r="J41" i="12" s="1"/>
  <c r="K41" i="12" s="1"/>
  <c r="L41" i="12" s="1"/>
  <c r="M41" i="12" s="1"/>
  <c r="N41" i="12" s="1"/>
  <c r="B25" i="12"/>
  <c r="C25" i="12" s="1"/>
  <c r="D25" i="12" s="1"/>
  <c r="E25" i="12" s="1"/>
  <c r="B26" i="12"/>
  <c r="C26" i="12" s="1"/>
  <c r="D26" i="12" s="1"/>
  <c r="B27" i="12"/>
  <c r="C27" i="12" s="1"/>
  <c r="D27" i="12" s="1"/>
  <c r="B28" i="12"/>
  <c r="C28" i="12" s="1"/>
  <c r="B29" i="12"/>
  <c r="C29" i="12" s="1"/>
  <c r="B30" i="12"/>
  <c r="C30" i="12" s="1"/>
  <c r="D30" i="12" s="1"/>
  <c r="E30" i="12" s="1"/>
  <c r="B31" i="12"/>
  <c r="C31" i="12" s="1"/>
  <c r="D31" i="12" s="1"/>
  <c r="B32" i="12"/>
  <c r="B33" i="12"/>
  <c r="C33" i="12" s="1"/>
  <c r="D33" i="12" s="1"/>
  <c r="B35" i="12"/>
  <c r="C35" i="12" s="1"/>
  <c r="B36" i="12"/>
  <c r="B24" i="12"/>
  <c r="C24" i="12" s="1"/>
  <c r="D24" i="12" s="1"/>
  <c r="C5" i="12"/>
  <c r="D5" i="12" s="1"/>
  <c r="E5" i="12" s="1"/>
  <c r="F5" i="12" s="1"/>
  <c r="G5" i="12" s="1"/>
  <c r="H5" i="12" s="1"/>
  <c r="I5" i="12" s="1"/>
  <c r="J5" i="12" s="1"/>
  <c r="K5" i="12" s="1"/>
  <c r="L5" i="12" s="1"/>
  <c r="M5" i="12" s="1"/>
  <c r="N5" i="12" s="1"/>
  <c r="B18" i="12"/>
  <c r="C18" i="12" s="1"/>
  <c r="D18" i="12" s="1"/>
  <c r="E18" i="12" s="1"/>
  <c r="F18" i="12" s="1"/>
  <c r="G18" i="12" s="1"/>
  <c r="H18" i="12" s="1"/>
  <c r="I18" i="12" s="1"/>
  <c r="J18" i="12" s="1"/>
  <c r="K18" i="12" s="1"/>
  <c r="L18" i="12" s="1"/>
  <c r="M18" i="12" s="1"/>
  <c r="N18" i="12" s="1"/>
  <c r="B18" i="13" s="1"/>
  <c r="C18" i="13" s="1"/>
  <c r="B19" i="12"/>
  <c r="C19" i="12" s="1"/>
  <c r="D19" i="12" s="1"/>
  <c r="E19" i="12" s="1"/>
  <c r="F19" i="12" s="1"/>
  <c r="G19" i="12" s="1"/>
  <c r="H19" i="12" s="1"/>
  <c r="I19" i="12" s="1"/>
  <c r="J19" i="12" s="1"/>
  <c r="K19" i="12" s="1"/>
  <c r="L19" i="12" s="1"/>
  <c r="M19" i="12" s="1"/>
  <c r="N19" i="12" s="1"/>
  <c r="B19" i="13" s="1"/>
  <c r="C19" i="13" s="1"/>
  <c r="B8" i="12"/>
  <c r="C8" i="12" s="1"/>
  <c r="D8" i="12" s="1"/>
  <c r="E8" i="12" s="1"/>
  <c r="F8" i="12" s="1"/>
  <c r="G8" i="12" s="1"/>
  <c r="H8" i="12" s="1"/>
  <c r="I8" i="12" s="1"/>
  <c r="J8" i="12" s="1"/>
  <c r="K8" i="12" s="1"/>
  <c r="L8" i="12" s="1"/>
  <c r="M8" i="12" s="1"/>
  <c r="N8" i="12" s="1"/>
  <c r="B8" i="13" s="1"/>
  <c r="C8" i="13" s="1"/>
  <c r="D8" i="13" s="1"/>
  <c r="E8" i="13" s="1"/>
  <c r="F8" i="13" s="1"/>
  <c r="G8" i="13" s="1"/>
  <c r="H8" i="13" s="1"/>
  <c r="I8" i="13" s="1"/>
  <c r="J8" i="13" s="1"/>
  <c r="K8" i="13" s="1"/>
  <c r="L8" i="13" s="1"/>
  <c r="M8" i="13" s="1"/>
  <c r="N8" i="13" s="1"/>
  <c r="B9" i="12"/>
  <c r="C9" i="12" s="1"/>
  <c r="D9" i="12" s="1"/>
  <c r="E9" i="12" s="1"/>
  <c r="F9" i="12" s="1"/>
  <c r="G9" i="12" s="1"/>
  <c r="H9" i="12" s="1"/>
  <c r="I9" i="12" s="1"/>
  <c r="J9" i="12" s="1"/>
  <c r="K9" i="12" s="1"/>
  <c r="L9" i="12" s="1"/>
  <c r="M9" i="12" s="1"/>
  <c r="N9" i="12" s="1"/>
  <c r="B9" i="13" s="1"/>
  <c r="C9" i="13" s="1"/>
  <c r="D9" i="13" s="1"/>
  <c r="E9" i="13" s="1"/>
  <c r="F9" i="13" s="1"/>
  <c r="G9" i="13" s="1"/>
  <c r="H9" i="13" s="1"/>
  <c r="I9" i="13" s="1"/>
  <c r="J9" i="13" s="1"/>
  <c r="K9" i="13" s="1"/>
  <c r="L9" i="13" s="1"/>
  <c r="M9" i="13" s="1"/>
  <c r="N9" i="13" s="1"/>
  <c r="B10" i="12"/>
  <c r="C10" i="12" s="1"/>
  <c r="D10" i="12" s="1"/>
  <c r="E10" i="12" s="1"/>
  <c r="F10" i="12" s="1"/>
  <c r="G10" i="12" s="1"/>
  <c r="H10" i="12" s="1"/>
  <c r="I10" i="12" s="1"/>
  <c r="J10" i="12" s="1"/>
  <c r="K10" i="12" s="1"/>
  <c r="L10" i="12" s="1"/>
  <c r="M10" i="12" s="1"/>
  <c r="N10" i="12" s="1"/>
  <c r="B10" i="13" s="1"/>
  <c r="C10" i="13" s="1"/>
  <c r="D10" i="13" s="1"/>
  <c r="E10" i="13" s="1"/>
  <c r="F10" i="13" s="1"/>
  <c r="G10" i="13" s="1"/>
  <c r="H10" i="13" s="1"/>
  <c r="I10" i="13" s="1"/>
  <c r="J10" i="13" s="1"/>
  <c r="K10" i="13" s="1"/>
  <c r="L10" i="13" s="1"/>
  <c r="M10" i="13" s="1"/>
  <c r="N10" i="13" s="1"/>
  <c r="B11" i="12"/>
  <c r="C11" i="12" s="1"/>
  <c r="D11" i="12" s="1"/>
  <c r="E11" i="12" s="1"/>
  <c r="B12" i="12"/>
  <c r="C12" i="12" s="1"/>
  <c r="D12" i="12" s="1"/>
  <c r="E12" i="12" s="1"/>
  <c r="F12" i="12" s="1"/>
  <c r="G12" i="12" s="1"/>
  <c r="H12" i="12" s="1"/>
  <c r="I12" i="12" s="1"/>
  <c r="J12" i="12" s="1"/>
  <c r="K12" i="12" s="1"/>
  <c r="L12" i="12" s="1"/>
  <c r="M12" i="12" s="1"/>
  <c r="N12" i="12" s="1"/>
  <c r="B12" i="13" s="1"/>
  <c r="C12" i="13" s="1"/>
  <c r="D12" i="13" s="1"/>
  <c r="E12" i="13" s="1"/>
  <c r="F12" i="13" s="1"/>
  <c r="G12" i="13" s="1"/>
  <c r="H12" i="13" s="1"/>
  <c r="I12" i="13" s="1"/>
  <c r="J12" i="13" s="1"/>
  <c r="K12" i="13" s="1"/>
  <c r="L12" i="13" s="1"/>
  <c r="M12" i="13" s="1"/>
  <c r="N12" i="13" s="1"/>
  <c r="B13" i="12"/>
  <c r="C13" i="12" s="1"/>
  <c r="D13" i="12" s="1"/>
  <c r="E13" i="12" s="1"/>
  <c r="F13" i="12" s="1"/>
  <c r="G13" i="12" s="1"/>
  <c r="H13" i="12" s="1"/>
  <c r="I13" i="12" s="1"/>
  <c r="J13" i="12" s="1"/>
  <c r="K13" i="12" s="1"/>
  <c r="L13" i="12" s="1"/>
  <c r="M13" i="12" s="1"/>
  <c r="N13" i="12" s="1"/>
  <c r="B13" i="13" s="1"/>
  <c r="C13" i="13" s="1"/>
  <c r="D13" i="13" s="1"/>
  <c r="E13" i="13" s="1"/>
  <c r="F13" i="13" s="1"/>
  <c r="G13" i="13" s="1"/>
  <c r="H13" i="13" s="1"/>
  <c r="I13" i="13" s="1"/>
  <c r="J13" i="13" s="1"/>
  <c r="K13" i="13" s="1"/>
  <c r="L13" i="13" s="1"/>
  <c r="M13" i="13" s="1"/>
  <c r="N13" i="13" s="1"/>
  <c r="B14" i="12"/>
  <c r="C14" i="12" s="1"/>
  <c r="D14" i="12" s="1"/>
  <c r="E14" i="12" s="1"/>
  <c r="F14" i="12" s="1"/>
  <c r="G14" i="12" s="1"/>
  <c r="H14" i="12" s="1"/>
  <c r="I14" i="12" s="1"/>
  <c r="J14" i="12" s="1"/>
  <c r="K14" i="12" s="1"/>
  <c r="L14" i="12" s="1"/>
  <c r="M14" i="12" s="1"/>
  <c r="N14" i="12" s="1"/>
  <c r="B14" i="13" s="1"/>
  <c r="C14" i="13" s="1"/>
  <c r="D14" i="13" s="1"/>
  <c r="E14" i="13" s="1"/>
  <c r="F14" i="13" s="1"/>
  <c r="G14" i="13" s="1"/>
  <c r="H14" i="13" s="1"/>
  <c r="I14" i="13" s="1"/>
  <c r="J14" i="13" s="1"/>
  <c r="K14" i="13" s="1"/>
  <c r="L14" i="13" s="1"/>
  <c r="M14" i="13" s="1"/>
  <c r="N14" i="13" s="1"/>
  <c r="B15" i="12"/>
  <c r="C15" i="12" s="1"/>
  <c r="D15" i="12" s="1"/>
  <c r="E15" i="12" s="1"/>
  <c r="F15" i="12" s="1"/>
  <c r="G15" i="12" s="1"/>
  <c r="H15" i="12" s="1"/>
  <c r="I15" i="12" s="1"/>
  <c r="J15" i="12" s="1"/>
  <c r="K15" i="12" s="1"/>
  <c r="L15" i="12" s="1"/>
  <c r="M15" i="12" s="1"/>
  <c r="N15" i="12" s="1"/>
  <c r="B15" i="13" s="1"/>
  <c r="C15" i="13" s="1"/>
  <c r="D15" i="13" s="1"/>
  <c r="E15" i="13" s="1"/>
  <c r="F15" i="13" s="1"/>
  <c r="G15" i="13" s="1"/>
  <c r="H15" i="13" s="1"/>
  <c r="I15" i="13" s="1"/>
  <c r="J15" i="13" s="1"/>
  <c r="K15" i="13" s="1"/>
  <c r="L15" i="13" s="1"/>
  <c r="M15" i="13" s="1"/>
  <c r="N15" i="13" s="1"/>
  <c r="B16" i="12"/>
  <c r="C16" i="12" s="1"/>
  <c r="D16" i="12" s="1"/>
  <c r="E16" i="12" s="1"/>
  <c r="F16" i="12" s="1"/>
  <c r="G16" i="12" s="1"/>
  <c r="H16" i="12" s="1"/>
  <c r="I16" i="12" s="1"/>
  <c r="J16" i="12" s="1"/>
  <c r="K16" i="12" s="1"/>
  <c r="L16" i="12" s="1"/>
  <c r="M16" i="12" s="1"/>
  <c r="N16" i="12" s="1"/>
  <c r="B16" i="13" s="1"/>
  <c r="C16" i="13" s="1"/>
  <c r="D16" i="13" s="1"/>
  <c r="E16" i="13" s="1"/>
  <c r="F16" i="13" s="1"/>
  <c r="G16" i="13" s="1"/>
  <c r="H16" i="13" s="1"/>
  <c r="I16" i="13" s="1"/>
  <c r="J16" i="13" s="1"/>
  <c r="K16" i="13" s="1"/>
  <c r="L16" i="13" s="1"/>
  <c r="M16" i="13" s="1"/>
  <c r="N16" i="13" s="1"/>
  <c r="B7" i="12"/>
  <c r="C7" i="12" s="1"/>
  <c r="D7" i="12" s="1"/>
  <c r="E7" i="12" s="1"/>
  <c r="F7" i="12" s="1"/>
  <c r="G7" i="12" s="1"/>
  <c r="H7" i="12" s="1"/>
  <c r="I7" i="12" s="1"/>
  <c r="J7" i="12" s="1"/>
  <c r="K7" i="12" s="1"/>
  <c r="L7" i="12" s="1"/>
  <c r="M7" i="12" s="1"/>
  <c r="N7" i="12" s="1"/>
  <c r="B7" i="13" s="1"/>
  <c r="C7" i="13" s="1"/>
  <c r="D7" i="13" s="1"/>
  <c r="E7" i="13" s="1"/>
  <c r="F7" i="13" s="1"/>
  <c r="G7" i="13" s="1"/>
  <c r="H7" i="13" s="1"/>
  <c r="I7" i="13" s="1"/>
  <c r="J7" i="13" s="1"/>
  <c r="K7" i="13" s="1"/>
  <c r="L7" i="13" s="1"/>
  <c r="M7" i="13" s="1"/>
  <c r="N7" i="13" s="1"/>
  <c r="I5" i="8"/>
  <c r="J5" i="8" s="1"/>
  <c r="K5" i="8" s="1"/>
  <c r="L5" i="8" s="1"/>
  <c r="M5" i="8" s="1"/>
  <c r="N5" i="8" s="1"/>
  <c r="O5" i="8" s="1"/>
  <c r="P5" i="8" s="1"/>
  <c r="Q5" i="8" s="1"/>
  <c r="R5" i="8" s="1"/>
  <c r="S5" i="8" s="1"/>
  <c r="D239" i="6"/>
  <c r="E239" i="6" s="1"/>
  <c r="F239" i="6" s="1"/>
  <c r="G239" i="6" s="1"/>
  <c r="H239" i="6" s="1"/>
  <c r="I239" i="6" s="1"/>
  <c r="J239" i="6" s="1"/>
  <c r="K239" i="6" s="1"/>
  <c r="L239" i="6" s="1"/>
  <c r="M239" i="6" s="1"/>
  <c r="N239" i="6" s="1"/>
  <c r="O239" i="6" s="1"/>
  <c r="C239" i="7" s="1"/>
  <c r="D238" i="6"/>
  <c r="E238" i="6" s="1"/>
  <c r="F238" i="6" s="1"/>
  <c r="P142" i="6"/>
  <c r="D149" i="6"/>
  <c r="P263" i="6"/>
  <c r="Q263" i="6" s="1"/>
  <c r="R263" i="6" s="1"/>
  <c r="P262" i="6"/>
  <c r="P261" i="6"/>
  <c r="Q261" i="6" s="1"/>
  <c r="R261" i="6" s="1"/>
  <c r="P254" i="6"/>
  <c r="Q254" i="6" s="1"/>
  <c r="R254" i="6" s="1"/>
  <c r="P246" i="6"/>
  <c r="Q246" i="6" s="1"/>
  <c r="P233" i="6"/>
  <c r="Q233" i="6" s="1"/>
  <c r="R233" i="6" s="1"/>
  <c r="P232" i="6"/>
  <c r="Q232" i="6" s="1"/>
  <c r="R232" i="6" s="1"/>
  <c r="P231" i="6"/>
  <c r="Q231" i="6" s="1"/>
  <c r="R231" i="6" s="1"/>
  <c r="P230" i="6"/>
  <c r="Q230" i="6" s="1"/>
  <c r="R230" i="6" s="1"/>
  <c r="P229" i="6"/>
  <c r="Q229" i="6" s="1"/>
  <c r="R229" i="6" s="1"/>
  <c r="P228" i="6"/>
  <c r="Q228" i="6" s="1"/>
  <c r="R228" i="6" s="1"/>
  <c r="P227" i="6"/>
  <c r="Q227" i="6" s="1"/>
  <c r="R227" i="6" s="1"/>
  <c r="P226" i="6"/>
  <c r="Q226" i="6" s="1"/>
  <c r="R226" i="6" s="1"/>
  <c r="P225" i="6"/>
  <c r="Q225" i="6" s="1"/>
  <c r="R225" i="6" s="1"/>
  <c r="P224" i="6"/>
  <c r="Q224" i="6" s="1"/>
  <c r="R224" i="6" s="1"/>
  <c r="P223" i="6"/>
  <c r="Q223" i="6" s="1"/>
  <c r="R223" i="6" s="1"/>
  <c r="P222" i="6"/>
  <c r="Q222" i="6" s="1"/>
  <c r="R222" i="6" s="1"/>
  <c r="P221" i="6"/>
  <c r="Q221" i="6" s="1"/>
  <c r="R221" i="6" s="1"/>
  <c r="P220" i="6"/>
  <c r="Q220" i="6" s="1"/>
  <c r="R220" i="6" s="1"/>
  <c r="P219" i="6"/>
  <c r="Q219" i="6" s="1"/>
  <c r="R219" i="6" s="1"/>
  <c r="P218" i="6"/>
  <c r="Q218" i="6" s="1"/>
  <c r="R218" i="6" s="1"/>
  <c r="P206" i="6"/>
  <c r="Q206" i="6" s="1"/>
  <c r="R206" i="6" s="1"/>
  <c r="P184" i="6"/>
  <c r="O265" i="6"/>
  <c r="N265" i="6"/>
  <c r="M265" i="6"/>
  <c r="L265" i="6"/>
  <c r="K265" i="6"/>
  <c r="J265" i="6"/>
  <c r="I265" i="6"/>
  <c r="H265" i="6"/>
  <c r="G265" i="6"/>
  <c r="F265" i="6"/>
  <c r="E265" i="6"/>
  <c r="D265" i="6"/>
  <c r="O251" i="6"/>
  <c r="O235" i="6"/>
  <c r="N235" i="6"/>
  <c r="M235" i="6"/>
  <c r="L235" i="6"/>
  <c r="K235" i="6"/>
  <c r="J235" i="6"/>
  <c r="I235" i="6"/>
  <c r="H235" i="6"/>
  <c r="G235" i="6"/>
  <c r="F235" i="6"/>
  <c r="E235" i="6"/>
  <c r="D235" i="6"/>
  <c r="O194" i="6"/>
  <c r="N194" i="6"/>
  <c r="M194" i="6"/>
  <c r="L194" i="6"/>
  <c r="K194" i="6"/>
  <c r="J194" i="6"/>
  <c r="I194" i="6"/>
  <c r="H194" i="6"/>
  <c r="G194" i="6"/>
  <c r="F194" i="6"/>
  <c r="E194" i="6"/>
  <c r="D194" i="6"/>
  <c r="O184" i="6"/>
  <c r="N184" i="6"/>
  <c r="M184" i="6"/>
  <c r="L184" i="6"/>
  <c r="K184" i="6"/>
  <c r="J184" i="6"/>
  <c r="I184" i="6"/>
  <c r="H184" i="6"/>
  <c r="G184" i="6"/>
  <c r="F184" i="6"/>
  <c r="E184" i="6"/>
  <c r="D184" i="6"/>
  <c r="O178" i="6"/>
  <c r="N178" i="6"/>
  <c r="M178" i="6"/>
  <c r="L178" i="6"/>
  <c r="K178" i="6"/>
  <c r="J178" i="6"/>
  <c r="I178" i="6"/>
  <c r="H178" i="6"/>
  <c r="G178" i="6"/>
  <c r="F178" i="6"/>
  <c r="E178" i="6"/>
  <c r="D178" i="6"/>
  <c r="Q68" i="6"/>
  <c r="O157" i="6"/>
  <c r="N157" i="6"/>
  <c r="M157" i="6"/>
  <c r="L157" i="6"/>
  <c r="K157" i="6"/>
  <c r="J157" i="6"/>
  <c r="I157" i="6"/>
  <c r="H157" i="6"/>
  <c r="G157" i="6"/>
  <c r="F157" i="6"/>
  <c r="E157" i="6"/>
  <c r="D157" i="6"/>
  <c r="O142" i="6"/>
  <c r="N142" i="6"/>
  <c r="M142" i="6"/>
  <c r="L142" i="6"/>
  <c r="K142" i="6"/>
  <c r="J142" i="6"/>
  <c r="I142" i="6"/>
  <c r="H142" i="6"/>
  <c r="G142" i="6"/>
  <c r="F142" i="6"/>
  <c r="E142" i="6"/>
  <c r="D142" i="6"/>
  <c r="D137" i="6"/>
  <c r="O92" i="6"/>
  <c r="N92" i="6"/>
  <c r="M92" i="6"/>
  <c r="L92" i="6"/>
  <c r="K92" i="6"/>
  <c r="J92" i="6"/>
  <c r="I92" i="6"/>
  <c r="H92" i="6"/>
  <c r="G92" i="6"/>
  <c r="F92" i="6"/>
  <c r="E92" i="6"/>
  <c r="D92" i="6"/>
  <c r="D86" i="6"/>
  <c r="E86" i="6"/>
  <c r="F86" i="6"/>
  <c r="G86" i="6"/>
  <c r="H86" i="6"/>
  <c r="I86" i="6"/>
  <c r="J86" i="6"/>
  <c r="K86" i="6"/>
  <c r="L86" i="6"/>
  <c r="M86" i="6"/>
  <c r="N86" i="6"/>
  <c r="O86" i="6"/>
  <c r="D66" i="6"/>
  <c r="E66" i="6"/>
  <c r="E68" i="6" s="1"/>
  <c r="F66" i="6"/>
  <c r="F68" i="6" s="1"/>
  <c r="G66" i="6"/>
  <c r="G68" i="6" s="1"/>
  <c r="H66" i="6"/>
  <c r="H68" i="6" s="1"/>
  <c r="I66" i="6"/>
  <c r="I68" i="6" s="1"/>
  <c r="J66" i="6"/>
  <c r="J68" i="6" s="1"/>
  <c r="K66" i="6"/>
  <c r="K68" i="6" s="1"/>
  <c r="L66" i="6"/>
  <c r="L68" i="6" s="1"/>
  <c r="M66" i="6"/>
  <c r="M68" i="6" s="1"/>
  <c r="N66" i="6"/>
  <c r="N68" i="6" s="1"/>
  <c r="O66" i="6"/>
  <c r="O68" i="6" s="1"/>
  <c r="D35" i="6"/>
  <c r="E35" i="6"/>
  <c r="F35" i="6"/>
  <c r="G35" i="6"/>
  <c r="H35" i="6"/>
  <c r="I35" i="6"/>
  <c r="J35" i="6"/>
  <c r="K35" i="6"/>
  <c r="L35" i="6"/>
  <c r="M35" i="6"/>
  <c r="N35" i="6"/>
  <c r="O35" i="6"/>
  <c r="D30" i="6"/>
  <c r="E30" i="6"/>
  <c r="F30" i="6"/>
  <c r="G30" i="6"/>
  <c r="H30" i="6"/>
  <c r="I30" i="6"/>
  <c r="J30" i="6"/>
  <c r="K30" i="6"/>
  <c r="L30" i="6"/>
  <c r="M30" i="6"/>
  <c r="N30" i="6"/>
  <c r="O30" i="6"/>
  <c r="P155" i="6"/>
  <c r="Q155" i="6" s="1"/>
  <c r="R155" i="6" s="1"/>
  <c r="P154" i="6"/>
  <c r="Q154" i="6" s="1"/>
  <c r="R154" i="6" s="1"/>
  <c r="Q142" i="6"/>
  <c r="P129" i="6"/>
  <c r="Q129" i="6" s="1"/>
  <c r="R129" i="6" s="1"/>
  <c r="P128" i="6"/>
  <c r="Q128" i="6" s="1"/>
  <c r="R128" i="6" s="1"/>
  <c r="P127" i="6"/>
  <c r="Q127" i="6" s="1"/>
  <c r="R127" i="6" s="1"/>
  <c r="P126" i="6"/>
  <c r="Q126" i="6" s="1"/>
  <c r="R126" i="6" s="1"/>
  <c r="P125" i="6"/>
  <c r="Q125" i="6" s="1"/>
  <c r="R125" i="6" s="1"/>
  <c r="P124" i="6"/>
  <c r="Q124" i="6" s="1"/>
  <c r="R124" i="6" s="1"/>
  <c r="P123" i="6"/>
  <c r="Q123" i="6" s="1"/>
  <c r="R123" i="6" s="1"/>
  <c r="P122" i="6"/>
  <c r="Q122" i="6" s="1"/>
  <c r="R122" i="6" s="1"/>
  <c r="P121" i="6"/>
  <c r="Q121" i="6" s="1"/>
  <c r="R121" i="6" s="1"/>
  <c r="P120" i="6"/>
  <c r="Q120" i="6" s="1"/>
  <c r="R120" i="6" s="1"/>
  <c r="P119" i="6"/>
  <c r="Q119" i="6" s="1"/>
  <c r="R119" i="6" s="1"/>
  <c r="P118" i="6"/>
  <c r="Q118" i="6" s="1"/>
  <c r="R118" i="6" s="1"/>
  <c r="P117" i="6"/>
  <c r="Q117" i="6" s="1"/>
  <c r="R117" i="6" s="1"/>
  <c r="P116" i="6"/>
  <c r="Q116" i="6" s="1"/>
  <c r="R116" i="6" s="1"/>
  <c r="P115" i="6"/>
  <c r="Q115" i="6" s="1"/>
  <c r="R115" i="6" s="1"/>
  <c r="P114" i="6"/>
  <c r="Q114" i="6" s="1"/>
  <c r="R114" i="6" s="1"/>
  <c r="P113" i="6"/>
  <c r="Q113" i="6" s="1"/>
  <c r="R113" i="6" s="1"/>
  <c r="P112" i="6"/>
  <c r="Q112" i="6" s="1"/>
  <c r="R112" i="6" s="1"/>
  <c r="P111" i="6"/>
  <c r="Q111" i="6" s="1"/>
  <c r="R111" i="6" s="1"/>
  <c r="P110" i="6"/>
  <c r="Q110" i="6" s="1"/>
  <c r="R110" i="6" s="1"/>
  <c r="P109" i="6"/>
  <c r="Q109" i="6" s="1"/>
  <c r="R109" i="6" s="1"/>
  <c r="P108" i="6"/>
  <c r="Q108" i="6" s="1"/>
  <c r="R108" i="6" s="1"/>
  <c r="P107" i="6"/>
  <c r="Q107" i="6" s="1"/>
  <c r="R107" i="6" s="1"/>
  <c r="P106" i="6"/>
  <c r="Q106" i="6" s="1"/>
  <c r="R106" i="6" s="1"/>
  <c r="P105" i="6"/>
  <c r="Q105" i="6" s="1"/>
  <c r="R105" i="6" s="1"/>
  <c r="P104" i="6"/>
  <c r="Q104" i="6" s="1"/>
  <c r="R104" i="6" s="1"/>
  <c r="P103" i="6"/>
  <c r="Q103" i="6" s="1"/>
  <c r="R103" i="6" s="1"/>
  <c r="P102" i="6"/>
  <c r="Q102" i="6" s="1"/>
  <c r="R102" i="6" s="1"/>
  <c r="P101" i="6"/>
  <c r="Q101" i="6" s="1"/>
  <c r="R101" i="6" s="1"/>
  <c r="P100" i="6"/>
  <c r="Q100" i="6" s="1"/>
  <c r="R100" i="6" s="1"/>
  <c r="P98" i="6"/>
  <c r="Q98" i="6" s="1"/>
  <c r="R98" i="6" s="1"/>
  <c r="P96" i="6"/>
  <c r="Q96" i="6" s="1"/>
  <c r="R96" i="6" s="1"/>
  <c r="Q92" i="6"/>
  <c r="R92" i="6" s="1"/>
  <c r="P64" i="6"/>
  <c r="Q64" i="6" s="1"/>
  <c r="R64" i="6" s="1"/>
  <c r="P63" i="6"/>
  <c r="Q63" i="6" s="1"/>
  <c r="R63" i="6" s="1"/>
  <c r="P62" i="6"/>
  <c r="Q62" i="6" s="1"/>
  <c r="R62" i="6" s="1"/>
  <c r="P61" i="6"/>
  <c r="Q61" i="6" s="1"/>
  <c r="R61" i="6" s="1"/>
  <c r="P60" i="6"/>
  <c r="Q60" i="6" s="1"/>
  <c r="R60" i="6" s="1"/>
  <c r="P59" i="6"/>
  <c r="Q59" i="6" s="1"/>
  <c r="R59" i="6" s="1"/>
  <c r="P51" i="6"/>
  <c r="Q51" i="6" s="1"/>
  <c r="R51" i="6" s="1"/>
  <c r="P50" i="6"/>
  <c r="Q50" i="6" s="1"/>
  <c r="R50" i="6" s="1"/>
  <c r="P49" i="6"/>
  <c r="Q49" i="6" s="1"/>
  <c r="R49" i="6" s="1"/>
  <c r="P48" i="6"/>
  <c r="Q48" i="6" s="1"/>
  <c r="R48" i="6" s="1"/>
  <c r="P47" i="6"/>
  <c r="Q47" i="6" s="1"/>
  <c r="R47" i="6" s="1"/>
  <c r="P46" i="6"/>
  <c r="Q46" i="6" s="1"/>
  <c r="R46" i="6" s="1"/>
  <c r="P45" i="6"/>
  <c r="Q45" i="6" s="1"/>
  <c r="R45" i="6" s="1"/>
  <c r="P44" i="6"/>
  <c r="Q44" i="6" s="1"/>
  <c r="R44" i="6" s="1"/>
  <c r="P43" i="6"/>
  <c r="Q43" i="6" s="1"/>
  <c r="R43" i="6" s="1"/>
  <c r="P42" i="6"/>
  <c r="Q42" i="6" s="1"/>
  <c r="R42" i="6" s="1"/>
  <c r="P41" i="6"/>
  <c r="Q41" i="6" s="1"/>
  <c r="R41" i="6" s="1"/>
  <c r="P40" i="6"/>
  <c r="Q40" i="6" s="1"/>
  <c r="R40" i="6" s="1"/>
  <c r="P39" i="6"/>
  <c r="Q39" i="6" s="1"/>
  <c r="R39" i="6" s="1"/>
  <c r="P17" i="6"/>
  <c r="Q17" i="6" s="1"/>
  <c r="R17" i="6" s="1"/>
  <c r="P18" i="6"/>
  <c r="Q18" i="6" s="1"/>
  <c r="R18" i="6" s="1"/>
  <c r="P19" i="6"/>
  <c r="Q19" i="6" s="1"/>
  <c r="R19" i="6" s="1"/>
  <c r="P20" i="6"/>
  <c r="Q20" i="6" s="1"/>
  <c r="R20" i="6" s="1"/>
  <c r="P21" i="6"/>
  <c r="Q21" i="6" s="1"/>
  <c r="R21" i="6" s="1"/>
  <c r="P22" i="6"/>
  <c r="Q22" i="6" s="1"/>
  <c r="R22" i="6" s="1"/>
  <c r="P23" i="6"/>
  <c r="Q23" i="6" s="1"/>
  <c r="R23" i="6" s="1"/>
  <c r="P24" i="6"/>
  <c r="Q24" i="6" s="1"/>
  <c r="R24" i="6" s="1"/>
  <c r="P25" i="6"/>
  <c r="Q25" i="6" s="1"/>
  <c r="R25" i="6" s="1"/>
  <c r="P26" i="6"/>
  <c r="Q26" i="6" s="1"/>
  <c r="R26" i="6" s="1"/>
  <c r="P27" i="6"/>
  <c r="Q27" i="6" s="1"/>
  <c r="R27" i="6" s="1"/>
  <c r="P28" i="6"/>
  <c r="Q28" i="6" s="1"/>
  <c r="R28" i="6" s="1"/>
  <c r="P16" i="6"/>
  <c r="Q16" i="6" s="1"/>
  <c r="R16" i="6" s="1"/>
  <c r="D45" i="13" l="1"/>
  <c r="E45" i="13" s="1"/>
  <c r="F45" i="13" s="1"/>
  <c r="G45" i="13" s="1"/>
  <c r="C32" i="12"/>
  <c r="C51" i="12"/>
  <c r="D49" i="12"/>
  <c r="E49" i="12" s="1"/>
  <c r="F49" i="12" s="1"/>
  <c r="G49" i="12" s="1"/>
  <c r="H49" i="12" s="1"/>
  <c r="I49" i="12" s="1"/>
  <c r="J49" i="12" s="1"/>
  <c r="K49" i="12" s="1"/>
  <c r="L49" i="12" s="1"/>
  <c r="M49" i="12" s="1"/>
  <c r="N49" i="12" s="1"/>
  <c r="D52" i="12"/>
  <c r="C48" i="13"/>
  <c r="C44" i="13"/>
  <c r="AB246" i="7"/>
  <c r="AG246" i="7"/>
  <c r="AC246" i="7"/>
  <c r="D68" i="6"/>
  <c r="R68" i="6" s="1"/>
  <c r="R66" i="6"/>
  <c r="V246" i="6"/>
  <c r="Z246" i="6"/>
  <c r="W246" i="6"/>
  <c r="X246" i="6"/>
  <c r="U246" i="6"/>
  <c r="Y246" i="6"/>
  <c r="R246" i="6"/>
  <c r="B17" i="12"/>
  <c r="B34" i="12"/>
  <c r="C36" i="12"/>
  <c r="D53" i="12"/>
  <c r="E53" i="12" s="1"/>
  <c r="F53" i="12" s="1"/>
  <c r="G53" i="12" s="1"/>
  <c r="H53" i="12" s="1"/>
  <c r="I53" i="12" s="1"/>
  <c r="J53" i="12" s="1"/>
  <c r="K53" i="12" s="1"/>
  <c r="L53" i="12" s="1"/>
  <c r="M53" i="12" s="1"/>
  <c r="N53" i="12" s="1"/>
  <c r="C41" i="13"/>
  <c r="D41" i="13" s="1"/>
  <c r="E41" i="13" s="1"/>
  <c r="F41" i="13" s="1"/>
  <c r="G41" i="13" s="1"/>
  <c r="H41" i="13" s="1"/>
  <c r="I41" i="13" s="1"/>
  <c r="J41" i="13" s="1"/>
  <c r="K41" i="13" s="1"/>
  <c r="L41" i="13" s="1"/>
  <c r="M41" i="13" s="1"/>
  <c r="N41" i="13" s="1"/>
  <c r="C47" i="13"/>
  <c r="D47" i="13" s="1"/>
  <c r="E47" i="13" s="1"/>
  <c r="F47" i="13" s="1"/>
  <c r="G47" i="13" s="1"/>
  <c r="H47" i="13" s="1"/>
  <c r="I47" i="13" s="1"/>
  <c r="J47" i="13" s="1"/>
  <c r="K47" i="13" s="1"/>
  <c r="L47" i="13" s="1"/>
  <c r="M47" i="13" s="1"/>
  <c r="N47" i="13" s="1"/>
  <c r="C43" i="13"/>
  <c r="D43" i="13" s="1"/>
  <c r="E43" i="13" s="1"/>
  <c r="F43" i="13" s="1"/>
  <c r="G43" i="13" s="1"/>
  <c r="H43" i="13" s="1"/>
  <c r="I43" i="13" s="1"/>
  <c r="J43" i="13" s="1"/>
  <c r="K43" i="13" s="1"/>
  <c r="L43" i="13" s="1"/>
  <c r="M43" i="13" s="1"/>
  <c r="N43" i="13" s="1"/>
  <c r="AB249" i="7"/>
  <c r="AC249" i="7"/>
  <c r="AG249" i="7"/>
  <c r="AB248" i="7"/>
  <c r="AC248" i="7"/>
  <c r="AG248" i="7"/>
  <c r="O142" i="7"/>
  <c r="AD140" i="7"/>
  <c r="AG140" i="7"/>
  <c r="AC140" i="7"/>
  <c r="AF140" i="7"/>
  <c r="AB140" i="7"/>
  <c r="AE140" i="7"/>
  <c r="E4" i="10"/>
  <c r="D13" i="10"/>
  <c r="E45" i="12"/>
  <c r="F45" i="12" s="1"/>
  <c r="G45" i="12" s="1"/>
  <c r="C50" i="13"/>
  <c r="D50" i="13" s="1"/>
  <c r="E50" i="13" s="1"/>
  <c r="F50" i="13" s="1"/>
  <c r="G50" i="13" s="1"/>
  <c r="H50" i="13" s="1"/>
  <c r="I50" i="13" s="1"/>
  <c r="J50" i="13" s="1"/>
  <c r="K50" i="13" s="1"/>
  <c r="L50" i="13" s="1"/>
  <c r="M50" i="13" s="1"/>
  <c r="N50" i="13" s="1"/>
  <c r="C46" i="13"/>
  <c r="D46" i="13" s="1"/>
  <c r="E46" i="13" s="1"/>
  <c r="F46" i="13" s="1"/>
  <c r="G46" i="13" s="1"/>
  <c r="H46" i="13" s="1"/>
  <c r="I46" i="13" s="1"/>
  <c r="J46" i="13" s="1"/>
  <c r="K46" i="13" s="1"/>
  <c r="L46" i="13" s="1"/>
  <c r="M46" i="13" s="1"/>
  <c r="N46" i="13" s="1"/>
  <c r="C42" i="13"/>
  <c r="D42" i="13" s="1"/>
  <c r="E42" i="13" s="1"/>
  <c r="F42" i="13" s="1"/>
  <c r="G42" i="13" s="1"/>
  <c r="H42" i="13" s="1"/>
  <c r="I42" i="13" s="1"/>
  <c r="J42" i="13" s="1"/>
  <c r="K42" i="13" s="1"/>
  <c r="L42" i="13" s="1"/>
  <c r="M42" i="13" s="1"/>
  <c r="N42" i="13" s="1"/>
  <c r="AC247" i="7"/>
  <c r="AB247" i="7"/>
  <c r="AG247" i="7"/>
  <c r="C49" i="13"/>
  <c r="D151" i="6"/>
  <c r="D143" i="6"/>
  <c r="R142" i="6"/>
  <c r="D241" i="6"/>
  <c r="W223" i="7"/>
  <c r="T223" i="7"/>
  <c r="Y223" i="7"/>
  <c r="P124" i="7"/>
  <c r="Q124" i="7" s="1"/>
  <c r="P126" i="7"/>
  <c r="Q126" i="7" s="1"/>
  <c r="AB170" i="7"/>
  <c r="P102" i="7"/>
  <c r="Q102" i="7" s="1"/>
  <c r="V223" i="7"/>
  <c r="P108" i="7"/>
  <c r="Q108" i="7" s="1"/>
  <c r="P127" i="7"/>
  <c r="Q127" i="7" s="1"/>
  <c r="Q157" i="6"/>
  <c r="R157" i="6" s="1"/>
  <c r="P229" i="7"/>
  <c r="Q229" i="7" s="1"/>
  <c r="Y229" i="7" s="1"/>
  <c r="P128" i="7"/>
  <c r="Q128" i="7" s="1"/>
  <c r="P111" i="7"/>
  <c r="Q111" i="7" s="1"/>
  <c r="P104" i="7"/>
  <c r="Q104" i="7" s="1"/>
  <c r="T192" i="7"/>
  <c r="P142" i="7"/>
  <c r="P119" i="7"/>
  <c r="Q119" i="7" s="1"/>
  <c r="P110" i="7"/>
  <c r="Q110" i="7" s="1"/>
  <c r="P118" i="7"/>
  <c r="Q118" i="7" s="1"/>
  <c r="P228" i="7"/>
  <c r="Q228" i="7" s="1"/>
  <c r="P116" i="7"/>
  <c r="Q116" i="7" s="1"/>
  <c r="P103" i="7"/>
  <c r="Q103" i="7" s="1"/>
  <c r="P120" i="7"/>
  <c r="Q120" i="7" s="1"/>
  <c r="E96" i="7"/>
  <c r="D131" i="7"/>
  <c r="P121" i="7"/>
  <c r="Q121" i="7" s="1"/>
  <c r="P97" i="7"/>
  <c r="Q97" i="7" s="1"/>
  <c r="P115" i="7"/>
  <c r="Q115" i="7" s="1"/>
  <c r="P125" i="7"/>
  <c r="Q125" i="7" s="1"/>
  <c r="P114" i="7"/>
  <c r="Q114" i="7" s="1"/>
  <c r="P98" i="7"/>
  <c r="Q98" i="7" s="1"/>
  <c r="P129" i="7"/>
  <c r="Q129" i="7" s="1"/>
  <c r="P109" i="7"/>
  <c r="Q109" i="7" s="1"/>
  <c r="P112" i="7"/>
  <c r="Q112" i="7" s="1"/>
  <c r="P100" i="7"/>
  <c r="Q100" i="7" s="1"/>
  <c r="AD192" i="7"/>
  <c r="AE192" i="7"/>
  <c r="AG192" i="7"/>
  <c r="AC192" i="7"/>
  <c r="AF192" i="7"/>
  <c r="AB192" i="7"/>
  <c r="P105" i="7"/>
  <c r="Q105" i="7" s="1"/>
  <c r="P123" i="7"/>
  <c r="Q123" i="7" s="1"/>
  <c r="P107" i="7"/>
  <c r="Q107" i="7" s="1"/>
  <c r="AF188" i="7"/>
  <c r="AB188" i="7"/>
  <c r="AE188" i="7"/>
  <c r="AC188" i="7"/>
  <c r="AD188" i="7"/>
  <c r="AG188" i="7"/>
  <c r="P113" i="7"/>
  <c r="Q113" i="7" s="1"/>
  <c r="E261" i="7"/>
  <c r="D265" i="7"/>
  <c r="P122" i="7"/>
  <c r="Q122" i="7" s="1"/>
  <c r="P106" i="7"/>
  <c r="Q106" i="7" s="1"/>
  <c r="AF208" i="7"/>
  <c r="AB208" i="7"/>
  <c r="AC208" i="7"/>
  <c r="AE208" i="7"/>
  <c r="AD208" i="7"/>
  <c r="AG208" i="7"/>
  <c r="P117" i="7"/>
  <c r="Q117" i="7" s="1"/>
  <c r="P101" i="7"/>
  <c r="Q101" i="7" s="1"/>
  <c r="AD209" i="7"/>
  <c r="AB209" i="7"/>
  <c r="AG209" i="7"/>
  <c r="AC209" i="7"/>
  <c r="AF209" i="7"/>
  <c r="AE209" i="7"/>
  <c r="AF210" i="7"/>
  <c r="AB210" i="7"/>
  <c r="AD210" i="7"/>
  <c r="AC210" i="7"/>
  <c r="AE210" i="7"/>
  <c r="AG210" i="7"/>
  <c r="AE207" i="7"/>
  <c r="AG207" i="7"/>
  <c r="AC207" i="7"/>
  <c r="AF207" i="7"/>
  <c r="AD207" i="7"/>
  <c r="AB207" i="7"/>
  <c r="AD191" i="7"/>
  <c r="AG191" i="7"/>
  <c r="AC191" i="7"/>
  <c r="AF191" i="7"/>
  <c r="AB191" i="7"/>
  <c r="AE191" i="7"/>
  <c r="AF190" i="7"/>
  <c r="AB190" i="7"/>
  <c r="AE190" i="7"/>
  <c r="AD190" i="7"/>
  <c r="AG190" i="7"/>
  <c r="AC190" i="7"/>
  <c r="D194" i="7"/>
  <c r="D184" i="7"/>
  <c r="AF171" i="7"/>
  <c r="AB171" i="7"/>
  <c r="AE171" i="7"/>
  <c r="AD171" i="7"/>
  <c r="AG171" i="7"/>
  <c r="AC171" i="7"/>
  <c r="AG169" i="7"/>
  <c r="AC169" i="7"/>
  <c r="AF169" i="7"/>
  <c r="AB169" i="7"/>
  <c r="AE169" i="7"/>
  <c r="AD169" i="7"/>
  <c r="AF176" i="7"/>
  <c r="AB176" i="7"/>
  <c r="AE176" i="7"/>
  <c r="AD176" i="7"/>
  <c r="AG176" i="7"/>
  <c r="AC176" i="7"/>
  <c r="AD172" i="7"/>
  <c r="AG172" i="7"/>
  <c r="AC172" i="7"/>
  <c r="AF172" i="7"/>
  <c r="AB172" i="7"/>
  <c r="AE172" i="7"/>
  <c r="AG170" i="7"/>
  <c r="AC170" i="7"/>
  <c r="AE170" i="7"/>
  <c r="D92" i="7"/>
  <c r="D86" i="7"/>
  <c r="AG174" i="7"/>
  <c r="AC174" i="7"/>
  <c r="AF174" i="7"/>
  <c r="AB174" i="7"/>
  <c r="AE174" i="7"/>
  <c r="AD174" i="7"/>
  <c r="AE175" i="7"/>
  <c r="AC175" i="7"/>
  <c r="AD175" i="7"/>
  <c r="AG175" i="7"/>
  <c r="AF175" i="7"/>
  <c r="AB175" i="7"/>
  <c r="D178" i="7"/>
  <c r="P246" i="7"/>
  <c r="Q246" i="7" s="1"/>
  <c r="AG230" i="7"/>
  <c r="AC230" i="7"/>
  <c r="AF230" i="7"/>
  <c r="AB230" i="7"/>
  <c r="AD230" i="7"/>
  <c r="AE230" i="7"/>
  <c r="AG221" i="7"/>
  <c r="AC221" i="7"/>
  <c r="AF221" i="7"/>
  <c r="AB221" i="7"/>
  <c r="AD221" i="7"/>
  <c r="AE221" i="7"/>
  <c r="P231" i="7"/>
  <c r="Q231" i="7" s="1"/>
  <c r="P232" i="7"/>
  <c r="Q232" i="7" s="1"/>
  <c r="P230" i="7"/>
  <c r="Q230" i="7" s="1"/>
  <c r="P222" i="7"/>
  <c r="Q222" i="7" s="1"/>
  <c r="P224" i="7"/>
  <c r="Q224" i="7" s="1"/>
  <c r="P221" i="7"/>
  <c r="Q221" i="7" s="1"/>
  <c r="AE231" i="7"/>
  <c r="AB231" i="7"/>
  <c r="AD231" i="7"/>
  <c r="AF231" i="7"/>
  <c r="AG231" i="7"/>
  <c r="AC231" i="7"/>
  <c r="AE222" i="7"/>
  <c r="AF222" i="7"/>
  <c r="AD222" i="7"/>
  <c r="AG222" i="7"/>
  <c r="AC222" i="7"/>
  <c r="AB222" i="7"/>
  <c r="AE227" i="7"/>
  <c r="AB227" i="7"/>
  <c r="AD227" i="7"/>
  <c r="AF227" i="7"/>
  <c r="AG227" i="7"/>
  <c r="AC227" i="7"/>
  <c r="AE220" i="7"/>
  <c r="AF220" i="7"/>
  <c r="AD220" i="7"/>
  <c r="AG220" i="7"/>
  <c r="AC220" i="7"/>
  <c r="AB220" i="7"/>
  <c r="AG226" i="7"/>
  <c r="AC226" i="7"/>
  <c r="AF226" i="7"/>
  <c r="AB226" i="7"/>
  <c r="AE226" i="7"/>
  <c r="AD226" i="7"/>
  <c r="D235" i="7"/>
  <c r="AE229" i="7"/>
  <c r="AF229" i="7"/>
  <c r="AD229" i="7"/>
  <c r="AB229" i="7"/>
  <c r="AG229" i="7"/>
  <c r="AC229" i="7"/>
  <c r="AG228" i="7"/>
  <c r="AC228" i="7"/>
  <c r="AD228" i="7"/>
  <c r="AF228" i="7"/>
  <c r="AB228" i="7"/>
  <c r="AE228" i="7"/>
  <c r="AG232" i="7"/>
  <c r="AC232" i="7"/>
  <c r="AF232" i="7"/>
  <c r="AB232" i="7"/>
  <c r="AD232" i="7"/>
  <c r="AE232" i="7"/>
  <c r="AD224" i="7"/>
  <c r="AG224" i="7"/>
  <c r="AC224" i="7"/>
  <c r="AF224" i="7"/>
  <c r="AB224" i="7"/>
  <c r="AE224" i="7"/>
  <c r="P227" i="7"/>
  <c r="Q227" i="7" s="1"/>
  <c r="P220" i="7"/>
  <c r="Q220" i="7" s="1"/>
  <c r="P226" i="7"/>
  <c r="Q226" i="7" s="1"/>
  <c r="D239" i="7"/>
  <c r="E239" i="7" s="1"/>
  <c r="F239" i="7" s="1"/>
  <c r="G239" i="7" s="1"/>
  <c r="H239" i="7" s="1"/>
  <c r="I239" i="7" s="1"/>
  <c r="J239" i="7" s="1"/>
  <c r="K239" i="7" s="1"/>
  <c r="L239" i="7" s="1"/>
  <c r="M239" i="7" s="1"/>
  <c r="N239" i="7" s="1"/>
  <c r="O239" i="7" s="1"/>
  <c r="D159" i="6"/>
  <c r="V140" i="7"/>
  <c r="Q95" i="7"/>
  <c r="W140" i="7"/>
  <c r="Y140" i="7"/>
  <c r="E149" i="6"/>
  <c r="Q142" i="7"/>
  <c r="P194" i="6"/>
  <c r="Q235" i="6"/>
  <c r="P265" i="6"/>
  <c r="T140" i="7"/>
  <c r="U140" i="7"/>
  <c r="E241" i="6"/>
  <c r="Q30" i="7"/>
  <c r="P66" i="7"/>
  <c r="P68" i="7" s="1"/>
  <c r="P30" i="7"/>
  <c r="X197" i="7"/>
  <c r="T197" i="7"/>
  <c r="W197" i="7"/>
  <c r="V197" i="7"/>
  <c r="U197" i="7"/>
  <c r="Y197" i="7"/>
  <c r="Q30" i="6"/>
  <c r="R30" i="6" s="1"/>
  <c r="P33" i="6"/>
  <c r="Q33" i="6" s="1"/>
  <c r="P66" i="6"/>
  <c r="P68" i="6" s="1"/>
  <c r="Q86" i="6"/>
  <c r="R86" i="6" s="1"/>
  <c r="P30" i="6"/>
  <c r="P92" i="6"/>
  <c r="E33" i="12"/>
  <c r="E27" i="12"/>
  <c r="E31" i="12"/>
  <c r="F31" i="12" s="1"/>
  <c r="G31" i="12" s="1"/>
  <c r="H31" i="12" s="1"/>
  <c r="I31" i="12" s="1"/>
  <c r="J31" i="12" s="1"/>
  <c r="K31" i="12" s="1"/>
  <c r="L31" i="12" s="1"/>
  <c r="M31" i="12" s="1"/>
  <c r="N31" i="12" s="1"/>
  <c r="B31" i="13" s="1"/>
  <c r="E26" i="12"/>
  <c r="F26" i="12" s="1"/>
  <c r="G26" i="12" s="1"/>
  <c r="H26" i="12" s="1"/>
  <c r="I26" i="12" s="1"/>
  <c r="J26" i="12" s="1"/>
  <c r="K26" i="12" s="1"/>
  <c r="L26" i="12" s="1"/>
  <c r="M26" i="12" s="1"/>
  <c r="N26" i="12" s="1"/>
  <c r="B26" i="13" s="1"/>
  <c r="C26" i="13" s="1"/>
  <c r="D26" i="13" s="1"/>
  <c r="E26" i="13" s="1"/>
  <c r="F26" i="13" s="1"/>
  <c r="G26" i="13" s="1"/>
  <c r="H26" i="13" s="1"/>
  <c r="I26" i="13" s="1"/>
  <c r="J26" i="13" s="1"/>
  <c r="K26" i="13" s="1"/>
  <c r="L26" i="13" s="1"/>
  <c r="M26" i="13" s="1"/>
  <c r="N26" i="13" s="1"/>
  <c r="F30" i="12"/>
  <c r="G30" i="12" s="1"/>
  <c r="H30" i="12" s="1"/>
  <c r="I30" i="12" s="1"/>
  <c r="J30" i="12" s="1"/>
  <c r="K30" i="12" s="1"/>
  <c r="L30" i="12" s="1"/>
  <c r="M30" i="12" s="1"/>
  <c r="N30" i="12" s="1"/>
  <c r="B30" i="13" s="1"/>
  <c r="C30" i="13" s="1"/>
  <c r="D30" i="13" s="1"/>
  <c r="E30" i="13" s="1"/>
  <c r="F30" i="13" s="1"/>
  <c r="G30" i="13" s="1"/>
  <c r="H30" i="13" s="1"/>
  <c r="I30" i="13" s="1"/>
  <c r="J30" i="13" s="1"/>
  <c r="K30" i="13" s="1"/>
  <c r="L30" i="13" s="1"/>
  <c r="M30" i="13" s="1"/>
  <c r="N30" i="13" s="1"/>
  <c r="F25" i="12"/>
  <c r="G25" i="12" s="1"/>
  <c r="H25" i="12" s="1"/>
  <c r="I25" i="12" s="1"/>
  <c r="J25" i="12" s="1"/>
  <c r="K25" i="12" s="1"/>
  <c r="L25" i="12" s="1"/>
  <c r="M25" i="12" s="1"/>
  <c r="N25" i="12" s="1"/>
  <c r="B25" i="13" s="1"/>
  <c r="C25" i="13" s="1"/>
  <c r="D25" i="13" s="1"/>
  <c r="E25" i="13" s="1"/>
  <c r="F25" i="13" s="1"/>
  <c r="G25" i="13" s="1"/>
  <c r="H25" i="13" s="1"/>
  <c r="I25" i="13" s="1"/>
  <c r="J25" i="13" s="1"/>
  <c r="K25" i="13" s="1"/>
  <c r="L25" i="13" s="1"/>
  <c r="M25" i="13" s="1"/>
  <c r="N25" i="13" s="1"/>
  <c r="F33" i="12"/>
  <c r="G33" i="12" s="1"/>
  <c r="H33" i="12" s="1"/>
  <c r="I33" i="12" s="1"/>
  <c r="J33" i="12" s="1"/>
  <c r="K33" i="12" s="1"/>
  <c r="L33" i="12" s="1"/>
  <c r="M33" i="12" s="1"/>
  <c r="N33" i="12" s="1"/>
  <c r="B33" i="13" s="1"/>
  <c r="C33" i="13" s="1"/>
  <c r="D33" i="13" s="1"/>
  <c r="E33" i="13" s="1"/>
  <c r="F33" i="13" s="1"/>
  <c r="G33" i="13" s="1"/>
  <c r="H33" i="13" s="1"/>
  <c r="I33" i="13" s="1"/>
  <c r="J33" i="13" s="1"/>
  <c r="K33" i="13" s="1"/>
  <c r="L33" i="13" s="1"/>
  <c r="M33" i="13" s="1"/>
  <c r="N33" i="13" s="1"/>
  <c r="F27" i="12"/>
  <c r="G27" i="12" s="1"/>
  <c r="H27" i="12" s="1"/>
  <c r="I27" i="12" s="1"/>
  <c r="J27" i="12" s="1"/>
  <c r="K27" i="12" s="1"/>
  <c r="L27" i="12" s="1"/>
  <c r="M27" i="12" s="1"/>
  <c r="N27" i="12" s="1"/>
  <c r="B27" i="13" s="1"/>
  <c r="D32" i="12"/>
  <c r="E32" i="12" s="1"/>
  <c r="F32" i="12" s="1"/>
  <c r="G32" i="12" s="1"/>
  <c r="H32" i="12" s="1"/>
  <c r="I32" i="12" s="1"/>
  <c r="J32" i="12" s="1"/>
  <c r="K32" i="12" s="1"/>
  <c r="L32" i="12" s="1"/>
  <c r="M32" i="12" s="1"/>
  <c r="N32" i="12" s="1"/>
  <c r="B32" i="13" s="1"/>
  <c r="D28" i="12"/>
  <c r="E28" i="12" s="1"/>
  <c r="D29" i="12"/>
  <c r="E29" i="12" s="1"/>
  <c r="F29" i="12" s="1"/>
  <c r="G29" i="12" s="1"/>
  <c r="H29" i="12" s="1"/>
  <c r="I29" i="12" s="1"/>
  <c r="J29" i="12" s="1"/>
  <c r="K29" i="12" s="1"/>
  <c r="L29" i="12" s="1"/>
  <c r="M29" i="12" s="1"/>
  <c r="N29" i="12" s="1"/>
  <c r="B29" i="13" s="1"/>
  <c r="C29" i="13" s="1"/>
  <c r="D29" i="13" s="1"/>
  <c r="E29" i="13" s="1"/>
  <c r="F29" i="13" s="1"/>
  <c r="G29" i="13" s="1"/>
  <c r="H29" i="13" s="1"/>
  <c r="I29" i="13" s="1"/>
  <c r="J29" i="13" s="1"/>
  <c r="K29" i="13" s="1"/>
  <c r="L29" i="13" s="1"/>
  <c r="M29" i="13" s="1"/>
  <c r="N29" i="13" s="1"/>
  <c r="D36" i="12"/>
  <c r="E36" i="12" s="1"/>
  <c r="F36" i="12" s="1"/>
  <c r="G36" i="12" s="1"/>
  <c r="H36" i="12" s="1"/>
  <c r="I36" i="12" s="1"/>
  <c r="J36" i="12" s="1"/>
  <c r="K36" i="12" s="1"/>
  <c r="L36" i="12" s="1"/>
  <c r="M36" i="12" s="1"/>
  <c r="N36" i="12" s="1"/>
  <c r="B36" i="13" s="1"/>
  <c r="C36" i="13" s="1"/>
  <c r="D36" i="13" s="1"/>
  <c r="E36" i="13" s="1"/>
  <c r="F36" i="13" s="1"/>
  <c r="G36" i="13" s="1"/>
  <c r="H36" i="13" s="1"/>
  <c r="I36" i="13" s="1"/>
  <c r="J36" i="13" s="1"/>
  <c r="K36" i="13" s="1"/>
  <c r="L36" i="13" s="1"/>
  <c r="M36" i="13" s="1"/>
  <c r="N36" i="13" s="1"/>
  <c r="C34" i="12"/>
  <c r="D35" i="12"/>
  <c r="E24" i="12"/>
  <c r="F11" i="12"/>
  <c r="G11" i="12" s="1"/>
  <c r="P157" i="6"/>
  <c r="Q137" i="6"/>
  <c r="P86" i="6"/>
  <c r="P178" i="6"/>
  <c r="F241" i="6"/>
  <c r="G238" i="6"/>
  <c r="P239" i="6"/>
  <c r="Q239" i="6" s="1"/>
  <c r="R239" i="6" s="1"/>
  <c r="Q262" i="6"/>
  <c r="P235" i="6"/>
  <c r="Q194" i="6"/>
  <c r="R194" i="6" s="1"/>
  <c r="Q184" i="6"/>
  <c r="R184" i="6" s="1"/>
  <c r="Q178" i="6"/>
  <c r="R178" i="6" s="1"/>
  <c r="H45" i="12" l="1"/>
  <c r="I45" i="12" s="1"/>
  <c r="J45" i="12" s="1"/>
  <c r="K45" i="12" s="1"/>
  <c r="L45" i="12" s="1"/>
  <c r="M45" i="12" s="1"/>
  <c r="N45" i="12" s="1"/>
  <c r="H11" i="12"/>
  <c r="I11" i="12" s="1"/>
  <c r="J11" i="12" s="1"/>
  <c r="K11" i="12" s="1"/>
  <c r="L11" i="12" s="1"/>
  <c r="M11" i="12" s="1"/>
  <c r="N11" i="12" s="1"/>
  <c r="B11" i="13" s="1"/>
  <c r="C11" i="13" s="1"/>
  <c r="D11" i="13" s="1"/>
  <c r="E11" i="13" s="1"/>
  <c r="F11" i="13" s="1"/>
  <c r="G11" i="13" s="1"/>
  <c r="AF246" i="7"/>
  <c r="T246" i="7"/>
  <c r="X246" i="7"/>
  <c r="W246" i="7"/>
  <c r="AE246" i="7"/>
  <c r="Y246" i="7"/>
  <c r="U246" i="7"/>
  <c r="V246" i="7"/>
  <c r="AD246" i="7"/>
  <c r="C32" i="13"/>
  <c r="D49" i="13"/>
  <c r="E49" i="13" s="1"/>
  <c r="F49" i="13" s="1"/>
  <c r="G49" i="13" s="1"/>
  <c r="H49" i="13" s="1"/>
  <c r="I49" i="13" s="1"/>
  <c r="J49" i="13" s="1"/>
  <c r="K49" i="13" s="1"/>
  <c r="L49" i="13" s="1"/>
  <c r="M49" i="13" s="1"/>
  <c r="N49" i="13" s="1"/>
  <c r="D51" i="12"/>
  <c r="E52" i="12"/>
  <c r="F28" i="12"/>
  <c r="G28" i="12" s="1"/>
  <c r="H28" i="12" s="1"/>
  <c r="F4" i="10"/>
  <c r="E13" i="10"/>
  <c r="C17" i="12"/>
  <c r="D17" i="12" s="1"/>
  <c r="E17" i="12" s="1"/>
  <c r="F17" i="12" s="1"/>
  <c r="G17" i="12" s="1"/>
  <c r="H17" i="12" s="1"/>
  <c r="I17" i="12" s="1"/>
  <c r="J17" i="12" s="1"/>
  <c r="K17" i="12" s="1"/>
  <c r="L17" i="12" s="1"/>
  <c r="M17" i="12" s="1"/>
  <c r="N17" i="12" s="1"/>
  <c r="Q35" i="6"/>
  <c r="R35" i="6" s="1"/>
  <c r="R33" i="6"/>
  <c r="C27" i="13"/>
  <c r="D27" i="13" s="1"/>
  <c r="E27" i="13" s="1"/>
  <c r="F27" i="13" s="1"/>
  <c r="G27" i="13" s="1"/>
  <c r="H27" i="13" s="1"/>
  <c r="I27" i="13" s="1"/>
  <c r="J27" i="13" s="1"/>
  <c r="K27" i="13" s="1"/>
  <c r="L27" i="13" s="1"/>
  <c r="M27" i="13" s="1"/>
  <c r="N27" i="13" s="1"/>
  <c r="D44" i="13"/>
  <c r="E44" i="13" s="1"/>
  <c r="F44" i="13" s="1"/>
  <c r="G44" i="13" s="1"/>
  <c r="H44" i="13" s="1"/>
  <c r="I44" i="13" s="1"/>
  <c r="J44" i="13" s="1"/>
  <c r="K44" i="13" s="1"/>
  <c r="L44" i="13" s="1"/>
  <c r="M44" i="13" s="1"/>
  <c r="N44" i="13" s="1"/>
  <c r="I45" i="13"/>
  <c r="J45" i="13" s="1"/>
  <c r="K45" i="13" s="1"/>
  <c r="L45" i="13" s="1"/>
  <c r="M45" i="13" s="1"/>
  <c r="N45" i="13" s="1"/>
  <c r="H45" i="13"/>
  <c r="Q265" i="6"/>
  <c r="R265" i="6" s="1"/>
  <c r="R262" i="6"/>
  <c r="C31" i="13"/>
  <c r="D31" i="13" s="1"/>
  <c r="E31" i="13" s="1"/>
  <c r="F31" i="13" s="1"/>
  <c r="G31" i="13" s="1"/>
  <c r="H31" i="13" s="1"/>
  <c r="I31" i="13" s="1"/>
  <c r="J31" i="13" s="1"/>
  <c r="K31" i="13" s="1"/>
  <c r="L31" i="13" s="1"/>
  <c r="M31" i="13" s="1"/>
  <c r="N31" i="13" s="1"/>
  <c r="D48" i="13"/>
  <c r="E48" i="13" s="1"/>
  <c r="F48" i="13" s="1"/>
  <c r="G48" i="13" s="1"/>
  <c r="H48" i="13" s="1"/>
  <c r="I48" i="13" s="1"/>
  <c r="J48" i="13" s="1"/>
  <c r="K48" i="13" s="1"/>
  <c r="L48" i="13" s="1"/>
  <c r="M48" i="13" s="1"/>
  <c r="N48" i="13" s="1"/>
  <c r="R235" i="6"/>
  <c r="U192" i="7"/>
  <c r="Y192" i="7"/>
  <c r="X192" i="7"/>
  <c r="U229" i="7"/>
  <c r="T229" i="7"/>
  <c r="Y188" i="7"/>
  <c r="W188" i="7"/>
  <c r="U188" i="7"/>
  <c r="V188" i="7"/>
  <c r="X188" i="7"/>
  <c r="T188" i="7"/>
  <c r="V229" i="7"/>
  <c r="X229" i="7"/>
  <c r="W229" i="7"/>
  <c r="W192" i="7"/>
  <c r="V192" i="7"/>
  <c r="V208" i="7"/>
  <c r="X208" i="7"/>
  <c r="Y208" i="7"/>
  <c r="T208" i="7"/>
  <c r="U208" i="7"/>
  <c r="W208" i="7"/>
  <c r="Y228" i="7"/>
  <c r="U228" i="7"/>
  <c r="W228" i="7"/>
  <c r="V228" i="7"/>
  <c r="T228" i="7"/>
  <c r="X228" i="7"/>
  <c r="F261" i="7"/>
  <c r="E265" i="7"/>
  <c r="AF189" i="7"/>
  <c r="AE189" i="7"/>
  <c r="AB189" i="7"/>
  <c r="AD189" i="7"/>
  <c r="AC189" i="7"/>
  <c r="AG189" i="7"/>
  <c r="F96" i="7"/>
  <c r="E131" i="7"/>
  <c r="Y209" i="7"/>
  <c r="W209" i="7"/>
  <c r="X209" i="7"/>
  <c r="T209" i="7"/>
  <c r="V209" i="7"/>
  <c r="U209" i="7"/>
  <c r="X210" i="7"/>
  <c r="U210" i="7"/>
  <c r="T210" i="7"/>
  <c r="Y210" i="7"/>
  <c r="W210" i="7"/>
  <c r="V210" i="7"/>
  <c r="W207" i="7"/>
  <c r="U207" i="7"/>
  <c r="X207" i="7"/>
  <c r="T207" i="7"/>
  <c r="Y207" i="7"/>
  <c r="V207" i="7"/>
  <c r="E194" i="7"/>
  <c r="W190" i="7"/>
  <c r="Y190" i="7"/>
  <c r="U190" i="7"/>
  <c r="X190" i="7"/>
  <c r="V190" i="7"/>
  <c r="T190" i="7"/>
  <c r="X191" i="7"/>
  <c r="W191" i="7"/>
  <c r="Y191" i="7"/>
  <c r="U191" i="7"/>
  <c r="V191" i="7"/>
  <c r="T191" i="7"/>
  <c r="E184" i="7"/>
  <c r="E92" i="7"/>
  <c r="E86" i="7"/>
  <c r="E178" i="7"/>
  <c r="X175" i="7"/>
  <c r="W175" i="7"/>
  <c r="U175" i="7"/>
  <c r="V175" i="7"/>
  <c r="T175" i="7"/>
  <c r="Y175" i="7"/>
  <c r="T174" i="7"/>
  <c r="V174" i="7"/>
  <c r="Y174" i="7"/>
  <c r="W174" i="7"/>
  <c r="U174" i="7"/>
  <c r="X174" i="7"/>
  <c r="T222" i="7"/>
  <c r="V222" i="7"/>
  <c r="X222" i="7"/>
  <c r="W222" i="7"/>
  <c r="U222" i="7"/>
  <c r="Y222" i="7"/>
  <c r="X227" i="7"/>
  <c r="U227" i="7"/>
  <c r="W227" i="7"/>
  <c r="T227" i="7"/>
  <c r="Y227" i="7"/>
  <c r="V227" i="7"/>
  <c r="T230" i="7"/>
  <c r="V230" i="7"/>
  <c r="X230" i="7"/>
  <c r="Y230" i="7"/>
  <c r="W230" i="7"/>
  <c r="U230" i="7"/>
  <c r="V221" i="7"/>
  <c r="U221" i="7"/>
  <c r="X221" i="7"/>
  <c r="Y221" i="7"/>
  <c r="T221" i="7"/>
  <c r="W221" i="7"/>
  <c r="W232" i="7"/>
  <c r="Y232" i="7"/>
  <c r="U232" i="7"/>
  <c r="V232" i="7"/>
  <c r="X232" i="7"/>
  <c r="T232" i="7"/>
  <c r="Y220" i="7"/>
  <c r="W220" i="7"/>
  <c r="T220" i="7"/>
  <c r="V220" i="7"/>
  <c r="X220" i="7"/>
  <c r="U220" i="7"/>
  <c r="W226" i="7"/>
  <c r="U226" i="7"/>
  <c r="V226" i="7"/>
  <c r="X226" i="7"/>
  <c r="Y226" i="7"/>
  <c r="T226" i="7"/>
  <c r="E235" i="7"/>
  <c r="Y224" i="7"/>
  <c r="V224" i="7"/>
  <c r="U224" i="7"/>
  <c r="X224" i="7"/>
  <c r="T224" i="7"/>
  <c r="W224" i="7"/>
  <c r="W231" i="7"/>
  <c r="Y231" i="7"/>
  <c r="V231" i="7"/>
  <c r="U231" i="7"/>
  <c r="X231" i="7"/>
  <c r="T231" i="7"/>
  <c r="P239" i="7"/>
  <c r="Q239" i="7" s="1"/>
  <c r="F149" i="6"/>
  <c r="E151" i="6"/>
  <c r="E159" i="6" s="1"/>
  <c r="AG239" i="7"/>
  <c r="AE239" i="7"/>
  <c r="AC239" i="7"/>
  <c r="AD239" i="7"/>
  <c r="AB239" i="7"/>
  <c r="AF239" i="7"/>
  <c r="Y169" i="7"/>
  <c r="U169" i="7"/>
  <c r="X169" i="7"/>
  <c r="V169" i="7"/>
  <c r="T169" i="7"/>
  <c r="W169" i="7"/>
  <c r="P35" i="6"/>
  <c r="D34" i="12"/>
  <c r="D23" i="12"/>
  <c r="E35" i="12"/>
  <c r="E23" i="12"/>
  <c r="F24" i="12"/>
  <c r="H238" i="6"/>
  <c r="G241" i="6"/>
  <c r="H11" i="13" l="1"/>
  <c r="I11" i="13" s="1"/>
  <c r="J11" i="13" s="1"/>
  <c r="K11" i="13" s="1"/>
  <c r="L11" i="13" s="1"/>
  <c r="M11" i="13" s="1"/>
  <c r="N11" i="13" s="1"/>
  <c r="G4" i="10"/>
  <c r="F13" i="10"/>
  <c r="I28" i="12"/>
  <c r="J28" i="12" s="1"/>
  <c r="K28" i="12" s="1"/>
  <c r="L28" i="12" s="1"/>
  <c r="M28" i="12" s="1"/>
  <c r="N28" i="12" s="1"/>
  <c r="B28" i="13" s="1"/>
  <c r="C28" i="13" s="1"/>
  <c r="D28" i="13" s="1"/>
  <c r="E28" i="13" s="1"/>
  <c r="F28" i="13" s="1"/>
  <c r="G28" i="13" s="1"/>
  <c r="H28" i="13" s="1"/>
  <c r="I28" i="13" s="1"/>
  <c r="J28" i="13" s="1"/>
  <c r="K28" i="13" s="1"/>
  <c r="L28" i="13" s="1"/>
  <c r="M28" i="13" s="1"/>
  <c r="N28" i="13" s="1"/>
  <c r="D32" i="13"/>
  <c r="E32" i="13" s="1"/>
  <c r="F32" i="13" s="1"/>
  <c r="G32" i="13" s="1"/>
  <c r="H32" i="13" s="1"/>
  <c r="I32" i="13" s="1"/>
  <c r="J32" i="13" s="1"/>
  <c r="K32" i="13" s="1"/>
  <c r="L32" i="13" s="1"/>
  <c r="M32" i="13" s="1"/>
  <c r="N32" i="13" s="1"/>
  <c r="F52" i="12"/>
  <c r="E51" i="12"/>
  <c r="U189" i="7"/>
  <c r="V189" i="7"/>
  <c r="T189" i="7"/>
  <c r="X189" i="7"/>
  <c r="Y189" i="7"/>
  <c r="W189" i="7"/>
  <c r="G96" i="7"/>
  <c r="F131" i="7"/>
  <c r="G261" i="7"/>
  <c r="F265" i="7"/>
  <c r="F194" i="7"/>
  <c r="F184" i="7"/>
  <c r="F92" i="7"/>
  <c r="F86" i="7"/>
  <c r="F178" i="7"/>
  <c r="F235" i="7"/>
  <c r="V239" i="7"/>
  <c r="T239" i="7"/>
  <c r="Y239" i="7"/>
  <c r="X239" i="7"/>
  <c r="U239" i="7"/>
  <c r="W239" i="7"/>
  <c r="G149" i="6"/>
  <c r="F151" i="6"/>
  <c r="F159" i="6" s="1"/>
  <c r="E34" i="12"/>
  <c r="D37" i="12"/>
  <c r="E37" i="12"/>
  <c r="F23" i="12"/>
  <c r="G24" i="12"/>
  <c r="I238" i="6"/>
  <c r="H241" i="6"/>
  <c r="G52" i="12" l="1"/>
  <c r="F51" i="12"/>
  <c r="H4" i="10"/>
  <c r="G13" i="10"/>
  <c r="F35" i="12"/>
  <c r="H96" i="7"/>
  <c r="G131" i="7"/>
  <c r="H261" i="7"/>
  <c r="G265" i="7"/>
  <c r="G194" i="7"/>
  <c r="G184" i="7"/>
  <c r="G92" i="7"/>
  <c r="G86" i="7"/>
  <c r="G178" i="7"/>
  <c r="G235" i="7"/>
  <c r="G151" i="6"/>
  <c r="G159" i="6" s="1"/>
  <c r="H149" i="6"/>
  <c r="G23" i="12"/>
  <c r="H24" i="12"/>
  <c r="J238" i="6"/>
  <c r="I241" i="6"/>
  <c r="I4" i="10" l="1"/>
  <c r="H13" i="10"/>
  <c r="F34" i="12"/>
  <c r="F37" i="12" s="1"/>
  <c r="G35" i="12"/>
  <c r="H52" i="12"/>
  <c r="G51" i="12"/>
  <c r="I261" i="7"/>
  <c r="H265" i="7"/>
  <c r="I96" i="7"/>
  <c r="H131" i="7"/>
  <c r="H194" i="7"/>
  <c r="H184" i="7"/>
  <c r="H92" i="7"/>
  <c r="H86" i="7"/>
  <c r="H178" i="7"/>
  <c r="H235" i="7"/>
  <c r="I149" i="6"/>
  <c r="H151" i="6"/>
  <c r="H159" i="6" s="1"/>
  <c r="H23" i="12"/>
  <c r="I24" i="12"/>
  <c r="K238" i="6"/>
  <c r="J241" i="6"/>
  <c r="H35" i="12" l="1"/>
  <c r="G34" i="12"/>
  <c r="G37" i="12" s="1"/>
  <c r="I52" i="12"/>
  <c r="H51" i="12"/>
  <c r="J4" i="10"/>
  <c r="I13" i="10"/>
  <c r="J96" i="7"/>
  <c r="I131" i="7"/>
  <c r="J261" i="7"/>
  <c r="I265" i="7"/>
  <c r="I194" i="7"/>
  <c r="I184" i="7"/>
  <c r="I92" i="7"/>
  <c r="I86" i="7"/>
  <c r="I178" i="7"/>
  <c r="I235" i="7"/>
  <c r="I151" i="6"/>
  <c r="I159" i="6" s="1"/>
  <c r="J149" i="6"/>
  <c r="I23" i="12"/>
  <c r="J24" i="12"/>
  <c r="K241" i="6"/>
  <c r="L238" i="6"/>
  <c r="J52" i="12" l="1"/>
  <c r="I51" i="12"/>
  <c r="K4" i="10"/>
  <c r="J13" i="10"/>
  <c r="I35" i="12"/>
  <c r="H34" i="12"/>
  <c r="H37" i="12" s="1"/>
  <c r="K261" i="7"/>
  <c r="J265" i="7"/>
  <c r="K96" i="7"/>
  <c r="J131" i="7"/>
  <c r="J194" i="7"/>
  <c r="J184" i="7"/>
  <c r="J92" i="7"/>
  <c r="J86" i="7"/>
  <c r="J178" i="7"/>
  <c r="J235" i="7"/>
  <c r="J151" i="6"/>
  <c r="J159" i="6" s="1"/>
  <c r="K149" i="6"/>
  <c r="J23" i="12"/>
  <c r="K24" i="12"/>
  <c r="M238" i="6"/>
  <c r="L241" i="6"/>
  <c r="L4" i="10" l="1"/>
  <c r="K13" i="10"/>
  <c r="I34" i="12"/>
  <c r="I37" i="12" s="1"/>
  <c r="J35" i="12"/>
  <c r="K52" i="12"/>
  <c r="J51" i="12"/>
  <c r="L96" i="7"/>
  <c r="K131" i="7"/>
  <c r="L261" i="7"/>
  <c r="K265" i="7"/>
  <c r="K194" i="7"/>
  <c r="K184" i="7"/>
  <c r="K92" i="7"/>
  <c r="K86" i="7"/>
  <c r="K178" i="7"/>
  <c r="K235" i="7"/>
  <c r="K151" i="6"/>
  <c r="K159" i="6" s="1"/>
  <c r="L149" i="6"/>
  <c r="K23" i="12"/>
  <c r="L24" i="12"/>
  <c r="P95" i="6"/>
  <c r="M241" i="6"/>
  <c r="N238" i="6"/>
  <c r="K35" i="12" l="1"/>
  <c r="J34" i="12"/>
  <c r="J37" i="12" s="1"/>
  <c r="L52" i="12"/>
  <c r="K51" i="12"/>
  <c r="M4" i="10"/>
  <c r="L13" i="10"/>
  <c r="M261" i="7"/>
  <c r="L265" i="7"/>
  <c r="M96" i="7"/>
  <c r="L131" i="7"/>
  <c r="L194" i="7"/>
  <c r="L184" i="7"/>
  <c r="L92" i="7"/>
  <c r="L86" i="7"/>
  <c r="L178" i="7"/>
  <c r="L235" i="7"/>
  <c r="L151" i="6"/>
  <c r="L159" i="6" s="1"/>
  <c r="M149" i="6"/>
  <c r="L23" i="12"/>
  <c r="M24" i="12"/>
  <c r="Q95" i="6"/>
  <c r="P131" i="6"/>
  <c r="O238" i="6"/>
  <c r="N241" i="6"/>
  <c r="M52" i="12" l="1"/>
  <c r="L51" i="12"/>
  <c r="Q131" i="6"/>
  <c r="R131" i="6" s="1"/>
  <c r="R95" i="6"/>
  <c r="B4" i="11"/>
  <c r="M13" i="10"/>
  <c r="K34" i="12"/>
  <c r="K37" i="12" s="1"/>
  <c r="L35" i="12"/>
  <c r="N96" i="7"/>
  <c r="M131" i="7"/>
  <c r="N261" i="7"/>
  <c r="M265" i="7"/>
  <c r="M194" i="7"/>
  <c r="M184" i="7"/>
  <c r="M92" i="7"/>
  <c r="M86" i="7"/>
  <c r="M178" i="7"/>
  <c r="M235" i="7"/>
  <c r="O241" i="6"/>
  <c r="O256" i="6" s="1"/>
  <c r="C238" i="7"/>
  <c r="M151" i="6"/>
  <c r="M159" i="6" s="1"/>
  <c r="N149" i="6"/>
  <c r="P238" i="6"/>
  <c r="Q238" i="6" s="1"/>
  <c r="M23" i="12"/>
  <c r="N24" i="12"/>
  <c r="N23" i="12" l="1"/>
  <c r="B24" i="13"/>
  <c r="C24" i="13" s="1"/>
  <c r="D24" i="13" s="1"/>
  <c r="E24" i="13" s="1"/>
  <c r="F24" i="13" s="1"/>
  <c r="G24" i="13" s="1"/>
  <c r="H24" i="13" s="1"/>
  <c r="I24" i="13" s="1"/>
  <c r="J24" i="13" s="1"/>
  <c r="K24" i="13" s="1"/>
  <c r="L24" i="13" s="1"/>
  <c r="M24" i="13" s="1"/>
  <c r="N24" i="13" s="1"/>
  <c r="L34" i="12"/>
  <c r="L37" i="12" s="1"/>
  <c r="M35" i="12"/>
  <c r="Q241" i="6"/>
  <c r="R241" i="6" s="1"/>
  <c r="R238" i="6"/>
  <c r="C4" i="11"/>
  <c r="B13" i="11"/>
  <c r="N52" i="12"/>
  <c r="N51" i="12" s="1"/>
  <c r="M51" i="12"/>
  <c r="O261" i="7"/>
  <c r="N265" i="7"/>
  <c r="P241" i="6"/>
  <c r="O96" i="7"/>
  <c r="N131" i="7"/>
  <c r="N194" i="7"/>
  <c r="N184" i="7"/>
  <c r="N92" i="7"/>
  <c r="N86" i="7"/>
  <c r="N178" i="7"/>
  <c r="N235" i="7"/>
  <c r="D238" i="7"/>
  <c r="C241" i="7"/>
  <c r="N151" i="6"/>
  <c r="N159" i="6" s="1"/>
  <c r="O149" i="6"/>
  <c r="P149" i="6" s="1"/>
  <c r="M34" i="12" l="1"/>
  <c r="M37" i="12" s="1"/>
  <c r="N35" i="12"/>
  <c r="D4" i="11"/>
  <c r="C13" i="11"/>
  <c r="O131" i="7"/>
  <c r="P96" i="7"/>
  <c r="O265" i="7"/>
  <c r="P261" i="7"/>
  <c r="AE187" i="7"/>
  <c r="AD187" i="7"/>
  <c r="O194" i="7"/>
  <c r="AG187" i="7"/>
  <c r="AC187" i="7"/>
  <c r="AF187" i="7"/>
  <c r="AB187" i="7"/>
  <c r="O184" i="7"/>
  <c r="O92" i="7"/>
  <c r="O86" i="7"/>
  <c r="AE173" i="7"/>
  <c r="AG173" i="7"/>
  <c r="AC173" i="7"/>
  <c r="AD173" i="7"/>
  <c r="AF173" i="7"/>
  <c r="AB173" i="7"/>
  <c r="O178" i="7"/>
  <c r="O251" i="7"/>
  <c r="P244" i="7"/>
  <c r="AF218" i="7"/>
  <c r="AB218" i="7"/>
  <c r="O235" i="7"/>
  <c r="AE218" i="7"/>
  <c r="AG218" i="7"/>
  <c r="AD218" i="7"/>
  <c r="P218" i="7"/>
  <c r="Q149" i="6"/>
  <c r="Q151" i="6" s="1"/>
  <c r="Q159" i="6" s="1"/>
  <c r="P151" i="6"/>
  <c r="P159" i="6" s="1"/>
  <c r="C149" i="7"/>
  <c r="O151" i="6"/>
  <c r="E238" i="7"/>
  <c r="D241" i="7"/>
  <c r="H23" i="16"/>
  <c r="H24" i="16" s="1"/>
  <c r="F23" i="16"/>
  <c r="E23" i="16"/>
  <c r="D23" i="16"/>
  <c r="D24" i="16" s="1"/>
  <c r="C23" i="16"/>
  <c r="C24" i="16" s="1"/>
  <c r="B23" i="16"/>
  <c r="B24" i="16" s="1"/>
  <c r="G22" i="16"/>
  <c r="G21" i="16"/>
  <c r="G23" i="16" s="1"/>
  <c r="G24" i="16" s="1"/>
  <c r="G9" i="16"/>
  <c r="E9" i="16"/>
  <c r="D9" i="16"/>
  <c r="C9" i="16"/>
  <c r="B9" i="16"/>
  <c r="G8" i="16"/>
  <c r="G10" i="16" s="1"/>
  <c r="F8" i="16"/>
  <c r="F10" i="16" s="1"/>
  <c r="E8" i="16"/>
  <c r="E10" i="16" s="1"/>
  <c r="D8" i="16"/>
  <c r="D10" i="16" s="1"/>
  <c r="C8" i="16"/>
  <c r="B8" i="16"/>
  <c r="B10" i="16" s="1"/>
  <c r="H4" i="16"/>
  <c r="H8" i="16" s="1"/>
  <c r="H10" i="16" s="1"/>
  <c r="H23" i="15"/>
  <c r="H24" i="15" s="1"/>
  <c r="F23" i="15"/>
  <c r="E23" i="15"/>
  <c r="D23" i="15"/>
  <c r="D24" i="15" s="1"/>
  <c r="C23" i="15"/>
  <c r="C24" i="15" s="1"/>
  <c r="B23" i="15"/>
  <c r="G22" i="15"/>
  <c r="G21" i="15"/>
  <c r="G23" i="15" s="1"/>
  <c r="G24" i="15" s="1"/>
  <c r="G9" i="15"/>
  <c r="E9" i="15"/>
  <c r="D9" i="15"/>
  <c r="C9" i="15"/>
  <c r="B9" i="15"/>
  <c r="F8" i="15"/>
  <c r="F10" i="15" s="1"/>
  <c r="E8" i="15"/>
  <c r="E10" i="15" s="1"/>
  <c r="D8" i="15"/>
  <c r="C8" i="15"/>
  <c r="B8" i="15"/>
  <c r="B10" i="15" s="1"/>
  <c r="H7" i="15"/>
  <c r="H6" i="15"/>
  <c r="H5" i="15"/>
  <c r="G4" i="15"/>
  <c r="H4" i="15" s="1"/>
  <c r="H8" i="15" s="1"/>
  <c r="H10" i="15" s="1"/>
  <c r="H23" i="14"/>
  <c r="H24" i="14" s="1"/>
  <c r="F23" i="14"/>
  <c r="E23" i="14"/>
  <c r="D23" i="14"/>
  <c r="D24" i="14" s="1"/>
  <c r="C23" i="14"/>
  <c r="C24" i="14" s="1"/>
  <c r="B23" i="14"/>
  <c r="G22" i="14"/>
  <c r="G21" i="14"/>
  <c r="G23" i="14" s="1"/>
  <c r="G24" i="14" s="1"/>
  <c r="G9" i="14"/>
  <c r="E9" i="14"/>
  <c r="D9" i="14"/>
  <c r="C9" i="14"/>
  <c r="B9" i="14"/>
  <c r="F8" i="14"/>
  <c r="F10" i="14" s="1"/>
  <c r="E8" i="14"/>
  <c r="E10" i="14" s="1"/>
  <c r="D8" i="14"/>
  <c r="C8" i="14"/>
  <c r="C10" i="14" s="1"/>
  <c r="B8" i="14"/>
  <c r="B10" i="14" s="1"/>
  <c r="H7" i="14"/>
  <c r="H6" i="14"/>
  <c r="H5" i="14"/>
  <c r="G4" i="14"/>
  <c r="H4" i="14" s="1"/>
  <c r="H8" i="14" s="1"/>
  <c r="H10" i="14" s="1"/>
  <c r="O53" i="13"/>
  <c r="O52" i="13"/>
  <c r="P51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O50" i="13"/>
  <c r="O49" i="13"/>
  <c r="O48" i="13"/>
  <c r="O47" i="13"/>
  <c r="O46" i="13"/>
  <c r="O45" i="13"/>
  <c r="O44" i="13"/>
  <c r="O43" i="13"/>
  <c r="O42" i="13"/>
  <c r="O41" i="13"/>
  <c r="N40" i="13"/>
  <c r="M40" i="13"/>
  <c r="L40" i="13"/>
  <c r="K40" i="13"/>
  <c r="J40" i="13"/>
  <c r="I40" i="13"/>
  <c r="H40" i="13"/>
  <c r="G40" i="13"/>
  <c r="F40" i="13"/>
  <c r="F54" i="13" s="1"/>
  <c r="E40" i="13"/>
  <c r="D40" i="13"/>
  <c r="C40" i="13"/>
  <c r="C54" i="13" s="1"/>
  <c r="O36" i="13"/>
  <c r="O33" i="13"/>
  <c r="O32" i="13"/>
  <c r="O31" i="13"/>
  <c r="O30" i="13"/>
  <c r="O29" i="13"/>
  <c r="O28" i="13"/>
  <c r="O27" i="13"/>
  <c r="O26" i="13"/>
  <c r="O25" i="13"/>
  <c r="O24" i="13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O19" i="13"/>
  <c r="O18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O16" i="13"/>
  <c r="O15" i="13"/>
  <c r="O14" i="13"/>
  <c r="O13" i="13"/>
  <c r="O12" i="13"/>
  <c r="O11" i="13"/>
  <c r="O10" i="13"/>
  <c r="O9" i="13"/>
  <c r="O8" i="13"/>
  <c r="O7" i="13"/>
  <c r="N6" i="13"/>
  <c r="M6" i="13"/>
  <c r="M20" i="13" s="1"/>
  <c r="L6" i="13"/>
  <c r="K6" i="13"/>
  <c r="J6" i="13"/>
  <c r="I6" i="13"/>
  <c r="I20" i="13" s="1"/>
  <c r="H6" i="13"/>
  <c r="G6" i="13"/>
  <c r="F6" i="13"/>
  <c r="E6" i="13"/>
  <c r="D6" i="13"/>
  <c r="C6" i="13"/>
  <c r="U26" i="13"/>
  <c r="AB3" i="13"/>
  <c r="O53" i="12"/>
  <c r="O52" i="12"/>
  <c r="P51" i="12"/>
  <c r="O50" i="12"/>
  <c r="O49" i="12"/>
  <c r="O48" i="12"/>
  <c r="O47" i="12"/>
  <c r="O46" i="12"/>
  <c r="O45" i="12"/>
  <c r="O44" i="12"/>
  <c r="O43" i="12"/>
  <c r="O42" i="12"/>
  <c r="O41" i="12"/>
  <c r="N40" i="12"/>
  <c r="N54" i="12" s="1"/>
  <c r="M40" i="12"/>
  <c r="M54" i="12" s="1"/>
  <c r="L40" i="12"/>
  <c r="L54" i="12" s="1"/>
  <c r="K40" i="12"/>
  <c r="K54" i="12" s="1"/>
  <c r="J40" i="12"/>
  <c r="J54" i="12" s="1"/>
  <c r="I40" i="12"/>
  <c r="I54" i="12" s="1"/>
  <c r="H40" i="12"/>
  <c r="H54" i="12" s="1"/>
  <c r="G40" i="12"/>
  <c r="G54" i="12" s="1"/>
  <c r="F40" i="12"/>
  <c r="F54" i="12" s="1"/>
  <c r="E40" i="12"/>
  <c r="E54" i="12" s="1"/>
  <c r="D40" i="12"/>
  <c r="D54" i="12" s="1"/>
  <c r="C40" i="12"/>
  <c r="O36" i="12"/>
  <c r="O35" i="12"/>
  <c r="O33" i="12"/>
  <c r="O32" i="12"/>
  <c r="O31" i="12"/>
  <c r="O30" i="12"/>
  <c r="O29" i="12"/>
  <c r="O28" i="12"/>
  <c r="O27" i="12"/>
  <c r="O26" i="12"/>
  <c r="O25" i="12"/>
  <c r="O24" i="12"/>
  <c r="C23" i="12"/>
  <c r="C37" i="12" s="1"/>
  <c r="B23" i="12"/>
  <c r="B37" i="12" s="1"/>
  <c r="O19" i="12"/>
  <c r="O18" i="12"/>
  <c r="O16" i="12"/>
  <c r="O15" i="12"/>
  <c r="O14" i="12"/>
  <c r="O13" i="12"/>
  <c r="O12" i="12"/>
  <c r="O11" i="12"/>
  <c r="O10" i="12"/>
  <c r="O9" i="12"/>
  <c r="O8" i="12"/>
  <c r="O7" i="12"/>
  <c r="N6" i="12"/>
  <c r="B6" i="13" s="1"/>
  <c r="B20" i="13" s="1"/>
  <c r="M6" i="12"/>
  <c r="L6" i="12"/>
  <c r="L20" i="12" s="1"/>
  <c r="K6" i="12"/>
  <c r="J6" i="12"/>
  <c r="J20" i="12" s="1"/>
  <c r="I6" i="12"/>
  <c r="H6" i="12"/>
  <c r="H20" i="12" s="1"/>
  <c r="G6" i="12"/>
  <c r="F6" i="12"/>
  <c r="F20" i="12" s="1"/>
  <c r="E6" i="12"/>
  <c r="D6" i="12"/>
  <c r="D20" i="12" s="1"/>
  <c r="C6" i="12"/>
  <c r="B6" i="12"/>
  <c r="B20" i="12" s="1"/>
  <c r="AE3" i="12"/>
  <c r="AE17" i="12" s="1"/>
  <c r="AC3" i="12"/>
  <c r="T15" i="12"/>
  <c r="AA3" i="12"/>
  <c r="M15" i="11"/>
  <c r="L15" i="11"/>
  <c r="K15" i="11"/>
  <c r="J15" i="11"/>
  <c r="I15" i="11"/>
  <c r="H15" i="11"/>
  <c r="G15" i="11"/>
  <c r="F15" i="11"/>
  <c r="E15" i="11"/>
  <c r="D15" i="11"/>
  <c r="C15" i="11"/>
  <c r="C17" i="11" s="1"/>
  <c r="B15" i="11"/>
  <c r="B17" i="11" s="1"/>
  <c r="N12" i="11"/>
  <c r="N11" i="11"/>
  <c r="N10" i="11"/>
  <c r="N9" i="11"/>
  <c r="N15" i="11" s="1"/>
  <c r="N8" i="11"/>
  <c r="N7" i="11"/>
  <c r="N6" i="11"/>
  <c r="N5" i="11"/>
  <c r="M15" i="10"/>
  <c r="M17" i="10" s="1"/>
  <c r="L15" i="10"/>
  <c r="L17" i="10" s="1"/>
  <c r="K15" i="10"/>
  <c r="K17" i="10" s="1"/>
  <c r="J15" i="10"/>
  <c r="J17" i="10" s="1"/>
  <c r="I15" i="10"/>
  <c r="I17" i="10" s="1"/>
  <c r="H15" i="10"/>
  <c r="H17" i="10" s="1"/>
  <c r="G15" i="10"/>
  <c r="G17" i="10" s="1"/>
  <c r="F15" i="10"/>
  <c r="F17" i="10" s="1"/>
  <c r="E15" i="10"/>
  <c r="E17" i="10" s="1"/>
  <c r="D15" i="10"/>
  <c r="D17" i="10" s="1"/>
  <c r="C15" i="10"/>
  <c r="C17" i="10" s="1"/>
  <c r="B15" i="10"/>
  <c r="B17" i="10" s="1"/>
  <c r="N12" i="10"/>
  <c r="N11" i="10"/>
  <c r="N10" i="10"/>
  <c r="N9" i="10"/>
  <c r="N8" i="10"/>
  <c r="N7" i="10"/>
  <c r="N6" i="10"/>
  <c r="N5" i="10"/>
  <c r="N4" i="10"/>
  <c r="V10" i="10"/>
  <c r="U14" i="10"/>
  <c r="T16" i="10"/>
  <c r="R16" i="10"/>
  <c r="Q14" i="10"/>
  <c r="P57" i="9"/>
  <c r="O57" i="9"/>
  <c r="N57" i="9"/>
  <c r="M57" i="9"/>
  <c r="L57" i="9"/>
  <c r="K57" i="9"/>
  <c r="J57" i="9"/>
  <c r="I57" i="9"/>
  <c r="H57" i="9"/>
  <c r="G57" i="9"/>
  <c r="T44" i="9"/>
  <c r="T34" i="9"/>
  <c r="T25" i="9"/>
  <c r="L26" i="9"/>
  <c r="T23" i="9"/>
  <c r="T20" i="9"/>
  <c r="T19" i="9"/>
  <c r="T16" i="9"/>
  <c r="P26" i="9"/>
  <c r="H26" i="9"/>
  <c r="T13" i="9"/>
  <c r="R10" i="9"/>
  <c r="Q10" i="9"/>
  <c r="M10" i="9"/>
  <c r="K10" i="9"/>
  <c r="J10" i="9"/>
  <c r="I10" i="9"/>
  <c r="Q57" i="9"/>
  <c r="D100" i="8"/>
  <c r="D91" i="8"/>
  <c r="D82" i="8"/>
  <c r="D73" i="8"/>
  <c r="D64" i="8"/>
  <c r="P57" i="8"/>
  <c r="O57" i="8"/>
  <c r="N57" i="8"/>
  <c r="M57" i="8"/>
  <c r="L57" i="8"/>
  <c r="K57" i="8"/>
  <c r="J57" i="8"/>
  <c r="I57" i="8"/>
  <c r="H57" i="8"/>
  <c r="G57" i="8"/>
  <c r="T44" i="8"/>
  <c r="T34" i="8"/>
  <c r="T25" i="8"/>
  <c r="T24" i="8"/>
  <c r="T23" i="8"/>
  <c r="T22" i="8"/>
  <c r="T21" i="8"/>
  <c r="T20" i="8"/>
  <c r="T19" i="8"/>
  <c r="T18" i="8"/>
  <c r="T17" i="8"/>
  <c r="T16" i="8"/>
  <c r="T15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G29" i="8" s="1"/>
  <c r="T13" i="8"/>
  <c r="R10" i="8"/>
  <c r="N10" i="8"/>
  <c r="J10" i="8"/>
  <c r="S10" i="8"/>
  <c r="O10" i="8"/>
  <c r="K10" i="8"/>
  <c r="G10" i="8"/>
  <c r="AH247" i="7"/>
  <c r="AH246" i="7"/>
  <c r="AH245" i="7"/>
  <c r="AH243" i="7"/>
  <c r="AH242" i="7"/>
  <c r="AH237" i="7"/>
  <c r="AH228" i="7"/>
  <c r="AH227" i="7"/>
  <c r="AH226" i="7"/>
  <c r="AH225" i="7"/>
  <c r="AH224" i="7"/>
  <c r="AH223" i="7"/>
  <c r="AH222" i="7"/>
  <c r="AH221" i="7"/>
  <c r="AH220" i="7"/>
  <c r="AH219" i="7"/>
  <c r="AH216" i="7"/>
  <c r="AH215" i="7"/>
  <c r="AH208" i="7"/>
  <c r="AH207" i="7"/>
  <c r="AH206" i="7"/>
  <c r="AH204" i="7"/>
  <c r="AH203" i="7"/>
  <c r="AH196" i="7"/>
  <c r="AH195" i="7"/>
  <c r="AH190" i="7"/>
  <c r="AH189" i="7"/>
  <c r="AH188" i="7"/>
  <c r="AH186" i="7"/>
  <c r="AH185" i="7"/>
  <c r="AH172" i="7"/>
  <c r="AH171" i="7"/>
  <c r="AH170" i="7"/>
  <c r="AH169" i="7"/>
  <c r="AH168" i="7"/>
  <c r="AH167" i="7"/>
  <c r="AH138" i="7"/>
  <c r="AH135" i="7"/>
  <c r="AH254" i="6"/>
  <c r="AG254" i="6"/>
  <c r="AF254" i="6"/>
  <c r="AE254" i="6"/>
  <c r="AD254" i="6"/>
  <c r="AC254" i="6"/>
  <c r="Z254" i="6"/>
  <c r="Y254" i="6"/>
  <c r="X254" i="6"/>
  <c r="W254" i="6"/>
  <c r="V254" i="6"/>
  <c r="U254" i="6"/>
  <c r="AH249" i="6"/>
  <c r="AG249" i="6"/>
  <c r="AF249" i="6"/>
  <c r="AE249" i="6"/>
  <c r="AD249" i="6"/>
  <c r="AC249" i="6"/>
  <c r="AH248" i="6"/>
  <c r="AG248" i="6"/>
  <c r="AF248" i="6"/>
  <c r="AE248" i="6"/>
  <c r="AD248" i="6"/>
  <c r="AC248" i="6"/>
  <c r="AH247" i="6"/>
  <c r="AG247" i="6"/>
  <c r="AF247" i="6"/>
  <c r="AE247" i="6"/>
  <c r="AD247" i="6"/>
  <c r="AC247" i="6"/>
  <c r="AH246" i="6"/>
  <c r="AG246" i="6"/>
  <c r="AF246" i="6"/>
  <c r="AE246" i="6"/>
  <c r="AD246" i="6"/>
  <c r="AC246" i="6"/>
  <c r="AH245" i="6"/>
  <c r="AG245" i="6"/>
  <c r="AF245" i="6"/>
  <c r="AE245" i="6"/>
  <c r="AD245" i="6"/>
  <c r="AC245" i="6"/>
  <c r="AG244" i="6"/>
  <c r="AF244" i="6"/>
  <c r="AE244" i="6"/>
  <c r="AH239" i="6"/>
  <c r="AG239" i="6"/>
  <c r="AF239" i="6"/>
  <c r="AE239" i="6"/>
  <c r="AD239" i="6"/>
  <c r="AC239" i="6"/>
  <c r="Z239" i="6"/>
  <c r="Y239" i="6"/>
  <c r="X239" i="6"/>
  <c r="W239" i="6"/>
  <c r="V239" i="6"/>
  <c r="U239" i="6"/>
  <c r="AH238" i="6"/>
  <c r="AG238" i="6"/>
  <c r="AF238" i="6"/>
  <c r="AE238" i="6"/>
  <c r="AD238" i="6"/>
  <c r="AC238" i="6"/>
  <c r="Z238" i="6"/>
  <c r="Y238" i="6"/>
  <c r="X238" i="6"/>
  <c r="W238" i="6"/>
  <c r="V238" i="6"/>
  <c r="U238" i="6"/>
  <c r="AH233" i="6"/>
  <c r="AG233" i="6"/>
  <c r="AF233" i="6"/>
  <c r="AE233" i="6"/>
  <c r="AD233" i="6"/>
  <c r="AC233" i="6"/>
  <c r="Z233" i="6"/>
  <c r="Y233" i="6"/>
  <c r="X233" i="6"/>
  <c r="W233" i="6"/>
  <c r="V233" i="6"/>
  <c r="U233" i="6"/>
  <c r="AH232" i="6"/>
  <c r="AG232" i="6"/>
  <c r="AF232" i="6"/>
  <c r="AE232" i="6"/>
  <c r="AD232" i="6"/>
  <c r="AC232" i="6"/>
  <c r="Z232" i="6"/>
  <c r="Y232" i="6"/>
  <c r="X232" i="6"/>
  <c r="W232" i="6"/>
  <c r="V232" i="6"/>
  <c r="U232" i="6"/>
  <c r="AH231" i="6"/>
  <c r="AG231" i="6"/>
  <c r="AF231" i="6"/>
  <c r="AE231" i="6"/>
  <c r="AD231" i="6"/>
  <c r="AC231" i="6"/>
  <c r="Z231" i="6"/>
  <c r="Y231" i="6"/>
  <c r="X231" i="6"/>
  <c r="W231" i="6"/>
  <c r="V231" i="6"/>
  <c r="U231" i="6"/>
  <c r="AH230" i="6"/>
  <c r="AG230" i="6"/>
  <c r="AF230" i="6"/>
  <c r="AE230" i="6"/>
  <c r="AD230" i="6"/>
  <c r="AC230" i="6"/>
  <c r="Z230" i="6"/>
  <c r="Y230" i="6"/>
  <c r="X230" i="6"/>
  <c r="W230" i="6"/>
  <c r="V230" i="6"/>
  <c r="U230" i="6"/>
  <c r="AH229" i="6"/>
  <c r="AG229" i="6"/>
  <c r="AF229" i="6"/>
  <c r="AE229" i="6"/>
  <c r="AD229" i="6"/>
  <c r="AC229" i="6"/>
  <c r="Z229" i="6"/>
  <c r="Y229" i="6"/>
  <c r="X229" i="6"/>
  <c r="W229" i="6"/>
  <c r="V229" i="6"/>
  <c r="U229" i="6"/>
  <c r="AH228" i="6"/>
  <c r="AG228" i="6"/>
  <c r="AF228" i="6"/>
  <c r="AE228" i="6"/>
  <c r="AD228" i="6"/>
  <c r="AC228" i="6"/>
  <c r="Z228" i="6"/>
  <c r="Y228" i="6"/>
  <c r="X228" i="6"/>
  <c r="W228" i="6"/>
  <c r="V228" i="6"/>
  <c r="U228" i="6"/>
  <c r="AH227" i="6"/>
  <c r="AG227" i="6"/>
  <c r="AF227" i="6"/>
  <c r="AE227" i="6"/>
  <c r="AD227" i="6"/>
  <c r="AC227" i="6"/>
  <c r="Z227" i="6"/>
  <c r="Y227" i="6"/>
  <c r="X227" i="6"/>
  <c r="W227" i="6"/>
  <c r="V227" i="6"/>
  <c r="U227" i="6"/>
  <c r="AH226" i="6"/>
  <c r="AG226" i="6"/>
  <c r="AF226" i="6"/>
  <c r="AE226" i="6"/>
  <c r="AD226" i="6"/>
  <c r="AC226" i="6"/>
  <c r="Z226" i="6"/>
  <c r="Y226" i="6"/>
  <c r="X226" i="6"/>
  <c r="W226" i="6"/>
  <c r="V226" i="6"/>
  <c r="U226" i="6"/>
  <c r="AH225" i="6"/>
  <c r="AG225" i="6"/>
  <c r="AF225" i="6"/>
  <c r="AE225" i="6"/>
  <c r="AD225" i="6"/>
  <c r="AC225" i="6"/>
  <c r="Z225" i="6"/>
  <c r="Y225" i="6"/>
  <c r="X225" i="6"/>
  <c r="W225" i="6"/>
  <c r="V225" i="6"/>
  <c r="U225" i="6"/>
  <c r="AH224" i="6"/>
  <c r="AG224" i="6"/>
  <c r="AF224" i="6"/>
  <c r="AE224" i="6"/>
  <c r="AD224" i="6"/>
  <c r="AC224" i="6"/>
  <c r="Z224" i="6"/>
  <c r="Y224" i="6"/>
  <c r="X224" i="6"/>
  <c r="W224" i="6"/>
  <c r="V224" i="6"/>
  <c r="U224" i="6"/>
  <c r="AH223" i="6"/>
  <c r="AG223" i="6"/>
  <c r="AF223" i="6"/>
  <c r="AE223" i="6"/>
  <c r="AD223" i="6"/>
  <c r="AC223" i="6"/>
  <c r="Z223" i="6"/>
  <c r="Y223" i="6"/>
  <c r="X223" i="6"/>
  <c r="W223" i="6"/>
  <c r="V223" i="6"/>
  <c r="U223" i="6"/>
  <c r="AH222" i="6"/>
  <c r="AG222" i="6"/>
  <c r="AF222" i="6"/>
  <c r="AE222" i="6"/>
  <c r="AD222" i="6"/>
  <c r="AC222" i="6"/>
  <c r="Z222" i="6"/>
  <c r="Y222" i="6"/>
  <c r="X222" i="6"/>
  <c r="W222" i="6"/>
  <c r="V222" i="6"/>
  <c r="U222" i="6"/>
  <c r="AH221" i="6"/>
  <c r="AG221" i="6"/>
  <c r="AF221" i="6"/>
  <c r="AE221" i="6"/>
  <c r="AD221" i="6"/>
  <c r="AC221" i="6"/>
  <c r="Z221" i="6"/>
  <c r="Y221" i="6"/>
  <c r="X221" i="6"/>
  <c r="W221" i="6"/>
  <c r="V221" i="6"/>
  <c r="U221" i="6"/>
  <c r="AH220" i="6"/>
  <c r="AG220" i="6"/>
  <c r="AF220" i="6"/>
  <c r="AE220" i="6"/>
  <c r="AD220" i="6"/>
  <c r="AC220" i="6"/>
  <c r="Z220" i="6"/>
  <c r="Y220" i="6"/>
  <c r="X220" i="6"/>
  <c r="W220" i="6"/>
  <c r="V220" i="6"/>
  <c r="U220" i="6"/>
  <c r="AH219" i="6"/>
  <c r="AG219" i="6"/>
  <c r="AF219" i="6"/>
  <c r="AE219" i="6"/>
  <c r="AD219" i="6"/>
  <c r="AC219" i="6"/>
  <c r="Z219" i="6"/>
  <c r="Y219" i="6"/>
  <c r="X219" i="6"/>
  <c r="W219" i="6"/>
  <c r="V219" i="6"/>
  <c r="U219" i="6"/>
  <c r="AH218" i="6"/>
  <c r="AG218" i="6"/>
  <c r="AF218" i="6"/>
  <c r="AE218" i="6"/>
  <c r="AC218" i="6"/>
  <c r="Z218" i="6"/>
  <c r="Y218" i="6"/>
  <c r="X218" i="6"/>
  <c r="W218" i="6"/>
  <c r="V218" i="6"/>
  <c r="U218" i="6"/>
  <c r="AI217" i="6"/>
  <c r="AH210" i="6"/>
  <c r="AG210" i="6"/>
  <c r="AF210" i="6"/>
  <c r="AE210" i="6"/>
  <c r="AD210" i="6"/>
  <c r="AC210" i="6"/>
  <c r="Z210" i="6"/>
  <c r="Y210" i="6"/>
  <c r="X210" i="6"/>
  <c r="W210" i="6"/>
  <c r="V210" i="6"/>
  <c r="U210" i="6"/>
  <c r="AH209" i="6"/>
  <c r="AG209" i="6"/>
  <c r="AF209" i="6"/>
  <c r="AE209" i="6"/>
  <c r="AD209" i="6"/>
  <c r="AC209" i="6"/>
  <c r="Z209" i="6"/>
  <c r="Y209" i="6"/>
  <c r="X209" i="6"/>
  <c r="W209" i="6"/>
  <c r="V209" i="6"/>
  <c r="U209" i="6"/>
  <c r="AH208" i="6"/>
  <c r="AG208" i="6"/>
  <c r="AF208" i="6"/>
  <c r="AE208" i="6"/>
  <c r="AD208" i="6"/>
  <c r="AC208" i="6"/>
  <c r="Z208" i="6"/>
  <c r="Y208" i="6"/>
  <c r="X208" i="6"/>
  <c r="W208" i="6"/>
  <c r="V208" i="6"/>
  <c r="U208" i="6"/>
  <c r="AH207" i="6"/>
  <c r="AG207" i="6"/>
  <c r="AF207" i="6"/>
  <c r="AE207" i="6"/>
  <c r="AD207" i="6"/>
  <c r="AC207" i="6"/>
  <c r="Z207" i="6"/>
  <c r="Y207" i="6"/>
  <c r="X207" i="6"/>
  <c r="W207" i="6"/>
  <c r="V207" i="6"/>
  <c r="U207" i="6"/>
  <c r="AH206" i="6"/>
  <c r="AG206" i="6"/>
  <c r="AF206" i="6"/>
  <c r="AE206" i="6"/>
  <c r="AD206" i="6"/>
  <c r="AC206" i="6"/>
  <c r="Z206" i="6"/>
  <c r="Y206" i="6"/>
  <c r="X206" i="6"/>
  <c r="W206" i="6"/>
  <c r="V206" i="6"/>
  <c r="U206" i="6"/>
  <c r="AH197" i="6"/>
  <c r="AG197" i="6"/>
  <c r="AF197" i="6"/>
  <c r="AE197" i="6"/>
  <c r="AD197" i="6"/>
  <c r="AC197" i="6"/>
  <c r="Z197" i="6"/>
  <c r="Y197" i="6"/>
  <c r="X197" i="6"/>
  <c r="W197" i="6"/>
  <c r="V197" i="6"/>
  <c r="U197" i="6"/>
  <c r="AH192" i="6"/>
  <c r="AG192" i="6"/>
  <c r="AF192" i="6"/>
  <c r="AE192" i="6"/>
  <c r="AD192" i="6"/>
  <c r="AC192" i="6"/>
  <c r="Z192" i="6"/>
  <c r="Y192" i="6"/>
  <c r="X192" i="6"/>
  <c r="W192" i="6"/>
  <c r="V192" i="6"/>
  <c r="U192" i="6"/>
  <c r="AH191" i="6"/>
  <c r="AG191" i="6"/>
  <c r="AF191" i="6"/>
  <c r="AE191" i="6"/>
  <c r="AD191" i="6"/>
  <c r="AC191" i="6"/>
  <c r="Z191" i="6"/>
  <c r="Y191" i="6"/>
  <c r="X191" i="6"/>
  <c r="W191" i="6"/>
  <c r="V191" i="6"/>
  <c r="U191" i="6"/>
  <c r="AH190" i="6"/>
  <c r="AG190" i="6"/>
  <c r="AF190" i="6"/>
  <c r="AE190" i="6"/>
  <c r="AD190" i="6"/>
  <c r="AC190" i="6"/>
  <c r="Z190" i="6"/>
  <c r="Y190" i="6"/>
  <c r="X190" i="6"/>
  <c r="W190" i="6"/>
  <c r="V190" i="6"/>
  <c r="U190" i="6"/>
  <c r="AH189" i="6"/>
  <c r="AG189" i="6"/>
  <c r="AF189" i="6"/>
  <c r="AE189" i="6"/>
  <c r="AD189" i="6"/>
  <c r="AC189" i="6"/>
  <c r="Z189" i="6"/>
  <c r="Y189" i="6"/>
  <c r="X189" i="6"/>
  <c r="W189" i="6"/>
  <c r="V189" i="6"/>
  <c r="U189" i="6"/>
  <c r="AH188" i="6"/>
  <c r="AG188" i="6"/>
  <c r="AF188" i="6"/>
  <c r="AE188" i="6"/>
  <c r="AD188" i="6"/>
  <c r="AC188" i="6"/>
  <c r="Z188" i="6"/>
  <c r="Y188" i="6"/>
  <c r="X188" i="6"/>
  <c r="W188" i="6"/>
  <c r="V188" i="6"/>
  <c r="U188" i="6"/>
  <c r="AH187" i="6"/>
  <c r="AG187" i="6"/>
  <c r="AF187" i="6"/>
  <c r="AE187" i="6"/>
  <c r="AD187" i="6"/>
  <c r="AC187" i="6"/>
  <c r="Z187" i="6"/>
  <c r="Y187" i="6"/>
  <c r="X187" i="6"/>
  <c r="W187" i="6"/>
  <c r="V187" i="6"/>
  <c r="U187" i="6"/>
  <c r="AH176" i="6"/>
  <c r="AG176" i="6"/>
  <c r="AF176" i="6"/>
  <c r="AE176" i="6"/>
  <c r="AD176" i="6"/>
  <c r="AC176" i="6"/>
  <c r="Z176" i="6"/>
  <c r="Y176" i="6"/>
  <c r="X176" i="6"/>
  <c r="W176" i="6"/>
  <c r="V176" i="6"/>
  <c r="U176" i="6"/>
  <c r="AH175" i="6"/>
  <c r="AG175" i="6"/>
  <c r="AF175" i="6"/>
  <c r="AE175" i="6"/>
  <c r="AD175" i="6"/>
  <c r="AC175" i="6"/>
  <c r="Z175" i="6"/>
  <c r="Y175" i="6"/>
  <c r="X175" i="6"/>
  <c r="W175" i="6"/>
  <c r="V175" i="6"/>
  <c r="U175" i="6"/>
  <c r="AH174" i="6"/>
  <c r="AG174" i="6"/>
  <c r="AF174" i="6"/>
  <c r="AE174" i="6"/>
  <c r="AD174" i="6"/>
  <c r="AC174" i="6"/>
  <c r="Z174" i="6"/>
  <c r="Y174" i="6"/>
  <c r="X174" i="6"/>
  <c r="W174" i="6"/>
  <c r="V174" i="6"/>
  <c r="U174" i="6"/>
  <c r="AH173" i="6"/>
  <c r="AG173" i="6"/>
  <c r="AF173" i="6"/>
  <c r="AE173" i="6"/>
  <c r="AD173" i="6"/>
  <c r="AC173" i="6"/>
  <c r="Z173" i="6"/>
  <c r="Y173" i="6"/>
  <c r="X173" i="6"/>
  <c r="W173" i="6"/>
  <c r="V173" i="6"/>
  <c r="U173" i="6"/>
  <c r="AH172" i="6"/>
  <c r="AG172" i="6"/>
  <c r="AF172" i="6"/>
  <c r="AE172" i="6"/>
  <c r="AD172" i="6"/>
  <c r="AC172" i="6"/>
  <c r="Z172" i="6"/>
  <c r="Y172" i="6"/>
  <c r="X172" i="6"/>
  <c r="W172" i="6"/>
  <c r="V172" i="6"/>
  <c r="U172" i="6"/>
  <c r="AH171" i="6"/>
  <c r="AG171" i="6"/>
  <c r="AF171" i="6"/>
  <c r="AE171" i="6"/>
  <c r="AD171" i="6"/>
  <c r="AC171" i="6"/>
  <c r="Z171" i="6"/>
  <c r="Y171" i="6"/>
  <c r="X171" i="6"/>
  <c r="W171" i="6"/>
  <c r="V171" i="6"/>
  <c r="U171" i="6"/>
  <c r="AH170" i="6"/>
  <c r="AG170" i="6"/>
  <c r="AF170" i="6"/>
  <c r="AE170" i="6"/>
  <c r="AD170" i="6"/>
  <c r="AC170" i="6"/>
  <c r="Z170" i="6"/>
  <c r="Y170" i="6"/>
  <c r="X170" i="6"/>
  <c r="W170" i="6"/>
  <c r="V170" i="6"/>
  <c r="U170" i="6"/>
  <c r="AH169" i="6"/>
  <c r="AG169" i="6"/>
  <c r="AF169" i="6"/>
  <c r="AE169" i="6"/>
  <c r="AD169" i="6"/>
  <c r="AC169" i="6"/>
  <c r="Z169" i="6"/>
  <c r="Y169" i="6"/>
  <c r="X169" i="6"/>
  <c r="W169" i="6"/>
  <c r="V169" i="6"/>
  <c r="U169" i="6"/>
  <c r="AH155" i="6"/>
  <c r="AG155" i="6"/>
  <c r="AF155" i="6"/>
  <c r="AE155" i="6"/>
  <c r="AD155" i="6"/>
  <c r="AC155" i="6"/>
  <c r="Z155" i="6"/>
  <c r="Y155" i="6"/>
  <c r="X155" i="6"/>
  <c r="W155" i="6"/>
  <c r="V155" i="6"/>
  <c r="U155" i="6"/>
  <c r="AH154" i="6"/>
  <c r="AG154" i="6"/>
  <c r="AF154" i="6"/>
  <c r="AE154" i="6"/>
  <c r="AD154" i="6"/>
  <c r="AC154" i="6"/>
  <c r="Z154" i="6"/>
  <c r="Y154" i="6"/>
  <c r="X154" i="6"/>
  <c r="W154" i="6"/>
  <c r="V154" i="6"/>
  <c r="U154" i="6"/>
  <c r="AH140" i="6"/>
  <c r="AG140" i="6"/>
  <c r="AF140" i="6"/>
  <c r="AE140" i="6"/>
  <c r="AD140" i="6"/>
  <c r="AC140" i="6"/>
  <c r="Z140" i="6"/>
  <c r="Y140" i="6"/>
  <c r="X140" i="6"/>
  <c r="W140" i="6"/>
  <c r="V140" i="6"/>
  <c r="U140" i="6"/>
  <c r="Z137" i="6"/>
  <c r="Y137" i="6"/>
  <c r="X137" i="6"/>
  <c r="W137" i="6"/>
  <c r="V137" i="6"/>
  <c r="U137" i="6"/>
  <c r="AH92" i="6"/>
  <c r="AG92" i="6"/>
  <c r="AF92" i="6"/>
  <c r="AE92" i="6"/>
  <c r="AD92" i="6"/>
  <c r="AC92" i="6"/>
  <c r="Z92" i="6"/>
  <c r="Y92" i="6"/>
  <c r="X92" i="6"/>
  <c r="W92" i="6"/>
  <c r="V92" i="6"/>
  <c r="U92" i="6"/>
  <c r="AH86" i="6"/>
  <c r="AG86" i="6"/>
  <c r="AF86" i="6"/>
  <c r="AE86" i="6"/>
  <c r="AD86" i="6"/>
  <c r="AC86" i="6"/>
  <c r="Z86" i="6"/>
  <c r="Y86" i="6"/>
  <c r="X86" i="6"/>
  <c r="W86" i="6"/>
  <c r="V86" i="6"/>
  <c r="U86" i="6"/>
  <c r="S35" i="6"/>
  <c r="G8" i="14" l="1"/>
  <c r="G10" i="14" s="1"/>
  <c r="C10" i="15"/>
  <c r="G8" i="15"/>
  <c r="G10" i="15" s="1"/>
  <c r="AH218" i="7"/>
  <c r="D13" i="11"/>
  <c r="D17" i="11" s="1"/>
  <c r="E4" i="11"/>
  <c r="H54" i="13"/>
  <c r="D10" i="14"/>
  <c r="B24" i="14"/>
  <c r="F24" i="14"/>
  <c r="D10" i="15"/>
  <c r="C10" i="16"/>
  <c r="F24" i="16"/>
  <c r="N34" i="12"/>
  <c r="N37" i="12" s="1"/>
  <c r="B35" i="13"/>
  <c r="O159" i="6"/>
  <c r="R159" i="6" s="1"/>
  <c r="R151" i="6"/>
  <c r="AH187" i="7"/>
  <c r="R149" i="6"/>
  <c r="Q261" i="7"/>
  <c r="Q265" i="7" s="1"/>
  <c r="P265" i="7"/>
  <c r="Q96" i="7"/>
  <c r="Q131" i="7" s="1"/>
  <c r="P131" i="7"/>
  <c r="P194" i="7"/>
  <c r="Q184" i="7"/>
  <c r="P184" i="7"/>
  <c r="AH173" i="7"/>
  <c r="Q92" i="7"/>
  <c r="P92" i="7"/>
  <c r="AF92" i="7"/>
  <c r="AB92" i="7"/>
  <c r="AG92" i="7"/>
  <c r="AE92" i="7"/>
  <c r="AD92" i="7"/>
  <c r="AC92" i="7"/>
  <c r="Q86" i="7"/>
  <c r="P86" i="7"/>
  <c r="AD86" i="7"/>
  <c r="AC86" i="7"/>
  <c r="AG86" i="7"/>
  <c r="AE86" i="7"/>
  <c r="AF86" i="7"/>
  <c r="AB86" i="7"/>
  <c r="U9" i="12"/>
  <c r="U13" i="12"/>
  <c r="C11" i="16"/>
  <c r="N13" i="10"/>
  <c r="T13" i="10" s="1"/>
  <c r="Q16" i="10"/>
  <c r="P178" i="7"/>
  <c r="P251" i="7"/>
  <c r="P252" i="7" s="1"/>
  <c r="Q244" i="7"/>
  <c r="Q218" i="7"/>
  <c r="P235" i="7"/>
  <c r="V4" i="10"/>
  <c r="U11" i="13"/>
  <c r="Q6" i="10"/>
  <c r="U10" i="10"/>
  <c r="V10" i="12"/>
  <c r="U7" i="13"/>
  <c r="T24" i="9"/>
  <c r="U7" i="12"/>
  <c r="T13" i="13"/>
  <c r="U24" i="13"/>
  <c r="T28" i="13"/>
  <c r="U32" i="13"/>
  <c r="V36" i="12"/>
  <c r="D149" i="7"/>
  <c r="C151" i="7"/>
  <c r="C159" i="7" s="1"/>
  <c r="F238" i="7"/>
  <c r="E241" i="7"/>
  <c r="S11" i="10"/>
  <c r="U6" i="10"/>
  <c r="W35" i="12"/>
  <c r="W10" i="13"/>
  <c r="J26" i="9"/>
  <c r="R26" i="9"/>
  <c r="Q26" i="9"/>
  <c r="T11" i="10"/>
  <c r="T18" i="13"/>
  <c r="N10" i="9"/>
  <c r="G26" i="9"/>
  <c r="K26" i="9"/>
  <c r="O26" i="9"/>
  <c r="S26" i="9"/>
  <c r="T17" i="9"/>
  <c r="T18" i="9"/>
  <c r="T21" i="9"/>
  <c r="T22" i="9"/>
  <c r="S5" i="10"/>
  <c r="T7" i="10"/>
  <c r="T10" i="10"/>
  <c r="V12" i="10"/>
  <c r="U16" i="10"/>
  <c r="AB3" i="12"/>
  <c r="AB50" i="12" s="1"/>
  <c r="U11" i="12"/>
  <c r="V14" i="12"/>
  <c r="W24" i="12"/>
  <c r="W28" i="12"/>
  <c r="W32" i="12"/>
  <c r="AC3" i="13"/>
  <c r="AC36" i="13" s="1"/>
  <c r="U8" i="13"/>
  <c r="T15" i="13"/>
  <c r="T19" i="13"/>
  <c r="U29" i="13"/>
  <c r="S8" i="10"/>
  <c r="S13" i="10"/>
  <c r="N26" i="9"/>
  <c r="I26" i="9"/>
  <c r="M26" i="9"/>
  <c r="S4" i="10"/>
  <c r="S9" i="10"/>
  <c r="T19" i="12"/>
  <c r="T6" i="10"/>
  <c r="V8" i="10"/>
  <c r="Q10" i="10"/>
  <c r="S12" i="10"/>
  <c r="U15" i="12"/>
  <c r="U18" i="12"/>
  <c r="V25" i="12"/>
  <c r="V29" i="12"/>
  <c r="V33" i="12"/>
  <c r="T9" i="13"/>
  <c r="U12" i="13"/>
  <c r="T16" i="13"/>
  <c r="U30" i="13"/>
  <c r="S86" i="6"/>
  <c r="G54" i="13"/>
  <c r="K54" i="13"/>
  <c r="L54" i="13"/>
  <c r="D54" i="13"/>
  <c r="O40" i="13"/>
  <c r="V36" i="13"/>
  <c r="W36" i="13"/>
  <c r="W29" i="13"/>
  <c r="S30" i="13"/>
  <c r="O23" i="13"/>
  <c r="V23" i="13" s="1"/>
  <c r="O51" i="12"/>
  <c r="C54" i="12"/>
  <c r="R19" i="13"/>
  <c r="D20" i="13"/>
  <c r="H20" i="13"/>
  <c r="E20" i="13"/>
  <c r="W7" i="13"/>
  <c r="T11" i="13"/>
  <c r="U15" i="13"/>
  <c r="T10" i="13"/>
  <c r="W11" i="13"/>
  <c r="S7" i="13"/>
  <c r="T7" i="13"/>
  <c r="S11" i="13"/>
  <c r="N20" i="12"/>
  <c r="T13" i="12"/>
  <c r="R13" i="12"/>
  <c r="W10" i="12"/>
  <c r="R15" i="12"/>
  <c r="R18" i="12"/>
  <c r="R7" i="12"/>
  <c r="V7" i="12"/>
  <c r="V18" i="12"/>
  <c r="T9" i="12"/>
  <c r="S14" i="12"/>
  <c r="V15" i="12"/>
  <c r="R11" i="12"/>
  <c r="W14" i="12"/>
  <c r="S10" i="12"/>
  <c r="V11" i="12"/>
  <c r="S137" i="6"/>
  <c r="S92" i="6"/>
  <c r="AI228" i="6"/>
  <c r="AI229" i="6"/>
  <c r="AI172" i="6"/>
  <c r="AI248" i="6"/>
  <c r="AI190" i="6"/>
  <c r="AI191" i="6"/>
  <c r="AI192" i="6"/>
  <c r="AI171" i="6"/>
  <c r="AI247" i="6"/>
  <c r="AI208" i="6"/>
  <c r="AI209" i="6"/>
  <c r="AI173" i="6"/>
  <c r="AI174" i="6"/>
  <c r="AI197" i="6"/>
  <c r="AI220" i="6"/>
  <c r="AI221" i="6"/>
  <c r="AI230" i="6"/>
  <c r="AI238" i="6"/>
  <c r="AI249" i="6"/>
  <c r="AI254" i="6"/>
  <c r="AI86" i="6"/>
  <c r="AI92" i="6"/>
  <c r="AI140" i="6"/>
  <c r="AI175" i="6"/>
  <c r="AI187" i="6"/>
  <c r="AI210" i="6"/>
  <c r="AI218" i="6"/>
  <c r="AI222" i="6"/>
  <c r="AI223" i="6"/>
  <c r="AI239" i="6"/>
  <c r="AI244" i="6"/>
  <c r="AI169" i="6"/>
  <c r="AI170" i="6"/>
  <c r="AI188" i="6"/>
  <c r="AI189" i="6"/>
  <c r="AI206" i="6"/>
  <c r="AI207" i="6"/>
  <c r="AI224" i="6"/>
  <c r="AI225" i="6"/>
  <c r="AI226" i="6"/>
  <c r="AI227" i="6"/>
  <c r="AI245" i="6"/>
  <c r="AI246" i="6"/>
  <c r="D11" i="16"/>
  <c r="E11" i="16"/>
  <c r="G11" i="16"/>
  <c r="H13" i="16"/>
  <c r="H11" i="16"/>
  <c r="B11" i="16"/>
  <c r="F11" i="16"/>
  <c r="E24" i="16"/>
  <c r="D11" i="15"/>
  <c r="H11" i="15"/>
  <c r="H13" i="15"/>
  <c r="H15" i="15" s="1"/>
  <c r="B11" i="15"/>
  <c r="F11" i="15"/>
  <c r="C11" i="15"/>
  <c r="G11" i="15"/>
  <c r="E11" i="15"/>
  <c r="E24" i="15"/>
  <c r="B24" i="15"/>
  <c r="F24" i="15"/>
  <c r="H13" i="14"/>
  <c r="H15" i="14" s="1"/>
  <c r="H11" i="14"/>
  <c r="F11" i="14"/>
  <c r="C11" i="14"/>
  <c r="D11" i="14"/>
  <c r="B11" i="14"/>
  <c r="G11" i="14"/>
  <c r="E11" i="14"/>
  <c r="E24" i="14"/>
  <c r="AB32" i="13"/>
  <c r="AB28" i="13"/>
  <c r="AB24" i="13"/>
  <c r="AB33" i="13"/>
  <c r="AB31" i="13"/>
  <c r="AB29" i="13"/>
  <c r="AB27" i="13"/>
  <c r="AB25" i="13"/>
  <c r="AB16" i="13"/>
  <c r="AB52" i="13"/>
  <c r="AB47" i="13"/>
  <c r="AB36" i="13"/>
  <c r="AB18" i="13"/>
  <c r="AB15" i="13"/>
  <c r="R8" i="13"/>
  <c r="V8" i="13"/>
  <c r="AB8" i="13"/>
  <c r="U9" i="13"/>
  <c r="R12" i="13"/>
  <c r="V12" i="13"/>
  <c r="AB12" i="13"/>
  <c r="T14" i="13"/>
  <c r="W14" i="13"/>
  <c r="S14" i="13"/>
  <c r="AB19" i="13"/>
  <c r="R25" i="13"/>
  <c r="W31" i="13"/>
  <c r="S31" i="13"/>
  <c r="U31" i="13"/>
  <c r="T31" i="13"/>
  <c r="AB41" i="13"/>
  <c r="S32" i="13"/>
  <c r="S33" i="13"/>
  <c r="S29" i="13"/>
  <c r="S25" i="13"/>
  <c r="O6" i="13"/>
  <c r="S8" i="13"/>
  <c r="W8" i="13"/>
  <c r="R9" i="13"/>
  <c r="V9" i="13"/>
  <c r="AB9" i="13"/>
  <c r="U10" i="13"/>
  <c r="W12" i="13"/>
  <c r="R13" i="13"/>
  <c r="R14" i="13"/>
  <c r="AB14" i="13"/>
  <c r="F20" i="13"/>
  <c r="J20" i="13"/>
  <c r="AB26" i="13"/>
  <c r="T33" i="13"/>
  <c r="T29" i="13"/>
  <c r="T25" i="13"/>
  <c r="T36" i="13"/>
  <c r="Z3" i="13"/>
  <c r="Z44" i="13" s="1"/>
  <c r="AD3" i="13"/>
  <c r="AD53" i="13" s="1"/>
  <c r="AB6" i="13"/>
  <c r="T8" i="13"/>
  <c r="S9" i="13"/>
  <c r="W9" i="13"/>
  <c r="R10" i="13"/>
  <c r="V10" i="13"/>
  <c r="AB10" i="13"/>
  <c r="T12" i="13"/>
  <c r="S13" i="13"/>
  <c r="AB13" i="13"/>
  <c r="U14" i="13"/>
  <c r="V16" i="13"/>
  <c r="C20" i="13"/>
  <c r="G20" i="13"/>
  <c r="K20" i="13"/>
  <c r="O17" i="13"/>
  <c r="U19" i="13"/>
  <c r="N20" i="13"/>
  <c r="W25" i="13"/>
  <c r="S26" i="13"/>
  <c r="W27" i="13"/>
  <c r="S27" i="13"/>
  <c r="U27" i="13"/>
  <c r="T27" i="13"/>
  <c r="U28" i="13"/>
  <c r="R29" i="13"/>
  <c r="V31" i="13"/>
  <c r="W33" i="13"/>
  <c r="S36" i="13"/>
  <c r="AB48" i="13"/>
  <c r="AB49" i="13"/>
  <c r="V13" i="13"/>
  <c r="V27" i="13"/>
  <c r="R33" i="13"/>
  <c r="AB40" i="13"/>
  <c r="AB45" i="13"/>
  <c r="S12" i="13"/>
  <c r="W13" i="13"/>
  <c r="W16" i="13"/>
  <c r="W18" i="13"/>
  <c r="S18" i="13"/>
  <c r="V18" i="13"/>
  <c r="R18" i="13"/>
  <c r="V25" i="13"/>
  <c r="R31" i="13"/>
  <c r="V33" i="13"/>
  <c r="R36" i="13"/>
  <c r="AA3" i="13"/>
  <c r="AA6" i="13" s="1"/>
  <c r="AE3" i="13"/>
  <c r="AE44" i="13" s="1"/>
  <c r="R7" i="13"/>
  <c r="V7" i="13"/>
  <c r="AB7" i="13"/>
  <c r="S10" i="13"/>
  <c r="R11" i="13"/>
  <c r="V11" i="13"/>
  <c r="AB11" i="13"/>
  <c r="U13" i="13"/>
  <c r="V14" i="13"/>
  <c r="W15" i="13"/>
  <c r="S15" i="13"/>
  <c r="V15" i="13"/>
  <c r="R15" i="13"/>
  <c r="S16" i="13"/>
  <c r="L20" i="13"/>
  <c r="AB17" i="13"/>
  <c r="U18" i="13"/>
  <c r="T24" i="13"/>
  <c r="U25" i="13"/>
  <c r="R27" i="13"/>
  <c r="V29" i="13"/>
  <c r="AB30" i="13"/>
  <c r="T32" i="13"/>
  <c r="U33" i="13"/>
  <c r="AB43" i="13"/>
  <c r="AB44" i="13"/>
  <c r="AB46" i="13"/>
  <c r="J54" i="13"/>
  <c r="N54" i="13"/>
  <c r="O51" i="13"/>
  <c r="AB53" i="13"/>
  <c r="U16" i="13"/>
  <c r="W19" i="13"/>
  <c r="S19" i="13"/>
  <c r="V19" i="13"/>
  <c r="V24" i="13"/>
  <c r="R24" i="13"/>
  <c r="W24" i="13"/>
  <c r="T26" i="13"/>
  <c r="V26" i="13"/>
  <c r="V28" i="13"/>
  <c r="R28" i="13"/>
  <c r="W28" i="13"/>
  <c r="T30" i="13"/>
  <c r="V30" i="13"/>
  <c r="V32" i="13"/>
  <c r="R32" i="13"/>
  <c r="W32" i="13"/>
  <c r="R16" i="13"/>
  <c r="AC23" i="13"/>
  <c r="AB23" i="13"/>
  <c r="S24" i="13"/>
  <c r="R26" i="13"/>
  <c r="W26" i="13"/>
  <c r="S28" i="13"/>
  <c r="R30" i="13"/>
  <c r="W30" i="13"/>
  <c r="U36" i="13"/>
  <c r="AB42" i="13"/>
  <c r="AB50" i="13"/>
  <c r="E54" i="13"/>
  <c r="I54" i="13"/>
  <c r="M54" i="13"/>
  <c r="T8" i="12"/>
  <c r="W8" i="12"/>
  <c r="S8" i="12"/>
  <c r="O6" i="12"/>
  <c r="V8" i="12"/>
  <c r="R8" i="12"/>
  <c r="T12" i="12"/>
  <c r="W12" i="12"/>
  <c r="S12" i="12"/>
  <c r="V12" i="12"/>
  <c r="R12" i="12"/>
  <c r="T16" i="12"/>
  <c r="W16" i="12"/>
  <c r="S16" i="12"/>
  <c r="V16" i="12"/>
  <c r="R16" i="12"/>
  <c r="AA49" i="12"/>
  <c r="AA45" i="12"/>
  <c r="AA41" i="12"/>
  <c r="AA36" i="12"/>
  <c r="AA33" i="12"/>
  <c r="AA29" i="12"/>
  <c r="AA25" i="12"/>
  <c r="AA51" i="12"/>
  <c r="AA35" i="12"/>
  <c r="AA32" i="12"/>
  <c r="AA28" i="12"/>
  <c r="AA24" i="12"/>
  <c r="AA31" i="12"/>
  <c r="AA27" i="12"/>
  <c r="AA19" i="12"/>
  <c r="AA44" i="12"/>
  <c r="AA18" i="12"/>
  <c r="AA15" i="12"/>
  <c r="AA11" i="12"/>
  <c r="AA7" i="12"/>
  <c r="AA30" i="12"/>
  <c r="AA26" i="12"/>
  <c r="AA53" i="12"/>
  <c r="AA14" i="12"/>
  <c r="AA10" i="12"/>
  <c r="AA6" i="12"/>
  <c r="AA48" i="12"/>
  <c r="AA13" i="12"/>
  <c r="AA9" i="12"/>
  <c r="U12" i="12"/>
  <c r="U16" i="12"/>
  <c r="AC31" i="12"/>
  <c r="AC27" i="12"/>
  <c r="AC19" i="12"/>
  <c r="AC30" i="12"/>
  <c r="AC26" i="12"/>
  <c r="AC36" i="12"/>
  <c r="AC33" i="12"/>
  <c r="AC29" i="12"/>
  <c r="AC25" i="12"/>
  <c r="AC13" i="12"/>
  <c r="AC9" i="12"/>
  <c r="AC16" i="12"/>
  <c r="AC12" i="12"/>
  <c r="AC8" i="12"/>
  <c r="AC46" i="12"/>
  <c r="AC17" i="12"/>
  <c r="AC51" i="12"/>
  <c r="AC35" i="12"/>
  <c r="AC32" i="12"/>
  <c r="AC28" i="12"/>
  <c r="AC24" i="12"/>
  <c r="AC18" i="12"/>
  <c r="AC15" i="12"/>
  <c r="AC11" i="12"/>
  <c r="AC7" i="12"/>
  <c r="AA8" i="12"/>
  <c r="AA12" i="12"/>
  <c r="AA16" i="12"/>
  <c r="U8" i="12"/>
  <c r="AE49" i="12"/>
  <c r="AE45" i="12"/>
  <c r="AE41" i="12"/>
  <c r="AE36" i="12"/>
  <c r="AE33" i="12"/>
  <c r="AE29" i="12"/>
  <c r="AE25" i="12"/>
  <c r="AE51" i="12"/>
  <c r="AE35" i="12"/>
  <c r="AE32" i="12"/>
  <c r="AE28" i="12"/>
  <c r="AE24" i="12"/>
  <c r="AE31" i="12"/>
  <c r="AE27" i="12"/>
  <c r="AE19" i="12"/>
  <c r="AE53" i="12"/>
  <c r="AE18" i="12"/>
  <c r="AE15" i="12"/>
  <c r="AE11" i="12"/>
  <c r="AE7" i="12"/>
  <c r="AE44" i="12"/>
  <c r="AE48" i="12"/>
  <c r="AE14" i="12"/>
  <c r="AE10" i="12"/>
  <c r="AE6" i="12"/>
  <c r="AE30" i="12"/>
  <c r="AE26" i="12"/>
  <c r="AE13" i="12"/>
  <c r="AE9" i="12"/>
  <c r="AC6" i="12"/>
  <c r="AE8" i="12"/>
  <c r="AC10" i="12"/>
  <c r="AE12" i="12"/>
  <c r="AC14" i="12"/>
  <c r="AE16" i="12"/>
  <c r="E20" i="12"/>
  <c r="AC37" i="12"/>
  <c r="AE37" i="12"/>
  <c r="AA37" i="12"/>
  <c r="S7" i="12"/>
  <c r="W7" i="12"/>
  <c r="T10" i="12"/>
  <c r="S11" i="12"/>
  <c r="W11" i="12"/>
  <c r="T14" i="12"/>
  <c r="S15" i="12"/>
  <c r="W15" i="12"/>
  <c r="S18" i="12"/>
  <c r="W18" i="12"/>
  <c r="R19" i="12"/>
  <c r="V19" i="12"/>
  <c r="AE42" i="12"/>
  <c r="AA42" i="12"/>
  <c r="O40" i="12"/>
  <c r="AC45" i="12"/>
  <c r="AC47" i="12"/>
  <c r="AE50" i="12"/>
  <c r="AA50" i="12"/>
  <c r="I20" i="12"/>
  <c r="AE20" i="12"/>
  <c r="AA20" i="12"/>
  <c r="AC20" i="12"/>
  <c r="V31" i="12"/>
  <c r="V27" i="12"/>
  <c r="S31" i="12"/>
  <c r="S27" i="12"/>
  <c r="W31" i="12"/>
  <c r="W27" i="12"/>
  <c r="T7" i="12"/>
  <c r="R9" i="12"/>
  <c r="V9" i="12"/>
  <c r="U10" i="12"/>
  <c r="T11" i="12"/>
  <c r="V13" i="12"/>
  <c r="U14" i="12"/>
  <c r="C20" i="12"/>
  <c r="G20" i="12"/>
  <c r="K20" i="12"/>
  <c r="O17" i="12"/>
  <c r="AA17" i="12"/>
  <c r="T18" i="12"/>
  <c r="S19" i="12"/>
  <c r="W19" i="12"/>
  <c r="V24" i="12"/>
  <c r="U25" i="12"/>
  <c r="T26" i="12"/>
  <c r="W26" i="12"/>
  <c r="S26" i="12"/>
  <c r="V26" i="12"/>
  <c r="R26" i="12"/>
  <c r="U27" i="12"/>
  <c r="V28" i="12"/>
  <c r="U29" i="12"/>
  <c r="T30" i="12"/>
  <c r="W30" i="12"/>
  <c r="S30" i="12"/>
  <c r="V30" i="12"/>
  <c r="R30" i="12"/>
  <c r="U31" i="12"/>
  <c r="V32" i="12"/>
  <c r="U33" i="12"/>
  <c r="AC34" i="12"/>
  <c r="AE34" i="12"/>
  <c r="AA34" i="12"/>
  <c r="V35" i="12"/>
  <c r="U36" i="12"/>
  <c r="AC42" i="12"/>
  <c r="AC50" i="12"/>
  <c r="AC52" i="12"/>
  <c r="M20" i="12"/>
  <c r="U19" i="12"/>
  <c r="R31" i="12"/>
  <c r="R27" i="12"/>
  <c r="T36" i="12"/>
  <c r="T33" i="12"/>
  <c r="T29" i="12"/>
  <c r="T25" i="12"/>
  <c r="Z3" i="12"/>
  <c r="Z51" i="12" s="1"/>
  <c r="AD3" i="12"/>
  <c r="AD37" i="12" s="1"/>
  <c r="S9" i="12"/>
  <c r="W9" i="12"/>
  <c r="R10" i="12"/>
  <c r="S13" i="12"/>
  <c r="W13" i="12"/>
  <c r="R14" i="12"/>
  <c r="AC23" i="12"/>
  <c r="AE23" i="12"/>
  <c r="AA23" i="12"/>
  <c r="S24" i="12"/>
  <c r="R25" i="12"/>
  <c r="U26" i="12"/>
  <c r="T27" i="12"/>
  <c r="S28" i="12"/>
  <c r="R29" i="12"/>
  <c r="U30" i="12"/>
  <c r="T31" i="12"/>
  <c r="S32" i="12"/>
  <c r="R33" i="12"/>
  <c r="S35" i="12"/>
  <c r="R36" i="12"/>
  <c r="AC41" i="12"/>
  <c r="AC43" i="12"/>
  <c r="AE46" i="12"/>
  <c r="AA46" i="12"/>
  <c r="AC49" i="12"/>
  <c r="O23" i="12"/>
  <c r="T24" i="12"/>
  <c r="S25" i="12"/>
  <c r="W25" i="12"/>
  <c r="T28" i="12"/>
  <c r="S29" i="12"/>
  <c r="W29" i="12"/>
  <c r="T32" i="12"/>
  <c r="S33" i="12"/>
  <c r="W33" i="12"/>
  <c r="O34" i="12"/>
  <c r="T35" i="12"/>
  <c r="S36" i="12"/>
  <c r="W36" i="12"/>
  <c r="AA43" i="12"/>
  <c r="AE43" i="12"/>
  <c r="AA47" i="12"/>
  <c r="AE47" i="12"/>
  <c r="AA52" i="12"/>
  <c r="AE52" i="12"/>
  <c r="U24" i="12"/>
  <c r="U28" i="12"/>
  <c r="U32" i="12"/>
  <c r="U35" i="12"/>
  <c r="AC44" i="12"/>
  <c r="AC48" i="12"/>
  <c r="AC53" i="12"/>
  <c r="R24" i="12"/>
  <c r="R28" i="12"/>
  <c r="R32" i="12"/>
  <c r="R35" i="12"/>
  <c r="T5" i="10"/>
  <c r="V7" i="10"/>
  <c r="T9" i="10"/>
  <c r="V11" i="10"/>
  <c r="Q5" i="10"/>
  <c r="R6" i="10"/>
  <c r="Q9" i="10"/>
  <c r="R10" i="10"/>
  <c r="U13" i="10"/>
  <c r="S14" i="10"/>
  <c r="N15" i="10"/>
  <c r="V16" i="10"/>
  <c r="Q4" i="10"/>
  <c r="U4" i="10"/>
  <c r="R5" i="10"/>
  <c r="V5" i="10"/>
  <c r="S6" i="10"/>
  <c r="Q8" i="10"/>
  <c r="U8" i="10"/>
  <c r="R9" i="10"/>
  <c r="V9" i="10"/>
  <c r="S10" i="10"/>
  <c r="Q12" i="10"/>
  <c r="U12" i="10"/>
  <c r="R13" i="10"/>
  <c r="V13" i="10"/>
  <c r="T14" i="10"/>
  <c r="S16" i="10"/>
  <c r="R7" i="10"/>
  <c r="R11" i="10"/>
  <c r="R14" i="10"/>
  <c r="V14" i="10"/>
  <c r="T4" i="10"/>
  <c r="U5" i="10"/>
  <c r="V6" i="10"/>
  <c r="S7" i="10"/>
  <c r="T8" i="10"/>
  <c r="U9" i="10"/>
  <c r="T12" i="10"/>
  <c r="R4" i="10"/>
  <c r="Q7" i="10"/>
  <c r="U7" i="10"/>
  <c r="R8" i="10"/>
  <c r="Q11" i="10"/>
  <c r="U11" i="10"/>
  <c r="R12" i="10"/>
  <c r="J30" i="9"/>
  <c r="K30" i="9"/>
  <c r="T15" i="9"/>
  <c r="T8" i="9"/>
  <c r="T10" i="9" s="1"/>
  <c r="G10" i="9"/>
  <c r="O10" i="9"/>
  <c r="S10" i="9"/>
  <c r="T14" i="9"/>
  <c r="T29" i="9"/>
  <c r="H10" i="9"/>
  <c r="H30" i="9" s="1"/>
  <c r="L10" i="9"/>
  <c r="L30" i="9" s="1"/>
  <c r="P10" i="9"/>
  <c r="P30" i="9" s="1"/>
  <c r="G103" i="8"/>
  <c r="G104" i="8" s="1"/>
  <c r="G94" i="8"/>
  <c r="G95" i="8" s="1"/>
  <c r="G85" i="8"/>
  <c r="G86" i="8" s="1"/>
  <c r="G76" i="8"/>
  <c r="G77" i="8" s="1"/>
  <c r="G67" i="8"/>
  <c r="G68" i="8" s="1"/>
  <c r="G58" i="8"/>
  <c r="G59" i="8" s="1"/>
  <c r="K103" i="8"/>
  <c r="K104" i="8" s="1"/>
  <c r="K94" i="8"/>
  <c r="K95" i="8" s="1"/>
  <c r="K85" i="8"/>
  <c r="K86" i="8" s="1"/>
  <c r="K76" i="8"/>
  <c r="K77" i="8" s="1"/>
  <c r="K67" i="8"/>
  <c r="K68" i="8" s="1"/>
  <c r="K58" i="8"/>
  <c r="K59" i="8" s="1"/>
  <c r="O103" i="8"/>
  <c r="O104" i="8" s="1"/>
  <c r="O94" i="8"/>
  <c r="O95" i="8" s="1"/>
  <c r="O85" i="8"/>
  <c r="O86" i="8" s="1"/>
  <c r="O76" i="8"/>
  <c r="O77" i="8" s="1"/>
  <c r="O67" i="8"/>
  <c r="O68" i="8" s="1"/>
  <c r="O58" i="8"/>
  <c r="O59" i="8" s="1"/>
  <c r="S103" i="8"/>
  <c r="S104" i="8" s="1"/>
  <c r="S94" i="8"/>
  <c r="S95" i="8" s="1"/>
  <c r="S85" i="8"/>
  <c r="S86" i="8" s="1"/>
  <c r="S76" i="8"/>
  <c r="S77" i="8" s="1"/>
  <c r="S67" i="8"/>
  <c r="S68" i="8" s="1"/>
  <c r="S58" i="8"/>
  <c r="S59" i="8" s="1"/>
  <c r="H103" i="8"/>
  <c r="H104" i="8" s="1"/>
  <c r="H94" i="8"/>
  <c r="H95" i="8" s="1"/>
  <c r="H85" i="8"/>
  <c r="H86" i="8" s="1"/>
  <c r="H67" i="8"/>
  <c r="H68" i="8" s="1"/>
  <c r="H58" i="8"/>
  <c r="H59" i="8" s="1"/>
  <c r="H76" i="8"/>
  <c r="H77" i="8" s="1"/>
  <c r="L103" i="8"/>
  <c r="L104" i="8" s="1"/>
  <c r="L94" i="8"/>
  <c r="L95" i="8" s="1"/>
  <c r="L85" i="8"/>
  <c r="L86" i="8" s="1"/>
  <c r="L76" i="8"/>
  <c r="L77" i="8" s="1"/>
  <c r="L67" i="8"/>
  <c r="L68" i="8" s="1"/>
  <c r="L58" i="8"/>
  <c r="L59" i="8" s="1"/>
  <c r="P103" i="8"/>
  <c r="P104" i="8" s="1"/>
  <c r="P94" i="8"/>
  <c r="P95" i="8" s="1"/>
  <c r="P85" i="8"/>
  <c r="P86" i="8" s="1"/>
  <c r="P76" i="8"/>
  <c r="P77" i="8" s="1"/>
  <c r="P67" i="8"/>
  <c r="P68" i="8" s="1"/>
  <c r="P58" i="8"/>
  <c r="P59" i="8" s="1"/>
  <c r="S57" i="8"/>
  <c r="R57" i="8"/>
  <c r="I103" i="8"/>
  <c r="I104" i="8" s="1"/>
  <c r="I94" i="8"/>
  <c r="I95" i="8" s="1"/>
  <c r="I85" i="8"/>
  <c r="I86" i="8" s="1"/>
  <c r="I67" i="8"/>
  <c r="I68" i="8" s="1"/>
  <c r="I58" i="8"/>
  <c r="I59" i="8" s="1"/>
  <c r="I76" i="8"/>
  <c r="I77" i="8" s="1"/>
  <c r="M103" i="8"/>
  <c r="M104" i="8" s="1"/>
  <c r="M94" i="8"/>
  <c r="M95" i="8" s="1"/>
  <c r="M85" i="8"/>
  <c r="M86" i="8" s="1"/>
  <c r="M76" i="8"/>
  <c r="M77" i="8" s="1"/>
  <c r="M67" i="8"/>
  <c r="M68" i="8" s="1"/>
  <c r="M58" i="8"/>
  <c r="M59" i="8" s="1"/>
  <c r="Q103" i="8"/>
  <c r="Q104" i="8" s="1"/>
  <c r="Q94" i="8"/>
  <c r="Q95" i="8" s="1"/>
  <c r="Q85" i="8"/>
  <c r="Q86" i="8" s="1"/>
  <c r="Q67" i="8"/>
  <c r="Q68" i="8" s="1"/>
  <c r="Q58" i="8"/>
  <c r="Q59" i="8" s="1"/>
  <c r="Q76" i="8"/>
  <c r="Q77" i="8" s="1"/>
  <c r="J30" i="8"/>
  <c r="N30" i="8"/>
  <c r="R30" i="8"/>
  <c r="J103" i="8"/>
  <c r="J104" i="8" s="1"/>
  <c r="J94" i="8"/>
  <c r="J95" i="8" s="1"/>
  <c r="J85" i="8"/>
  <c r="J86" i="8" s="1"/>
  <c r="J67" i="8"/>
  <c r="J68" i="8" s="1"/>
  <c r="J58" i="8"/>
  <c r="J59" i="8" s="1"/>
  <c r="J76" i="8"/>
  <c r="J77" i="8" s="1"/>
  <c r="N103" i="8"/>
  <c r="N104" i="8" s="1"/>
  <c r="N94" i="8"/>
  <c r="N95" i="8" s="1"/>
  <c r="N85" i="8"/>
  <c r="N86" i="8" s="1"/>
  <c r="N67" i="8"/>
  <c r="N68" i="8" s="1"/>
  <c r="N58" i="8"/>
  <c r="N59" i="8" s="1"/>
  <c r="N76" i="8"/>
  <c r="N77" i="8" s="1"/>
  <c r="R103" i="8"/>
  <c r="R104" i="8" s="1"/>
  <c r="R94" i="8"/>
  <c r="R95" i="8" s="1"/>
  <c r="R85" i="8"/>
  <c r="R86" i="8" s="1"/>
  <c r="R67" i="8"/>
  <c r="R68" i="8" s="1"/>
  <c r="R58" i="8"/>
  <c r="R59" i="8" s="1"/>
  <c r="R76" i="8"/>
  <c r="R77" i="8" s="1"/>
  <c r="G30" i="8"/>
  <c r="K30" i="8"/>
  <c r="O30" i="8"/>
  <c r="S30" i="8"/>
  <c r="T8" i="8"/>
  <c r="T10" i="8" s="1"/>
  <c r="Q57" i="8"/>
  <c r="D79" i="8"/>
  <c r="J79" i="8" s="1"/>
  <c r="J80" i="8" s="1"/>
  <c r="T14" i="8"/>
  <c r="T26" i="8" s="1"/>
  <c r="T29" i="8"/>
  <c r="H10" i="8"/>
  <c r="H30" i="8" s="1"/>
  <c r="L10" i="8"/>
  <c r="L30" i="8" s="1"/>
  <c r="P10" i="8"/>
  <c r="P30" i="8" s="1"/>
  <c r="I10" i="8"/>
  <c r="I30" i="8" s="1"/>
  <c r="M10" i="8"/>
  <c r="M30" i="8" s="1"/>
  <c r="Q10" i="8"/>
  <c r="Q30" i="8" s="1"/>
  <c r="D61" i="8"/>
  <c r="O61" i="8" s="1"/>
  <c r="O62" i="8" s="1"/>
  <c r="D70" i="8"/>
  <c r="O70" i="8" s="1"/>
  <c r="O71" i="8" s="1"/>
  <c r="D115" i="8"/>
  <c r="D88" i="8"/>
  <c r="I88" i="8" s="1"/>
  <c r="I89" i="8" s="1"/>
  <c r="D97" i="8"/>
  <c r="S97" i="8" s="1"/>
  <c r="S98" i="8" s="1"/>
  <c r="D106" i="8"/>
  <c r="H106" i="8" s="1"/>
  <c r="H107" i="8" s="1"/>
  <c r="D109" i="8"/>
  <c r="AH236" i="7"/>
  <c r="D73" i="3"/>
  <c r="D76" i="9" l="1"/>
  <c r="S3" i="11"/>
  <c r="D58" i="9"/>
  <c r="R3" i="11"/>
  <c r="N76" i="9"/>
  <c r="N77" i="9" s="1"/>
  <c r="R76" i="9"/>
  <c r="R77" i="9" s="1"/>
  <c r="F4" i="11"/>
  <c r="E13" i="11"/>
  <c r="E17" i="11" s="1"/>
  <c r="D85" i="9"/>
  <c r="T3" i="11"/>
  <c r="K85" i="9"/>
  <c r="K86" i="9" s="1"/>
  <c r="AE244" i="7"/>
  <c r="Y244" i="7"/>
  <c r="AD244" i="7"/>
  <c r="AH244" i="7" s="1"/>
  <c r="U244" i="7"/>
  <c r="T244" i="7"/>
  <c r="AF244" i="7"/>
  <c r="Q3" i="11"/>
  <c r="D67" i="9"/>
  <c r="M85" i="9"/>
  <c r="M86" i="9" s="1"/>
  <c r="G58" i="9"/>
  <c r="G59" i="9" s="1"/>
  <c r="C35" i="13"/>
  <c r="B34" i="13"/>
  <c r="B37" i="13" s="1"/>
  <c r="U3" i="11"/>
  <c r="D94" i="9"/>
  <c r="D103" i="9"/>
  <c r="V3" i="11"/>
  <c r="S85" i="9"/>
  <c r="S86" i="9" s="1"/>
  <c r="Q94" i="9"/>
  <c r="Q95" i="9" s="1"/>
  <c r="X187" i="7"/>
  <c r="U187" i="7"/>
  <c r="T187" i="7"/>
  <c r="Y187" i="7"/>
  <c r="W187" i="7"/>
  <c r="V187" i="7"/>
  <c r="Q194" i="7"/>
  <c r="AH92" i="7"/>
  <c r="Y92" i="7"/>
  <c r="U92" i="7"/>
  <c r="W92" i="7"/>
  <c r="X92" i="7"/>
  <c r="V92" i="7"/>
  <c r="T92" i="7"/>
  <c r="AH86" i="7"/>
  <c r="U86" i="7"/>
  <c r="X86" i="7"/>
  <c r="W86" i="7"/>
  <c r="T86" i="7"/>
  <c r="V86" i="7"/>
  <c r="Y86" i="7"/>
  <c r="AB13" i="12"/>
  <c r="AB9" i="12"/>
  <c r="AB26" i="12"/>
  <c r="S30" i="9"/>
  <c r="S103" i="9"/>
  <c r="S104" i="9" s="1"/>
  <c r="Q103" i="9"/>
  <c r="Q104" i="9" s="1"/>
  <c r="AD48" i="13"/>
  <c r="R67" i="9"/>
  <c r="R68" i="9" s="1"/>
  <c r="S94" i="9"/>
  <c r="S95" i="9" s="1"/>
  <c r="AE49" i="13"/>
  <c r="Q13" i="10"/>
  <c r="N17" i="10"/>
  <c r="Q17" i="10" s="1"/>
  <c r="G30" i="9"/>
  <c r="I30" i="9"/>
  <c r="G85" i="9"/>
  <c r="G86" i="9" s="1"/>
  <c r="G76" i="9"/>
  <c r="G77" i="9" s="1"/>
  <c r="I85" i="9"/>
  <c r="I86" i="9" s="1"/>
  <c r="G103" i="9"/>
  <c r="G104" i="9" s="1"/>
  <c r="G94" i="9"/>
  <c r="G95" i="9" s="1"/>
  <c r="K79" i="8"/>
  <c r="K80" i="8" s="1"/>
  <c r="Q67" i="9"/>
  <c r="Q68" i="9" s="1"/>
  <c r="N103" i="9"/>
  <c r="N104" i="9" s="1"/>
  <c r="S67" i="9"/>
  <c r="S68" i="9" s="1"/>
  <c r="AC10" i="13"/>
  <c r="Q76" i="9"/>
  <c r="Q77" i="9" s="1"/>
  <c r="N58" i="9"/>
  <c r="N59" i="9" s="1"/>
  <c r="S76" i="9"/>
  <c r="S77" i="9" s="1"/>
  <c r="AD51" i="12"/>
  <c r="AD46" i="12"/>
  <c r="AA41" i="13"/>
  <c r="AA46" i="13"/>
  <c r="Y173" i="7"/>
  <c r="V173" i="7"/>
  <c r="U173" i="7"/>
  <c r="X173" i="7"/>
  <c r="T173" i="7"/>
  <c r="W173" i="7"/>
  <c r="Q178" i="7"/>
  <c r="V244" i="7"/>
  <c r="Q251" i="7"/>
  <c r="Q252" i="7" s="1"/>
  <c r="X244" i="7"/>
  <c r="W244" i="7"/>
  <c r="V218" i="7"/>
  <c r="Y218" i="7"/>
  <c r="Q235" i="7"/>
  <c r="U218" i="7"/>
  <c r="W218" i="7"/>
  <c r="T218" i="7"/>
  <c r="X218" i="7"/>
  <c r="G79" i="8"/>
  <c r="G80" i="8" s="1"/>
  <c r="M94" i="9"/>
  <c r="M95" i="9" s="1"/>
  <c r="AE41" i="13"/>
  <c r="AA53" i="13"/>
  <c r="M67" i="9"/>
  <c r="M68" i="9" s="1"/>
  <c r="Q79" i="8"/>
  <c r="Q80" i="8" s="1"/>
  <c r="AD6" i="12"/>
  <c r="AA49" i="13"/>
  <c r="AE46" i="13"/>
  <c r="S79" i="8"/>
  <c r="S80" i="8" s="1"/>
  <c r="N79" i="8"/>
  <c r="N80" i="8" s="1"/>
  <c r="M79" i="8"/>
  <c r="M80" i="8" s="1"/>
  <c r="M58" i="9"/>
  <c r="M59" i="9" s="1"/>
  <c r="M103" i="9"/>
  <c r="M104" i="9" s="1"/>
  <c r="R85" i="9"/>
  <c r="R86" i="9" s="1"/>
  <c r="R30" i="9"/>
  <c r="AD44" i="12"/>
  <c r="AD44" i="13"/>
  <c r="AD41" i="13"/>
  <c r="AC16" i="13"/>
  <c r="AD40" i="13"/>
  <c r="AD6" i="13"/>
  <c r="AC42" i="13"/>
  <c r="R79" i="8"/>
  <c r="R80" i="8" s="1"/>
  <c r="O79" i="8"/>
  <c r="O80" i="8" s="1"/>
  <c r="I79" i="8"/>
  <c r="I80" i="8" s="1"/>
  <c r="M76" i="9"/>
  <c r="M77" i="9" s="1"/>
  <c r="R94" i="9"/>
  <c r="R95" i="9" s="1"/>
  <c r="R103" i="9"/>
  <c r="R104" i="9" s="1"/>
  <c r="AD50" i="12"/>
  <c r="AD50" i="13"/>
  <c r="AD42" i="13"/>
  <c r="AD49" i="13"/>
  <c r="AC17" i="13"/>
  <c r="AC33" i="13"/>
  <c r="AC26" i="13"/>
  <c r="AC46" i="13"/>
  <c r="AD17" i="13"/>
  <c r="N70" i="8"/>
  <c r="N71" i="8" s="1"/>
  <c r="M30" i="9"/>
  <c r="R58" i="9"/>
  <c r="R59" i="9" s="1"/>
  <c r="AC41" i="13"/>
  <c r="F241" i="7"/>
  <c r="G238" i="7"/>
  <c r="D151" i="7"/>
  <c r="D159" i="7" s="1"/>
  <c r="E149" i="7"/>
  <c r="O94" i="9"/>
  <c r="O95" i="9" s="1"/>
  <c r="O85" i="9"/>
  <c r="O86" i="9" s="1"/>
  <c r="O58" i="9"/>
  <c r="O59" i="9" s="1"/>
  <c r="O67" i="9"/>
  <c r="O68" i="9" s="1"/>
  <c r="O103" i="9"/>
  <c r="O104" i="9" s="1"/>
  <c r="I76" i="9"/>
  <c r="I77" i="9" s="1"/>
  <c r="I103" i="9"/>
  <c r="I104" i="9" s="1"/>
  <c r="I67" i="9"/>
  <c r="I68" i="9" s="1"/>
  <c r="I97" i="8"/>
  <c r="I98" i="8" s="1"/>
  <c r="G97" i="8"/>
  <c r="G98" i="8" s="1"/>
  <c r="O97" i="8"/>
  <c r="O98" i="8" s="1"/>
  <c r="AB36" i="12"/>
  <c r="AB11" i="12"/>
  <c r="AB23" i="12"/>
  <c r="AB18" i="12"/>
  <c r="AB19" i="12"/>
  <c r="AB7" i="12"/>
  <c r="AB15" i="12"/>
  <c r="AB33" i="12"/>
  <c r="AB24" i="12"/>
  <c r="AB31" i="12"/>
  <c r="AB45" i="12"/>
  <c r="AB10" i="12"/>
  <c r="AB14" i="12"/>
  <c r="AB51" i="12"/>
  <c r="AB48" i="12"/>
  <c r="AB25" i="12"/>
  <c r="AB32" i="12"/>
  <c r="AB47" i="12"/>
  <c r="AB30" i="12"/>
  <c r="AB6" i="12"/>
  <c r="AB41" i="12"/>
  <c r="AB8" i="12"/>
  <c r="AB12" i="12"/>
  <c r="AB16" i="12"/>
  <c r="AB42" i="12"/>
  <c r="AB35" i="12"/>
  <c r="AB52" i="12"/>
  <c r="AB27" i="12"/>
  <c r="AB34" i="12"/>
  <c r="AB17" i="12"/>
  <c r="AB44" i="12"/>
  <c r="AB53" i="12"/>
  <c r="AB49" i="12"/>
  <c r="J97" i="8"/>
  <c r="J98" i="8" s="1"/>
  <c r="AB43" i="12"/>
  <c r="K97" i="8"/>
  <c r="K98" i="8" s="1"/>
  <c r="T26" i="9"/>
  <c r="T30" i="9" s="1"/>
  <c r="O76" i="9"/>
  <c r="O77" i="9" s="1"/>
  <c r="AB46" i="12"/>
  <c r="AB28" i="12"/>
  <c r="AB29" i="12"/>
  <c r="AB37" i="12"/>
  <c r="Z6" i="13"/>
  <c r="Z46" i="13"/>
  <c r="Z45" i="13"/>
  <c r="Z48" i="13"/>
  <c r="Z40" i="13"/>
  <c r="Z53" i="13"/>
  <c r="Z17" i="13"/>
  <c r="Z49" i="13"/>
  <c r="AC28" i="13"/>
  <c r="AC7" i="13"/>
  <c r="AC11" i="13"/>
  <c r="AC53" i="13"/>
  <c r="AC50" i="13"/>
  <c r="AC31" i="13"/>
  <c r="AC18" i="13"/>
  <c r="AC14" i="13"/>
  <c r="AC24" i="13"/>
  <c r="AC43" i="13"/>
  <c r="AC8" i="13"/>
  <c r="AC44" i="13"/>
  <c r="AC13" i="13"/>
  <c r="AC52" i="13"/>
  <c r="AC19" i="13"/>
  <c r="AC30" i="13"/>
  <c r="AC32" i="13"/>
  <c r="AC45" i="13"/>
  <c r="AC12" i="13"/>
  <c r="AC29" i="13"/>
  <c r="AC40" i="13"/>
  <c r="AC49" i="13"/>
  <c r="AC27" i="13"/>
  <c r="AC15" i="13"/>
  <c r="AC9" i="13"/>
  <c r="AC25" i="13"/>
  <c r="AC48" i="13"/>
  <c r="AC47" i="13"/>
  <c r="AC6" i="13"/>
  <c r="N61" i="8"/>
  <c r="N62" i="8" s="1"/>
  <c r="O30" i="9"/>
  <c r="Q58" i="9"/>
  <c r="Q59" i="9" s="1"/>
  <c r="Q85" i="9"/>
  <c r="Q86" i="9" s="1"/>
  <c r="N85" i="9"/>
  <c r="N86" i="9" s="1"/>
  <c r="N94" i="9"/>
  <c r="N95" i="9" s="1"/>
  <c r="K67" i="9"/>
  <c r="K68" i="9" s="1"/>
  <c r="N30" i="9"/>
  <c r="AD20" i="12"/>
  <c r="AE45" i="13"/>
  <c r="AB20" i="12"/>
  <c r="AE6" i="13"/>
  <c r="Q30" i="9"/>
  <c r="K94" i="9"/>
  <c r="K95" i="9" s="1"/>
  <c r="AD23" i="12"/>
  <c r="AA40" i="13"/>
  <c r="U23" i="13"/>
  <c r="S23" i="13"/>
  <c r="W23" i="13"/>
  <c r="R23" i="13"/>
  <c r="T23" i="13"/>
  <c r="AB51" i="13"/>
  <c r="O54" i="13"/>
  <c r="AA51" i="13"/>
  <c r="AE51" i="13"/>
  <c r="Z51" i="13"/>
  <c r="AC51" i="13"/>
  <c r="AD51" i="13"/>
  <c r="AE36" i="13"/>
  <c r="AE33" i="13"/>
  <c r="AE29" i="13"/>
  <c r="AE25" i="13"/>
  <c r="AE32" i="13"/>
  <c r="AE30" i="13"/>
  <c r="AE28" i="13"/>
  <c r="AE26" i="13"/>
  <c r="AE24" i="13"/>
  <c r="AE19" i="13"/>
  <c r="AE13" i="13"/>
  <c r="AE43" i="13"/>
  <c r="AE16" i="13"/>
  <c r="AE50" i="13"/>
  <c r="AE27" i="13"/>
  <c r="AE18" i="13"/>
  <c r="AE12" i="13"/>
  <c r="AE8" i="13"/>
  <c r="AE53" i="13"/>
  <c r="AE23" i="13"/>
  <c r="AE10" i="13"/>
  <c r="AE17" i="13"/>
  <c r="AE52" i="13"/>
  <c r="AE14" i="13"/>
  <c r="AE11" i="13"/>
  <c r="AE7" i="13"/>
  <c r="AE47" i="13"/>
  <c r="AE42" i="13"/>
  <c r="AE31" i="13"/>
  <c r="AE15" i="13"/>
  <c r="AE48" i="13"/>
  <c r="AE9" i="13"/>
  <c r="AA48" i="13"/>
  <c r="AD30" i="13"/>
  <c r="AD26" i="13"/>
  <c r="AD52" i="13"/>
  <c r="AD47" i="13"/>
  <c r="AD14" i="13"/>
  <c r="AD32" i="13"/>
  <c r="AD28" i="13"/>
  <c r="AD24" i="13"/>
  <c r="AD19" i="13"/>
  <c r="AD13" i="13"/>
  <c r="AD9" i="13"/>
  <c r="AD46" i="13"/>
  <c r="AD7" i="13"/>
  <c r="AD31" i="13"/>
  <c r="AD16" i="13"/>
  <c r="AD15" i="13"/>
  <c r="AD10" i="13"/>
  <c r="AD29" i="13"/>
  <c r="AD27" i="13"/>
  <c r="AD18" i="13"/>
  <c r="AD12" i="13"/>
  <c r="AD8" i="13"/>
  <c r="AD36" i="13"/>
  <c r="AD11" i="13"/>
  <c r="AD43" i="13"/>
  <c r="AD33" i="13"/>
  <c r="AD25" i="13"/>
  <c r="AD23" i="13"/>
  <c r="AE40" i="13"/>
  <c r="O20" i="13"/>
  <c r="T17" i="13"/>
  <c r="W17" i="13"/>
  <c r="S17" i="13"/>
  <c r="R17" i="13"/>
  <c r="V17" i="13"/>
  <c r="U17" i="13"/>
  <c r="AA36" i="13"/>
  <c r="AA33" i="13"/>
  <c r="AA29" i="13"/>
  <c r="AA25" i="13"/>
  <c r="AA43" i="13"/>
  <c r="AA13" i="13"/>
  <c r="AA31" i="13"/>
  <c r="AA27" i="13"/>
  <c r="AA23" i="13"/>
  <c r="AA16" i="13"/>
  <c r="AA28" i="13"/>
  <c r="AA19" i="13"/>
  <c r="AA15" i="13"/>
  <c r="AA12" i="13"/>
  <c r="AA8" i="13"/>
  <c r="AA52" i="13"/>
  <c r="AA32" i="13"/>
  <c r="AA18" i="13"/>
  <c r="AA10" i="13"/>
  <c r="AA47" i="13"/>
  <c r="AA42" i="13"/>
  <c r="AA26" i="13"/>
  <c r="AA14" i="13"/>
  <c r="AA9" i="13"/>
  <c r="AA50" i="13"/>
  <c r="AA44" i="13"/>
  <c r="AA30" i="13"/>
  <c r="AA17" i="13"/>
  <c r="AA11" i="13"/>
  <c r="AA7" i="13"/>
  <c r="AA24" i="13"/>
  <c r="AA45" i="13"/>
  <c r="AE20" i="13"/>
  <c r="AA20" i="13"/>
  <c r="Z20" i="13"/>
  <c r="AD20" i="13"/>
  <c r="AC20" i="13"/>
  <c r="AB20" i="13"/>
  <c r="Z30" i="13"/>
  <c r="Z26" i="13"/>
  <c r="Z41" i="13"/>
  <c r="Z32" i="13"/>
  <c r="Z28" i="13"/>
  <c r="Z24" i="13"/>
  <c r="Z19" i="13"/>
  <c r="Z14" i="13"/>
  <c r="Z43" i="13"/>
  <c r="Z33" i="13"/>
  <c r="Z29" i="13"/>
  <c r="Z25" i="13"/>
  <c r="Z13" i="13"/>
  <c r="Z47" i="13"/>
  <c r="Z42" i="13"/>
  <c r="Z31" i="13"/>
  <c r="Z23" i="13"/>
  <c r="Z9" i="13"/>
  <c r="Z50" i="13"/>
  <c r="Z27" i="13"/>
  <c r="Z11" i="13"/>
  <c r="Z52" i="13"/>
  <c r="Z16" i="13"/>
  <c r="Z15" i="13"/>
  <c r="Z12" i="13"/>
  <c r="Z8" i="13"/>
  <c r="Z7" i="13"/>
  <c r="Z36" i="13"/>
  <c r="Z18" i="13"/>
  <c r="Z10" i="13"/>
  <c r="W6" i="13"/>
  <c r="S6" i="13"/>
  <c r="U6" i="13"/>
  <c r="T6" i="13"/>
  <c r="V6" i="13"/>
  <c r="R6" i="13"/>
  <c r="AD45" i="13"/>
  <c r="W23" i="12"/>
  <c r="S23" i="12"/>
  <c r="U23" i="12"/>
  <c r="R23" i="12"/>
  <c r="V23" i="12"/>
  <c r="T23" i="12"/>
  <c r="Z30" i="12"/>
  <c r="Z26" i="12"/>
  <c r="Z49" i="12"/>
  <c r="Z45" i="12"/>
  <c r="Z41" i="12"/>
  <c r="Z36" i="12"/>
  <c r="Z33" i="12"/>
  <c r="Z29" i="12"/>
  <c r="Z25" i="12"/>
  <c r="Z35" i="12"/>
  <c r="Z32" i="12"/>
  <c r="Z28" i="12"/>
  <c r="Z24" i="12"/>
  <c r="Z52" i="12"/>
  <c r="Z19" i="12"/>
  <c r="Z16" i="12"/>
  <c r="Z12" i="12"/>
  <c r="Z8" i="12"/>
  <c r="Z43" i="12"/>
  <c r="Z34" i="12"/>
  <c r="Z47" i="12"/>
  <c r="Z18" i="12"/>
  <c r="Z15" i="12"/>
  <c r="Z11" i="12"/>
  <c r="Z7" i="12"/>
  <c r="Z31" i="12"/>
  <c r="Z27" i="12"/>
  <c r="Z14" i="12"/>
  <c r="Z10" i="12"/>
  <c r="Z13" i="12"/>
  <c r="Z9" i="12"/>
  <c r="Z20" i="12"/>
  <c r="AD40" i="12"/>
  <c r="Z40" i="12"/>
  <c r="AC40" i="12"/>
  <c r="AB40" i="12"/>
  <c r="AE40" i="12"/>
  <c r="AA40" i="12"/>
  <c r="Z53" i="12"/>
  <c r="O20" i="12"/>
  <c r="V17" i="12"/>
  <c r="R17" i="12"/>
  <c r="W17" i="12"/>
  <c r="U17" i="12"/>
  <c r="S17" i="12"/>
  <c r="T17" i="12"/>
  <c r="Z6" i="12"/>
  <c r="V6" i="12"/>
  <c r="R6" i="12"/>
  <c r="U6" i="12"/>
  <c r="T6" i="12"/>
  <c r="S6" i="12"/>
  <c r="W6" i="12"/>
  <c r="Z48" i="12"/>
  <c r="W34" i="12"/>
  <c r="S34" i="12"/>
  <c r="V34" i="12"/>
  <c r="R34" i="12"/>
  <c r="O37" i="12"/>
  <c r="U34" i="12"/>
  <c r="T34" i="12"/>
  <c r="Z23" i="12"/>
  <c r="Z42" i="12"/>
  <c r="Z17" i="12"/>
  <c r="Z44" i="12"/>
  <c r="O54" i="12"/>
  <c r="Z46" i="12"/>
  <c r="AD30" i="12"/>
  <c r="AD26" i="12"/>
  <c r="AD49" i="12"/>
  <c r="AD45" i="12"/>
  <c r="AD41" i="12"/>
  <c r="AD36" i="12"/>
  <c r="AD33" i="12"/>
  <c r="AD29" i="12"/>
  <c r="AD25" i="12"/>
  <c r="AD35" i="12"/>
  <c r="AD32" i="12"/>
  <c r="AD28" i="12"/>
  <c r="AD24" i="12"/>
  <c r="AD47" i="12"/>
  <c r="AD16" i="12"/>
  <c r="AD12" i="12"/>
  <c r="AD8" i="12"/>
  <c r="AD52" i="12"/>
  <c r="AD18" i="12"/>
  <c r="AD15" i="12"/>
  <c r="AD11" i="12"/>
  <c r="AD7" i="12"/>
  <c r="AD43" i="12"/>
  <c r="AD34" i="12"/>
  <c r="AD31" i="12"/>
  <c r="AD27" i="12"/>
  <c r="AD19" i="12"/>
  <c r="AD14" i="12"/>
  <c r="AD10" i="12"/>
  <c r="AD13" i="12"/>
  <c r="AD9" i="12"/>
  <c r="AD48" i="12"/>
  <c r="AD53" i="12"/>
  <c r="Z50" i="12"/>
  <c r="AD42" i="12"/>
  <c r="AD17" i="12"/>
  <c r="Z37" i="12"/>
  <c r="U17" i="10"/>
  <c r="T17" i="10"/>
  <c r="S17" i="10"/>
  <c r="V15" i="10"/>
  <c r="R15" i="10"/>
  <c r="T15" i="10"/>
  <c r="U15" i="10"/>
  <c r="Q15" i="10"/>
  <c r="S15" i="10"/>
  <c r="S57" i="9"/>
  <c r="R57" i="9"/>
  <c r="I61" i="8"/>
  <c r="I62" i="8" s="1"/>
  <c r="N88" i="8"/>
  <c r="N89" i="8" s="1"/>
  <c r="J70" i="8"/>
  <c r="J71" i="8" s="1"/>
  <c r="J61" i="8"/>
  <c r="J62" i="8" s="1"/>
  <c r="S106" i="8"/>
  <c r="S107" i="8" s="1"/>
  <c r="O106" i="8"/>
  <c r="O107" i="8" s="1"/>
  <c r="K106" i="8"/>
  <c r="K107" i="8" s="1"/>
  <c r="G106" i="8"/>
  <c r="G107" i="8" s="1"/>
  <c r="I70" i="8"/>
  <c r="I71" i="8" s="1"/>
  <c r="R88" i="8"/>
  <c r="R89" i="8" s="1"/>
  <c r="N97" i="8"/>
  <c r="N98" i="8" s="1"/>
  <c r="J106" i="8"/>
  <c r="J107" i="8" s="1"/>
  <c r="P61" i="8"/>
  <c r="P62" i="8" s="1"/>
  <c r="Q106" i="8"/>
  <c r="Q107" i="8" s="1"/>
  <c r="M106" i="8"/>
  <c r="M107" i="8" s="1"/>
  <c r="I106" i="8"/>
  <c r="I107" i="8" s="1"/>
  <c r="K70" i="8"/>
  <c r="K71" i="8" s="1"/>
  <c r="K61" i="8"/>
  <c r="K62" i="8" s="1"/>
  <c r="P79" i="8"/>
  <c r="P80" i="8" s="1"/>
  <c r="L79" i="8"/>
  <c r="L80" i="8" s="1"/>
  <c r="H79" i="8"/>
  <c r="H80" i="8" s="1"/>
  <c r="T77" i="8"/>
  <c r="Q61" i="8"/>
  <c r="Q62" i="8" s="1"/>
  <c r="R97" i="8"/>
  <c r="R98" i="8" s="1"/>
  <c r="N106" i="8"/>
  <c r="N107" i="8" s="1"/>
  <c r="P70" i="8"/>
  <c r="P71" i="8" s="1"/>
  <c r="L61" i="8"/>
  <c r="L62" i="8" s="1"/>
  <c r="G70" i="8"/>
  <c r="G71" i="8" s="1"/>
  <c r="G61" i="8"/>
  <c r="G62" i="8" s="1"/>
  <c r="P88" i="8"/>
  <c r="P89" i="8" s="1"/>
  <c r="L88" i="8"/>
  <c r="L89" i="8" s="1"/>
  <c r="H88" i="8"/>
  <c r="H89" i="8" s="1"/>
  <c r="T86" i="8"/>
  <c r="R70" i="8"/>
  <c r="R71" i="8" s="1"/>
  <c r="R61" i="8"/>
  <c r="R62" i="8" s="1"/>
  <c r="S88" i="8"/>
  <c r="S89" i="8" s="1"/>
  <c r="O88" i="8"/>
  <c r="O89" i="8" s="1"/>
  <c r="K88" i="8"/>
  <c r="K89" i="8" s="1"/>
  <c r="G88" i="8"/>
  <c r="G89" i="8" s="1"/>
  <c r="Q70" i="8"/>
  <c r="Q71" i="8" s="1"/>
  <c r="M61" i="8"/>
  <c r="M62" i="8" s="1"/>
  <c r="R106" i="8"/>
  <c r="R107" i="8" s="1"/>
  <c r="J88" i="8"/>
  <c r="J89" i="8" s="1"/>
  <c r="L70" i="8"/>
  <c r="L71" i="8" s="1"/>
  <c r="H61" i="8"/>
  <c r="H62" i="8" s="1"/>
  <c r="Q88" i="8"/>
  <c r="Q89" i="8" s="1"/>
  <c r="M88" i="8"/>
  <c r="M89" i="8" s="1"/>
  <c r="S70" i="8"/>
  <c r="S71" i="8" s="1"/>
  <c r="S61" i="8"/>
  <c r="S62" i="8" s="1"/>
  <c r="P97" i="8"/>
  <c r="P98" i="8" s="1"/>
  <c r="L97" i="8"/>
  <c r="L98" i="8" s="1"/>
  <c r="H97" i="8"/>
  <c r="H98" i="8" s="1"/>
  <c r="T59" i="8"/>
  <c r="T95" i="8"/>
  <c r="M70" i="8"/>
  <c r="M71" i="8" s="1"/>
  <c r="H70" i="8"/>
  <c r="H71" i="8" s="1"/>
  <c r="T30" i="8"/>
  <c r="Q97" i="8"/>
  <c r="Q98" i="8" s="1"/>
  <c r="M97" i="8"/>
  <c r="M98" i="8" s="1"/>
  <c r="P106" i="8"/>
  <c r="P107" i="8" s="1"/>
  <c r="L106" i="8"/>
  <c r="L107" i="8" s="1"/>
  <c r="T68" i="8"/>
  <c r="T104" i="8"/>
  <c r="O19" i="5"/>
  <c r="O53" i="5"/>
  <c r="O52" i="5"/>
  <c r="O51" i="5" s="1"/>
  <c r="P51" i="5"/>
  <c r="N51" i="5"/>
  <c r="M51" i="5"/>
  <c r="L51" i="5"/>
  <c r="L54" i="5" s="1"/>
  <c r="K51" i="5"/>
  <c r="J51" i="5"/>
  <c r="I51" i="5"/>
  <c r="H51" i="5"/>
  <c r="G51" i="5"/>
  <c r="F51" i="5"/>
  <c r="E51" i="5"/>
  <c r="D51" i="5"/>
  <c r="C51" i="5"/>
  <c r="O50" i="5"/>
  <c r="O49" i="5"/>
  <c r="O48" i="5"/>
  <c r="O47" i="5"/>
  <c r="O46" i="5"/>
  <c r="O45" i="5"/>
  <c r="O44" i="5"/>
  <c r="O43" i="5"/>
  <c r="O42" i="5"/>
  <c r="O41" i="5"/>
  <c r="N40" i="5"/>
  <c r="M40" i="5"/>
  <c r="L40" i="5"/>
  <c r="K40" i="5"/>
  <c r="J40" i="5"/>
  <c r="I40" i="5"/>
  <c r="H40" i="5"/>
  <c r="G40" i="5"/>
  <c r="F40" i="5"/>
  <c r="E40" i="5"/>
  <c r="D40" i="5"/>
  <c r="C40" i="5"/>
  <c r="O36" i="5"/>
  <c r="O35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O33" i="5"/>
  <c r="O32" i="5"/>
  <c r="O31" i="5"/>
  <c r="O30" i="5"/>
  <c r="O29" i="5"/>
  <c r="O28" i="5"/>
  <c r="O27" i="5"/>
  <c r="O26" i="5"/>
  <c r="O25" i="5"/>
  <c r="O24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O18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O16" i="5"/>
  <c r="O15" i="5"/>
  <c r="O14" i="5"/>
  <c r="O13" i="5"/>
  <c r="O12" i="5"/>
  <c r="O11" i="5"/>
  <c r="O10" i="5"/>
  <c r="O9" i="5"/>
  <c r="O8" i="5"/>
  <c r="O7" i="5"/>
  <c r="N6" i="5"/>
  <c r="M6" i="5"/>
  <c r="L6" i="5"/>
  <c r="K6" i="5"/>
  <c r="J6" i="5"/>
  <c r="I6" i="5"/>
  <c r="H6" i="5"/>
  <c r="G6" i="5"/>
  <c r="G20" i="5" s="1"/>
  <c r="F6" i="5"/>
  <c r="E6" i="5"/>
  <c r="D6" i="5"/>
  <c r="C6" i="5"/>
  <c r="B6" i="5"/>
  <c r="W19" i="5"/>
  <c r="AD3" i="5"/>
  <c r="AD30" i="5" s="1"/>
  <c r="AC3" i="5"/>
  <c r="AC19" i="5" s="1"/>
  <c r="AA3" i="5"/>
  <c r="AA19" i="5" s="1"/>
  <c r="Z3" i="5"/>
  <c r="Z19" i="5" s="1"/>
  <c r="E17" i="4"/>
  <c r="M15" i="4"/>
  <c r="M17" i="4" s="1"/>
  <c r="L15" i="4"/>
  <c r="L17" i="4" s="1"/>
  <c r="K15" i="4"/>
  <c r="K17" i="4" s="1"/>
  <c r="J15" i="4"/>
  <c r="J17" i="4" s="1"/>
  <c r="I15" i="4"/>
  <c r="I17" i="4" s="1"/>
  <c r="H15" i="4"/>
  <c r="H17" i="4" s="1"/>
  <c r="G15" i="4"/>
  <c r="G17" i="4" s="1"/>
  <c r="F15" i="4"/>
  <c r="F17" i="4" s="1"/>
  <c r="E15" i="4"/>
  <c r="D15" i="4"/>
  <c r="D17" i="4" s="1"/>
  <c r="C15" i="4"/>
  <c r="C17" i="4" s="1"/>
  <c r="B15" i="4"/>
  <c r="B17" i="4" s="1"/>
  <c r="N13" i="4"/>
  <c r="N12" i="4"/>
  <c r="N11" i="4"/>
  <c r="N10" i="4"/>
  <c r="N9" i="4"/>
  <c r="N15" i="4" s="1"/>
  <c r="N8" i="4"/>
  <c r="N7" i="4"/>
  <c r="N6" i="4"/>
  <c r="N5" i="4"/>
  <c r="N4" i="4"/>
  <c r="V14" i="4"/>
  <c r="U16" i="4"/>
  <c r="T16" i="4"/>
  <c r="R14" i="4"/>
  <c r="Q16" i="4"/>
  <c r="D97" i="3"/>
  <c r="R97" i="3" s="1"/>
  <c r="R98" i="3" s="1"/>
  <c r="D88" i="3"/>
  <c r="D82" i="3"/>
  <c r="D70" i="3"/>
  <c r="D64" i="3"/>
  <c r="P57" i="3"/>
  <c r="O57" i="3"/>
  <c r="N57" i="3"/>
  <c r="M57" i="3"/>
  <c r="L57" i="3"/>
  <c r="K57" i="3"/>
  <c r="J57" i="3"/>
  <c r="I57" i="3"/>
  <c r="H57" i="3"/>
  <c r="G57" i="3"/>
  <c r="G47" i="8"/>
  <c r="G46" i="8"/>
  <c r="G45" i="8"/>
  <c r="T44" i="3"/>
  <c r="G43" i="8"/>
  <c r="G42" i="8"/>
  <c r="G41" i="8"/>
  <c r="G40" i="8"/>
  <c r="G39" i="8"/>
  <c r="G38" i="8"/>
  <c r="G37" i="8"/>
  <c r="G36" i="8"/>
  <c r="G35" i="8"/>
  <c r="T34" i="3"/>
  <c r="T25" i="3"/>
  <c r="T13" i="3"/>
  <c r="S10" i="3"/>
  <c r="P10" i="3"/>
  <c r="O10" i="3"/>
  <c r="L10" i="3"/>
  <c r="K10" i="3"/>
  <c r="H10" i="3"/>
  <c r="R5" i="3"/>
  <c r="S5" i="3" s="1"/>
  <c r="S57" i="3" s="1"/>
  <c r="Q5" i="3"/>
  <c r="Q57" i="3" s="1"/>
  <c r="AG254" i="1"/>
  <c r="AF254" i="1"/>
  <c r="AE254" i="1"/>
  <c r="AD254" i="1"/>
  <c r="AC254" i="1"/>
  <c r="AB254" i="1"/>
  <c r="AH254" i="1" s="1"/>
  <c r="Y254" i="1"/>
  <c r="X254" i="1"/>
  <c r="W254" i="1"/>
  <c r="V254" i="1"/>
  <c r="U254" i="1"/>
  <c r="T254" i="1"/>
  <c r="AG249" i="1"/>
  <c r="AF249" i="1"/>
  <c r="AE249" i="1"/>
  <c r="AD249" i="1"/>
  <c r="AC249" i="1"/>
  <c r="AB249" i="1"/>
  <c r="Y249" i="1"/>
  <c r="X249" i="1"/>
  <c r="W249" i="1"/>
  <c r="V249" i="1"/>
  <c r="U249" i="1"/>
  <c r="T249" i="1"/>
  <c r="R249" i="1"/>
  <c r="AG248" i="1"/>
  <c r="AF248" i="1"/>
  <c r="AE248" i="1"/>
  <c r="AD248" i="1"/>
  <c r="AC248" i="1"/>
  <c r="AB248" i="1"/>
  <c r="Y248" i="1"/>
  <c r="X248" i="1"/>
  <c r="W248" i="1"/>
  <c r="V248" i="1"/>
  <c r="U248" i="1"/>
  <c r="T248" i="1"/>
  <c r="AG247" i="1"/>
  <c r="AF247" i="1"/>
  <c r="AE247" i="1"/>
  <c r="AD247" i="1"/>
  <c r="AC247" i="1"/>
  <c r="AB247" i="1"/>
  <c r="Y247" i="1"/>
  <c r="X247" i="1"/>
  <c r="W247" i="1"/>
  <c r="V247" i="1"/>
  <c r="U247" i="1"/>
  <c r="T247" i="1"/>
  <c r="R247" i="1" s="1"/>
  <c r="AG246" i="1"/>
  <c r="AF246" i="1"/>
  <c r="AE246" i="1"/>
  <c r="AD246" i="1"/>
  <c r="AC246" i="1"/>
  <c r="AB246" i="1"/>
  <c r="AH246" i="1" s="1"/>
  <c r="Y246" i="1"/>
  <c r="X246" i="1"/>
  <c r="W246" i="1"/>
  <c r="V246" i="1"/>
  <c r="U246" i="1"/>
  <c r="T246" i="1"/>
  <c r="AG245" i="1"/>
  <c r="AF245" i="1"/>
  <c r="AE245" i="1"/>
  <c r="AD245" i="1"/>
  <c r="AC245" i="1"/>
  <c r="AB245" i="1"/>
  <c r="Y245" i="1"/>
  <c r="X245" i="1"/>
  <c r="W245" i="1"/>
  <c r="V245" i="1"/>
  <c r="R245" i="1" s="1"/>
  <c r="U245" i="1"/>
  <c r="T245" i="1"/>
  <c r="AG244" i="1"/>
  <c r="AF244" i="1"/>
  <c r="AE244" i="1"/>
  <c r="AD244" i="1"/>
  <c r="AC244" i="1"/>
  <c r="AB244" i="1"/>
  <c r="AH244" i="1" s="1"/>
  <c r="Y244" i="1"/>
  <c r="X244" i="1"/>
  <c r="W244" i="1"/>
  <c r="V244" i="1"/>
  <c r="U244" i="1"/>
  <c r="T244" i="1"/>
  <c r="AG239" i="1"/>
  <c r="AF239" i="1"/>
  <c r="AE239" i="1"/>
  <c r="AD239" i="1"/>
  <c r="AC239" i="1"/>
  <c r="AH239" i="1" s="1"/>
  <c r="AB239" i="1"/>
  <c r="Y239" i="1"/>
  <c r="X239" i="1"/>
  <c r="W239" i="1"/>
  <c r="V239" i="1"/>
  <c r="U239" i="1"/>
  <c r="T239" i="1"/>
  <c r="R239" i="1"/>
  <c r="AG238" i="1"/>
  <c r="AF238" i="1"/>
  <c r="AE238" i="1"/>
  <c r="AD238" i="1"/>
  <c r="AC238" i="1"/>
  <c r="AB238" i="1"/>
  <c r="Y238" i="1"/>
  <c r="X238" i="1"/>
  <c r="W238" i="1"/>
  <c r="V238" i="1"/>
  <c r="U238" i="1"/>
  <c r="T238" i="1"/>
  <c r="AG233" i="1"/>
  <c r="AF233" i="1"/>
  <c r="AE233" i="1"/>
  <c r="AD233" i="1"/>
  <c r="AC233" i="1"/>
  <c r="AB233" i="1"/>
  <c r="Y233" i="1"/>
  <c r="X233" i="1"/>
  <c r="W233" i="1"/>
  <c r="V233" i="1"/>
  <c r="U233" i="1"/>
  <c r="T233" i="1"/>
  <c r="AG232" i="1"/>
  <c r="AF232" i="1"/>
  <c r="AE232" i="1"/>
  <c r="AD232" i="1"/>
  <c r="AC232" i="1"/>
  <c r="AB232" i="1"/>
  <c r="Y232" i="1"/>
  <c r="X232" i="1"/>
  <c r="W232" i="1"/>
  <c r="V232" i="1"/>
  <c r="U232" i="1"/>
  <c r="T232" i="1"/>
  <c r="AG231" i="1"/>
  <c r="AF231" i="1"/>
  <c r="AE231" i="1"/>
  <c r="AD231" i="1"/>
  <c r="AC231" i="1"/>
  <c r="AB231" i="1"/>
  <c r="Y231" i="1"/>
  <c r="X231" i="1"/>
  <c r="W231" i="1"/>
  <c r="V231" i="1"/>
  <c r="U231" i="1"/>
  <c r="T231" i="1"/>
  <c r="AG230" i="1"/>
  <c r="AF230" i="1"/>
  <c r="AE230" i="1"/>
  <c r="AD230" i="1"/>
  <c r="AC230" i="1"/>
  <c r="AB230" i="1"/>
  <c r="Y230" i="1"/>
  <c r="X230" i="1"/>
  <c r="W230" i="1"/>
  <c r="V230" i="1"/>
  <c r="U230" i="1"/>
  <c r="T230" i="1"/>
  <c r="R230" i="1" s="1"/>
  <c r="AG229" i="1"/>
  <c r="AF229" i="1"/>
  <c r="AE229" i="1"/>
  <c r="AD229" i="1"/>
  <c r="AC229" i="1"/>
  <c r="AB229" i="1"/>
  <c r="Y229" i="1"/>
  <c r="X229" i="1"/>
  <c r="W229" i="1"/>
  <c r="V229" i="1"/>
  <c r="U229" i="1"/>
  <c r="T229" i="1"/>
  <c r="AG228" i="1"/>
  <c r="AF228" i="1"/>
  <c r="AE228" i="1"/>
  <c r="AD228" i="1"/>
  <c r="AC228" i="1"/>
  <c r="AB228" i="1"/>
  <c r="Y228" i="1"/>
  <c r="X228" i="1"/>
  <c r="W228" i="1"/>
  <c r="V228" i="1"/>
  <c r="U228" i="1"/>
  <c r="T228" i="1"/>
  <c r="AG227" i="1"/>
  <c r="AF227" i="1"/>
  <c r="AE227" i="1"/>
  <c r="AD227" i="1"/>
  <c r="AC227" i="1"/>
  <c r="AB227" i="1"/>
  <c r="AH227" i="1" s="1"/>
  <c r="Y227" i="1"/>
  <c r="X227" i="1"/>
  <c r="W227" i="1"/>
  <c r="V227" i="1"/>
  <c r="U227" i="1"/>
  <c r="T227" i="1"/>
  <c r="AG226" i="1"/>
  <c r="AF226" i="1"/>
  <c r="AE226" i="1"/>
  <c r="AD226" i="1"/>
  <c r="AC226" i="1"/>
  <c r="AB226" i="1"/>
  <c r="Y226" i="1"/>
  <c r="X226" i="1"/>
  <c r="W226" i="1"/>
  <c r="V226" i="1"/>
  <c r="U226" i="1"/>
  <c r="T226" i="1"/>
  <c r="AG225" i="1"/>
  <c r="AF225" i="1"/>
  <c r="AE225" i="1"/>
  <c r="AD225" i="1"/>
  <c r="AC225" i="1"/>
  <c r="AB225" i="1"/>
  <c r="AH225" i="1" s="1"/>
  <c r="Y225" i="1"/>
  <c r="X225" i="1"/>
  <c r="W225" i="1"/>
  <c r="V225" i="1"/>
  <c r="U225" i="1"/>
  <c r="T225" i="1"/>
  <c r="AG224" i="1"/>
  <c r="AF224" i="1"/>
  <c r="AE224" i="1"/>
  <c r="AD224" i="1"/>
  <c r="AC224" i="1"/>
  <c r="AB224" i="1"/>
  <c r="Y224" i="1"/>
  <c r="X224" i="1"/>
  <c r="W224" i="1"/>
  <c r="V224" i="1"/>
  <c r="R224" i="1" s="1"/>
  <c r="U224" i="1"/>
  <c r="T224" i="1"/>
  <c r="AG223" i="1"/>
  <c r="AF223" i="1"/>
  <c r="AE223" i="1"/>
  <c r="AD223" i="1"/>
  <c r="AC223" i="1"/>
  <c r="AB223" i="1"/>
  <c r="Y223" i="1"/>
  <c r="X223" i="1"/>
  <c r="W223" i="1"/>
  <c r="V223" i="1"/>
  <c r="U223" i="1"/>
  <c r="T223" i="1"/>
  <c r="AG222" i="1"/>
  <c r="AF222" i="1"/>
  <c r="AE222" i="1"/>
  <c r="AD222" i="1"/>
  <c r="AC222" i="1"/>
  <c r="AH222" i="1" s="1"/>
  <c r="AB222" i="1"/>
  <c r="Y222" i="1"/>
  <c r="X222" i="1"/>
  <c r="W222" i="1"/>
  <c r="V222" i="1"/>
  <c r="U222" i="1"/>
  <c r="T222" i="1"/>
  <c r="R222" i="1"/>
  <c r="AG221" i="1"/>
  <c r="AF221" i="1"/>
  <c r="AE221" i="1"/>
  <c r="AD221" i="1"/>
  <c r="AC221" i="1"/>
  <c r="AB221" i="1"/>
  <c r="Y221" i="1"/>
  <c r="X221" i="1"/>
  <c r="W221" i="1"/>
  <c r="V221" i="1"/>
  <c r="U221" i="1"/>
  <c r="T221" i="1"/>
  <c r="AG220" i="1"/>
  <c r="AF220" i="1"/>
  <c r="AE220" i="1"/>
  <c r="AD220" i="1"/>
  <c r="AC220" i="1"/>
  <c r="AB220" i="1"/>
  <c r="Y220" i="1"/>
  <c r="X220" i="1"/>
  <c r="W220" i="1"/>
  <c r="V220" i="1"/>
  <c r="U220" i="1"/>
  <c r="T220" i="1"/>
  <c r="R220" i="1" s="1"/>
  <c r="AG219" i="1"/>
  <c r="AF219" i="1"/>
  <c r="AE219" i="1"/>
  <c r="AD219" i="1"/>
  <c r="AC219" i="1"/>
  <c r="AB219" i="1"/>
  <c r="Y219" i="1"/>
  <c r="X219" i="1"/>
  <c r="W219" i="1"/>
  <c r="V219" i="1"/>
  <c r="U219" i="1"/>
  <c r="T219" i="1"/>
  <c r="AG218" i="1"/>
  <c r="AF218" i="1"/>
  <c r="AE218" i="1"/>
  <c r="AD218" i="1"/>
  <c r="AB218" i="1"/>
  <c r="Y218" i="1"/>
  <c r="X218" i="1"/>
  <c r="W218" i="1"/>
  <c r="V218" i="1"/>
  <c r="U218" i="1"/>
  <c r="T218" i="1"/>
  <c r="AH217" i="1"/>
  <c r="AG210" i="1"/>
  <c r="AF210" i="1"/>
  <c r="AE210" i="1"/>
  <c r="AD210" i="1"/>
  <c r="AC210" i="1"/>
  <c r="AB210" i="1"/>
  <c r="Y210" i="1"/>
  <c r="X210" i="1"/>
  <c r="W210" i="1"/>
  <c r="V210" i="1"/>
  <c r="U210" i="1"/>
  <c r="T210" i="1"/>
  <c r="AG209" i="1"/>
  <c r="AF209" i="1"/>
  <c r="AE209" i="1"/>
  <c r="AD209" i="1"/>
  <c r="AC209" i="1"/>
  <c r="AB209" i="1"/>
  <c r="Y209" i="1"/>
  <c r="X209" i="1"/>
  <c r="W209" i="1"/>
  <c r="V209" i="1"/>
  <c r="U209" i="1"/>
  <c r="R209" i="1" s="1"/>
  <c r="T209" i="1"/>
  <c r="AG208" i="1"/>
  <c r="AF208" i="1"/>
  <c r="AE208" i="1"/>
  <c r="AD208" i="1"/>
  <c r="AC208" i="1"/>
  <c r="AB208" i="1"/>
  <c r="Y208" i="1"/>
  <c r="X208" i="1"/>
  <c r="W208" i="1"/>
  <c r="V208" i="1"/>
  <c r="U208" i="1"/>
  <c r="R208" i="1" s="1"/>
  <c r="T208" i="1"/>
  <c r="AG207" i="1"/>
  <c r="AF207" i="1"/>
  <c r="AE207" i="1"/>
  <c r="AD207" i="1"/>
  <c r="AC207" i="1"/>
  <c r="AB207" i="1"/>
  <c r="Y207" i="1"/>
  <c r="X207" i="1"/>
  <c r="W207" i="1"/>
  <c r="V207" i="1"/>
  <c r="U207" i="1"/>
  <c r="T207" i="1"/>
  <c r="AG206" i="1"/>
  <c r="AF206" i="1"/>
  <c r="AE206" i="1"/>
  <c r="AD206" i="1"/>
  <c r="AC206" i="1"/>
  <c r="AB206" i="1"/>
  <c r="Y206" i="1"/>
  <c r="X206" i="1"/>
  <c r="W206" i="1"/>
  <c r="V206" i="1"/>
  <c r="R206" i="1" s="1"/>
  <c r="U206" i="1"/>
  <c r="T206" i="1"/>
  <c r="AH205" i="1"/>
  <c r="R205" i="1"/>
  <c r="AG200" i="1"/>
  <c r="AF200" i="1"/>
  <c r="AE200" i="1"/>
  <c r="AD200" i="1"/>
  <c r="AC200" i="1"/>
  <c r="AB200" i="1"/>
  <c r="Y200" i="1"/>
  <c r="X200" i="1"/>
  <c r="W200" i="1"/>
  <c r="V200" i="1"/>
  <c r="U200" i="1"/>
  <c r="T200" i="1"/>
  <c r="AG199" i="1"/>
  <c r="AF199" i="1"/>
  <c r="AE199" i="1"/>
  <c r="AD199" i="1"/>
  <c r="AC199" i="1"/>
  <c r="AB199" i="1"/>
  <c r="Y199" i="1"/>
  <c r="X199" i="1"/>
  <c r="W199" i="1"/>
  <c r="V199" i="1"/>
  <c r="U199" i="1"/>
  <c r="T199" i="1"/>
  <c r="AG198" i="1"/>
  <c r="AF198" i="1"/>
  <c r="AE198" i="1"/>
  <c r="AD198" i="1"/>
  <c r="AC198" i="1"/>
  <c r="AB198" i="1"/>
  <c r="AH198" i="1" s="1"/>
  <c r="Y198" i="1"/>
  <c r="X198" i="1"/>
  <c r="W198" i="1"/>
  <c r="V198" i="1"/>
  <c r="U198" i="1"/>
  <c r="T198" i="1"/>
  <c r="AG197" i="1"/>
  <c r="AF197" i="1"/>
  <c r="AE197" i="1"/>
  <c r="AD197" i="1"/>
  <c r="AC197" i="1"/>
  <c r="AB197" i="1"/>
  <c r="Y197" i="1"/>
  <c r="X197" i="1"/>
  <c r="W197" i="1"/>
  <c r="V197" i="1"/>
  <c r="R197" i="1" s="1"/>
  <c r="U197" i="1"/>
  <c r="T197" i="1"/>
  <c r="AG192" i="1"/>
  <c r="AF192" i="1"/>
  <c r="AE192" i="1"/>
  <c r="AD192" i="1"/>
  <c r="AC192" i="1"/>
  <c r="AB192" i="1"/>
  <c r="Y192" i="1"/>
  <c r="X192" i="1"/>
  <c r="W192" i="1"/>
  <c r="V192" i="1"/>
  <c r="U192" i="1"/>
  <c r="T192" i="1"/>
  <c r="AG191" i="1"/>
  <c r="AF191" i="1"/>
  <c r="AE191" i="1"/>
  <c r="AD191" i="1"/>
  <c r="AC191" i="1"/>
  <c r="AB191" i="1"/>
  <c r="Y191" i="1"/>
  <c r="X191" i="1"/>
  <c r="W191" i="1"/>
  <c r="V191" i="1"/>
  <c r="U191" i="1"/>
  <c r="T191" i="1"/>
  <c r="AG190" i="1"/>
  <c r="AF190" i="1"/>
  <c r="AE190" i="1"/>
  <c r="AD190" i="1"/>
  <c r="AC190" i="1"/>
  <c r="AH190" i="1" s="1"/>
  <c r="AB190" i="1"/>
  <c r="Y190" i="1"/>
  <c r="X190" i="1"/>
  <c r="W190" i="1"/>
  <c r="R190" i="1" s="1"/>
  <c r="V190" i="1"/>
  <c r="U190" i="1"/>
  <c r="T190" i="1"/>
  <c r="AG189" i="1"/>
  <c r="AF189" i="1"/>
  <c r="AE189" i="1"/>
  <c r="AD189" i="1"/>
  <c r="AC189" i="1"/>
  <c r="AB189" i="1"/>
  <c r="Y189" i="1"/>
  <c r="X189" i="1"/>
  <c r="W189" i="1"/>
  <c r="V189" i="1"/>
  <c r="U189" i="1"/>
  <c r="T189" i="1"/>
  <c r="AG188" i="1"/>
  <c r="AF188" i="1"/>
  <c r="AE188" i="1"/>
  <c r="AD188" i="1"/>
  <c r="AC188" i="1"/>
  <c r="AH188" i="1" s="1"/>
  <c r="AB188" i="1"/>
  <c r="Y188" i="1"/>
  <c r="X188" i="1"/>
  <c r="W188" i="1"/>
  <c r="V188" i="1"/>
  <c r="U188" i="1"/>
  <c r="T188" i="1"/>
  <c r="R188" i="1"/>
  <c r="AG187" i="1"/>
  <c r="AF187" i="1"/>
  <c r="AE187" i="1"/>
  <c r="AD187" i="1"/>
  <c r="AC187" i="1"/>
  <c r="AB187" i="1"/>
  <c r="Y187" i="1"/>
  <c r="X187" i="1"/>
  <c r="W187" i="1"/>
  <c r="V187" i="1"/>
  <c r="U187" i="1"/>
  <c r="T187" i="1"/>
  <c r="AG176" i="1"/>
  <c r="AF176" i="1"/>
  <c r="AE176" i="1"/>
  <c r="AD176" i="1"/>
  <c r="AC176" i="1"/>
  <c r="AB176" i="1"/>
  <c r="Y176" i="1"/>
  <c r="X176" i="1"/>
  <c r="W176" i="1"/>
  <c r="V176" i="1"/>
  <c r="U176" i="1"/>
  <c r="T176" i="1"/>
  <c r="AG175" i="1"/>
  <c r="AF175" i="1"/>
  <c r="AE175" i="1"/>
  <c r="AD175" i="1"/>
  <c r="AC175" i="1"/>
  <c r="AB175" i="1"/>
  <c r="Y175" i="1"/>
  <c r="X175" i="1"/>
  <c r="W175" i="1"/>
  <c r="V175" i="1"/>
  <c r="U175" i="1"/>
  <c r="T175" i="1"/>
  <c r="AG174" i="1"/>
  <c r="AF174" i="1"/>
  <c r="AE174" i="1"/>
  <c r="AD174" i="1"/>
  <c r="AC174" i="1"/>
  <c r="AB174" i="1"/>
  <c r="Y174" i="1"/>
  <c r="X174" i="1"/>
  <c r="W174" i="1"/>
  <c r="V174" i="1"/>
  <c r="U174" i="1"/>
  <c r="T174" i="1"/>
  <c r="AG173" i="1"/>
  <c r="AF173" i="1"/>
  <c r="AE173" i="1"/>
  <c r="AD173" i="1"/>
  <c r="AC173" i="1"/>
  <c r="AB173" i="1"/>
  <c r="Y173" i="1"/>
  <c r="X173" i="1"/>
  <c r="W173" i="1"/>
  <c r="V173" i="1"/>
  <c r="U173" i="1"/>
  <c r="T173" i="1"/>
  <c r="R173" i="1" s="1"/>
  <c r="AG172" i="1"/>
  <c r="AF172" i="1"/>
  <c r="AE172" i="1"/>
  <c r="AD172" i="1"/>
  <c r="AC172" i="1"/>
  <c r="AB172" i="1"/>
  <c r="Y172" i="1"/>
  <c r="X172" i="1"/>
  <c r="W172" i="1"/>
  <c r="V172" i="1"/>
  <c r="U172" i="1"/>
  <c r="T172" i="1"/>
  <c r="AG171" i="1"/>
  <c r="AF171" i="1"/>
  <c r="AE171" i="1"/>
  <c r="AD171" i="1"/>
  <c r="AC171" i="1"/>
  <c r="AB171" i="1"/>
  <c r="Y171" i="1"/>
  <c r="X171" i="1"/>
  <c r="W171" i="1"/>
  <c r="V171" i="1"/>
  <c r="U171" i="1"/>
  <c r="T171" i="1"/>
  <c r="R171" i="1" s="1"/>
  <c r="AG170" i="1"/>
  <c r="AF170" i="1"/>
  <c r="AE170" i="1"/>
  <c r="AD170" i="1"/>
  <c r="AC170" i="1"/>
  <c r="AB170" i="1"/>
  <c r="AH170" i="1" s="1"/>
  <c r="Y170" i="1"/>
  <c r="X170" i="1"/>
  <c r="W170" i="1"/>
  <c r="V170" i="1"/>
  <c r="U170" i="1"/>
  <c r="T170" i="1"/>
  <c r="AG169" i="1"/>
  <c r="AF169" i="1"/>
  <c r="AE169" i="1"/>
  <c r="AD169" i="1"/>
  <c r="AC169" i="1"/>
  <c r="AB169" i="1"/>
  <c r="Y169" i="1"/>
  <c r="X169" i="1"/>
  <c r="W169" i="1"/>
  <c r="V169" i="1"/>
  <c r="U169" i="1"/>
  <c r="R169" i="1" s="1"/>
  <c r="T169" i="1"/>
  <c r="AG155" i="1"/>
  <c r="AF155" i="1"/>
  <c r="AE155" i="1"/>
  <c r="AD155" i="1"/>
  <c r="AC155" i="1"/>
  <c r="AB155" i="1"/>
  <c r="Y155" i="1"/>
  <c r="X155" i="1"/>
  <c r="W155" i="1"/>
  <c r="V155" i="1"/>
  <c r="U155" i="1"/>
  <c r="T155" i="1"/>
  <c r="AG154" i="1"/>
  <c r="AF154" i="1"/>
  <c r="AE154" i="1"/>
  <c r="AD154" i="1"/>
  <c r="AC154" i="1"/>
  <c r="AB154" i="1"/>
  <c r="Y154" i="1"/>
  <c r="X154" i="1"/>
  <c r="W154" i="1"/>
  <c r="V154" i="1"/>
  <c r="U154" i="1"/>
  <c r="T154" i="1"/>
  <c r="AG140" i="1"/>
  <c r="AF140" i="1"/>
  <c r="AE140" i="1"/>
  <c r="AD140" i="1"/>
  <c r="AC140" i="1"/>
  <c r="AB140" i="1"/>
  <c r="AH140" i="1" s="1"/>
  <c r="Y140" i="1"/>
  <c r="X140" i="1"/>
  <c r="W140" i="1"/>
  <c r="V140" i="1"/>
  <c r="U140" i="1"/>
  <c r="T140" i="1"/>
  <c r="AG137" i="1"/>
  <c r="AF137" i="1"/>
  <c r="AE137" i="1"/>
  <c r="AD137" i="1"/>
  <c r="AC137" i="1"/>
  <c r="AB137" i="1"/>
  <c r="Y137" i="1"/>
  <c r="X137" i="1"/>
  <c r="W137" i="1"/>
  <c r="V137" i="1"/>
  <c r="U137" i="1"/>
  <c r="T137" i="1"/>
  <c r="R137" i="1"/>
  <c r="AG92" i="1"/>
  <c r="AF92" i="1"/>
  <c r="AE92" i="1"/>
  <c r="AD92" i="1"/>
  <c r="AC92" i="1"/>
  <c r="AB92" i="1"/>
  <c r="AH92" i="1" s="1"/>
  <c r="Y92" i="1"/>
  <c r="X92" i="1"/>
  <c r="W92" i="1"/>
  <c r="V92" i="1"/>
  <c r="U92" i="1"/>
  <c r="T92" i="1"/>
  <c r="AG86" i="1"/>
  <c r="AF86" i="1"/>
  <c r="AE86" i="1"/>
  <c r="AD86" i="1"/>
  <c r="AC86" i="1"/>
  <c r="AH86" i="1" s="1"/>
  <c r="AB86" i="1"/>
  <c r="Y86" i="1"/>
  <c r="X86" i="1"/>
  <c r="W86" i="1"/>
  <c r="V86" i="1"/>
  <c r="U86" i="1"/>
  <c r="T86" i="1"/>
  <c r="R86" i="1"/>
  <c r="P79" i="1"/>
  <c r="O79" i="1"/>
  <c r="AF79" i="1" s="1"/>
  <c r="N79" i="1"/>
  <c r="M79" i="1"/>
  <c r="L79" i="1"/>
  <c r="K79" i="1"/>
  <c r="J79" i="1"/>
  <c r="I79" i="1"/>
  <c r="H79" i="1"/>
  <c r="G79" i="1"/>
  <c r="F79" i="1"/>
  <c r="E79" i="1"/>
  <c r="D79" i="1"/>
  <c r="C79" i="1"/>
  <c r="Q77" i="1"/>
  <c r="R53" i="1"/>
  <c r="R35" i="1"/>
  <c r="R140" i="1" l="1"/>
  <c r="AH229" i="1"/>
  <c r="D109" i="9"/>
  <c r="L103" i="9"/>
  <c r="L104" i="9" s="1"/>
  <c r="K103" i="9"/>
  <c r="K104" i="9" s="1"/>
  <c r="J103" i="9"/>
  <c r="J104" i="9" s="1"/>
  <c r="D115" i="9"/>
  <c r="H103" i="9"/>
  <c r="H104" i="9" s="1"/>
  <c r="P103" i="9"/>
  <c r="P104" i="9" s="1"/>
  <c r="D106" i="9"/>
  <c r="D73" i="9"/>
  <c r="G67" i="9"/>
  <c r="G68" i="9" s="1"/>
  <c r="L67" i="9"/>
  <c r="L68" i="9" s="1"/>
  <c r="H67" i="9"/>
  <c r="H68" i="9" s="1"/>
  <c r="P67" i="9"/>
  <c r="P68" i="9" s="1"/>
  <c r="J67" i="9"/>
  <c r="J68" i="9" s="1"/>
  <c r="N67" i="9"/>
  <c r="N68" i="9" s="1"/>
  <c r="D70" i="9"/>
  <c r="R14" i="11"/>
  <c r="R10" i="11"/>
  <c r="R6" i="11"/>
  <c r="R16" i="11"/>
  <c r="R8" i="11"/>
  <c r="R12" i="11"/>
  <c r="R15" i="11"/>
  <c r="R11" i="11"/>
  <c r="R9" i="11"/>
  <c r="R5" i="11"/>
  <c r="R7" i="11"/>
  <c r="R170" i="1"/>
  <c r="R175" i="1"/>
  <c r="AH224" i="1"/>
  <c r="R254" i="1"/>
  <c r="S7" i="4"/>
  <c r="D100" i="9"/>
  <c r="L94" i="9"/>
  <c r="L95" i="9" s="1"/>
  <c r="J94" i="9"/>
  <c r="J95" i="9" s="1"/>
  <c r="D97" i="9"/>
  <c r="H94" i="9"/>
  <c r="H95" i="9" s="1"/>
  <c r="P94" i="9"/>
  <c r="P95" i="9" s="1"/>
  <c r="D35" i="13"/>
  <c r="C34" i="13"/>
  <c r="C37" i="13" s="1"/>
  <c r="Q16" i="11"/>
  <c r="Q11" i="11"/>
  <c r="Q14" i="11"/>
  <c r="Q12" i="11"/>
  <c r="Q10" i="11"/>
  <c r="Q15" i="11"/>
  <c r="Q6" i="11"/>
  <c r="Q5" i="11"/>
  <c r="Q9" i="11"/>
  <c r="Q8" i="11"/>
  <c r="Q7" i="11"/>
  <c r="T16" i="11"/>
  <c r="T6" i="11"/>
  <c r="T14" i="11"/>
  <c r="T9" i="11"/>
  <c r="T8" i="11"/>
  <c r="T5" i="11"/>
  <c r="T15" i="11"/>
  <c r="T11" i="11"/>
  <c r="T10" i="11"/>
  <c r="T12" i="11"/>
  <c r="T7" i="11"/>
  <c r="G4" i="11"/>
  <c r="F13" i="11"/>
  <c r="F17" i="11" s="1"/>
  <c r="D64" i="9"/>
  <c r="L58" i="9"/>
  <c r="L59" i="9" s="1"/>
  <c r="S58" i="9"/>
  <c r="S59" i="9" s="1"/>
  <c r="J58" i="9"/>
  <c r="J59" i="9" s="1"/>
  <c r="I58" i="9"/>
  <c r="I59" i="9" s="1"/>
  <c r="H58" i="9"/>
  <c r="H59" i="9" s="1"/>
  <c r="P58" i="9"/>
  <c r="P59" i="9" s="1"/>
  <c r="K58" i="9"/>
  <c r="K59" i="9" s="1"/>
  <c r="D61" i="9"/>
  <c r="Q79" i="1"/>
  <c r="Q77" i="6"/>
  <c r="AH137" i="1"/>
  <c r="R172" i="1"/>
  <c r="R187" i="1"/>
  <c r="AH207" i="1"/>
  <c r="E54" i="5"/>
  <c r="C54" i="5"/>
  <c r="G54" i="5"/>
  <c r="K54" i="5"/>
  <c r="I94" i="9"/>
  <c r="I95" i="9" s="1"/>
  <c r="U16" i="11"/>
  <c r="U5" i="11"/>
  <c r="U8" i="11"/>
  <c r="U7" i="11"/>
  <c r="U9" i="11"/>
  <c r="U11" i="11"/>
  <c r="U14" i="11"/>
  <c r="U10" i="11"/>
  <c r="U15" i="11"/>
  <c r="U6" i="11"/>
  <c r="U12" i="11"/>
  <c r="D88" i="9"/>
  <c r="H85" i="9"/>
  <c r="H86" i="9" s="1"/>
  <c r="P85" i="9"/>
  <c r="P86" i="9" s="1"/>
  <c r="D91" i="9"/>
  <c r="L85" i="9"/>
  <c r="L86" i="9" s="1"/>
  <c r="J85" i="9"/>
  <c r="J86" i="9" s="1"/>
  <c r="S8" i="11"/>
  <c r="S12" i="11"/>
  <c r="S7" i="11"/>
  <c r="S14" i="11"/>
  <c r="S6" i="11"/>
  <c r="S10" i="11"/>
  <c r="S15" i="11"/>
  <c r="S5" i="11"/>
  <c r="S11" i="11"/>
  <c r="S16" i="11"/>
  <c r="S9" i="11"/>
  <c r="R92" i="1"/>
  <c r="R189" i="1"/>
  <c r="R199" i="1"/>
  <c r="AH223" i="1"/>
  <c r="AH249" i="1"/>
  <c r="V14" i="11"/>
  <c r="V7" i="11"/>
  <c r="V5" i="11"/>
  <c r="V10" i="11"/>
  <c r="V6" i="11"/>
  <c r="V16" i="11"/>
  <c r="V9" i="11"/>
  <c r="V8" i="11"/>
  <c r="V11" i="11"/>
  <c r="V12" i="11"/>
  <c r="V15" i="11"/>
  <c r="D79" i="9"/>
  <c r="D82" i="9"/>
  <c r="P76" i="9"/>
  <c r="P77" i="9" s="1"/>
  <c r="H76" i="9"/>
  <c r="H77" i="9" s="1"/>
  <c r="J76" i="9"/>
  <c r="J77" i="9" s="1"/>
  <c r="L76" i="9"/>
  <c r="L77" i="9" s="1"/>
  <c r="K76" i="9"/>
  <c r="K77" i="9" s="1"/>
  <c r="AH175" i="1"/>
  <c r="AH189" i="1"/>
  <c r="AH191" i="1"/>
  <c r="AH192" i="1"/>
  <c r="R198" i="1"/>
  <c r="R207" i="1"/>
  <c r="AH210" i="1"/>
  <c r="R219" i="1"/>
  <c r="AH220" i="1"/>
  <c r="R225" i="1"/>
  <c r="R248" i="1"/>
  <c r="R174" i="1"/>
  <c r="R238" i="1"/>
  <c r="AH245" i="1"/>
  <c r="AH248" i="1"/>
  <c r="R92" i="7"/>
  <c r="AH197" i="1"/>
  <c r="R200" i="1"/>
  <c r="AH206" i="1"/>
  <c r="AH209" i="1"/>
  <c r="R218" i="1"/>
  <c r="R221" i="1"/>
  <c r="R226" i="1"/>
  <c r="AH226" i="1"/>
  <c r="R228" i="1"/>
  <c r="AH228" i="1"/>
  <c r="AH238" i="1"/>
  <c r="R244" i="1"/>
  <c r="AH247" i="1"/>
  <c r="AH187" i="1"/>
  <c r="AH208" i="1"/>
  <c r="AH218" i="1"/>
  <c r="AH221" i="1"/>
  <c r="R223" i="1"/>
  <c r="R227" i="1"/>
  <c r="R229" i="1"/>
  <c r="AH230" i="1"/>
  <c r="R246" i="1"/>
  <c r="R86" i="7"/>
  <c r="V17" i="10"/>
  <c r="R17" i="10"/>
  <c r="T95" i="9"/>
  <c r="T77" i="9"/>
  <c r="T104" i="9"/>
  <c r="T59" i="9"/>
  <c r="AB79" i="1"/>
  <c r="AG79" i="1"/>
  <c r="AC79" i="1"/>
  <c r="AE79" i="1"/>
  <c r="H42" i="8"/>
  <c r="I42" i="8" s="1"/>
  <c r="J42" i="8" s="1"/>
  <c r="K42" i="8" s="1"/>
  <c r="L42" i="8" s="1"/>
  <c r="M42" i="8" s="1"/>
  <c r="N42" i="8" s="1"/>
  <c r="O42" i="8" s="1"/>
  <c r="P42" i="8" s="1"/>
  <c r="Q42" i="8" s="1"/>
  <c r="R42" i="8" s="1"/>
  <c r="S42" i="8" s="1"/>
  <c r="G42" i="9" s="1"/>
  <c r="H35" i="8"/>
  <c r="I35" i="8" s="1"/>
  <c r="G48" i="8"/>
  <c r="H39" i="8"/>
  <c r="I39" i="8" s="1"/>
  <c r="J39" i="8" s="1"/>
  <c r="K39" i="8" s="1"/>
  <c r="L39" i="8" s="1"/>
  <c r="M39" i="8" s="1"/>
  <c r="N39" i="8" s="1"/>
  <c r="O39" i="8" s="1"/>
  <c r="P39" i="8" s="1"/>
  <c r="Q39" i="8" s="1"/>
  <c r="R39" i="8" s="1"/>
  <c r="S39" i="8" s="1"/>
  <c r="G39" i="9" s="1"/>
  <c r="H43" i="8"/>
  <c r="I43" i="8" s="1"/>
  <c r="J43" i="8" s="1"/>
  <c r="K43" i="8" s="1"/>
  <c r="L43" i="8" s="1"/>
  <c r="M43" i="8" s="1"/>
  <c r="N43" i="8" s="1"/>
  <c r="O43" i="8" s="1"/>
  <c r="P43" i="8" s="1"/>
  <c r="Q43" i="8" s="1"/>
  <c r="R43" i="8" s="1"/>
  <c r="S43" i="8" s="1"/>
  <c r="G43" i="9" s="1"/>
  <c r="H47" i="8"/>
  <c r="I47" i="8" s="1"/>
  <c r="J47" i="8" s="1"/>
  <c r="K47" i="8" s="1"/>
  <c r="L47" i="8" s="1"/>
  <c r="M47" i="8" s="1"/>
  <c r="N47" i="8" s="1"/>
  <c r="O47" i="8" s="1"/>
  <c r="P47" i="8" s="1"/>
  <c r="Q47" i="8" s="1"/>
  <c r="R47" i="8" s="1"/>
  <c r="S47" i="8" s="1"/>
  <c r="G47" i="9" s="1"/>
  <c r="H36" i="8"/>
  <c r="H40" i="8"/>
  <c r="I40" i="8" s="1"/>
  <c r="J40" i="8" s="1"/>
  <c r="K40" i="8" s="1"/>
  <c r="L40" i="8" s="1"/>
  <c r="M40" i="8" s="1"/>
  <c r="N40" i="8" s="1"/>
  <c r="O40" i="8" s="1"/>
  <c r="P40" i="8" s="1"/>
  <c r="Q40" i="8" s="1"/>
  <c r="R40" i="8" s="1"/>
  <c r="S40" i="8" s="1"/>
  <c r="G40" i="9" s="1"/>
  <c r="T80" i="8"/>
  <c r="H38" i="8"/>
  <c r="H46" i="8"/>
  <c r="I46" i="8" s="1"/>
  <c r="J46" i="8" s="1"/>
  <c r="K46" i="8" s="1"/>
  <c r="L46" i="8" s="1"/>
  <c r="M46" i="8" s="1"/>
  <c r="N46" i="8" s="1"/>
  <c r="O46" i="8" s="1"/>
  <c r="P46" i="8" s="1"/>
  <c r="Q46" i="8" s="1"/>
  <c r="R46" i="8" s="1"/>
  <c r="S46" i="8" s="1"/>
  <c r="G46" i="9" s="1"/>
  <c r="H37" i="8"/>
  <c r="I37" i="8" s="1"/>
  <c r="J37" i="8" s="1"/>
  <c r="K37" i="8" s="1"/>
  <c r="L37" i="8" s="1"/>
  <c r="M37" i="8" s="1"/>
  <c r="N37" i="8" s="1"/>
  <c r="O37" i="8" s="1"/>
  <c r="P37" i="8" s="1"/>
  <c r="Q37" i="8" s="1"/>
  <c r="R37" i="8" s="1"/>
  <c r="S37" i="8" s="1"/>
  <c r="G37" i="9" s="1"/>
  <c r="H41" i="8"/>
  <c r="I41" i="8" s="1"/>
  <c r="J41" i="8" s="1"/>
  <c r="K41" i="8" s="1"/>
  <c r="L41" i="8" s="1"/>
  <c r="M41" i="8" s="1"/>
  <c r="N41" i="8" s="1"/>
  <c r="O41" i="8" s="1"/>
  <c r="P41" i="8" s="1"/>
  <c r="Q41" i="8" s="1"/>
  <c r="R41" i="8" s="1"/>
  <c r="S41" i="8" s="1"/>
  <c r="G41" i="9" s="1"/>
  <c r="H45" i="8"/>
  <c r="I45" i="8" s="1"/>
  <c r="J45" i="8" s="1"/>
  <c r="K45" i="8" s="1"/>
  <c r="L45" i="8" s="1"/>
  <c r="M45" i="8" s="1"/>
  <c r="N45" i="8" s="1"/>
  <c r="O45" i="8" s="1"/>
  <c r="P45" i="8" s="1"/>
  <c r="Q45" i="8" s="1"/>
  <c r="R45" i="8" s="1"/>
  <c r="S45" i="8" s="1"/>
  <c r="G45" i="9" s="1"/>
  <c r="E151" i="7"/>
  <c r="E159" i="7" s="1"/>
  <c r="F149" i="7"/>
  <c r="G241" i="7"/>
  <c r="H238" i="7"/>
  <c r="T86" i="9"/>
  <c r="T68" i="9"/>
  <c r="T98" i="8"/>
  <c r="AH173" i="1"/>
  <c r="AE270" i="1"/>
  <c r="AF270" i="1"/>
  <c r="AH169" i="1"/>
  <c r="AC270" i="1"/>
  <c r="AG270" i="1"/>
  <c r="AH172" i="1"/>
  <c r="AH171" i="1"/>
  <c r="AH174" i="1"/>
  <c r="U20" i="13"/>
  <c r="S20" i="13"/>
  <c r="W20" i="13"/>
  <c r="R20" i="13"/>
  <c r="T20" i="13"/>
  <c r="V20" i="13"/>
  <c r="AE54" i="13"/>
  <c r="AA54" i="13"/>
  <c r="AD54" i="13"/>
  <c r="AC54" i="13"/>
  <c r="AB54" i="13"/>
  <c r="Z54" i="13"/>
  <c r="U20" i="12"/>
  <c r="W20" i="12"/>
  <c r="S20" i="12"/>
  <c r="V20" i="12"/>
  <c r="T20" i="12"/>
  <c r="R20" i="12"/>
  <c r="AE54" i="12"/>
  <c r="AA54" i="12"/>
  <c r="AD54" i="12"/>
  <c r="Z54" i="12"/>
  <c r="AC54" i="12"/>
  <c r="AB54" i="12"/>
  <c r="W37" i="12"/>
  <c r="S37" i="12"/>
  <c r="V37" i="12"/>
  <c r="R37" i="12"/>
  <c r="U37" i="12"/>
  <c r="T37" i="12"/>
  <c r="T107" i="8"/>
  <c r="T89" i="8"/>
  <c r="T62" i="8"/>
  <c r="T115" i="8"/>
  <c r="T71" i="8"/>
  <c r="V10" i="4"/>
  <c r="R6" i="4"/>
  <c r="R16" i="4"/>
  <c r="V11" i="5"/>
  <c r="V35" i="5"/>
  <c r="K70" i="3"/>
  <c r="K71" i="3" s="1"/>
  <c r="D100" i="3"/>
  <c r="V6" i="4"/>
  <c r="T10" i="4"/>
  <c r="V16" i="4"/>
  <c r="V19" i="5"/>
  <c r="U6" i="4"/>
  <c r="H26" i="3"/>
  <c r="H103" i="3" s="1"/>
  <c r="H104" i="3" s="1"/>
  <c r="L26" i="3"/>
  <c r="L58" i="3" s="1"/>
  <c r="L59" i="3" s="1"/>
  <c r="P26" i="3"/>
  <c r="K26" i="3"/>
  <c r="K103" i="3" s="1"/>
  <c r="K104" i="3" s="1"/>
  <c r="O26" i="3"/>
  <c r="O67" i="3" s="1"/>
  <c r="O68" i="3" s="1"/>
  <c r="S26" i="3"/>
  <c r="S76" i="3" s="1"/>
  <c r="S77" i="3" s="1"/>
  <c r="T18" i="3"/>
  <c r="T22" i="3"/>
  <c r="K48" i="3"/>
  <c r="K49" i="3" s="1"/>
  <c r="O48" i="3"/>
  <c r="O73" i="3" s="1"/>
  <c r="O74" i="3" s="1"/>
  <c r="S48" i="3"/>
  <c r="S73" i="3" s="1"/>
  <c r="S74" i="3" s="1"/>
  <c r="N48" i="3"/>
  <c r="R48" i="3"/>
  <c r="T39" i="3"/>
  <c r="T43" i="3"/>
  <c r="D115" i="3"/>
  <c r="R10" i="4"/>
  <c r="R19" i="5"/>
  <c r="AD19" i="5"/>
  <c r="D91" i="3"/>
  <c r="S4" i="4"/>
  <c r="S8" i="4"/>
  <c r="S12" i="4"/>
  <c r="S15" i="4"/>
  <c r="I26" i="3"/>
  <c r="I103" i="3" s="1"/>
  <c r="I104" i="3" s="1"/>
  <c r="M26" i="3"/>
  <c r="M103" i="3" s="1"/>
  <c r="M104" i="3" s="1"/>
  <c r="Q26" i="3"/>
  <c r="T24" i="3"/>
  <c r="H48" i="3"/>
  <c r="L48" i="3"/>
  <c r="L73" i="3" s="1"/>
  <c r="L74" i="3" s="1"/>
  <c r="P48" i="3"/>
  <c r="P64" i="3" s="1"/>
  <c r="P65" i="3" s="1"/>
  <c r="T36" i="3"/>
  <c r="T40" i="3"/>
  <c r="T47" i="3"/>
  <c r="T5" i="4"/>
  <c r="T9" i="4"/>
  <c r="T13" i="4"/>
  <c r="U19" i="5"/>
  <c r="G70" i="3"/>
  <c r="G71" i="3" s="1"/>
  <c r="K88" i="3"/>
  <c r="K89" i="3" s="1"/>
  <c r="S97" i="3"/>
  <c r="S98" i="3" s="1"/>
  <c r="T16" i="3"/>
  <c r="T17" i="3"/>
  <c r="T20" i="3"/>
  <c r="T37" i="3"/>
  <c r="T41" i="3"/>
  <c r="J48" i="3"/>
  <c r="J73" i="3" s="1"/>
  <c r="J74" i="3" s="1"/>
  <c r="S70" i="3"/>
  <c r="S71" i="3" s="1"/>
  <c r="G88" i="3"/>
  <c r="G89" i="3" s="1"/>
  <c r="G97" i="3"/>
  <c r="G98" i="3" s="1"/>
  <c r="Q5" i="4"/>
  <c r="Q9" i="4"/>
  <c r="Q13" i="4"/>
  <c r="H97" i="3"/>
  <c r="H98" i="3" s="1"/>
  <c r="L97" i="3"/>
  <c r="L98" i="3" s="1"/>
  <c r="G10" i="3"/>
  <c r="J26" i="3"/>
  <c r="J85" i="3" s="1"/>
  <c r="J86" i="3" s="1"/>
  <c r="N26" i="3"/>
  <c r="N76" i="3" s="1"/>
  <c r="N77" i="3" s="1"/>
  <c r="R26" i="3"/>
  <c r="R94" i="3" s="1"/>
  <c r="R95" i="3" s="1"/>
  <c r="T45" i="3"/>
  <c r="T46" i="3"/>
  <c r="R88" i="3"/>
  <c r="R89" i="3" s="1"/>
  <c r="U5" i="4"/>
  <c r="V7" i="4"/>
  <c r="U9" i="4"/>
  <c r="U11" i="4"/>
  <c r="U13" i="4"/>
  <c r="U25" i="5"/>
  <c r="U33" i="5"/>
  <c r="S19" i="5"/>
  <c r="T19" i="5"/>
  <c r="W8" i="5"/>
  <c r="U9" i="5"/>
  <c r="B20" i="5"/>
  <c r="J20" i="5"/>
  <c r="M37" i="5"/>
  <c r="I54" i="5"/>
  <c r="M54" i="5"/>
  <c r="V27" i="5"/>
  <c r="V31" i="5"/>
  <c r="D54" i="5"/>
  <c r="H54" i="5"/>
  <c r="AC34" i="5"/>
  <c r="AD17" i="5"/>
  <c r="AD6" i="5"/>
  <c r="S9" i="5"/>
  <c r="C20" i="5"/>
  <c r="K20" i="5"/>
  <c r="AC17" i="5"/>
  <c r="B37" i="5"/>
  <c r="F37" i="5"/>
  <c r="J37" i="5"/>
  <c r="AC23" i="5"/>
  <c r="E37" i="5"/>
  <c r="T36" i="5"/>
  <c r="T7" i="5"/>
  <c r="W9" i="5"/>
  <c r="U12" i="5"/>
  <c r="V15" i="5"/>
  <c r="T18" i="5"/>
  <c r="U29" i="5"/>
  <c r="C37" i="5"/>
  <c r="G37" i="5"/>
  <c r="K37" i="5"/>
  <c r="Z23" i="5"/>
  <c r="AD23" i="5"/>
  <c r="I37" i="5"/>
  <c r="V8" i="5"/>
  <c r="U13" i="5"/>
  <c r="H37" i="5"/>
  <c r="F54" i="5"/>
  <c r="J54" i="5"/>
  <c r="N54" i="5"/>
  <c r="AA23" i="5"/>
  <c r="AA31" i="5"/>
  <c r="AA27" i="5"/>
  <c r="AA30" i="5"/>
  <c r="AA26" i="5"/>
  <c r="AA33" i="5"/>
  <c r="AA29" i="5"/>
  <c r="AA25" i="5"/>
  <c r="AA15" i="5"/>
  <c r="AA11" i="5"/>
  <c r="AA14" i="5"/>
  <c r="AA10" i="5"/>
  <c r="AA13" i="5"/>
  <c r="AA6" i="5"/>
  <c r="AA49" i="5"/>
  <c r="AA41" i="5"/>
  <c r="AA32" i="5"/>
  <c r="AA18" i="5"/>
  <c r="AA16" i="5"/>
  <c r="AA7" i="5"/>
  <c r="AA50" i="5"/>
  <c r="AA45" i="5"/>
  <c r="AA42" i="5"/>
  <c r="AA9" i="5"/>
  <c r="AA46" i="5"/>
  <c r="AA36" i="5"/>
  <c r="AA28" i="5"/>
  <c r="AA24" i="5"/>
  <c r="AA35" i="5"/>
  <c r="AA8" i="5"/>
  <c r="AA12" i="5"/>
  <c r="Z35" i="5"/>
  <c r="Z32" i="5"/>
  <c r="Z28" i="5"/>
  <c r="Z24" i="5"/>
  <c r="Z31" i="5"/>
  <c r="Z27" i="5"/>
  <c r="Z36" i="5"/>
  <c r="Z16" i="5"/>
  <c r="Z12" i="5"/>
  <c r="Z33" i="5"/>
  <c r="Z30" i="5"/>
  <c r="Z29" i="5"/>
  <c r="Z26" i="5"/>
  <c r="Z25" i="5"/>
  <c r="Z15" i="5"/>
  <c r="Z11" i="5"/>
  <c r="Z8" i="5"/>
  <c r="T10" i="5"/>
  <c r="AD10" i="5"/>
  <c r="T16" i="5"/>
  <c r="W16" i="5"/>
  <c r="S16" i="5"/>
  <c r="AE3" i="5"/>
  <c r="AC6" i="5"/>
  <c r="R7" i="5"/>
  <c r="V7" i="5"/>
  <c r="U8" i="5"/>
  <c r="T9" i="5"/>
  <c r="Z9" i="5"/>
  <c r="W10" i="5"/>
  <c r="U11" i="5"/>
  <c r="W11" i="5"/>
  <c r="R12" i="5"/>
  <c r="W14" i="5"/>
  <c r="U15" i="5"/>
  <c r="W15" i="5"/>
  <c r="R16" i="5"/>
  <c r="AD18" i="5"/>
  <c r="AD25" i="5"/>
  <c r="W26" i="5"/>
  <c r="W27" i="5"/>
  <c r="AD29" i="5"/>
  <c r="W30" i="5"/>
  <c r="W31" i="5"/>
  <c r="AD33" i="5"/>
  <c r="D37" i="5"/>
  <c r="L37" i="5"/>
  <c r="AD36" i="5"/>
  <c r="AD42" i="5"/>
  <c r="AD44" i="5"/>
  <c r="Z45" i="5"/>
  <c r="AA47" i="5"/>
  <c r="AD47" i="5"/>
  <c r="Z47" i="5"/>
  <c r="AC47" i="5"/>
  <c r="AC48" i="5"/>
  <c r="AD50" i="5"/>
  <c r="U7" i="5"/>
  <c r="T8" i="5"/>
  <c r="AD8" i="5"/>
  <c r="AD9" i="5"/>
  <c r="T13" i="5"/>
  <c r="T14" i="5"/>
  <c r="AD14" i="5"/>
  <c r="W18" i="5"/>
  <c r="S18" i="5"/>
  <c r="V18" i="5"/>
  <c r="R18" i="5"/>
  <c r="T26" i="5"/>
  <c r="Z53" i="5"/>
  <c r="R30" i="5"/>
  <c r="R26" i="5"/>
  <c r="R14" i="5"/>
  <c r="R10" i="5"/>
  <c r="R31" i="5"/>
  <c r="R27" i="5"/>
  <c r="V30" i="5"/>
  <c r="V14" i="5"/>
  <c r="AB3" i="5"/>
  <c r="Z6" i="5"/>
  <c r="S7" i="5"/>
  <c r="W7" i="5"/>
  <c r="AC7" i="5"/>
  <c r="R8" i="5"/>
  <c r="V10" i="5"/>
  <c r="Z10" i="5"/>
  <c r="R11" i="5"/>
  <c r="Z13" i="5"/>
  <c r="U14" i="5"/>
  <c r="Z14" i="5"/>
  <c r="R15" i="5"/>
  <c r="U16" i="5"/>
  <c r="E20" i="5"/>
  <c r="I20" i="5"/>
  <c r="M20" i="5"/>
  <c r="U18" i="5"/>
  <c r="T24" i="5"/>
  <c r="O23" i="5"/>
  <c r="W24" i="5"/>
  <c r="S24" i="5"/>
  <c r="V24" i="5"/>
  <c r="U24" i="5"/>
  <c r="AD26" i="5"/>
  <c r="T28" i="5"/>
  <c r="W28" i="5"/>
  <c r="S28" i="5"/>
  <c r="V28" i="5"/>
  <c r="U28" i="5"/>
  <c r="T32" i="5"/>
  <c r="W32" i="5"/>
  <c r="S32" i="5"/>
  <c r="V32" i="5"/>
  <c r="U32" i="5"/>
  <c r="W36" i="5"/>
  <c r="S36" i="5"/>
  <c r="V36" i="5"/>
  <c r="R36" i="5"/>
  <c r="U36" i="5"/>
  <c r="Z44" i="5"/>
  <c r="AA52" i="5"/>
  <c r="AD52" i="5"/>
  <c r="Z52" i="5"/>
  <c r="AC52" i="5"/>
  <c r="AD35" i="5"/>
  <c r="AD32" i="5"/>
  <c r="AD28" i="5"/>
  <c r="AD24" i="5"/>
  <c r="AD31" i="5"/>
  <c r="AD27" i="5"/>
  <c r="AD16" i="5"/>
  <c r="AD12" i="5"/>
  <c r="AD49" i="5"/>
  <c r="AD45" i="5"/>
  <c r="AD41" i="5"/>
  <c r="AD15" i="5"/>
  <c r="AD11" i="5"/>
  <c r="T12" i="5"/>
  <c r="W12" i="5"/>
  <c r="S12" i="5"/>
  <c r="AD13" i="5"/>
  <c r="T30" i="5"/>
  <c r="Z48" i="5"/>
  <c r="S31" i="5"/>
  <c r="S30" i="5"/>
  <c r="S27" i="5"/>
  <c r="S26" i="5"/>
  <c r="AC36" i="5"/>
  <c r="AC33" i="5"/>
  <c r="AC29" i="5"/>
  <c r="AC25" i="5"/>
  <c r="AC35" i="5"/>
  <c r="AC32" i="5"/>
  <c r="AC28" i="5"/>
  <c r="AC24" i="5"/>
  <c r="AC31" i="5"/>
  <c r="AC30" i="5"/>
  <c r="AC27" i="5"/>
  <c r="AC26" i="5"/>
  <c r="AC18" i="5"/>
  <c r="AC13" i="5"/>
  <c r="AC16" i="5"/>
  <c r="AC12" i="5"/>
  <c r="O6" i="5"/>
  <c r="Z7" i="5"/>
  <c r="AD7" i="5"/>
  <c r="S8" i="5"/>
  <c r="AC8" i="5"/>
  <c r="R9" i="5"/>
  <c r="V9" i="5"/>
  <c r="AC9" i="5"/>
  <c r="S10" i="5"/>
  <c r="AC10" i="5"/>
  <c r="S11" i="5"/>
  <c r="AC11" i="5"/>
  <c r="V12" i="5"/>
  <c r="W13" i="5"/>
  <c r="S13" i="5"/>
  <c r="V13" i="5"/>
  <c r="R13" i="5"/>
  <c r="S14" i="5"/>
  <c r="AC14" i="5"/>
  <c r="S15" i="5"/>
  <c r="AC15" i="5"/>
  <c r="V16" i="5"/>
  <c r="F20" i="5"/>
  <c r="N20" i="5"/>
  <c r="AE17" i="5"/>
  <c r="AA17" i="5"/>
  <c r="Z17" i="5"/>
  <c r="Z18" i="5"/>
  <c r="R24" i="5"/>
  <c r="T25" i="5"/>
  <c r="U27" i="5"/>
  <c r="R28" i="5"/>
  <c r="T29" i="5"/>
  <c r="U31" i="5"/>
  <c r="R32" i="5"/>
  <c r="T33" i="5"/>
  <c r="T35" i="5"/>
  <c r="O34" i="5"/>
  <c r="W35" i="5"/>
  <c r="S35" i="5"/>
  <c r="U35" i="5"/>
  <c r="R35" i="5"/>
  <c r="Z41" i="5"/>
  <c r="AA43" i="5"/>
  <c r="AD43" i="5"/>
  <c r="Z43" i="5"/>
  <c r="O40" i="5"/>
  <c r="O54" i="5" s="1"/>
  <c r="AC43" i="5"/>
  <c r="AC44" i="5"/>
  <c r="AD46" i="5"/>
  <c r="AD48" i="5"/>
  <c r="Z49" i="5"/>
  <c r="AD51" i="5"/>
  <c r="Z51" i="5"/>
  <c r="AC51" i="5"/>
  <c r="AA51" i="5"/>
  <c r="AA53" i="5"/>
  <c r="AD53" i="5"/>
  <c r="AC53" i="5"/>
  <c r="U10" i="5"/>
  <c r="T11" i="5"/>
  <c r="T15" i="5"/>
  <c r="O17" i="5"/>
  <c r="V26" i="5"/>
  <c r="U30" i="5"/>
  <c r="D20" i="5"/>
  <c r="H20" i="5"/>
  <c r="L20" i="5"/>
  <c r="W25" i="5"/>
  <c r="S25" i="5"/>
  <c r="V25" i="5"/>
  <c r="R25" i="5"/>
  <c r="W29" i="5"/>
  <c r="S29" i="5"/>
  <c r="V29" i="5"/>
  <c r="R29" i="5"/>
  <c r="W33" i="5"/>
  <c r="S33" i="5"/>
  <c r="V33" i="5"/>
  <c r="R33" i="5"/>
  <c r="AC41" i="5"/>
  <c r="AA44" i="5"/>
  <c r="AC45" i="5"/>
  <c r="AA48" i="5"/>
  <c r="AC49" i="5"/>
  <c r="U26" i="5"/>
  <c r="T27" i="5"/>
  <c r="T31" i="5"/>
  <c r="Z34" i="5"/>
  <c r="AD34" i="5"/>
  <c r="N37" i="5"/>
  <c r="AC42" i="5"/>
  <c r="AC46" i="5"/>
  <c r="AC50" i="5"/>
  <c r="AA34" i="5"/>
  <c r="Z42" i="5"/>
  <c r="Z46" i="5"/>
  <c r="Z50" i="5"/>
  <c r="T8" i="4"/>
  <c r="S11" i="4"/>
  <c r="Q4" i="4"/>
  <c r="U4" i="4"/>
  <c r="R5" i="4"/>
  <c r="V5" i="4"/>
  <c r="S6" i="4"/>
  <c r="T7" i="4"/>
  <c r="Q8" i="4"/>
  <c r="U8" i="4"/>
  <c r="R9" i="4"/>
  <c r="V9" i="4"/>
  <c r="S10" i="4"/>
  <c r="T11" i="4"/>
  <c r="Q12" i="4"/>
  <c r="U12" i="4"/>
  <c r="R13" i="4"/>
  <c r="V13" i="4"/>
  <c r="T14" i="4"/>
  <c r="Q15" i="4"/>
  <c r="U15" i="4"/>
  <c r="S16" i="4"/>
  <c r="N17" i="4"/>
  <c r="S14" i="4"/>
  <c r="R4" i="4"/>
  <c r="V4" i="4"/>
  <c r="S5" i="4"/>
  <c r="T6" i="4"/>
  <c r="Q7" i="4"/>
  <c r="U7" i="4"/>
  <c r="R8" i="4"/>
  <c r="V8" i="4"/>
  <c r="S9" i="4"/>
  <c r="Q11" i="4"/>
  <c r="R12" i="4"/>
  <c r="V12" i="4"/>
  <c r="S13" i="4"/>
  <c r="Q14" i="4"/>
  <c r="U14" i="4"/>
  <c r="R15" i="4"/>
  <c r="V15" i="4"/>
  <c r="T4" i="4"/>
  <c r="T12" i="4"/>
  <c r="T15" i="4"/>
  <c r="Q6" i="4"/>
  <c r="R7" i="4"/>
  <c r="Q10" i="4"/>
  <c r="U10" i="4"/>
  <c r="R11" i="4"/>
  <c r="V11" i="4"/>
  <c r="J100" i="3"/>
  <c r="J101" i="3" s="1"/>
  <c r="N103" i="3"/>
  <c r="N104" i="3" s="1"/>
  <c r="R58" i="3"/>
  <c r="R59" i="3" s="1"/>
  <c r="R85" i="3"/>
  <c r="R86" i="3" s="1"/>
  <c r="M97" i="3"/>
  <c r="M98" i="3" s="1"/>
  <c r="M88" i="3"/>
  <c r="M89" i="3" s="1"/>
  <c r="M70" i="3"/>
  <c r="M71" i="3" s="1"/>
  <c r="M10" i="3"/>
  <c r="P85" i="3"/>
  <c r="P86" i="3" s="1"/>
  <c r="P94" i="3"/>
  <c r="P95" i="3" s="1"/>
  <c r="P67" i="3"/>
  <c r="P68" i="3" s="1"/>
  <c r="P103" i="3"/>
  <c r="P104" i="3" s="1"/>
  <c r="S49" i="3"/>
  <c r="P76" i="3"/>
  <c r="P77" i="3" s="1"/>
  <c r="M76" i="3"/>
  <c r="M77" i="3" s="1"/>
  <c r="T23" i="3"/>
  <c r="I97" i="3"/>
  <c r="I98" i="3" s="1"/>
  <c r="I88" i="3"/>
  <c r="I89" i="3" s="1"/>
  <c r="I70" i="3"/>
  <c r="I71" i="3" s="1"/>
  <c r="I10" i="3"/>
  <c r="Q97" i="3"/>
  <c r="Q98" i="3" s="1"/>
  <c r="Q88" i="3"/>
  <c r="Q89" i="3" s="1"/>
  <c r="Q70" i="3"/>
  <c r="Q71" i="3" s="1"/>
  <c r="Q10" i="3"/>
  <c r="Q30" i="3" s="1"/>
  <c r="T14" i="3"/>
  <c r="G48" i="3"/>
  <c r="G73" i="3" s="1"/>
  <c r="G74" i="3" s="1"/>
  <c r="T35" i="3"/>
  <c r="Q103" i="3"/>
  <c r="Q104" i="3" s="1"/>
  <c r="Q94" i="3"/>
  <c r="Q95" i="3" s="1"/>
  <c r="Q85" i="3"/>
  <c r="Q86" i="3" s="1"/>
  <c r="Q76" i="3"/>
  <c r="Q77" i="3" s="1"/>
  <c r="Q67" i="3"/>
  <c r="Q68" i="3" s="1"/>
  <c r="Q58" i="3"/>
  <c r="Q59" i="3" s="1"/>
  <c r="T15" i="3"/>
  <c r="T21" i="3"/>
  <c r="I48" i="3"/>
  <c r="I73" i="3" s="1"/>
  <c r="I74" i="3" s="1"/>
  <c r="M48" i="3"/>
  <c r="M73" i="3" s="1"/>
  <c r="M74" i="3" s="1"/>
  <c r="Q48" i="3"/>
  <c r="Q73" i="3" s="1"/>
  <c r="Q74" i="3" s="1"/>
  <c r="R57" i="3"/>
  <c r="P58" i="3"/>
  <c r="P59" i="3" s="1"/>
  <c r="T19" i="3"/>
  <c r="P30" i="3"/>
  <c r="T29" i="3"/>
  <c r="T38" i="3"/>
  <c r="T42" i="3"/>
  <c r="N82" i="3"/>
  <c r="N83" i="3" s="1"/>
  <c r="D79" i="3"/>
  <c r="J79" i="3" s="1"/>
  <c r="J80" i="3" s="1"/>
  <c r="N88" i="3"/>
  <c r="N89" i="3" s="1"/>
  <c r="G26" i="3"/>
  <c r="N70" i="3"/>
  <c r="N71" i="3" s="1"/>
  <c r="D109" i="3"/>
  <c r="D106" i="3"/>
  <c r="M106" i="3" s="1"/>
  <c r="M107" i="3" s="1"/>
  <c r="O88" i="3"/>
  <c r="O89" i="3" s="1"/>
  <c r="O97" i="3"/>
  <c r="O98" i="3" s="1"/>
  <c r="D61" i="3"/>
  <c r="R61" i="3" s="1"/>
  <c r="R62" i="3" s="1"/>
  <c r="O70" i="3"/>
  <c r="O71" i="3" s="1"/>
  <c r="L88" i="3"/>
  <c r="L89" i="3" s="1"/>
  <c r="J88" i="3"/>
  <c r="J89" i="3" s="1"/>
  <c r="J97" i="3"/>
  <c r="J98" i="3" s="1"/>
  <c r="K97" i="3"/>
  <c r="K98" i="3" s="1"/>
  <c r="S88" i="3"/>
  <c r="S89" i="3" s="1"/>
  <c r="H88" i="3"/>
  <c r="H89" i="3" s="1"/>
  <c r="H70" i="3"/>
  <c r="H71" i="3" s="1"/>
  <c r="L70" i="3"/>
  <c r="L71" i="3" s="1"/>
  <c r="P97" i="3"/>
  <c r="P98" i="3" s="1"/>
  <c r="P70" i="3"/>
  <c r="P71" i="3" s="1"/>
  <c r="T8" i="3"/>
  <c r="T10" i="3" s="1"/>
  <c r="J10" i="3"/>
  <c r="N10" i="3"/>
  <c r="R10" i="3"/>
  <c r="R30" i="3" s="1"/>
  <c r="J70" i="3"/>
  <c r="J71" i="3" s="1"/>
  <c r="R70" i="3"/>
  <c r="R71" i="3" s="1"/>
  <c r="P88" i="3"/>
  <c r="P89" i="3" s="1"/>
  <c r="N97" i="3"/>
  <c r="N98" i="3" s="1"/>
  <c r="X79" i="1"/>
  <c r="X270" i="1" s="1"/>
  <c r="T79" i="1"/>
  <c r="T270" i="1" s="1"/>
  <c r="V79" i="1"/>
  <c r="V270" i="1" s="1"/>
  <c r="W79" i="1"/>
  <c r="W270" i="1" s="1"/>
  <c r="Y79" i="1"/>
  <c r="Y270" i="1" s="1"/>
  <c r="U79" i="1"/>
  <c r="U270" i="1" s="1"/>
  <c r="AB270" i="1"/>
  <c r="AD79" i="1"/>
  <c r="AD270" i="1" s="1"/>
  <c r="O79" i="9" l="1"/>
  <c r="O80" i="9" s="1"/>
  <c r="L79" i="9"/>
  <c r="L80" i="9" s="1"/>
  <c r="K79" i="9"/>
  <c r="K80" i="9" s="1"/>
  <c r="J79" i="9"/>
  <c r="J80" i="9" s="1"/>
  <c r="H79" i="9"/>
  <c r="H80" i="9" s="1"/>
  <c r="Q79" i="9"/>
  <c r="Q80" i="9" s="1"/>
  <c r="S79" i="9"/>
  <c r="S80" i="9" s="1"/>
  <c r="M79" i="9"/>
  <c r="M80" i="9" s="1"/>
  <c r="G79" i="9"/>
  <c r="G80" i="9" s="1"/>
  <c r="I79" i="9"/>
  <c r="I80" i="9" s="1"/>
  <c r="N79" i="9"/>
  <c r="N80" i="9" s="1"/>
  <c r="P79" i="9"/>
  <c r="P80" i="9" s="1"/>
  <c r="R79" i="9"/>
  <c r="R80" i="9" s="1"/>
  <c r="G61" i="9"/>
  <c r="G62" i="9" s="1"/>
  <c r="I61" i="9"/>
  <c r="I62" i="9" s="1"/>
  <c r="O61" i="9"/>
  <c r="O62" i="9" s="1"/>
  <c r="R61" i="9"/>
  <c r="R62" i="9" s="1"/>
  <c r="N61" i="9"/>
  <c r="N62" i="9" s="1"/>
  <c r="K61" i="9"/>
  <c r="K62" i="9" s="1"/>
  <c r="M61" i="9"/>
  <c r="M62" i="9" s="1"/>
  <c r="Q61" i="9"/>
  <c r="Q62" i="9" s="1"/>
  <c r="L61" i="9"/>
  <c r="L62" i="9" s="1"/>
  <c r="P61" i="9"/>
  <c r="P62" i="9" s="1"/>
  <c r="H61" i="9"/>
  <c r="H62" i="9" s="1"/>
  <c r="S61" i="9"/>
  <c r="S62" i="9" s="1"/>
  <c r="J61" i="9"/>
  <c r="J62" i="9" s="1"/>
  <c r="H88" i="9"/>
  <c r="H89" i="9" s="1"/>
  <c r="Q88" i="9"/>
  <c r="Q89" i="9" s="1"/>
  <c r="S88" i="9"/>
  <c r="S89" i="9" s="1"/>
  <c r="J88" i="9"/>
  <c r="J89" i="9" s="1"/>
  <c r="M88" i="9"/>
  <c r="M89" i="9" s="1"/>
  <c r="N88" i="9"/>
  <c r="N89" i="9" s="1"/>
  <c r="R88" i="9"/>
  <c r="R89" i="9" s="1"/>
  <c r="G88" i="9"/>
  <c r="G89" i="9" s="1"/>
  <c r="L88" i="9"/>
  <c r="L89" i="9" s="1"/>
  <c r="I88" i="9"/>
  <c r="I89" i="9" s="1"/>
  <c r="P88" i="9"/>
  <c r="P89" i="9" s="1"/>
  <c r="O88" i="9"/>
  <c r="O89" i="9" s="1"/>
  <c r="K88" i="9"/>
  <c r="K89" i="9" s="1"/>
  <c r="I97" i="9"/>
  <c r="I98" i="9" s="1"/>
  <c r="M97" i="9"/>
  <c r="M98" i="9" s="1"/>
  <c r="S97" i="9"/>
  <c r="S98" i="9" s="1"/>
  <c r="L97" i="9"/>
  <c r="L98" i="9" s="1"/>
  <c r="G97" i="9"/>
  <c r="G98" i="9" s="1"/>
  <c r="O97" i="9"/>
  <c r="O98" i="9" s="1"/>
  <c r="R97" i="9"/>
  <c r="R98" i="9" s="1"/>
  <c r="N97" i="9"/>
  <c r="N98" i="9" s="1"/>
  <c r="Q97" i="9"/>
  <c r="Q98" i="9" s="1"/>
  <c r="K97" i="9"/>
  <c r="K98" i="9" s="1"/>
  <c r="P97" i="9"/>
  <c r="P98" i="9" s="1"/>
  <c r="H97" i="9"/>
  <c r="H98" i="9" s="1"/>
  <c r="J97" i="9"/>
  <c r="J98" i="9" s="1"/>
  <c r="H70" i="9"/>
  <c r="H71" i="9" s="1"/>
  <c r="O70" i="9"/>
  <c r="O71" i="9" s="1"/>
  <c r="R70" i="9"/>
  <c r="R71" i="9" s="1"/>
  <c r="Q70" i="9"/>
  <c r="Q71" i="9" s="1"/>
  <c r="N70" i="9"/>
  <c r="N71" i="9" s="1"/>
  <c r="G70" i="9"/>
  <c r="G71" i="9" s="1"/>
  <c r="M70" i="9"/>
  <c r="M71" i="9" s="1"/>
  <c r="I70" i="9"/>
  <c r="I71" i="9" s="1"/>
  <c r="J70" i="9"/>
  <c r="J71" i="9" s="1"/>
  <c r="L70" i="9"/>
  <c r="L71" i="9" s="1"/>
  <c r="K70" i="9"/>
  <c r="K71" i="9" s="1"/>
  <c r="P70" i="9"/>
  <c r="P71" i="9" s="1"/>
  <c r="S70" i="9"/>
  <c r="S71" i="9" s="1"/>
  <c r="P106" i="9"/>
  <c r="P107" i="9" s="1"/>
  <c r="R106" i="9"/>
  <c r="R107" i="9" s="1"/>
  <c r="M106" i="9"/>
  <c r="M107" i="9" s="1"/>
  <c r="K106" i="9"/>
  <c r="K107" i="9" s="1"/>
  <c r="J106" i="9"/>
  <c r="J107" i="9" s="1"/>
  <c r="O106" i="9"/>
  <c r="O107" i="9" s="1"/>
  <c r="Q106" i="9"/>
  <c r="Q107" i="9" s="1"/>
  <c r="N106" i="9"/>
  <c r="N107" i="9" s="1"/>
  <c r="L106" i="9"/>
  <c r="L107" i="9" s="1"/>
  <c r="G106" i="9"/>
  <c r="G107" i="9" s="1"/>
  <c r="T107" i="9" s="1"/>
  <c r="I106" i="9"/>
  <c r="I107" i="9" s="1"/>
  <c r="H106" i="9"/>
  <c r="H107" i="9" s="1"/>
  <c r="S106" i="9"/>
  <c r="S107" i="9" s="1"/>
  <c r="Q77" i="7"/>
  <c r="P77" i="7" s="1"/>
  <c r="P77" i="6"/>
  <c r="Q79" i="6"/>
  <c r="G13" i="11"/>
  <c r="G17" i="11" s="1"/>
  <c r="H4" i="11"/>
  <c r="E35" i="13"/>
  <c r="D34" i="13"/>
  <c r="D37" i="13" s="1"/>
  <c r="K58" i="3"/>
  <c r="K59" i="3" s="1"/>
  <c r="I38" i="8"/>
  <c r="J38" i="8" s="1"/>
  <c r="T47" i="8"/>
  <c r="P52" i="3"/>
  <c r="S64" i="3"/>
  <c r="S65" i="3" s="1"/>
  <c r="P100" i="3"/>
  <c r="P101" i="3" s="1"/>
  <c r="S100" i="3"/>
  <c r="S101" i="3" s="1"/>
  <c r="J52" i="3"/>
  <c r="S52" i="3"/>
  <c r="J64" i="3"/>
  <c r="J65" i="3" s="1"/>
  <c r="I36" i="8"/>
  <c r="S85" i="3"/>
  <c r="S86" i="3" s="1"/>
  <c r="P91" i="3"/>
  <c r="P92" i="3" s="1"/>
  <c r="N91" i="3"/>
  <c r="N92" i="3" s="1"/>
  <c r="T115" i="9"/>
  <c r="T46" i="8"/>
  <c r="S79" i="3"/>
  <c r="S80" i="3" s="1"/>
  <c r="L64" i="3"/>
  <c r="L65" i="3" s="1"/>
  <c r="N58" i="3"/>
  <c r="N59" i="3" s="1"/>
  <c r="N100" i="3"/>
  <c r="N101" i="3" s="1"/>
  <c r="J76" i="3"/>
  <c r="J77" i="3" s="1"/>
  <c r="T39" i="8"/>
  <c r="H40" i="9"/>
  <c r="I40" i="9" s="1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H48" i="8"/>
  <c r="H37" i="9"/>
  <c r="I37" i="9" s="1"/>
  <c r="J37" i="9" s="1"/>
  <c r="K37" i="9" s="1"/>
  <c r="L37" i="9" s="1"/>
  <c r="M37" i="9" s="1"/>
  <c r="N37" i="9" s="1"/>
  <c r="O37" i="9" s="1"/>
  <c r="P37" i="9" s="1"/>
  <c r="Q37" i="9" s="1"/>
  <c r="R37" i="9" s="1"/>
  <c r="S37" i="9" s="1"/>
  <c r="S103" i="3"/>
  <c r="S104" i="3" s="1"/>
  <c r="R67" i="3"/>
  <c r="R68" i="3" s="1"/>
  <c r="R103" i="3"/>
  <c r="R104" i="3" s="1"/>
  <c r="J82" i="3"/>
  <c r="J83" i="3" s="1"/>
  <c r="T41" i="8"/>
  <c r="H47" i="9"/>
  <c r="I47" i="9" s="1"/>
  <c r="J47" i="9" s="1"/>
  <c r="K47" i="9" s="1"/>
  <c r="L47" i="9" s="1"/>
  <c r="M47" i="9" s="1"/>
  <c r="N47" i="9" s="1"/>
  <c r="O47" i="9" s="1"/>
  <c r="P47" i="9" s="1"/>
  <c r="Q47" i="9" s="1"/>
  <c r="R47" i="9" s="1"/>
  <c r="S47" i="9" s="1"/>
  <c r="H39" i="9"/>
  <c r="I39" i="9" s="1"/>
  <c r="J39" i="9" s="1"/>
  <c r="K39" i="9" s="1"/>
  <c r="L39" i="9" s="1"/>
  <c r="M39" i="9" s="1"/>
  <c r="N39" i="9" s="1"/>
  <c r="O39" i="9" s="1"/>
  <c r="P39" i="9" s="1"/>
  <c r="Q39" i="9" s="1"/>
  <c r="R39" i="9" s="1"/>
  <c r="S39" i="9" s="1"/>
  <c r="H45" i="9"/>
  <c r="I45" i="9" s="1"/>
  <c r="J45" i="9" s="1"/>
  <c r="K45" i="9" s="1"/>
  <c r="L45" i="9" s="1"/>
  <c r="M45" i="9" s="1"/>
  <c r="N45" i="9" s="1"/>
  <c r="O45" i="9" s="1"/>
  <c r="P45" i="9" s="1"/>
  <c r="Q45" i="9" s="1"/>
  <c r="R45" i="9" s="1"/>
  <c r="S45" i="9" s="1"/>
  <c r="O52" i="3"/>
  <c r="L103" i="3"/>
  <c r="L104" i="3" s="1"/>
  <c r="L82" i="3"/>
  <c r="L83" i="3" s="1"/>
  <c r="R76" i="3"/>
  <c r="R77" i="3" s="1"/>
  <c r="J49" i="3"/>
  <c r="J91" i="3"/>
  <c r="J92" i="3" s="1"/>
  <c r="H41" i="9"/>
  <c r="I41" i="9" s="1"/>
  <c r="J41" i="9" s="1"/>
  <c r="K41" i="9" s="1"/>
  <c r="L41" i="9" s="1"/>
  <c r="M41" i="9" s="1"/>
  <c r="N41" i="9" s="1"/>
  <c r="O41" i="9" s="1"/>
  <c r="P41" i="9" s="1"/>
  <c r="Q41" i="9" s="1"/>
  <c r="R41" i="9" s="1"/>
  <c r="S41" i="9" s="1"/>
  <c r="H46" i="9"/>
  <c r="I46" i="9" s="1"/>
  <c r="J46" i="9" s="1"/>
  <c r="K46" i="9" s="1"/>
  <c r="L46" i="9" s="1"/>
  <c r="M46" i="9" s="1"/>
  <c r="N46" i="9" s="1"/>
  <c r="O46" i="9" s="1"/>
  <c r="P46" i="9" s="1"/>
  <c r="Q46" i="9" s="1"/>
  <c r="R46" i="9" s="1"/>
  <c r="S46" i="9" s="1"/>
  <c r="T43" i="8"/>
  <c r="G91" i="8"/>
  <c r="G92" i="8" s="1"/>
  <c r="G52" i="8"/>
  <c r="G82" i="8"/>
  <c r="G83" i="8" s="1"/>
  <c r="G49" i="8"/>
  <c r="G100" i="8"/>
  <c r="G101" i="8" s="1"/>
  <c r="G73" i="8"/>
  <c r="G74" i="8" s="1"/>
  <c r="G64" i="8"/>
  <c r="G65" i="8" s="1"/>
  <c r="G109" i="8"/>
  <c r="G110" i="8" s="1"/>
  <c r="T42" i="8"/>
  <c r="T45" i="8"/>
  <c r="T37" i="8"/>
  <c r="T40" i="8"/>
  <c r="H43" i="9"/>
  <c r="I43" i="9" s="1"/>
  <c r="J43" i="9" s="1"/>
  <c r="K43" i="9" s="1"/>
  <c r="L43" i="9" s="1"/>
  <c r="M43" i="9" s="1"/>
  <c r="N43" i="9" s="1"/>
  <c r="O43" i="9" s="1"/>
  <c r="P43" i="9" s="1"/>
  <c r="Q43" i="9" s="1"/>
  <c r="R43" i="9" s="1"/>
  <c r="S43" i="9" s="1"/>
  <c r="H42" i="9"/>
  <c r="I42" i="9" s="1"/>
  <c r="J42" i="9" s="1"/>
  <c r="K42" i="9" s="1"/>
  <c r="L42" i="9" s="1"/>
  <c r="M42" i="9" s="1"/>
  <c r="N42" i="9" s="1"/>
  <c r="O42" i="9" s="1"/>
  <c r="P42" i="9" s="1"/>
  <c r="Q42" i="9" s="1"/>
  <c r="R42" i="9" s="1"/>
  <c r="S42" i="9" s="1"/>
  <c r="F151" i="7"/>
  <c r="F159" i="7" s="1"/>
  <c r="G149" i="7"/>
  <c r="H241" i="7"/>
  <c r="I238" i="7"/>
  <c r="L49" i="3"/>
  <c r="O100" i="3"/>
  <c r="O101" i="3" s="1"/>
  <c r="S94" i="3"/>
  <c r="S95" i="3" s="1"/>
  <c r="M30" i="3"/>
  <c r="T116" i="8"/>
  <c r="L30" i="3"/>
  <c r="O64" i="3"/>
  <c r="O65" i="3" s="1"/>
  <c r="L85" i="3"/>
  <c r="L86" i="3" s="1"/>
  <c r="L52" i="3"/>
  <c r="L100" i="3"/>
  <c r="L101" i="3" s="1"/>
  <c r="S30" i="3"/>
  <c r="S58" i="3"/>
  <c r="S59" i="3" s="1"/>
  <c r="M58" i="3"/>
  <c r="M59" i="3" s="1"/>
  <c r="M94" i="3"/>
  <c r="M95" i="3" s="1"/>
  <c r="N67" i="3"/>
  <c r="N68" i="3" s="1"/>
  <c r="R91" i="3"/>
  <c r="R92" i="3" s="1"/>
  <c r="L76" i="3"/>
  <c r="L77" i="3" s="1"/>
  <c r="L94" i="3"/>
  <c r="L95" i="3" s="1"/>
  <c r="M85" i="3"/>
  <c r="M86" i="3" s="1"/>
  <c r="N94" i="3"/>
  <c r="N95" i="3" s="1"/>
  <c r="N30" i="3"/>
  <c r="H30" i="3"/>
  <c r="O49" i="3"/>
  <c r="L67" i="3"/>
  <c r="L68" i="3" s="1"/>
  <c r="L91" i="3"/>
  <c r="L92" i="3" s="1"/>
  <c r="S67" i="3"/>
  <c r="S68" i="3" s="1"/>
  <c r="M67" i="3"/>
  <c r="M68" i="3" s="1"/>
  <c r="N85" i="3"/>
  <c r="N86" i="3" s="1"/>
  <c r="N52" i="3"/>
  <c r="N73" i="3"/>
  <c r="N74" i="3" s="1"/>
  <c r="G61" i="3"/>
  <c r="G62" i="3" s="1"/>
  <c r="N64" i="3"/>
  <c r="N65" i="3" s="1"/>
  <c r="O91" i="3"/>
  <c r="O92" i="3" s="1"/>
  <c r="K94" i="3"/>
  <c r="K95" i="3" s="1"/>
  <c r="S91" i="3"/>
  <c r="S92" i="3" s="1"/>
  <c r="P49" i="3"/>
  <c r="P73" i="3"/>
  <c r="P74" i="3" s="1"/>
  <c r="N61" i="3"/>
  <c r="N62" i="3" s="1"/>
  <c r="N49" i="3"/>
  <c r="K67" i="3"/>
  <c r="K68" i="3" s="1"/>
  <c r="K85" i="3"/>
  <c r="K86" i="3" s="1"/>
  <c r="K76" i="3"/>
  <c r="K77" i="3" s="1"/>
  <c r="H52" i="3"/>
  <c r="H73" i="3"/>
  <c r="H74" i="3" s="1"/>
  <c r="R100" i="3"/>
  <c r="R101" i="3" s="1"/>
  <c r="R73" i="3"/>
  <c r="R74" i="3" s="1"/>
  <c r="K52" i="3"/>
  <c r="K73" i="3"/>
  <c r="K74" i="3" s="1"/>
  <c r="R79" i="3"/>
  <c r="R80" i="3" s="1"/>
  <c r="P79" i="3"/>
  <c r="P80" i="3" s="1"/>
  <c r="O94" i="3"/>
  <c r="O95" i="3" s="1"/>
  <c r="R49" i="3"/>
  <c r="H94" i="3"/>
  <c r="H95" i="3" s="1"/>
  <c r="H91" i="3"/>
  <c r="H92" i="3" s="1"/>
  <c r="O58" i="3"/>
  <c r="O59" i="3" s="1"/>
  <c r="R52" i="3"/>
  <c r="H58" i="3"/>
  <c r="H59" i="3" s="1"/>
  <c r="H67" i="3"/>
  <c r="H68" i="3" s="1"/>
  <c r="K91" i="3"/>
  <c r="K92" i="3" s="1"/>
  <c r="T26" i="3"/>
  <c r="T30" i="3" s="1"/>
  <c r="O103" i="3"/>
  <c r="O104" i="3" s="1"/>
  <c r="O85" i="3"/>
  <c r="O86" i="3" s="1"/>
  <c r="R64" i="3"/>
  <c r="R65" i="3" s="1"/>
  <c r="K100" i="3"/>
  <c r="K101" i="3" s="1"/>
  <c r="K64" i="3"/>
  <c r="K65" i="3" s="1"/>
  <c r="H76" i="3"/>
  <c r="H77" i="3" s="1"/>
  <c r="K61" i="3"/>
  <c r="K62" i="3" s="1"/>
  <c r="J30" i="3"/>
  <c r="R109" i="3"/>
  <c r="R110" i="3" s="1"/>
  <c r="O30" i="3"/>
  <c r="O76" i="3"/>
  <c r="O77" i="3" s="1"/>
  <c r="I76" i="3"/>
  <c r="I77" i="3" s="1"/>
  <c r="K30" i="3"/>
  <c r="H85" i="3"/>
  <c r="H86" i="3" s="1"/>
  <c r="J58" i="3"/>
  <c r="J59" i="3" s="1"/>
  <c r="H49" i="3"/>
  <c r="I85" i="3"/>
  <c r="I86" i="3" s="1"/>
  <c r="J94" i="3"/>
  <c r="J95" i="3" s="1"/>
  <c r="AB23" i="5"/>
  <c r="AB19" i="5"/>
  <c r="AE23" i="5"/>
  <c r="AE19" i="5"/>
  <c r="T71" i="3"/>
  <c r="H64" i="3"/>
  <c r="H65" i="3" s="1"/>
  <c r="M61" i="3"/>
  <c r="M62" i="3" s="1"/>
  <c r="J103" i="3"/>
  <c r="J104" i="3" s="1"/>
  <c r="S61" i="3"/>
  <c r="S62" i="3" s="1"/>
  <c r="T89" i="3"/>
  <c r="G106" i="3"/>
  <c r="G107" i="3" s="1"/>
  <c r="I58" i="3"/>
  <c r="I59" i="3" s="1"/>
  <c r="I94" i="3"/>
  <c r="I95" i="3" s="1"/>
  <c r="N109" i="3"/>
  <c r="N110" i="3" s="1"/>
  <c r="I30" i="3"/>
  <c r="P109" i="3"/>
  <c r="P110" i="3" s="1"/>
  <c r="O61" i="3"/>
  <c r="O62" i="3" s="1"/>
  <c r="T98" i="3"/>
  <c r="H100" i="3"/>
  <c r="H101" i="3" s="1"/>
  <c r="I67" i="3"/>
  <c r="I68" i="3" s="1"/>
  <c r="S109" i="3"/>
  <c r="S110" i="3" s="1"/>
  <c r="K82" i="3"/>
  <c r="K83" i="3" s="1"/>
  <c r="J67" i="3"/>
  <c r="J68" i="3" s="1"/>
  <c r="AE47" i="5"/>
  <c r="AE44" i="5"/>
  <c r="U23" i="5"/>
  <c r="V23" i="5"/>
  <c r="T23" i="5"/>
  <c r="R23" i="5"/>
  <c r="W23" i="5"/>
  <c r="S23" i="5"/>
  <c r="AE48" i="5"/>
  <c r="AE34" i="5"/>
  <c r="AE43" i="5"/>
  <c r="AE53" i="5"/>
  <c r="AE52" i="5"/>
  <c r="AB30" i="5"/>
  <c r="AB26" i="5"/>
  <c r="AB36" i="5"/>
  <c r="AB33" i="5"/>
  <c r="AB29" i="5"/>
  <c r="AB25" i="5"/>
  <c r="AB34" i="5"/>
  <c r="AB14" i="5"/>
  <c r="AB10" i="5"/>
  <c r="AB50" i="5"/>
  <c r="AB46" i="5"/>
  <c r="AB42" i="5"/>
  <c r="AB35" i="5"/>
  <c r="AB31" i="5"/>
  <c r="AB27" i="5"/>
  <c r="AB18" i="5"/>
  <c r="AB13" i="5"/>
  <c r="AB9" i="5"/>
  <c r="AB15" i="5"/>
  <c r="AB11" i="5"/>
  <c r="AB8" i="5"/>
  <c r="AB6" i="5"/>
  <c r="AB32" i="5"/>
  <c r="AB28" i="5"/>
  <c r="AB24" i="5"/>
  <c r="AB16" i="5"/>
  <c r="AB12" i="5"/>
  <c r="AB7" i="5"/>
  <c r="AB43" i="5"/>
  <c r="AB49" i="5"/>
  <c r="AC54" i="5"/>
  <c r="AB54" i="5"/>
  <c r="AA54" i="5"/>
  <c r="Z54" i="5"/>
  <c r="AE54" i="5"/>
  <c r="AD54" i="5"/>
  <c r="AE37" i="5"/>
  <c r="AA37" i="5"/>
  <c r="AD37" i="5"/>
  <c r="Z37" i="5"/>
  <c r="AC37" i="5"/>
  <c r="AB37" i="5"/>
  <c r="AE31" i="5"/>
  <c r="AE27" i="5"/>
  <c r="AE30" i="5"/>
  <c r="AE26" i="5"/>
  <c r="AE50" i="5"/>
  <c r="AE49" i="5"/>
  <c r="AE46" i="5"/>
  <c r="AE45" i="5"/>
  <c r="AE42" i="5"/>
  <c r="AE41" i="5"/>
  <c r="AE35" i="5"/>
  <c r="AE15" i="5"/>
  <c r="AE11" i="5"/>
  <c r="AE36" i="5"/>
  <c r="AE32" i="5"/>
  <c r="AE28" i="5"/>
  <c r="AE24" i="5"/>
  <c r="AE14" i="5"/>
  <c r="AE10" i="5"/>
  <c r="AE6" i="5"/>
  <c r="AE33" i="5"/>
  <c r="AE29" i="5"/>
  <c r="AE25" i="5"/>
  <c r="AE18" i="5"/>
  <c r="AE16" i="5"/>
  <c r="AE12" i="5"/>
  <c r="AE51" i="5"/>
  <c r="AE13" i="5"/>
  <c r="AE9" i="5"/>
  <c r="AE8" i="5"/>
  <c r="AE7" i="5"/>
  <c r="AC20" i="5"/>
  <c r="AB20" i="5"/>
  <c r="Z20" i="5"/>
  <c r="AE20" i="5"/>
  <c r="AA20" i="5"/>
  <c r="AD20" i="5"/>
  <c r="AB41" i="5"/>
  <c r="AB51" i="5"/>
  <c r="O37" i="5"/>
  <c r="U34" i="5"/>
  <c r="T34" i="5"/>
  <c r="R34" i="5"/>
  <c r="W34" i="5"/>
  <c r="S34" i="5"/>
  <c r="V34" i="5"/>
  <c r="AB52" i="5"/>
  <c r="AB45" i="5"/>
  <c r="AB48" i="5"/>
  <c r="AB44" i="5"/>
  <c r="V17" i="5"/>
  <c r="R17" i="5"/>
  <c r="U17" i="5"/>
  <c r="S17" i="5"/>
  <c r="W17" i="5"/>
  <c r="O20" i="5"/>
  <c r="T17" i="5"/>
  <c r="AB53" i="5"/>
  <c r="AB40" i="5"/>
  <c r="AE40" i="5"/>
  <c r="AA40" i="5"/>
  <c r="AD40" i="5"/>
  <c r="Z40" i="5"/>
  <c r="AC40" i="5"/>
  <c r="AB17" i="5"/>
  <c r="U6" i="5"/>
  <c r="V6" i="5"/>
  <c r="T6" i="5"/>
  <c r="R6" i="5"/>
  <c r="W6" i="5"/>
  <c r="S6" i="5"/>
  <c r="AB47" i="5"/>
  <c r="V17" i="4"/>
  <c r="R17" i="4"/>
  <c r="U17" i="4"/>
  <c r="Q17" i="4"/>
  <c r="T17" i="4"/>
  <c r="S17" i="4"/>
  <c r="G94" i="3"/>
  <c r="G95" i="3" s="1"/>
  <c r="G103" i="3"/>
  <c r="G104" i="3" s="1"/>
  <c r="G58" i="3"/>
  <c r="G59" i="3" s="1"/>
  <c r="G85" i="3"/>
  <c r="G86" i="3" s="1"/>
  <c r="G76" i="3"/>
  <c r="G77" i="3" s="1"/>
  <c r="G30" i="3"/>
  <c r="G67" i="3"/>
  <c r="G68" i="3" s="1"/>
  <c r="I79" i="3"/>
  <c r="I80" i="3" s="1"/>
  <c r="O106" i="3"/>
  <c r="O107" i="3" s="1"/>
  <c r="K106" i="3"/>
  <c r="K107" i="3" s="1"/>
  <c r="O79" i="3"/>
  <c r="O80" i="3" s="1"/>
  <c r="H61" i="3"/>
  <c r="H62" i="3" s="1"/>
  <c r="P61" i="3"/>
  <c r="P62" i="3" s="1"/>
  <c r="L61" i="3"/>
  <c r="L62" i="3" s="1"/>
  <c r="R106" i="3"/>
  <c r="R107" i="3" s="1"/>
  <c r="M109" i="3"/>
  <c r="M110" i="3" s="1"/>
  <c r="M100" i="3"/>
  <c r="M101" i="3" s="1"/>
  <c r="M91" i="3"/>
  <c r="M92" i="3" s="1"/>
  <c r="M82" i="3"/>
  <c r="M83" i="3" s="1"/>
  <c r="M64" i="3"/>
  <c r="M65" i="3" s="1"/>
  <c r="M52" i="3"/>
  <c r="M49" i="3"/>
  <c r="O82" i="3"/>
  <c r="O83" i="3" s="1"/>
  <c r="G82" i="3"/>
  <c r="G83" i="3" s="1"/>
  <c r="G91" i="3"/>
  <c r="G92" i="3" s="1"/>
  <c r="G100" i="3"/>
  <c r="G101" i="3" s="1"/>
  <c r="G64" i="3"/>
  <c r="G65" i="3" s="1"/>
  <c r="G52" i="3"/>
  <c r="G49" i="3"/>
  <c r="G109" i="3"/>
  <c r="G110" i="3" s="1"/>
  <c r="Q79" i="3"/>
  <c r="Q80" i="3" s="1"/>
  <c r="I61" i="3"/>
  <c r="I62" i="3" s="1"/>
  <c r="S82" i="3"/>
  <c r="S83" i="3" s="1"/>
  <c r="K109" i="3"/>
  <c r="K110" i="3" s="1"/>
  <c r="Q109" i="3"/>
  <c r="Q110" i="3" s="1"/>
  <c r="Q100" i="3"/>
  <c r="Q101" i="3" s="1"/>
  <c r="Q91" i="3"/>
  <c r="Q92" i="3" s="1"/>
  <c r="Q82" i="3"/>
  <c r="Q83" i="3" s="1"/>
  <c r="Q64" i="3"/>
  <c r="Q65" i="3" s="1"/>
  <c r="Q52" i="3"/>
  <c r="Q49" i="3"/>
  <c r="T48" i="3"/>
  <c r="Q106" i="3"/>
  <c r="Q107" i="3" s="1"/>
  <c r="L79" i="3"/>
  <c r="L80" i="3" s="1"/>
  <c r="H79" i="3"/>
  <c r="H80" i="3" s="1"/>
  <c r="K79" i="3"/>
  <c r="K80" i="3" s="1"/>
  <c r="N79" i="3"/>
  <c r="N80" i="3" s="1"/>
  <c r="I109" i="3"/>
  <c r="I110" i="3" s="1"/>
  <c r="I100" i="3"/>
  <c r="I101" i="3" s="1"/>
  <c r="I91" i="3"/>
  <c r="I92" i="3" s="1"/>
  <c r="I82" i="3"/>
  <c r="I83" i="3" s="1"/>
  <c r="I64" i="3"/>
  <c r="I65" i="3" s="1"/>
  <c r="I52" i="3"/>
  <c r="I49" i="3"/>
  <c r="H82" i="3"/>
  <c r="H83" i="3" s="1"/>
  <c r="O109" i="3"/>
  <c r="O110" i="3" s="1"/>
  <c r="Q61" i="3"/>
  <c r="Q62" i="3" s="1"/>
  <c r="L109" i="3"/>
  <c r="L110" i="3" s="1"/>
  <c r="J61" i="3"/>
  <c r="J62" i="3" s="1"/>
  <c r="J109" i="3"/>
  <c r="J110" i="3" s="1"/>
  <c r="H106" i="3"/>
  <c r="H107" i="3" s="1"/>
  <c r="S106" i="3"/>
  <c r="S107" i="3" s="1"/>
  <c r="P106" i="3"/>
  <c r="P107" i="3" s="1"/>
  <c r="L106" i="3"/>
  <c r="L107" i="3" s="1"/>
  <c r="G79" i="3"/>
  <c r="G80" i="3" s="1"/>
  <c r="N106" i="3"/>
  <c r="N107" i="3" s="1"/>
  <c r="J106" i="3"/>
  <c r="J107" i="3" s="1"/>
  <c r="H109" i="3"/>
  <c r="H110" i="3" s="1"/>
  <c r="I106" i="3"/>
  <c r="I107" i="3" s="1"/>
  <c r="R82" i="3"/>
  <c r="R83" i="3" s="1"/>
  <c r="P82" i="3"/>
  <c r="P83" i="3" s="1"/>
  <c r="M79" i="3"/>
  <c r="M80" i="3" s="1"/>
  <c r="R79" i="1"/>
  <c r="AH79" i="1"/>
  <c r="I4" i="11" l="1"/>
  <c r="H13" i="11"/>
  <c r="H17" i="11" s="1"/>
  <c r="T98" i="9"/>
  <c r="X79" i="6"/>
  <c r="Z79" i="6"/>
  <c r="Y79" i="6"/>
  <c r="W79" i="6"/>
  <c r="Q144" i="6"/>
  <c r="S79" i="6"/>
  <c r="U79" i="6"/>
  <c r="V79" i="6"/>
  <c r="T71" i="9"/>
  <c r="T89" i="9"/>
  <c r="T62" i="9"/>
  <c r="F35" i="13"/>
  <c r="E34" i="13"/>
  <c r="E37" i="13" s="1"/>
  <c r="L77" i="6"/>
  <c r="L79" i="6" s="1"/>
  <c r="E77" i="6"/>
  <c r="E79" i="6" s="1"/>
  <c r="K77" i="6"/>
  <c r="K79" i="6" s="1"/>
  <c r="N77" i="6"/>
  <c r="N79" i="6" s="1"/>
  <c r="I77" i="6"/>
  <c r="I79" i="6" s="1"/>
  <c r="O77" i="6"/>
  <c r="C77" i="7" s="1"/>
  <c r="E77" i="7" s="1"/>
  <c r="H77" i="6"/>
  <c r="H79" i="6" s="1"/>
  <c r="G77" i="6"/>
  <c r="G79" i="6" s="1"/>
  <c r="J77" i="6"/>
  <c r="J79" i="6" s="1"/>
  <c r="D77" i="6"/>
  <c r="F77" i="6"/>
  <c r="F79" i="6" s="1"/>
  <c r="M77" i="6"/>
  <c r="M79" i="6" s="1"/>
  <c r="P79" i="6"/>
  <c r="T80" i="9"/>
  <c r="K38" i="8"/>
  <c r="L38" i="8" s="1"/>
  <c r="M38" i="8" s="1"/>
  <c r="N38" i="8" s="1"/>
  <c r="O38" i="8" s="1"/>
  <c r="P38" i="8" s="1"/>
  <c r="Q38" i="8" s="1"/>
  <c r="R38" i="8" s="1"/>
  <c r="S38" i="8" s="1"/>
  <c r="G38" i="9" s="1"/>
  <c r="H38" i="9" s="1"/>
  <c r="I38" i="9" s="1"/>
  <c r="J38" i="9" s="1"/>
  <c r="K38" i="9" s="1"/>
  <c r="L38" i="9" s="1"/>
  <c r="M38" i="9" s="1"/>
  <c r="N38" i="9" s="1"/>
  <c r="O38" i="9" s="1"/>
  <c r="P38" i="9" s="1"/>
  <c r="Q38" i="9" s="1"/>
  <c r="R38" i="9" s="1"/>
  <c r="S38" i="9" s="1"/>
  <c r="J36" i="8"/>
  <c r="K36" i="8" s="1"/>
  <c r="L36" i="8" s="1"/>
  <c r="M36" i="8" s="1"/>
  <c r="N36" i="8" s="1"/>
  <c r="O36" i="8" s="1"/>
  <c r="P36" i="8" s="1"/>
  <c r="Q36" i="8" s="1"/>
  <c r="R36" i="8" s="1"/>
  <c r="S36" i="8" s="1"/>
  <c r="G36" i="9" s="1"/>
  <c r="H36" i="9" s="1"/>
  <c r="I36" i="9" s="1"/>
  <c r="J36" i="9" s="1"/>
  <c r="K36" i="9" s="1"/>
  <c r="L36" i="9" s="1"/>
  <c r="M36" i="9" s="1"/>
  <c r="N36" i="9" s="1"/>
  <c r="O36" i="9" s="1"/>
  <c r="P36" i="9" s="1"/>
  <c r="Q36" i="9" s="1"/>
  <c r="R36" i="9" s="1"/>
  <c r="S36" i="9" s="1"/>
  <c r="T41" i="9"/>
  <c r="T45" i="9"/>
  <c r="T37" i="9"/>
  <c r="T40" i="9"/>
  <c r="T42" i="9"/>
  <c r="T47" i="9"/>
  <c r="T86" i="3"/>
  <c r="T46" i="9"/>
  <c r="H91" i="8"/>
  <c r="H92" i="8" s="1"/>
  <c r="D38" i="6"/>
  <c r="H64" i="8"/>
  <c r="H65" i="8" s="1"/>
  <c r="H82" i="8"/>
  <c r="H83" i="8" s="1"/>
  <c r="H109" i="8"/>
  <c r="H110" i="8" s="1"/>
  <c r="H52" i="8"/>
  <c r="H73" i="8"/>
  <c r="H74" i="8" s="1"/>
  <c r="H100" i="8"/>
  <c r="H101" i="8" s="1"/>
  <c r="H49" i="8"/>
  <c r="T43" i="9"/>
  <c r="T39" i="9"/>
  <c r="J35" i="8"/>
  <c r="I48" i="8"/>
  <c r="E38" i="6" s="1"/>
  <c r="J238" i="7"/>
  <c r="I241" i="7"/>
  <c r="G151" i="7"/>
  <c r="G159" i="7" s="1"/>
  <c r="H149" i="7"/>
  <c r="T95" i="3"/>
  <c r="T74" i="3"/>
  <c r="T59" i="3"/>
  <c r="T104" i="3"/>
  <c r="T68" i="3"/>
  <c r="T77" i="3"/>
  <c r="T65" i="3"/>
  <c r="T62" i="3"/>
  <c r="T80" i="3"/>
  <c r="T107" i="3"/>
  <c r="W20" i="5"/>
  <c r="S20" i="5"/>
  <c r="V20" i="5"/>
  <c r="R20" i="5"/>
  <c r="U20" i="5"/>
  <c r="T20" i="5"/>
  <c r="U37" i="5"/>
  <c r="T37" i="5"/>
  <c r="V37" i="5"/>
  <c r="S37" i="5"/>
  <c r="W37" i="5"/>
  <c r="R37" i="5"/>
  <c r="T110" i="3"/>
  <c r="T92" i="3"/>
  <c r="T52" i="3"/>
  <c r="T49" i="3"/>
  <c r="T101" i="3"/>
  <c r="T83" i="3"/>
  <c r="D79" i="6" l="1"/>
  <c r="R77" i="6"/>
  <c r="T116" i="9"/>
  <c r="N77" i="7"/>
  <c r="G77" i="7"/>
  <c r="F77" i="7"/>
  <c r="K77" i="7"/>
  <c r="L77" i="7"/>
  <c r="D77" i="7"/>
  <c r="M77" i="7"/>
  <c r="I77" i="7"/>
  <c r="H77" i="7"/>
  <c r="D53" i="6"/>
  <c r="D55" i="6" s="1"/>
  <c r="G35" i="13"/>
  <c r="F34" i="13"/>
  <c r="F37" i="13" s="1"/>
  <c r="O77" i="7"/>
  <c r="J77" i="7"/>
  <c r="I13" i="11"/>
  <c r="I17" i="11" s="1"/>
  <c r="J4" i="11"/>
  <c r="T38" i="9"/>
  <c r="T36" i="9"/>
  <c r="T38" i="8"/>
  <c r="T36" i="8"/>
  <c r="K35" i="8"/>
  <c r="J48" i="8"/>
  <c r="F38" i="6" s="1"/>
  <c r="E53" i="6"/>
  <c r="I73" i="8"/>
  <c r="I74" i="8" s="1"/>
  <c r="I100" i="8"/>
  <c r="I101" i="8" s="1"/>
  <c r="I64" i="8"/>
  <c r="I65" i="8" s="1"/>
  <c r="I82" i="8"/>
  <c r="I83" i="8" s="1"/>
  <c r="I91" i="8"/>
  <c r="I92" i="8" s="1"/>
  <c r="I52" i="8"/>
  <c r="I49" i="8"/>
  <c r="I109" i="8"/>
  <c r="I110" i="8" s="1"/>
  <c r="H151" i="7"/>
  <c r="H159" i="7" s="1"/>
  <c r="I149" i="7"/>
  <c r="K238" i="7"/>
  <c r="J241" i="7"/>
  <c r="T116" i="3"/>
  <c r="T117" i="3"/>
  <c r="T115" i="3"/>
  <c r="H35" i="13" l="1"/>
  <c r="G34" i="13"/>
  <c r="G37" i="13" s="1"/>
  <c r="K4" i="11"/>
  <c r="J13" i="11"/>
  <c r="J17" i="11" s="1"/>
  <c r="E55" i="6"/>
  <c r="J91" i="8"/>
  <c r="J92" i="8" s="1"/>
  <c r="J52" i="8"/>
  <c r="J100" i="8"/>
  <c r="J101" i="8" s="1"/>
  <c r="J82" i="8"/>
  <c r="J83" i="8" s="1"/>
  <c r="J49" i="8"/>
  <c r="J64" i="8"/>
  <c r="J65" i="8" s="1"/>
  <c r="J73" i="8"/>
  <c r="J74" i="8" s="1"/>
  <c r="J109" i="8"/>
  <c r="J110" i="8" s="1"/>
  <c r="L35" i="8"/>
  <c r="K48" i="8"/>
  <c r="G38" i="6" s="1"/>
  <c r="L238" i="7"/>
  <c r="K241" i="7"/>
  <c r="I151" i="7"/>
  <c r="I159" i="7" s="1"/>
  <c r="J149" i="7"/>
  <c r="D144" i="6"/>
  <c r="L4" i="11" l="1"/>
  <c r="K13" i="11"/>
  <c r="K17" i="11" s="1"/>
  <c r="I35" i="13"/>
  <c r="H34" i="13"/>
  <c r="H37" i="13" s="1"/>
  <c r="D161" i="6"/>
  <c r="K91" i="8"/>
  <c r="K92" i="8" s="1"/>
  <c r="G53" i="6"/>
  <c r="G55" i="6" s="1"/>
  <c r="K100" i="8"/>
  <c r="K101" i="8" s="1"/>
  <c r="K73" i="8"/>
  <c r="K74" i="8" s="1"/>
  <c r="K49" i="8"/>
  <c r="K64" i="8"/>
  <c r="K65" i="8" s="1"/>
  <c r="K82" i="8"/>
  <c r="K83" i="8" s="1"/>
  <c r="K52" i="8"/>
  <c r="K109" i="8"/>
  <c r="K110" i="8" s="1"/>
  <c r="F53" i="6"/>
  <c r="M35" i="8"/>
  <c r="L48" i="8"/>
  <c r="H38" i="6" s="1"/>
  <c r="K149" i="7"/>
  <c r="J151" i="7"/>
  <c r="J159" i="7" s="1"/>
  <c r="L241" i="7"/>
  <c r="M238" i="7"/>
  <c r="L13" i="11" l="1"/>
  <c r="L17" i="11" s="1"/>
  <c r="M4" i="11"/>
  <c r="J35" i="13"/>
  <c r="I34" i="13"/>
  <c r="I37" i="13" s="1"/>
  <c r="F55" i="6"/>
  <c r="N35" i="8"/>
  <c r="M48" i="8"/>
  <c r="I38" i="6" s="1"/>
  <c r="H53" i="6"/>
  <c r="H55" i="6" s="1"/>
  <c r="L100" i="8"/>
  <c r="L101" i="8" s="1"/>
  <c r="L91" i="8"/>
  <c r="L92" i="8" s="1"/>
  <c r="L64" i="8"/>
  <c r="L65" i="8" s="1"/>
  <c r="L52" i="8"/>
  <c r="L82" i="8"/>
  <c r="L83" i="8" s="1"/>
  <c r="L49" i="8"/>
  <c r="L109" i="8"/>
  <c r="L110" i="8" s="1"/>
  <c r="L73" i="8"/>
  <c r="L74" i="8" s="1"/>
  <c r="N238" i="7"/>
  <c r="M241" i="7"/>
  <c r="K151" i="7"/>
  <c r="K159" i="7" s="1"/>
  <c r="L149" i="7"/>
  <c r="K35" i="13" l="1"/>
  <c r="J34" i="13"/>
  <c r="J37" i="13" s="1"/>
  <c r="M13" i="11"/>
  <c r="M17" i="11" s="1"/>
  <c r="N4" i="11"/>
  <c r="M100" i="8"/>
  <c r="M101" i="8" s="1"/>
  <c r="M64" i="8"/>
  <c r="M65" i="8" s="1"/>
  <c r="M91" i="8"/>
  <c r="M92" i="8" s="1"/>
  <c r="M52" i="8"/>
  <c r="M73" i="8"/>
  <c r="M74" i="8" s="1"/>
  <c r="M82" i="8"/>
  <c r="M83" i="8" s="1"/>
  <c r="M49" i="8"/>
  <c r="M109" i="8"/>
  <c r="M110" i="8" s="1"/>
  <c r="O35" i="8"/>
  <c r="N48" i="8"/>
  <c r="J38" i="6" s="1"/>
  <c r="M149" i="7"/>
  <c r="L151" i="7"/>
  <c r="L159" i="7" s="1"/>
  <c r="N241" i="7"/>
  <c r="O238" i="7"/>
  <c r="R4" i="11" l="1"/>
  <c r="T4" i="11"/>
  <c r="V4" i="11"/>
  <c r="Q4" i="11"/>
  <c r="U4" i="11"/>
  <c r="N13" i="11"/>
  <c r="S4" i="11"/>
  <c r="L35" i="13"/>
  <c r="K34" i="13"/>
  <c r="K37" i="13" s="1"/>
  <c r="I53" i="6"/>
  <c r="J53" i="6"/>
  <c r="J55" i="6" s="1"/>
  <c r="N82" i="8"/>
  <c r="N83" i="8" s="1"/>
  <c r="N49" i="8"/>
  <c r="N91" i="8"/>
  <c r="N92" i="8" s="1"/>
  <c r="N73" i="8"/>
  <c r="N74" i="8" s="1"/>
  <c r="N100" i="8"/>
  <c r="N101" i="8" s="1"/>
  <c r="N64" i="8"/>
  <c r="N65" i="8" s="1"/>
  <c r="N52" i="8"/>
  <c r="N109" i="8"/>
  <c r="N110" i="8" s="1"/>
  <c r="P35" i="8"/>
  <c r="O48" i="8"/>
  <c r="K38" i="6" s="1"/>
  <c r="AD238" i="7"/>
  <c r="AF238" i="7"/>
  <c r="O241" i="7"/>
  <c r="O256" i="7" s="1"/>
  <c r="AE238" i="7"/>
  <c r="AB238" i="7"/>
  <c r="AC238" i="7"/>
  <c r="AG238" i="7"/>
  <c r="P238" i="7"/>
  <c r="N149" i="7"/>
  <c r="M151" i="7"/>
  <c r="M159" i="7" s="1"/>
  <c r="M35" i="13" l="1"/>
  <c r="L34" i="13"/>
  <c r="L37" i="13" s="1"/>
  <c r="V13" i="11"/>
  <c r="S13" i="11"/>
  <c r="T13" i="11"/>
  <c r="H14" i="16"/>
  <c r="H15" i="16" s="1"/>
  <c r="U13" i="11"/>
  <c r="N17" i="11"/>
  <c r="R13" i="11"/>
  <c r="Q13" i="11"/>
  <c r="I55" i="6"/>
  <c r="O100" i="8"/>
  <c r="O101" i="8" s="1"/>
  <c r="K53" i="6"/>
  <c r="K55" i="6" s="1"/>
  <c r="O49" i="8"/>
  <c r="O52" i="8"/>
  <c r="O64" i="8"/>
  <c r="O65" i="8" s="1"/>
  <c r="O73" i="8"/>
  <c r="O74" i="8" s="1"/>
  <c r="O109" i="8"/>
  <c r="O110" i="8" s="1"/>
  <c r="O91" i="8"/>
  <c r="O92" i="8" s="1"/>
  <c r="O82" i="8"/>
  <c r="O83" i="8" s="1"/>
  <c r="Q35" i="8"/>
  <c r="P48" i="8"/>
  <c r="L38" i="6" s="1"/>
  <c r="N151" i="7"/>
  <c r="N159" i="7" s="1"/>
  <c r="O149" i="7"/>
  <c r="Q238" i="7"/>
  <c r="P241" i="7"/>
  <c r="P256" i="7" s="1"/>
  <c r="R17" i="11" l="1"/>
  <c r="V17" i="11"/>
  <c r="Q17" i="11"/>
  <c r="T17" i="11"/>
  <c r="U17" i="11"/>
  <c r="S17" i="11"/>
  <c r="N35" i="13"/>
  <c r="M34" i="13"/>
  <c r="M37" i="13" s="1"/>
  <c r="R35" i="8"/>
  <c r="Q48" i="8"/>
  <c r="M38" i="6" s="1"/>
  <c r="L53" i="6"/>
  <c r="L55" i="6" s="1"/>
  <c r="P100" i="8"/>
  <c r="P101" i="8" s="1"/>
  <c r="P64" i="8"/>
  <c r="P65" i="8" s="1"/>
  <c r="P91" i="8"/>
  <c r="P92" i="8" s="1"/>
  <c r="P52" i="8"/>
  <c r="P73" i="8"/>
  <c r="P74" i="8" s="1"/>
  <c r="P82" i="8"/>
  <c r="P83" i="8" s="1"/>
  <c r="P49" i="8"/>
  <c r="P109" i="8"/>
  <c r="P110" i="8" s="1"/>
  <c r="V238" i="7"/>
  <c r="X238" i="7"/>
  <c r="Q241" i="7"/>
  <c r="Q256" i="7" s="1"/>
  <c r="T238" i="7"/>
  <c r="W238" i="7"/>
  <c r="U238" i="7"/>
  <c r="Y238" i="7"/>
  <c r="O151" i="7"/>
  <c r="O159" i="7" s="1"/>
  <c r="P149" i="7"/>
  <c r="N34" i="13" l="1"/>
  <c r="AB35" i="13"/>
  <c r="AC35" i="13"/>
  <c r="AA35" i="13"/>
  <c r="Z35" i="13"/>
  <c r="AD35" i="13"/>
  <c r="AE35" i="13"/>
  <c r="O35" i="13"/>
  <c r="M53" i="6"/>
  <c r="M55" i="6" s="1"/>
  <c r="Q91" i="8"/>
  <c r="Q92" i="8" s="1"/>
  <c r="Q52" i="8"/>
  <c r="Q82" i="8"/>
  <c r="Q83" i="8" s="1"/>
  <c r="Q49" i="8"/>
  <c r="Q73" i="8"/>
  <c r="Q74" i="8" s="1"/>
  <c r="Q64" i="8"/>
  <c r="Q65" i="8" s="1"/>
  <c r="Q100" i="8"/>
  <c r="Q101" i="8" s="1"/>
  <c r="Q109" i="8"/>
  <c r="Q110" i="8" s="1"/>
  <c r="S35" i="8"/>
  <c r="R48" i="8"/>
  <c r="N38" i="6" s="1"/>
  <c r="P151" i="7"/>
  <c r="P159" i="7" s="1"/>
  <c r="Q149" i="7"/>
  <c r="Q151" i="7" s="1"/>
  <c r="Q159" i="7" s="1"/>
  <c r="W35" i="13" l="1"/>
  <c r="R35" i="13"/>
  <c r="T35" i="13"/>
  <c r="U35" i="13"/>
  <c r="O34" i="13"/>
  <c r="V35" i="13"/>
  <c r="S35" i="13"/>
  <c r="AB34" i="13"/>
  <c r="N37" i="13"/>
  <c r="AA34" i="13"/>
  <c r="Z34" i="13"/>
  <c r="AD34" i="13"/>
  <c r="AC34" i="13"/>
  <c r="AE34" i="13"/>
  <c r="G35" i="9"/>
  <c r="S48" i="8"/>
  <c r="O38" i="6" s="1"/>
  <c r="P38" i="6" s="1"/>
  <c r="T35" i="8"/>
  <c r="T48" i="8" s="1"/>
  <c r="R100" i="8"/>
  <c r="R101" i="8" s="1"/>
  <c r="N53" i="6"/>
  <c r="N55" i="6" s="1"/>
  <c r="R49" i="8"/>
  <c r="R109" i="8"/>
  <c r="R110" i="8" s="1"/>
  <c r="R73" i="8"/>
  <c r="R74" i="8" s="1"/>
  <c r="R64" i="8"/>
  <c r="R65" i="8" s="1"/>
  <c r="R52" i="8"/>
  <c r="R82" i="8"/>
  <c r="R83" i="8" s="1"/>
  <c r="R91" i="8"/>
  <c r="R92" i="8" s="1"/>
  <c r="AE37" i="13" l="1"/>
  <c r="AC37" i="13"/>
  <c r="AA37" i="13"/>
  <c r="AD37" i="13"/>
  <c r="Z37" i="13"/>
  <c r="AB37" i="13"/>
  <c r="W34" i="13"/>
  <c r="U34" i="13"/>
  <c r="S34" i="13"/>
  <c r="T34" i="13"/>
  <c r="O37" i="13"/>
  <c r="R34" i="13"/>
  <c r="V34" i="13"/>
  <c r="T52" i="8"/>
  <c r="T49" i="8"/>
  <c r="S82" i="8"/>
  <c r="S83" i="8" s="1"/>
  <c r="T83" i="8" s="1"/>
  <c r="S49" i="8"/>
  <c r="S91" i="8"/>
  <c r="S92" i="8" s="1"/>
  <c r="T92" i="8" s="1"/>
  <c r="S73" i="8"/>
  <c r="S74" i="8" s="1"/>
  <c r="T74" i="8" s="1"/>
  <c r="S52" i="8"/>
  <c r="S100" i="8"/>
  <c r="S101" i="8" s="1"/>
  <c r="T101" i="8" s="1"/>
  <c r="S64" i="8"/>
  <c r="S65" i="8" s="1"/>
  <c r="T65" i="8" s="1"/>
  <c r="S109" i="8"/>
  <c r="S110" i="8" s="1"/>
  <c r="T110" i="8" s="1"/>
  <c r="H35" i="9"/>
  <c r="G48" i="9"/>
  <c r="V37" i="13" l="1"/>
  <c r="U37" i="13"/>
  <c r="W37" i="13"/>
  <c r="R37" i="13"/>
  <c r="S37" i="13"/>
  <c r="T37" i="13"/>
  <c r="T117" i="8"/>
  <c r="C38" i="7"/>
  <c r="O53" i="6"/>
  <c r="G73" i="9"/>
  <c r="G74" i="9" s="1"/>
  <c r="G109" i="9"/>
  <c r="G110" i="9" s="1"/>
  <c r="G49" i="9"/>
  <c r="G52" i="9"/>
  <c r="G82" i="9"/>
  <c r="G83" i="9" s="1"/>
  <c r="G64" i="9"/>
  <c r="G65" i="9" s="1"/>
  <c r="G91" i="9"/>
  <c r="G92" i="9" s="1"/>
  <c r="G100" i="9"/>
  <c r="G101" i="9" s="1"/>
  <c r="I35" i="9"/>
  <c r="H48" i="9"/>
  <c r="O55" i="6" l="1"/>
  <c r="J35" i="9"/>
  <c r="I48" i="9"/>
  <c r="Q38" i="6"/>
  <c r="P53" i="6"/>
  <c r="P55" i="6" s="1"/>
  <c r="H109" i="9"/>
  <c r="H110" i="9" s="1"/>
  <c r="H91" i="9"/>
  <c r="H92" i="9" s="1"/>
  <c r="H73" i="9"/>
  <c r="H74" i="9" s="1"/>
  <c r="H49" i="9"/>
  <c r="D38" i="7" s="1"/>
  <c r="D53" i="7" s="1"/>
  <c r="D55" i="7" s="1"/>
  <c r="H100" i="9"/>
  <c r="H101" i="9" s="1"/>
  <c r="H82" i="9"/>
  <c r="H83" i="9" s="1"/>
  <c r="H64" i="9"/>
  <c r="H65" i="9" s="1"/>
  <c r="H52" i="9"/>
  <c r="C53" i="7"/>
  <c r="C55" i="7" s="1"/>
  <c r="Q53" i="6" l="1"/>
  <c r="R53" i="6" s="1"/>
  <c r="R38" i="6"/>
  <c r="I109" i="9"/>
  <c r="I110" i="9" s="1"/>
  <c r="I73" i="9"/>
  <c r="I74" i="9" s="1"/>
  <c r="I64" i="9"/>
  <c r="I65" i="9" s="1"/>
  <c r="I49" i="9"/>
  <c r="E38" i="7" s="1"/>
  <c r="E53" i="7" s="1"/>
  <c r="E55" i="7" s="1"/>
  <c r="I52" i="9"/>
  <c r="I82" i="9"/>
  <c r="I83" i="9" s="1"/>
  <c r="I91" i="9"/>
  <c r="I92" i="9" s="1"/>
  <c r="I100" i="9"/>
  <c r="I101" i="9" s="1"/>
  <c r="Q55" i="6"/>
  <c r="Q161" i="6" s="1"/>
  <c r="S53" i="6"/>
  <c r="K35" i="9"/>
  <c r="J48" i="9"/>
  <c r="R55" i="6" l="1"/>
  <c r="J109" i="9"/>
  <c r="J110" i="9" s="1"/>
  <c r="J52" i="9"/>
  <c r="J91" i="9"/>
  <c r="J92" i="9" s="1"/>
  <c r="J49" i="9"/>
  <c r="F38" i="7" s="1"/>
  <c r="F53" i="7" s="1"/>
  <c r="F55" i="7" s="1"/>
  <c r="J73" i="9"/>
  <c r="J74" i="9" s="1"/>
  <c r="J100" i="9"/>
  <c r="J101" i="9" s="1"/>
  <c r="J64" i="9"/>
  <c r="J65" i="9" s="1"/>
  <c r="J82" i="9"/>
  <c r="J83" i="9" s="1"/>
  <c r="L35" i="9"/>
  <c r="K48" i="9"/>
  <c r="M35" i="9" l="1"/>
  <c r="L48" i="9"/>
  <c r="K91" i="9"/>
  <c r="K92" i="9" s="1"/>
  <c r="K100" i="9"/>
  <c r="K101" i="9" s="1"/>
  <c r="K52" i="9"/>
  <c r="K73" i="9"/>
  <c r="K74" i="9" s="1"/>
  <c r="K49" i="9"/>
  <c r="G38" i="7" s="1"/>
  <c r="G53" i="7" s="1"/>
  <c r="G55" i="7" s="1"/>
  <c r="K64" i="9"/>
  <c r="K65" i="9" s="1"/>
  <c r="K109" i="9"/>
  <c r="K110" i="9" s="1"/>
  <c r="K82" i="9"/>
  <c r="K83" i="9" s="1"/>
  <c r="L109" i="9" l="1"/>
  <c r="L110" i="9" s="1"/>
  <c r="L91" i="9"/>
  <c r="L92" i="9" s="1"/>
  <c r="L73" i="9"/>
  <c r="L74" i="9" s="1"/>
  <c r="L49" i="9"/>
  <c r="H38" i="7" s="1"/>
  <c r="H53" i="7" s="1"/>
  <c r="H55" i="7" s="1"/>
  <c r="L82" i="9"/>
  <c r="L83" i="9" s="1"/>
  <c r="L64" i="9"/>
  <c r="L65" i="9" s="1"/>
  <c r="L100" i="9"/>
  <c r="L101" i="9" s="1"/>
  <c r="L52" i="9"/>
  <c r="N35" i="9"/>
  <c r="M48" i="9"/>
  <c r="M109" i="9" l="1"/>
  <c r="M110" i="9" s="1"/>
  <c r="M91" i="9"/>
  <c r="M92" i="9" s="1"/>
  <c r="M64" i="9"/>
  <c r="M65" i="9" s="1"/>
  <c r="M52" i="9"/>
  <c r="M82" i="9"/>
  <c r="M83" i="9" s="1"/>
  <c r="M100" i="9"/>
  <c r="M101" i="9" s="1"/>
  <c r="M73" i="9"/>
  <c r="M74" i="9" s="1"/>
  <c r="M49" i="9"/>
  <c r="I38" i="7" s="1"/>
  <c r="I53" i="7" s="1"/>
  <c r="I55" i="7" s="1"/>
  <c r="O35" i="9"/>
  <c r="N48" i="9"/>
  <c r="N73" i="9" l="1"/>
  <c r="N74" i="9" s="1"/>
  <c r="N64" i="9"/>
  <c r="N65" i="9" s="1"/>
  <c r="N82" i="9"/>
  <c r="N83" i="9" s="1"/>
  <c r="N109" i="9"/>
  <c r="N110" i="9" s="1"/>
  <c r="N91" i="9"/>
  <c r="N92" i="9" s="1"/>
  <c r="N100" i="9"/>
  <c r="N101" i="9" s="1"/>
  <c r="N49" i="9"/>
  <c r="J38" i="7" s="1"/>
  <c r="J53" i="7" s="1"/>
  <c r="J55" i="7" s="1"/>
  <c r="N52" i="9"/>
  <c r="P35" i="9"/>
  <c r="O48" i="9"/>
  <c r="O64" i="9" l="1"/>
  <c r="O65" i="9" s="1"/>
  <c r="O49" i="9"/>
  <c r="K38" i="7" s="1"/>
  <c r="K53" i="7" s="1"/>
  <c r="K55" i="7" s="1"/>
  <c r="O109" i="9"/>
  <c r="O110" i="9" s="1"/>
  <c r="O100" i="9"/>
  <c r="O101" i="9" s="1"/>
  <c r="O73" i="9"/>
  <c r="O74" i="9" s="1"/>
  <c r="O52" i="9"/>
  <c r="O91" i="9"/>
  <c r="O92" i="9" s="1"/>
  <c r="O82" i="9"/>
  <c r="O83" i="9" s="1"/>
  <c r="Q35" i="9"/>
  <c r="P48" i="9"/>
  <c r="P109" i="9" l="1"/>
  <c r="P110" i="9" s="1"/>
  <c r="P64" i="9"/>
  <c r="P65" i="9" s="1"/>
  <c r="P52" i="9"/>
  <c r="P49" i="9"/>
  <c r="L38" i="7" s="1"/>
  <c r="L53" i="7" s="1"/>
  <c r="L55" i="7" s="1"/>
  <c r="P82" i="9"/>
  <c r="P83" i="9" s="1"/>
  <c r="P100" i="9"/>
  <c r="P101" i="9" s="1"/>
  <c r="P73" i="9"/>
  <c r="P74" i="9" s="1"/>
  <c r="P91" i="9"/>
  <c r="P92" i="9" s="1"/>
  <c r="R35" i="9"/>
  <c r="Q48" i="9"/>
  <c r="Q91" i="9" l="1"/>
  <c r="Q92" i="9" s="1"/>
  <c r="Q109" i="9"/>
  <c r="Q110" i="9" s="1"/>
  <c r="Q100" i="9"/>
  <c r="Q101" i="9" s="1"/>
  <c r="Q73" i="9"/>
  <c r="Q74" i="9" s="1"/>
  <c r="Q52" i="9"/>
  <c r="Q82" i="9"/>
  <c r="Q83" i="9" s="1"/>
  <c r="Q49" i="9"/>
  <c r="M38" i="7" s="1"/>
  <c r="M53" i="7" s="1"/>
  <c r="M55" i="7" s="1"/>
  <c r="Q64" i="9"/>
  <c r="Q65" i="9" s="1"/>
  <c r="S35" i="9"/>
  <c r="R48" i="9"/>
  <c r="R109" i="9" l="1"/>
  <c r="R110" i="9" s="1"/>
  <c r="R64" i="9"/>
  <c r="R65" i="9" s="1"/>
  <c r="R52" i="9"/>
  <c r="R49" i="9"/>
  <c r="N38" i="7" s="1"/>
  <c r="N53" i="7" s="1"/>
  <c r="N55" i="7" s="1"/>
  <c r="R73" i="9"/>
  <c r="R74" i="9" s="1"/>
  <c r="R91" i="9"/>
  <c r="R92" i="9" s="1"/>
  <c r="R100" i="9"/>
  <c r="R101" i="9" s="1"/>
  <c r="R82" i="9"/>
  <c r="R83" i="9" s="1"/>
  <c r="S48" i="9"/>
  <c r="T35" i="9"/>
  <c r="T48" i="9" s="1"/>
  <c r="T49" i="9" l="1"/>
  <c r="T52" i="9"/>
  <c r="S91" i="9"/>
  <c r="S92" i="9" s="1"/>
  <c r="T92" i="9" s="1"/>
  <c r="S64" i="9"/>
  <c r="S65" i="9" s="1"/>
  <c r="T65" i="9" s="1"/>
  <c r="S73" i="9"/>
  <c r="S74" i="9" s="1"/>
  <c r="T74" i="9" s="1"/>
  <c r="S100" i="9"/>
  <c r="S101" i="9" s="1"/>
  <c r="T101" i="9" s="1"/>
  <c r="S52" i="9"/>
  <c r="S109" i="9"/>
  <c r="S110" i="9" s="1"/>
  <c r="T110" i="9" s="1"/>
  <c r="S49" i="9"/>
  <c r="O38" i="7" s="1"/>
  <c r="S82" i="9"/>
  <c r="S83" i="9" s="1"/>
  <c r="T83" i="9" s="1"/>
  <c r="O53" i="7" l="1"/>
  <c r="O55" i="7" s="1"/>
  <c r="P38" i="7"/>
  <c r="T117" i="9"/>
  <c r="C74" i="7"/>
  <c r="O79" i="6"/>
  <c r="Q38" i="7" l="1"/>
  <c r="Q53" i="7" s="1"/>
  <c r="P53" i="7"/>
  <c r="P55" i="7" s="1"/>
  <c r="F74" i="7"/>
  <c r="H74" i="7"/>
  <c r="G74" i="7"/>
  <c r="N74" i="7"/>
  <c r="O74" i="7"/>
  <c r="M74" i="7"/>
  <c r="D74" i="7"/>
  <c r="J74" i="7"/>
  <c r="E74" i="7"/>
  <c r="K74" i="7"/>
  <c r="I74" i="7"/>
  <c r="L74" i="7"/>
  <c r="AC79" i="6"/>
  <c r="R79" i="6"/>
  <c r="AD79" i="6"/>
  <c r="AH79" i="6"/>
  <c r="AF79" i="6"/>
  <c r="C79" i="7"/>
  <c r="AG79" i="6"/>
  <c r="AE79" i="6"/>
  <c r="Q55" i="7" l="1"/>
  <c r="R53" i="7"/>
  <c r="E79" i="7"/>
  <c r="D79" i="7"/>
  <c r="AI79" i="6"/>
  <c r="F79" i="7" l="1"/>
  <c r="G79" i="7" l="1"/>
  <c r="H79" i="7" l="1"/>
  <c r="I79" i="7" l="1"/>
  <c r="J79" i="7" l="1"/>
  <c r="K79" i="7" l="1"/>
  <c r="L79" i="7" l="1"/>
  <c r="M79" i="7" l="1"/>
  <c r="N79" i="7" l="1"/>
  <c r="O79" i="7" l="1"/>
  <c r="Q79" i="7" l="1"/>
  <c r="P79" i="7"/>
  <c r="AB79" i="7"/>
  <c r="AC79" i="7"/>
  <c r="AE79" i="7"/>
  <c r="AG79" i="7"/>
  <c r="AF79" i="7"/>
  <c r="AD79" i="7"/>
  <c r="X79" i="7" l="1"/>
  <c r="T79" i="7"/>
  <c r="U79" i="7"/>
  <c r="V79" i="7"/>
  <c r="Y79" i="7"/>
  <c r="W79" i="7"/>
  <c r="AH79" i="7"/>
  <c r="R79" i="7" l="1"/>
  <c r="E137" i="6"/>
  <c r="J137" i="6"/>
  <c r="G137" i="6"/>
  <c r="K137" i="6"/>
  <c r="M137" i="6"/>
  <c r="P137" i="6"/>
  <c r="P144" i="6" s="1"/>
  <c r="P161" i="6" s="1"/>
  <c r="F137" i="6"/>
  <c r="H137" i="6"/>
  <c r="H143" i="6" s="1"/>
  <c r="I137" i="6"/>
  <c r="L137" i="6"/>
  <c r="O137" i="6"/>
  <c r="AF137" i="6" s="1"/>
  <c r="N137" i="6"/>
  <c r="C134" i="7"/>
  <c r="K134" i="7" l="1"/>
  <c r="H134" i="7"/>
  <c r="G134" i="7"/>
  <c r="O134" i="7"/>
  <c r="L134" i="7"/>
  <c r="E134" i="7"/>
  <c r="M134" i="7"/>
  <c r="J134" i="7"/>
  <c r="I134" i="7"/>
  <c r="N134" i="7"/>
  <c r="D134" i="7"/>
  <c r="F134" i="7"/>
  <c r="J144" i="6"/>
  <c r="J161" i="6" s="1"/>
  <c r="J143" i="6"/>
  <c r="H144" i="6"/>
  <c r="H161" i="6" s="1"/>
  <c r="M144" i="6"/>
  <c r="M161" i="6" s="1"/>
  <c r="M143" i="6"/>
  <c r="E144" i="6"/>
  <c r="R137" i="6"/>
  <c r="E143" i="6"/>
  <c r="L144" i="6"/>
  <c r="L161" i="6" s="1"/>
  <c r="L143" i="6"/>
  <c r="F144" i="6"/>
  <c r="F161" i="6" s="1"/>
  <c r="F143" i="6"/>
  <c r="G144" i="6"/>
  <c r="G161" i="6" s="1"/>
  <c r="G143" i="6"/>
  <c r="N144" i="6"/>
  <c r="N161" i="6" s="1"/>
  <c r="N143" i="6"/>
  <c r="I144" i="6"/>
  <c r="I161" i="6" s="1"/>
  <c r="I143" i="6"/>
  <c r="AD137" i="6"/>
  <c r="O143" i="6"/>
  <c r="K144" i="6"/>
  <c r="K161" i="6" s="1"/>
  <c r="K143" i="6"/>
  <c r="C137" i="7"/>
  <c r="C144" i="7" s="1"/>
  <c r="C161" i="7" s="1"/>
  <c r="AG137" i="6"/>
  <c r="AE137" i="6"/>
  <c r="AH137" i="6"/>
  <c r="AC137" i="6"/>
  <c r="O144" i="6"/>
  <c r="O161" i="6" s="1"/>
  <c r="R143" i="6" l="1"/>
  <c r="E161" i="6"/>
  <c r="R161" i="6" s="1"/>
  <c r="R144" i="6"/>
  <c r="AI137" i="6"/>
  <c r="D137" i="7"/>
  <c r="D144" i="7" l="1"/>
  <c r="D161" i="7" s="1"/>
  <c r="D143" i="7"/>
  <c r="E137" i="7"/>
  <c r="E144" i="7" l="1"/>
  <c r="E161" i="7" s="1"/>
  <c r="E143" i="7"/>
  <c r="F137" i="7"/>
  <c r="F144" i="7" l="1"/>
  <c r="F161" i="7" s="1"/>
  <c r="F143" i="7"/>
  <c r="G137" i="7"/>
  <c r="G144" i="7" l="1"/>
  <c r="G161" i="7" s="1"/>
  <c r="G143" i="7"/>
  <c r="H137" i="7"/>
  <c r="H144" i="7" l="1"/>
  <c r="H161" i="7" s="1"/>
  <c r="H143" i="7"/>
  <c r="I137" i="7"/>
  <c r="I144" i="7" l="1"/>
  <c r="I161" i="7" s="1"/>
  <c r="I143" i="7"/>
  <c r="J137" i="7"/>
  <c r="J144" i="7" l="1"/>
  <c r="J161" i="7" s="1"/>
  <c r="J143" i="7"/>
  <c r="K137" i="7"/>
  <c r="K144" i="7" l="1"/>
  <c r="K161" i="7" s="1"/>
  <c r="K143" i="7"/>
  <c r="L137" i="7"/>
  <c r="L144" i="7" l="1"/>
  <c r="L161" i="7" s="1"/>
  <c r="L143" i="7"/>
  <c r="M137" i="7"/>
  <c r="M144" i="7" l="1"/>
  <c r="M161" i="7" s="1"/>
  <c r="M143" i="7"/>
  <c r="N137" i="7"/>
  <c r="N144" i="7" l="1"/>
  <c r="N161" i="7" s="1"/>
  <c r="N143" i="7"/>
  <c r="O137" i="7"/>
  <c r="O143" i="7" s="1"/>
  <c r="P137" i="7" l="1"/>
  <c r="P144" i="7" s="1"/>
  <c r="P161" i="7" s="1"/>
  <c r="Q137" i="7"/>
  <c r="AG137" i="7"/>
  <c r="AD137" i="7"/>
  <c r="AE137" i="7"/>
  <c r="O144" i="7"/>
  <c r="O161" i="7" s="1"/>
  <c r="AC137" i="7"/>
  <c r="AB137" i="7"/>
  <c r="AF137" i="7"/>
  <c r="W137" i="7" l="1"/>
  <c r="Y137" i="7"/>
  <c r="V137" i="7"/>
  <c r="T137" i="7"/>
  <c r="X137" i="7"/>
  <c r="U137" i="7"/>
  <c r="Q144" i="7"/>
  <c r="Q161" i="7" s="1"/>
  <c r="R137" i="7" l="1"/>
  <c r="AF200" i="6"/>
  <c r="AC200" i="6"/>
  <c r="AH200" i="6"/>
  <c r="AD200" i="6"/>
  <c r="AE200" i="6"/>
  <c r="AG200" i="6"/>
  <c r="AD199" i="6"/>
  <c r="AE199" i="6"/>
  <c r="AG199" i="6"/>
  <c r="AF199" i="6"/>
  <c r="AC199" i="6"/>
  <c r="AH199" i="6"/>
  <c r="AE198" i="6"/>
  <c r="AH198" i="6"/>
  <c r="AF198" i="6"/>
  <c r="AG198" i="6"/>
  <c r="AC198" i="6"/>
  <c r="AD198" i="6"/>
  <c r="K202" i="6"/>
  <c r="J202" i="6"/>
  <c r="F202" i="6"/>
  <c r="E202" i="6"/>
  <c r="P202" i="6"/>
  <c r="H202" i="6"/>
  <c r="W199" i="6"/>
  <c r="C199" i="7"/>
  <c r="D202" i="6"/>
  <c r="N202" i="6"/>
  <c r="L202" i="6"/>
  <c r="M202" i="6"/>
  <c r="Z200" i="6"/>
  <c r="C200" i="7"/>
  <c r="G202" i="6"/>
  <c r="I202" i="6"/>
  <c r="O202" i="6"/>
  <c r="Y198" i="6"/>
  <c r="C198" i="7"/>
  <c r="J198" i="7" l="1"/>
  <c r="O198" i="7"/>
  <c r="I198" i="7"/>
  <c r="D198" i="7"/>
  <c r="G198" i="7"/>
  <c r="E198" i="7"/>
  <c r="H198" i="7"/>
  <c r="K198" i="7"/>
  <c r="N198" i="7"/>
  <c r="M198" i="7"/>
  <c r="F198" i="7"/>
  <c r="L198" i="7"/>
  <c r="O199" i="7"/>
  <c r="E199" i="7"/>
  <c r="M199" i="7"/>
  <c r="F199" i="7"/>
  <c r="H199" i="7"/>
  <c r="N199" i="7"/>
  <c r="K199" i="7"/>
  <c r="L199" i="7"/>
  <c r="G199" i="7"/>
  <c r="J199" i="7"/>
  <c r="D199" i="7"/>
  <c r="I199" i="7"/>
  <c r="K200" i="7"/>
  <c r="F200" i="7"/>
  <c r="N200" i="7"/>
  <c r="M200" i="7"/>
  <c r="D200" i="7"/>
  <c r="I200" i="7"/>
  <c r="J200" i="7"/>
  <c r="L200" i="7"/>
  <c r="O200" i="7"/>
  <c r="H200" i="7"/>
  <c r="G200" i="7"/>
  <c r="E200" i="7"/>
  <c r="C202" i="7"/>
  <c r="AD200" i="7"/>
  <c r="AB200" i="7"/>
  <c r="AF200" i="7"/>
  <c r="AC200" i="7"/>
  <c r="AG200" i="7"/>
  <c r="AE200" i="7"/>
  <c r="V198" i="6"/>
  <c r="W198" i="6"/>
  <c r="X199" i="6"/>
  <c r="Y199" i="6"/>
  <c r="U200" i="6"/>
  <c r="Q202" i="6"/>
  <c r="R202" i="6" s="1"/>
  <c r="AI198" i="6"/>
  <c r="U198" i="6"/>
  <c r="Z199" i="6"/>
  <c r="V200" i="6"/>
  <c r="W200" i="6"/>
  <c r="Z198" i="6"/>
  <c r="X198" i="6"/>
  <c r="U199" i="6"/>
  <c r="X200" i="6"/>
  <c r="Y200" i="6"/>
  <c r="V199" i="6"/>
  <c r="AE199" i="7" l="1"/>
  <c r="AG199" i="7"/>
  <c r="AF199" i="7"/>
  <c r="AD199" i="7"/>
  <c r="AC199" i="7"/>
  <c r="AB199" i="7"/>
  <c r="U200" i="7"/>
  <c r="Y200" i="7"/>
  <c r="X200" i="7"/>
  <c r="W200" i="7"/>
  <c r="T200" i="7"/>
  <c r="V200" i="7"/>
  <c r="D202" i="7"/>
  <c r="E202" i="7" l="1"/>
  <c r="V199" i="7"/>
  <c r="U199" i="7"/>
  <c r="T199" i="7"/>
  <c r="W199" i="7"/>
  <c r="X199" i="7"/>
  <c r="Y199" i="7"/>
  <c r="F202" i="7" l="1"/>
  <c r="G202" i="7" l="1"/>
  <c r="H202" i="7" l="1"/>
  <c r="I202" i="7" l="1"/>
  <c r="J202" i="7" l="1"/>
  <c r="K202" i="7" l="1"/>
  <c r="L202" i="7" l="1"/>
  <c r="M202" i="7" l="1"/>
  <c r="N202" i="7" l="1"/>
  <c r="AB198" i="7" l="1"/>
  <c r="AE198" i="7"/>
  <c r="AG198" i="7"/>
  <c r="AC198" i="7"/>
  <c r="O202" i="7"/>
  <c r="AD198" i="7"/>
  <c r="AF198" i="7"/>
  <c r="P202" i="7" l="1"/>
  <c r="Y198" i="7" l="1"/>
  <c r="U198" i="7"/>
  <c r="V198" i="7"/>
  <c r="X198" i="7"/>
  <c r="T198" i="7"/>
  <c r="W198" i="7"/>
  <c r="Q202" i="7"/>
  <c r="AI205" i="6"/>
  <c r="AH205" i="6"/>
  <c r="AH270" i="6" s="1"/>
  <c r="O252" i="6"/>
  <c r="AF205" i="6"/>
  <c r="AF270" i="6" s="1"/>
  <c r="AG205" i="6"/>
  <c r="AG270" i="6" s="1"/>
  <c r="AE205" i="6"/>
  <c r="AE270" i="6" s="1"/>
  <c r="AD205" i="6"/>
  <c r="AD270" i="6" s="1"/>
  <c r="P212" i="6"/>
  <c r="P214" i="6" s="1"/>
  <c r="G212" i="6"/>
  <c r="G214" i="6" s="1"/>
  <c r="H212" i="6"/>
  <c r="H214" i="6" s="1"/>
  <c r="N212" i="6"/>
  <c r="N214" i="6" s="1"/>
  <c r="O212" i="6"/>
  <c r="O214" i="6" s="1"/>
  <c r="O267" i="6" s="1"/>
  <c r="O269" i="6" s="1"/>
  <c r="O271" i="6" s="1"/>
  <c r="O272" i="6" s="1"/>
  <c r="I212" i="6"/>
  <c r="I214" i="6" s="1"/>
  <c r="AC205" i="6"/>
  <c r="AC270" i="6" s="1"/>
  <c r="M212" i="6"/>
  <c r="M214" i="6" s="1"/>
  <c r="J212" i="6"/>
  <c r="J214" i="6" s="1"/>
  <c r="F212" i="6"/>
  <c r="F214" i="6" s="1"/>
  <c r="K212" i="6"/>
  <c r="K214" i="6" s="1"/>
  <c r="L212" i="6"/>
  <c r="L214" i="6" s="1"/>
  <c r="D212" i="6"/>
  <c r="E212" i="6"/>
  <c r="E214" i="6" s="1"/>
  <c r="X205" i="6"/>
  <c r="C205" i="7"/>
  <c r="E205" i="7" l="1"/>
  <c r="O205" i="7"/>
  <c r="I205" i="7"/>
  <c r="L205" i="7"/>
  <c r="H205" i="7"/>
  <c r="D205" i="7"/>
  <c r="K205" i="7"/>
  <c r="G205" i="7"/>
  <c r="M205" i="7"/>
  <c r="N205" i="7"/>
  <c r="J205" i="7"/>
  <c r="F205" i="7"/>
  <c r="D214" i="6"/>
  <c r="C212" i="7"/>
  <c r="C214" i="7" s="1"/>
  <c r="W205" i="6"/>
  <c r="Y205" i="6"/>
  <c r="Q212" i="6"/>
  <c r="Q214" i="6" s="1"/>
  <c r="R212" i="6" l="1"/>
  <c r="R214" i="6"/>
  <c r="D212" i="7"/>
  <c r="D214" i="7" s="1"/>
  <c r="E212" i="7" l="1"/>
  <c r="E214" i="7" s="1"/>
  <c r="F212" i="7" l="1"/>
  <c r="F214" i="7" s="1"/>
  <c r="G212" i="7" l="1"/>
  <c r="G214" i="7" s="1"/>
  <c r="H212" i="7" l="1"/>
  <c r="H214" i="7" s="1"/>
  <c r="I212" i="7" l="1"/>
  <c r="I214" i="7" s="1"/>
  <c r="J212" i="7" l="1"/>
  <c r="J214" i="7" s="1"/>
  <c r="K212" i="7" l="1"/>
  <c r="K214" i="7" s="1"/>
  <c r="L212" i="7" l="1"/>
  <c r="L214" i="7" s="1"/>
  <c r="M212" i="7" l="1"/>
  <c r="M214" i="7" s="1"/>
  <c r="N212" i="7" l="1"/>
  <c r="N214" i="7" s="1"/>
  <c r="AD205" i="7" l="1"/>
  <c r="AD270" i="7" s="1"/>
  <c r="O212" i="7"/>
  <c r="O214" i="7" s="1"/>
  <c r="O267" i="7" s="1"/>
  <c r="O269" i="7" s="1"/>
  <c r="O271" i="7" s="1"/>
  <c r="O272" i="7" s="1"/>
  <c r="AG205" i="7"/>
  <c r="AG270" i="7" s="1"/>
  <c r="AE205" i="7"/>
  <c r="AE270" i="7" s="1"/>
  <c r="AF205" i="7"/>
  <c r="AF270" i="7" s="1"/>
  <c r="O252" i="7"/>
  <c r="AH252" i="7" s="1"/>
  <c r="AB205" i="7"/>
  <c r="AC205" i="7"/>
  <c r="AC270" i="7" s="1"/>
  <c r="AH205" i="7" l="1"/>
  <c r="AB270" i="7"/>
  <c r="P212" i="7"/>
  <c r="P214" i="7" s="1"/>
  <c r="P267" i="7" s="1"/>
  <c r="P269" i="7" s="1"/>
  <c r="P271" i="7" s="1"/>
  <c r="P272" i="7" s="1"/>
  <c r="U270" i="7" l="1"/>
  <c r="T270" i="7"/>
  <c r="X205" i="7"/>
  <c r="X270" i="7" s="1"/>
  <c r="V205" i="7"/>
  <c r="V270" i="7" s="1"/>
  <c r="Q212" i="7"/>
  <c r="Q214" i="7" s="1"/>
  <c r="Q267" i="7" s="1"/>
  <c r="Q269" i="7" s="1"/>
  <c r="Q271" i="7" s="1"/>
  <c r="Y270" i="7"/>
  <c r="W205" i="7"/>
  <c r="W270" i="7" s="1"/>
  <c r="C251" i="7"/>
  <c r="C252" i="7" s="1"/>
  <c r="D251" i="7"/>
  <c r="D252" i="7" s="1"/>
  <c r="E251" i="7"/>
  <c r="E252" i="7" s="1"/>
  <c r="G251" i="7"/>
  <c r="G252" i="7" s="1"/>
  <c r="H251" i="7"/>
  <c r="H252" i="7" s="1"/>
  <c r="I251" i="7"/>
  <c r="I252" i="7" s="1"/>
  <c r="K251" i="7"/>
  <c r="K252" i="7" s="1"/>
  <c r="M251" i="7"/>
  <c r="M252" i="7" s="1"/>
  <c r="F251" i="7"/>
  <c r="F252" i="7" s="1"/>
  <c r="J251" i="7"/>
  <c r="J252" i="7" s="1"/>
  <c r="L251" i="7"/>
  <c r="L252" i="7" s="1"/>
  <c r="N251" i="7"/>
  <c r="N252" i="7" s="1"/>
  <c r="E256" i="7" l="1"/>
  <c r="E267" i="7" s="1"/>
  <c r="E269" i="7" s="1"/>
  <c r="E271" i="7" s="1"/>
  <c r="E272" i="7" s="1"/>
  <c r="L256" i="7"/>
  <c r="L267" i="7" s="1"/>
  <c r="L269" i="7" s="1"/>
  <c r="L271" i="7" s="1"/>
  <c r="L272" i="7" s="1"/>
  <c r="F256" i="7"/>
  <c r="F267" i="7" s="1"/>
  <c r="F269" i="7" s="1"/>
  <c r="F271" i="7" s="1"/>
  <c r="F272" i="7" s="1"/>
  <c r="C256" i="7"/>
  <c r="C267" i="7" s="1"/>
  <c r="C269" i="7" s="1"/>
  <c r="C271" i="7" s="1"/>
  <c r="C272" i="7" s="1"/>
  <c r="N256" i="7"/>
  <c r="N267" i="7" s="1"/>
  <c r="N269" i="7" s="1"/>
  <c r="N271" i="7" s="1"/>
  <c r="N272" i="7" s="1"/>
  <c r="G256" i="7"/>
  <c r="G267" i="7" s="1"/>
  <c r="G269" i="7" s="1"/>
  <c r="G271" i="7" s="1"/>
  <c r="G272" i="7" s="1"/>
  <c r="M256" i="7"/>
  <c r="M267" i="7" s="1"/>
  <c r="M269" i="7" s="1"/>
  <c r="M271" i="7" s="1"/>
  <c r="M272" i="7" s="1"/>
  <c r="H256" i="7"/>
  <c r="H267" i="7" s="1"/>
  <c r="H269" i="7" s="1"/>
  <c r="H271" i="7" s="1"/>
  <c r="H272" i="7" s="1"/>
  <c r="K256" i="7"/>
  <c r="K267" i="7" s="1"/>
  <c r="K269" i="7" s="1"/>
  <c r="K271" i="7" s="1"/>
  <c r="K272" i="7" s="1"/>
  <c r="J256" i="7"/>
  <c r="J267" i="7" s="1"/>
  <c r="J269" i="7" s="1"/>
  <c r="J271" i="7" s="1"/>
  <c r="J272" i="7" s="1"/>
  <c r="I256" i="7"/>
  <c r="I267" i="7" s="1"/>
  <c r="I269" i="7" s="1"/>
  <c r="I271" i="7" s="1"/>
  <c r="I272" i="7" s="1"/>
  <c r="D256" i="7"/>
  <c r="D267" i="7" s="1"/>
  <c r="D269" i="7" s="1"/>
  <c r="D271" i="7" s="1"/>
  <c r="D272" i="7" s="1"/>
  <c r="E251" i="6" l="1"/>
  <c r="E256" i="6" s="1"/>
  <c r="E267" i="6" s="1"/>
  <c r="E269" i="6" s="1"/>
  <c r="E271" i="6" s="1"/>
  <c r="E272" i="6" s="1"/>
  <c r="E252" i="6"/>
  <c r="H251" i="6"/>
  <c r="H256" i="6" s="1"/>
  <c r="H267" i="6" s="1"/>
  <c r="H269" i="6" s="1"/>
  <c r="H271" i="6" s="1"/>
  <c r="H272" i="6" s="1"/>
  <c r="D252" i="6"/>
  <c r="J251" i="6"/>
  <c r="J252" i="6" s="1"/>
  <c r="N251" i="6"/>
  <c r="N252" i="6" s="1"/>
  <c r="N256" i="6"/>
  <c r="N267" i="6"/>
  <c r="N269" i="6" s="1"/>
  <c r="N271" i="6" s="1"/>
  <c r="N272" i="6" s="1"/>
  <c r="F251" i="6"/>
  <c r="F256" i="6" s="1"/>
  <c r="F267" i="6" s="1"/>
  <c r="F269" i="6" s="1"/>
  <c r="F271" i="6" s="1"/>
  <c r="F272" i="6" s="1"/>
  <c r="Q244" i="6"/>
  <c r="Y244" i="6" s="1"/>
  <c r="Y270" i="6" s="1"/>
  <c r="K251" i="6"/>
  <c r="K252" i="6" s="1"/>
  <c r="K256" i="6"/>
  <c r="K267" i="6" s="1"/>
  <c r="K269" i="6" s="1"/>
  <c r="K271" i="6" s="1"/>
  <c r="K272" i="6" s="1"/>
  <c r="I251" i="6"/>
  <c r="I252" i="6" s="1"/>
  <c r="I256" i="6"/>
  <c r="I267" i="6" s="1"/>
  <c r="I269" i="6" s="1"/>
  <c r="I271" i="6" s="1"/>
  <c r="I272" i="6" s="1"/>
  <c r="L251" i="6"/>
  <c r="L252" i="6" s="1"/>
  <c r="L256" i="6"/>
  <c r="L267" i="6" s="1"/>
  <c r="L269" i="6" s="1"/>
  <c r="L271" i="6" s="1"/>
  <c r="L272" i="6" s="1"/>
  <c r="M251" i="6"/>
  <c r="M252" i="6" s="1"/>
  <c r="M256" i="6"/>
  <c r="M267" i="6" s="1"/>
  <c r="M269" i="6" s="1"/>
  <c r="M271" i="6" s="1"/>
  <c r="M272" i="6" s="1"/>
  <c r="G251" i="6"/>
  <c r="G252" i="6" s="1"/>
  <c r="G256" i="6"/>
  <c r="G267" i="6" s="1"/>
  <c r="G269" i="6" s="1"/>
  <c r="G271" i="6" s="1"/>
  <c r="G272" i="6" s="1"/>
  <c r="D251" i="6"/>
  <c r="D256" i="6"/>
  <c r="D267" i="6" s="1"/>
  <c r="H252" i="6" l="1"/>
  <c r="J256" i="6"/>
  <c r="J267" i="6" s="1"/>
  <c r="J269" i="6" s="1"/>
  <c r="J271" i="6" s="1"/>
  <c r="J272" i="6" s="1"/>
  <c r="P251" i="6"/>
  <c r="P256" i="6" s="1"/>
  <c r="P267" i="6" s="1"/>
  <c r="P269" i="6" s="1"/>
  <c r="P271" i="6" s="1"/>
  <c r="P272" i="6" s="1"/>
  <c r="R267" i="6"/>
  <c r="D269" i="6"/>
  <c r="V244" i="6"/>
  <c r="V270" i="6" s="1"/>
  <c r="Z244" i="6"/>
  <c r="Z270" i="6" s="1"/>
  <c r="F252" i="6"/>
  <c r="R252" i="6" s="1"/>
  <c r="W244" i="6"/>
  <c r="W270" i="6" s="1"/>
  <c r="R244" i="6"/>
  <c r="U244" i="6"/>
  <c r="U270" i="6" s="1"/>
  <c r="R256" i="6"/>
  <c r="Q251" i="6"/>
  <c r="Q256" i="6" s="1"/>
  <c r="Q267" i="6" s="1"/>
  <c r="Q269" i="6" s="1"/>
  <c r="Q271" i="6" s="1"/>
  <c r="Q272" i="6" s="1"/>
  <c r="X244" i="6"/>
  <c r="X270" i="6" s="1"/>
  <c r="R251" i="6" l="1"/>
  <c r="R269" i="6"/>
  <c r="D271" i="6"/>
  <c r="R271" i="6" l="1"/>
  <c r="D272" i="6"/>
  <c r="R272" i="6" s="1"/>
</calcChain>
</file>

<file path=xl/comments1.xml><?xml version="1.0" encoding="utf-8"?>
<comments xmlns="http://schemas.openxmlformats.org/spreadsheetml/2006/main">
  <authors>
    <author>Setup</author>
    <author>Welch, Kathy</author>
  </authors>
  <commentList>
    <comment ref="U79" authorId="0" shape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Add in adj for outstanding checks to offset 11101312.</t>
        </r>
      </text>
    </comment>
    <comment ref="T238" authorId="1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Have to change these based on division 2-See summary schedule in quarterly file and update
</t>
        </r>
      </text>
    </comment>
    <comment ref="T239" authorId="1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Have to change these based on division 2-See summary schedule in quarterly file and update
</t>
        </r>
      </text>
    </comment>
  </commentList>
</comments>
</file>

<file path=xl/comments2.xml><?xml version="1.0" encoding="utf-8"?>
<comments xmlns="http://schemas.openxmlformats.org/spreadsheetml/2006/main">
  <authors>
    <author>Setup</author>
    <author>Onsomu, Philip</author>
    <author>Welch, Kathy</author>
  </authors>
  <commentList>
    <comment ref="V79" authorId="0" shape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Add in adj for outstanding checks to offset 11101312.</t>
        </r>
      </text>
    </comment>
    <comment ref="D154" authorId="1" shapeId="0">
      <text>
        <r>
          <rPr>
            <b/>
            <sz val="12"/>
            <color indexed="81"/>
            <rFont val="Tahoma"/>
            <family val="2"/>
          </rPr>
          <t>Onsomu, Philip:</t>
        </r>
        <r>
          <rPr>
            <sz val="12"/>
            <color indexed="81"/>
            <rFont val="Tahoma"/>
            <family val="2"/>
          </rPr>
          <t xml:space="preserve">
Dana checking on this drop off from 12/31/21 to 1/31/22</t>
        </r>
      </text>
    </comment>
    <comment ref="U238" authorId="2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Have to change these based on division 2-See summary schedule in quarterly file and update
</t>
        </r>
      </text>
    </comment>
    <comment ref="U239" authorId="2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Have to change these based on division 2-See summary schedule in quarterly file and update
</t>
        </r>
      </text>
    </comment>
  </commentList>
</comments>
</file>

<file path=xl/comments3.xml><?xml version="1.0" encoding="utf-8"?>
<comments xmlns="http://schemas.openxmlformats.org/spreadsheetml/2006/main">
  <authors>
    <author>Setup</author>
    <author>Welch, Kathy</author>
  </authors>
  <commentList>
    <comment ref="U79" authorId="0" shapeId="0">
      <text>
        <r>
          <rPr>
            <b/>
            <sz val="9"/>
            <color indexed="81"/>
            <rFont val="Tahoma"/>
            <family val="2"/>
          </rPr>
          <t>Setup:</t>
        </r>
        <r>
          <rPr>
            <sz val="9"/>
            <color indexed="81"/>
            <rFont val="Tahoma"/>
            <family val="2"/>
          </rPr>
          <t xml:space="preserve">
Add in adj for outstanding checks to offset 11101312.</t>
        </r>
      </text>
    </comment>
    <comment ref="T238" authorId="1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Have to change these based on division 2-See summary schedule in quarterly file and update
</t>
        </r>
      </text>
    </comment>
    <comment ref="T239" authorId="1" shapeId="0">
      <text>
        <r>
          <rPr>
            <b/>
            <sz val="9"/>
            <color indexed="81"/>
            <rFont val="Tahoma"/>
            <family val="2"/>
          </rPr>
          <t>Welch, Kathy:</t>
        </r>
        <r>
          <rPr>
            <sz val="9"/>
            <color indexed="81"/>
            <rFont val="Tahoma"/>
            <family val="2"/>
          </rPr>
          <t xml:space="preserve">
Have to change these based on division 2-See summary schedule in quarterly file and update
</t>
        </r>
      </text>
    </comment>
  </commentList>
</comments>
</file>

<file path=xl/comments4.xml><?xml version="1.0" encoding="utf-8"?>
<comments xmlns="http://schemas.openxmlformats.org/spreadsheetml/2006/main">
  <authors>
    <author>Welch, Kathy</author>
  </authors>
  <commentList>
    <comment ref="I1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J1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K1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L1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M1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N1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O1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P1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Q1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R1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S1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I16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J16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K16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L16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M16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N16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O16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P16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Q16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R16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S16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Leasehold improvements
</t>
        </r>
      </text>
    </comment>
    <comment ref="I18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per Lauren's report by building location.</t>
        </r>
      </text>
    </comment>
    <comment ref="J18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per Lauren's report by building location.</t>
        </r>
      </text>
    </comment>
    <comment ref="K18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per Lauren's report by building location.</t>
        </r>
      </text>
    </comment>
    <comment ref="L18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per Lauren's report by building location.</t>
        </r>
      </text>
    </comment>
    <comment ref="M18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per Lauren's report by building location.</t>
        </r>
      </text>
    </comment>
    <comment ref="N18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per Lauren's report by building location.</t>
        </r>
      </text>
    </comment>
    <comment ref="O18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per Lauren's report by building location.</t>
        </r>
      </text>
    </comment>
    <comment ref="P18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per Lauren's report by building location.</t>
        </r>
      </text>
    </comment>
    <comment ref="Q18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per Lauren's report by building location.</t>
        </r>
      </text>
    </comment>
    <comment ref="R18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per Lauren's report by building location.</t>
        </r>
      </text>
    </comment>
    <comment ref="S18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Retire Ecoplex per Lauren's report by building location.</t>
        </r>
      </text>
    </comment>
  </commentList>
</comments>
</file>

<file path=xl/comments5.xml><?xml version="1.0" encoding="utf-8"?>
<comments xmlns="http://schemas.openxmlformats.org/spreadsheetml/2006/main">
  <authors>
    <author>Welch, Kathy</author>
  </authors>
  <commentList>
    <comment ref="D4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Remove Ecoplex Depreciation
</t>
        </r>
      </text>
    </comment>
    <comment ref="D5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Remove Ecoplex Depreciation
</t>
        </r>
      </text>
    </comment>
    <comment ref="D7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Remove Ecoplex Depreciation</t>
        </r>
      </text>
    </comment>
  </commentList>
</comments>
</file>

<file path=xl/comments6.xml><?xml version="1.0" encoding="utf-8"?>
<comments xmlns="http://schemas.openxmlformats.org/spreadsheetml/2006/main">
  <authors>
    <author>Welch, Kathy</author>
  </authors>
  <commentList>
    <comment ref="B4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Removed 1/2 of Yulee
</t>
        </r>
      </text>
    </comment>
    <comment ref="C4" authorId="0" shapeId="0">
      <text>
        <r>
          <rPr>
            <b/>
            <sz val="11"/>
            <color indexed="81"/>
            <rFont val="Tahoma"/>
            <charset val="1"/>
          </rPr>
          <t>Welch, Kathy:</t>
        </r>
        <r>
          <rPr>
            <sz val="11"/>
            <color indexed="81"/>
            <rFont val="Tahoma"/>
            <charset val="1"/>
          </rPr>
          <t xml:space="preserve">
Removed portion for Yulee changes
</t>
        </r>
      </text>
    </comment>
  </commentList>
</comments>
</file>

<file path=xl/sharedStrings.xml><?xml version="1.0" encoding="utf-8"?>
<sst xmlns="http://schemas.openxmlformats.org/spreadsheetml/2006/main" count="3578" uniqueCount="510">
  <si>
    <t>FPU Parent</t>
  </si>
  <si>
    <t>Work_Cap</t>
  </si>
  <si>
    <t>13-month average</t>
  </si>
  <si>
    <t>YEAR END</t>
  </si>
  <si>
    <t>Balance Sheet by FERC Account</t>
  </si>
  <si>
    <t>Allocations</t>
  </si>
  <si>
    <t>ELECTRIC %</t>
  </si>
  <si>
    <t>NAT. GAS %</t>
  </si>
  <si>
    <t>CFG%</t>
  </si>
  <si>
    <t>IND %</t>
  </si>
  <si>
    <t>FT. MEADE</t>
  </si>
  <si>
    <t>OTHER %</t>
  </si>
  <si>
    <t>13-Month Average</t>
  </si>
  <si>
    <t>PLANT</t>
  </si>
  <si>
    <t>December 31, 2021</t>
  </si>
  <si>
    <t>FPU PLANT</t>
  </si>
  <si>
    <t>BASE REV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</si>
  <si>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</si>
  <si>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</si>
  <si>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</si>
  <si>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</si>
  <si>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</si>
  <si>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</si>
  <si>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</si>
  <si>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</si>
  <si>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</si>
  <si>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</si>
  <si>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</si>
  <si>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</si>
  <si>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PR_FPU</t>
  </si>
  <si>
    <t>2020</t>
  </si>
  <si>
    <t>2021</t>
  </si>
  <si>
    <t>Total</t>
  </si>
  <si>
    <t>13-Mo Avg</t>
  </si>
  <si>
    <t>PAYROLL</t>
  </si>
  <si>
    <t>Consolidated IC Check - 1460</t>
  </si>
  <si>
    <t>13??1460</t>
  </si>
  <si>
    <t>Assets</t>
  </si>
  <si>
    <t>Property, Plant &amp; Equipment</t>
  </si>
  <si>
    <t>Plant in service</t>
  </si>
  <si>
    <t>Plant in service (detail in PowerPlan)</t>
  </si>
  <si>
    <t>10101010</t>
  </si>
  <si>
    <t>See separate tab</t>
  </si>
  <si>
    <t>Land &amp; Land Rights</t>
  </si>
  <si>
    <t>10103890</t>
  </si>
  <si>
    <t>Structures &amp; Improvements</t>
  </si>
  <si>
    <t>10103900</t>
  </si>
  <si>
    <t>Office Furniture &amp; Equipment</t>
  </si>
  <si>
    <t>10103910</t>
  </si>
  <si>
    <t>Computer Hardware</t>
  </si>
  <si>
    <t>10103912</t>
  </si>
  <si>
    <t>Furniture &amp; Fixtures</t>
  </si>
  <si>
    <t>10103913</t>
  </si>
  <si>
    <t>System Software</t>
  </si>
  <si>
    <t>10103914</t>
  </si>
  <si>
    <t>Transportation Equip-Cars</t>
  </si>
  <si>
    <t>10103921</t>
  </si>
  <si>
    <t>Transportation Equip-Light Duty Trucks/Vans</t>
  </si>
  <si>
    <t>10103922</t>
  </si>
  <si>
    <t>Communication Equipment</t>
  </si>
  <si>
    <t>10103970</t>
  </si>
  <si>
    <t>Miscellaneous Equipment</t>
  </si>
  <si>
    <t>10103980</t>
  </si>
  <si>
    <t>Other Tangible Property</t>
  </si>
  <si>
    <t>10103990</t>
  </si>
  <si>
    <t>Completed Construction Not Classified</t>
  </si>
  <si>
    <t>10601060</t>
  </si>
  <si>
    <t>-</t>
  </si>
  <si>
    <t>Total plant in service</t>
  </si>
  <si>
    <t>CWIP</t>
  </si>
  <si>
    <t>CWIP - Construction Work in Progress</t>
  </si>
  <si>
    <t>10701070</t>
  </si>
  <si>
    <t>Total CWIP</t>
  </si>
  <si>
    <t>Accum depr &amp; amort (incl RWIP)</t>
  </si>
  <si>
    <t>Accumulated Depreciation</t>
  </si>
  <si>
    <t>10801080</t>
  </si>
  <si>
    <t>10803900</t>
  </si>
  <si>
    <t>10803910</t>
  </si>
  <si>
    <t>10803912</t>
  </si>
  <si>
    <t>10803913</t>
  </si>
  <si>
    <t>10803914</t>
  </si>
  <si>
    <t>10803921</t>
  </si>
  <si>
    <t>10803922</t>
  </si>
  <si>
    <t>10803970</t>
  </si>
  <si>
    <t>10803980</t>
  </si>
  <si>
    <t>10803990</t>
  </si>
  <si>
    <t>Cost Pool Clearing - Facilities</t>
  </si>
  <si>
    <t>108F1080</t>
  </si>
  <si>
    <t>Cost Pool Clearing - Vehicles</t>
  </si>
  <si>
    <t>108V1080</t>
  </si>
  <si>
    <t>Cost Pool Cleairng Offset</t>
  </si>
  <si>
    <t>108Z1080</t>
  </si>
  <si>
    <t>Total accum depr &amp; amort (incl RWIP)</t>
  </si>
  <si>
    <t>Total property, plant &amp; equipment</t>
  </si>
  <si>
    <t>Investments</t>
  </si>
  <si>
    <t>Investment in subsidiaries</t>
  </si>
  <si>
    <t>FPU Electric - Investment in Associated Companies</t>
  </si>
  <si>
    <t>10FE1230</t>
  </si>
  <si>
    <t>FloGas - Investment in Sub</t>
  </si>
  <si>
    <t>10FF1231</t>
  </si>
  <si>
    <t>FPU Indiantown Natural Gas - Investment in Associated Companies</t>
  </si>
  <si>
    <t>10FI1230</t>
  </si>
  <si>
    <t>FPU M&amp;J - Investment in Associated Companies</t>
  </si>
  <si>
    <t>10FM1230</t>
  </si>
  <si>
    <t>FPU Natural Gas - Investment in Associated Companies</t>
  </si>
  <si>
    <t>10FN1230</t>
  </si>
  <si>
    <t>Ft. Meade - Investment in Associated Companies</t>
  </si>
  <si>
    <t>10FT1230</t>
  </si>
  <si>
    <t>Total investment in subsidiaries</t>
  </si>
  <si>
    <t>Total investments</t>
  </si>
  <si>
    <t>Current Assets</t>
  </si>
  <si>
    <t>Cash &amp; cash equivalents</t>
  </si>
  <si>
    <t>General Disbursements-Citizens - Cash - NO DRILLDOWN</t>
  </si>
  <si>
    <t>111C1310</t>
  </si>
  <si>
    <t>General Disbursements-Citizens - Cash Secondary Account - NO DRILLDOWN</t>
  </si>
  <si>
    <t>111C1311</t>
  </si>
  <si>
    <t>General Disbursements - Cash</t>
  </si>
  <si>
    <t>11101312</t>
  </si>
  <si>
    <t>Depository Account - Cash</t>
  </si>
  <si>
    <t>11401310</t>
  </si>
  <si>
    <t>ADJ. FOR OUTSTANDING CHECKS</t>
  </si>
  <si>
    <t>Total cash &amp; cash equivalents</t>
  </si>
  <si>
    <t>Trade receivables</t>
  </si>
  <si>
    <t>Accounts Receivable - Accounts Receivable</t>
  </si>
  <si>
    <t>12201420</t>
  </si>
  <si>
    <t>Misc. Customer Accounts Receivable - Accounts Receivable</t>
  </si>
  <si>
    <t>12771420</t>
  </si>
  <si>
    <t>Accounts Receivable Credits - Accounts Receivable</t>
  </si>
  <si>
    <t>12CR1420</t>
  </si>
  <si>
    <t>Total trade receivables</t>
  </si>
  <si>
    <t>Other receivables</t>
  </si>
  <si>
    <t>Employee Receivables - Other Accounts Receivable</t>
  </si>
  <si>
    <t>12901430</t>
  </si>
  <si>
    <t>Miscellaneous Accounts Receivable - Other Accounts Receivable</t>
  </si>
  <si>
    <t>12991430</t>
  </si>
  <si>
    <t>Total other receivables</t>
  </si>
  <si>
    <t>IC receivable (payable) - NO DRILLDOWN</t>
  </si>
  <si>
    <t>IC with Delmarva Natural Gas</t>
  </si>
  <si>
    <t>13101460</t>
  </si>
  <si>
    <t>IC with Delmarva Propane</t>
  </si>
  <si>
    <t>13201460</t>
  </si>
  <si>
    <t>IC with Florida</t>
  </si>
  <si>
    <t>13301460</t>
  </si>
  <si>
    <t>IC with FPU Alloc Group</t>
  </si>
  <si>
    <t>13401460</t>
  </si>
  <si>
    <t>IC with Whse (4001)</t>
  </si>
  <si>
    <t>134W1460</t>
  </si>
  <si>
    <t>IC with Corporate</t>
  </si>
  <si>
    <t>13601460</t>
  </si>
  <si>
    <t>IC with Aspire Energy of Ohio, LLC</t>
  </si>
  <si>
    <t>13A11460</t>
  </si>
  <si>
    <t>IC with Central Florida Gas</t>
  </si>
  <si>
    <t>13CF1460</t>
  </si>
  <si>
    <t>IC with Marlin Compression (CNG)</t>
  </si>
  <si>
    <t>13CN1460</t>
  </si>
  <si>
    <t>IC with CU</t>
  </si>
  <si>
    <t>13CU1460</t>
  </si>
  <si>
    <t>IC with Delaware Division</t>
  </si>
  <si>
    <t>13DE1460</t>
  </si>
  <si>
    <t>IC with Eight Flags</t>
  </si>
  <si>
    <t>13EF1460</t>
  </si>
  <si>
    <t>IC with Elkton Gas</t>
  </si>
  <si>
    <t>13EK1460</t>
  </si>
  <si>
    <t>IC with Eastern Shore</t>
  </si>
  <si>
    <t>13ES1460</t>
  </si>
  <si>
    <t>IC with FPU Corporate (Parent)</t>
  </si>
  <si>
    <t>13FC1460</t>
  </si>
  <si>
    <t>IC with FPU Electric</t>
  </si>
  <si>
    <t>13FE1460</t>
  </si>
  <si>
    <t>IC with Flo-Gas</t>
  </si>
  <si>
    <t>13FF1460</t>
  </si>
  <si>
    <t>IC with Florida CGS</t>
  </si>
  <si>
    <t>13FG1460</t>
  </si>
  <si>
    <t>IC with FPU Indiantown</t>
  </si>
  <si>
    <t>13FI1460</t>
  </si>
  <si>
    <t>IC with FPU M&amp;J</t>
  </si>
  <si>
    <t>13FM1460</t>
  </si>
  <si>
    <t>IC with FPU Natural Gas</t>
  </si>
  <si>
    <t>13FN1460</t>
  </si>
  <si>
    <t>IC with Ft. Meade</t>
  </si>
  <si>
    <t>13FT1460</t>
  </si>
  <si>
    <t>IC with Blue Peake LNG</t>
  </si>
  <si>
    <t>13LN1460</t>
  </si>
  <si>
    <t>IC with Maryland Division</t>
  </si>
  <si>
    <t>13MD1460</t>
  </si>
  <si>
    <t>IC with Marlin</t>
  </si>
  <si>
    <t>13MS1460</t>
  </si>
  <si>
    <t>IC with PIPECO</t>
  </si>
  <si>
    <t>13PC1460</t>
  </si>
  <si>
    <t>IC with PESCO</t>
  </si>
  <si>
    <t>13PS1460</t>
  </si>
  <si>
    <t>IC with Amelia Renewables (RNG)</t>
  </si>
  <si>
    <t>13RN1460</t>
  </si>
  <si>
    <t>IC with Sharp CGS</t>
  </si>
  <si>
    <t>13SC1460</t>
  </si>
  <si>
    <t>IC with Sharp Energy</t>
  </si>
  <si>
    <t>13SE1460</t>
  </si>
  <si>
    <t>IC with Sharp Florida</t>
  </si>
  <si>
    <t>13SF1460</t>
  </si>
  <si>
    <t>IC with Sharpgas</t>
  </si>
  <si>
    <t>13SG1460</t>
  </si>
  <si>
    <t>IC with Skipjack</t>
  </si>
  <si>
    <t>13SK1460</t>
  </si>
  <si>
    <t>IC with Sandpiper (Worcester County)</t>
  </si>
  <si>
    <t>13WC1460</t>
  </si>
  <si>
    <t>Total IC receivable (payable)</t>
  </si>
  <si>
    <t>Prepaid expenses</t>
  </si>
  <si>
    <t>Prepaid Insurance - Prepayments</t>
  </si>
  <si>
    <t>15101650</t>
  </si>
  <si>
    <t>Prepaid Maintenance - Prepayments</t>
  </si>
  <si>
    <t>15201650</t>
  </si>
  <si>
    <t>Total prepaid expenses</t>
  </si>
  <si>
    <t>Other current assets</t>
  </si>
  <si>
    <t>Retentions - Prepayments</t>
  </si>
  <si>
    <t>15801650</t>
  </si>
  <si>
    <t>Total other current assets</t>
  </si>
  <si>
    <t>Total current assets</t>
  </si>
  <si>
    <t>Deferred Charges &amp; Other Assets</t>
  </si>
  <si>
    <t>Regulatory assets</t>
  </si>
  <si>
    <t>Regulatory Asset - Unamortized Loss on Reacquired Debt</t>
  </si>
  <si>
    <t>17991890</t>
  </si>
  <si>
    <t>Total regulatory assets</t>
  </si>
  <si>
    <t>Operating lease assets</t>
  </si>
  <si>
    <t>Operating Lease-RoU Asset 101.1 - Capital Leases</t>
  </si>
  <si>
    <t>101L1011</t>
  </si>
  <si>
    <t>Plant</t>
  </si>
  <si>
    <t>Lease Amort-RoU Asset 101.1 - Capital Leases</t>
  </si>
  <si>
    <t>108L1011</t>
  </si>
  <si>
    <t>Total operating lease assets</t>
  </si>
  <si>
    <t>Total deferred charges &amp; other assets</t>
  </si>
  <si>
    <t>Total Assets</t>
  </si>
  <si>
    <t>=</t>
  </si>
  <si>
    <t>Capitalization &amp; Liabilities</t>
  </si>
  <si>
    <t>Current Liabilities</t>
  </si>
  <si>
    <t>Accounts payable</t>
  </si>
  <si>
    <t>AP Hand Accrual - Accounts Payable</t>
  </si>
  <si>
    <t>21002320</t>
  </si>
  <si>
    <t>Accounts Payable - NO DRILLDOWN</t>
  </si>
  <si>
    <t>21022320</t>
  </si>
  <si>
    <t>Accounts Payable Credit Card - Accounts Payable</t>
  </si>
  <si>
    <t>21032320</t>
  </si>
  <si>
    <t>United Way Payable/Withholding - Accounts Payable</t>
  </si>
  <si>
    <t>21412320</t>
  </si>
  <si>
    <t>Garnishments Payable/Witholding - Accounts Payable</t>
  </si>
  <si>
    <t>21422320</t>
  </si>
  <si>
    <t>Union Dues Payable/Witholding - Accounts Payable</t>
  </si>
  <si>
    <t>21442320</t>
  </si>
  <si>
    <t>Refunds-Cust Deposits/Overpay - Accounts Payable</t>
  </si>
  <si>
    <t>21702320</t>
  </si>
  <si>
    <t>Accounts Payable Clearing-Leases - Accounts Payable</t>
  </si>
  <si>
    <t>21LS2320</t>
  </si>
  <si>
    <t>Total accounts payable</t>
  </si>
  <si>
    <t>Customer deposits &amp; refunds</t>
  </si>
  <si>
    <t>Customer Deposits-Unclaimed Refunds - Customer Deposits</t>
  </si>
  <si>
    <t>22112350</t>
  </si>
  <si>
    <t>A/R Refunds Payable - Customer Deposits</t>
  </si>
  <si>
    <t>22CR2350</t>
  </si>
  <si>
    <t>Total customer deposits &amp; refunds</t>
  </si>
  <si>
    <t>Income taxes</t>
  </si>
  <si>
    <t>State - Prepaid - Current</t>
  </si>
  <si>
    <t>24012364</t>
  </si>
  <si>
    <t>State - Accrued - Current</t>
  </si>
  <si>
    <t>24012365</t>
  </si>
  <si>
    <t>ADIT Offset to Current - Accrued - Current</t>
  </si>
  <si>
    <t>24102365</t>
  </si>
  <si>
    <t>Federal - Accrued - Current</t>
  </si>
  <si>
    <t>24202365</t>
  </si>
  <si>
    <t>FL - Accrued - Current</t>
  </si>
  <si>
    <t>24FL2365</t>
  </si>
  <si>
    <t>FL - Accrued - Prior</t>
  </si>
  <si>
    <t>24FL2367</t>
  </si>
  <si>
    <t>Total income taxes</t>
  </si>
  <si>
    <t>Accrued compensation</t>
  </si>
  <si>
    <t>Accrued Payroll - Misc Current &amp; Accrued Liabilities</t>
  </si>
  <si>
    <t>27102420</t>
  </si>
  <si>
    <t>Accrued PTO - Misc Current &amp; Accrued Liabilities</t>
  </si>
  <si>
    <t>27112420</t>
  </si>
  <si>
    <t>Accrued Bonus - Misc Current &amp; Accrued Liabilities</t>
  </si>
  <si>
    <t>27142420</t>
  </si>
  <si>
    <t>Accrued Severance - Misc Current &amp; Accrued Liabilities</t>
  </si>
  <si>
    <t>27162420</t>
  </si>
  <si>
    <t>Total accrued compensation</t>
  </si>
  <si>
    <t>Other accrued liabilities</t>
  </si>
  <si>
    <t>Accrued OPRB (Current) - Accum Provision for Pensions &amp; Benefits</t>
  </si>
  <si>
    <t>27332283</t>
  </si>
  <si>
    <t>Operating Lease Liability - Capital Lease Obligations-Current</t>
  </si>
  <si>
    <t>27772430</t>
  </si>
  <si>
    <t>Federal &amp; FICA Withholding - Tax Collections Payable</t>
  </si>
  <si>
    <t>27902410</t>
  </si>
  <si>
    <t>FUTA - Tax Collections Payable</t>
  </si>
  <si>
    <t>27952410</t>
  </si>
  <si>
    <t>FL Taxes Other - SUTA</t>
  </si>
  <si>
    <t>27FL2411</t>
  </si>
  <si>
    <t>GA Taxes Other - Pyrl Tx Withholding</t>
  </si>
  <si>
    <t>27GA2412</t>
  </si>
  <si>
    <t>Total other accrued liabilities</t>
  </si>
  <si>
    <t>Total current liabilities</t>
  </si>
  <si>
    <t>Deferred Credits &amp; Other Liabilities</t>
  </si>
  <si>
    <t>Deferred income taxes (non-current)</t>
  </si>
  <si>
    <t>Capital</t>
  </si>
  <si>
    <t>ADIT Federal - Property</t>
  </si>
  <si>
    <t>25002820</t>
  </si>
  <si>
    <t>ADIT Federal - Other</t>
  </si>
  <si>
    <t>25002830</t>
  </si>
  <si>
    <t>ADIT State - Property</t>
  </si>
  <si>
    <t>25012820</t>
  </si>
  <si>
    <t>ADIT State - Other</t>
  </si>
  <si>
    <t>25012830</t>
  </si>
  <si>
    <t>Bonus - Other</t>
  </si>
  <si>
    <t>25BN2831</t>
  </si>
  <si>
    <t>Depreciation - Property</t>
  </si>
  <si>
    <t>25DP2822</t>
  </si>
  <si>
    <t>Insurance Deductibles - Other</t>
  </si>
  <si>
    <t>25ID2831</t>
  </si>
  <si>
    <t>Leases - Other</t>
  </si>
  <si>
    <t>25LS2832</t>
  </si>
  <si>
    <t>Misc Reserves - Other</t>
  </si>
  <si>
    <t>25MR2831</t>
  </si>
  <si>
    <t>Depreciation-Capitalized Overhead - Other</t>
  </si>
  <si>
    <t>25OH2832</t>
  </si>
  <si>
    <t>Pension - Other</t>
  </si>
  <si>
    <t>25PN2832</t>
  </si>
  <si>
    <t>Post-retirement Benefits - Other</t>
  </si>
  <si>
    <t>25PR2832</t>
  </si>
  <si>
    <t>Reacquired Debt - Other</t>
  </si>
  <si>
    <t>25RD2832</t>
  </si>
  <si>
    <t>Repairs - Property</t>
  </si>
  <si>
    <t>25RE2822</t>
  </si>
  <si>
    <t>Tax Rate Change - Property</t>
  </si>
  <si>
    <t>25TX2822</t>
  </si>
  <si>
    <t>Vacation - Other</t>
  </si>
  <si>
    <t>25VA2831</t>
  </si>
  <si>
    <t>Total deferred income taxes (non-current)</t>
  </si>
  <si>
    <t>Regulatory liabilities</t>
  </si>
  <si>
    <t>Regulatory Liability Tax Rate Change - Othr Reg Liab-Not Protected</t>
  </si>
  <si>
    <t>280R254N</t>
  </si>
  <si>
    <t>Regulatory Liability Tax Rate Change - Othr Reg Liab-Protected</t>
  </si>
  <si>
    <t>280R254P</t>
  </si>
  <si>
    <t>Total regulatory liabilities</t>
  </si>
  <si>
    <t>Other pension &amp; benefit costs</t>
  </si>
  <si>
    <t>Accrued Pensions - Accum Provision for Pensions &amp; Benefits</t>
  </si>
  <si>
    <t>29002283</t>
  </si>
  <si>
    <t>Other Post Retirement Benefits - Accum Provision for Pensions &amp; Benefits</t>
  </si>
  <si>
    <t>29202283</t>
  </si>
  <si>
    <t>OPRB-Retiree Claims - Accum Provision for Pensions &amp; Benefits</t>
  </si>
  <si>
    <t>29212283</t>
  </si>
  <si>
    <t>OPRB-Retiree Admin Fees - Accum Provision for Pensions &amp; Benefits</t>
  </si>
  <si>
    <t>29222283</t>
  </si>
  <si>
    <t>OPRB-Retiree Life Ins - Accum Provision for Pensions &amp; Benefits</t>
  </si>
  <si>
    <t>29232283</t>
  </si>
  <si>
    <t>OPRB-Retiree Contributions - Accum Provision for Pensions &amp; Benefits</t>
  </si>
  <si>
    <t>29242283</t>
  </si>
  <si>
    <t>Total other pension &amp; benefit costs</t>
  </si>
  <si>
    <t>Operating lease liabilities</t>
  </si>
  <si>
    <t>Operating Lease Liability - Capital Lease Obligations-Non Current</t>
  </si>
  <si>
    <t>29802270</t>
  </si>
  <si>
    <t>Total deferred credits &amp; other liabilities</t>
  </si>
  <si>
    <t>Capitalization</t>
  </si>
  <si>
    <t>Stockholders' equity</t>
  </si>
  <si>
    <t>Accum Other Comprehensive Inc (Ret Earn) - Retained Earnings</t>
  </si>
  <si>
    <t>33152160</t>
  </si>
  <si>
    <t>Retained Earnings (Auto) - NO DRILLDOWN</t>
  </si>
  <si>
    <t>34002160</t>
  </si>
  <si>
    <t>Retained Earnings (Beg Bal/Manual) - Retained Earnings</t>
  </si>
  <si>
    <t>34102160</t>
  </si>
  <si>
    <t>Total stockholders' equity</t>
  </si>
  <si>
    <t>Total Capitalization</t>
  </si>
  <si>
    <t>Total Capitalization &amp; Liabilities</t>
  </si>
  <si>
    <t>REG-BS13MON</t>
  </si>
  <si>
    <t>02/02/22</t>
  </si>
  <si>
    <t xml:space="preserve"> </t>
  </si>
  <si>
    <t>Bal Sheet -- 13 Mo. Avg.</t>
  </si>
  <si>
    <t>02:04 PM</t>
  </si>
  <si>
    <t>Florida Public Utilities</t>
  </si>
  <si>
    <t>Schedule of Common Plant and Common Reserve Allocations</t>
  </si>
  <si>
    <t>Allocation</t>
  </si>
  <si>
    <t>Account Name</t>
  </si>
  <si>
    <t>G/L Accounts</t>
  </si>
  <si>
    <t>Allocation Method</t>
  </si>
  <si>
    <t>13 Mo Avg</t>
  </si>
  <si>
    <t>Corp CWIP</t>
  </si>
  <si>
    <t>Common Plant</t>
  </si>
  <si>
    <t>EDP Equipment</t>
  </si>
  <si>
    <t>EDP Equip</t>
  </si>
  <si>
    <t>Power Plan</t>
  </si>
  <si>
    <t>"       "       "</t>
  </si>
  <si>
    <t>Land</t>
  </si>
  <si>
    <t>Structures and Improvements</t>
  </si>
  <si>
    <t>Office machines</t>
  </si>
  <si>
    <t>Office Furniture and Equipment</t>
  </si>
  <si>
    <t>Software</t>
  </si>
  <si>
    <t>Transportation Equipment-Cars</t>
  </si>
  <si>
    <t>Transportation Equipment-Light Trucks</t>
  </si>
  <si>
    <t>Miscellaneous Tangible Assets</t>
  </si>
  <si>
    <t>Completed Not Classified</t>
  </si>
  <si>
    <t>1060-1060</t>
  </si>
  <si>
    <t>Common Reserve</t>
  </si>
  <si>
    <t>Accum. Depreciation-Power Plan</t>
  </si>
  <si>
    <t>Remain. Common</t>
  </si>
  <si>
    <t>Accum. Depreciation-Structures and Improvements</t>
  </si>
  <si>
    <t>Accum. Depreciation-Office machines</t>
  </si>
  <si>
    <t>Accum. Depreciation-EDP Equipment</t>
  </si>
  <si>
    <t>Accum. Depreciation-Office Furniture &amp; Equipment</t>
  </si>
  <si>
    <t>Reserve Software</t>
  </si>
  <si>
    <t>Accum. Depreciation-Transport. Cars</t>
  </si>
  <si>
    <t>Accum. Depreciation-Transport. Trucks</t>
  </si>
  <si>
    <t>Accum. Depreciation-Communication Equipment</t>
  </si>
  <si>
    <t>Accum. Depreciation -Miscellaneous Equipment</t>
  </si>
  <si>
    <t>Accum. Depreciation Miscellaneous Tangible Assets</t>
  </si>
  <si>
    <t>13 mo. Avg.</t>
  </si>
  <si>
    <t>FPU-Natural Gas</t>
  </si>
  <si>
    <t>Common Plant at Florida Allocation</t>
  </si>
  <si>
    <t>CWIP at Florida Allocation</t>
  </si>
  <si>
    <t>Common Reserve at Florida Allocation</t>
  </si>
  <si>
    <t>FPU-Electric</t>
  </si>
  <si>
    <t>CWIP at Total Corporate Allocation</t>
  </si>
  <si>
    <t>CFG</t>
  </si>
  <si>
    <t>FPU-Indiantown</t>
  </si>
  <si>
    <t>Negative due to imbalance</t>
  </si>
  <si>
    <t>Ft. Meade</t>
  </si>
  <si>
    <t>Non-Utility</t>
  </si>
  <si>
    <t>Sum of 1/31/2021</t>
  </si>
  <si>
    <t>Sum of 2/28/2021</t>
  </si>
  <si>
    <t>Sum of 3/31/2021</t>
  </si>
  <si>
    <t>Sum of 4/30/2021</t>
  </si>
  <si>
    <t>Sum of 5/31/2021</t>
  </si>
  <si>
    <t>Sum of 6/30/2021</t>
  </si>
  <si>
    <t>Sum of 7/31/2021</t>
  </si>
  <si>
    <t>Sum of 8/31/2021</t>
  </si>
  <si>
    <t>Sum of 9/30/2021</t>
  </si>
  <si>
    <t>Sum of 10/31/2021</t>
  </si>
  <si>
    <t>Sum of 11/30/2021</t>
  </si>
  <si>
    <t>Sum of 12/31/2021</t>
  </si>
  <si>
    <t>1-3890 - Land &amp; Land Rights</t>
  </si>
  <si>
    <t>1-3900 - Struc&amp;Impr</t>
  </si>
  <si>
    <t>1-3910 - Offc Furn &amp; Eq</t>
  </si>
  <si>
    <t>1-3912 - Comp Hdwr</t>
  </si>
  <si>
    <t>1-3913 - Furn &amp; Fix</t>
  </si>
  <si>
    <t>1-3914 - Sys Sftwr</t>
  </si>
  <si>
    <t>1-3921 - Cars</t>
  </si>
  <si>
    <t>1-3922 - Lt Truck/Van</t>
  </si>
  <si>
    <t>1-3970 - Comm Eq</t>
  </si>
  <si>
    <t>1-3980 - Misc Equip</t>
  </si>
  <si>
    <t>Grand Total</t>
  </si>
  <si>
    <t>with vehicles</t>
  </si>
  <si>
    <t>Less Vehicles</t>
  </si>
  <si>
    <t>921 Depreciation</t>
  </si>
  <si>
    <t>without vehicles</t>
  </si>
  <si>
    <t>FC Depreciation expense excluding vehicles was moved from 921 to 4030</t>
  </si>
  <si>
    <t>Account</t>
  </si>
  <si>
    <t>Corporate and Skipjack Allocations</t>
  </si>
  <si>
    <t>Distrigas  by Dept.</t>
  </si>
  <si>
    <t>Distrigas</t>
  </si>
  <si>
    <t xml:space="preserve">Plant </t>
  </si>
  <si>
    <t>Chesapeake Parent Company General</t>
  </si>
  <si>
    <t>1-3010 - Organization</t>
  </si>
  <si>
    <t>1-3901 - Lshold Impr</t>
  </si>
  <si>
    <t>1-3911 - Comp &amp; Periph</t>
  </si>
  <si>
    <t>1-391S - Alloc Sys Sftwr</t>
  </si>
  <si>
    <t>Skipjack Inc</t>
  </si>
  <si>
    <t>Depreciation Expense:</t>
  </si>
  <si>
    <t>Skipjack Inc ( Do not include Structures, Transporttion Equipment</t>
  </si>
  <si>
    <t>Depreciation expense moved from 921 to 4030</t>
  </si>
  <si>
    <t>Total not equal to 100%</t>
  </si>
  <si>
    <t>FPU Electric no allocation for Common Reserve at FL Allocation</t>
  </si>
  <si>
    <t>Why negative allocation for FPU-Indiantown</t>
  </si>
  <si>
    <t>Obtain Information from FNPA and reconcile to GL 7785-9210 and Power Plan Depreciation Expense:</t>
  </si>
  <si>
    <t>CF</t>
  </si>
  <si>
    <t>FE</t>
  </si>
  <si>
    <t>FI</t>
  </si>
  <si>
    <t>FN</t>
  </si>
  <si>
    <t xml:space="preserve">FT </t>
  </si>
  <si>
    <t>All Other Utilities</t>
  </si>
  <si>
    <t>Allocation Basis</t>
  </si>
  <si>
    <t>Related to FC Based on Depreciation Expense:</t>
  </si>
  <si>
    <t>Clear OB 453 Yulee in 7785-9210</t>
  </si>
  <si>
    <t>Based on Usage Departments</t>
  </si>
  <si>
    <t>A</t>
  </si>
  <si>
    <t>Clear OB 780 Ecoplex in 7785-9210</t>
  </si>
  <si>
    <t>AA700 Software Imbalance in 7785-9210</t>
  </si>
  <si>
    <t>Depreciation Study</t>
  </si>
  <si>
    <t>CU-91-IT806-7700 IT imbalance plus IT costs</t>
  </si>
  <si>
    <t>IT Corporate Allocation %'s</t>
  </si>
  <si>
    <t>Total FC depreciation</t>
  </si>
  <si>
    <t>IT depreciation charged as vehicles</t>
  </si>
  <si>
    <t>Not booked-have to reduce op expenses for this</t>
  </si>
  <si>
    <t>Allocation Factor FC</t>
  </si>
  <si>
    <t>Vehicles allocated based on departments</t>
  </si>
  <si>
    <t>FC with vehicles</t>
  </si>
  <si>
    <t>Per Lauren's Depreciation Expense</t>
  </si>
  <si>
    <t>OB 780 Corporate</t>
  </si>
  <si>
    <t>OB 780 Skipjack</t>
  </si>
  <si>
    <t>Sum of A's should total 7785-9210's</t>
  </si>
  <si>
    <t>Two Above are included below and tie to Val's schedule:</t>
  </si>
  <si>
    <t>CU90 Asset Dep allocated to BU's</t>
  </si>
  <si>
    <t>Tie to Lauren's Schedule</t>
  </si>
  <si>
    <t>Skipjack Asset Dep allocated to BU's</t>
  </si>
  <si>
    <t>2022</t>
  </si>
  <si>
    <t>Adjust for forecast</t>
  </si>
  <si>
    <t>December 31, 2022 Projection</t>
  </si>
  <si>
    <t>December 31, 2023 Projection</t>
  </si>
  <si>
    <t>2023</t>
  </si>
  <si>
    <t>Inflation and Growth</t>
  </si>
  <si>
    <t>Payroll</t>
  </si>
  <si>
    <t>Direct</t>
  </si>
  <si>
    <t>Took out Ecoplex and all imbalance adjustments</t>
  </si>
  <si>
    <t>Per Depreciation Expense</t>
  </si>
  <si>
    <t>Clear OB 453 Yulee and Misc. in 7785-9210</t>
  </si>
  <si>
    <t>Direct at 65% per Beth</t>
  </si>
  <si>
    <t>at 65% per 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</si>
</sst>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\(#,##0\)"/>
    <numFmt numFmtId="165" formatCode="0.0%"/>
    <numFmt numFmtId="166" formatCode="&quot;$&quot;#,###,##0;\(&quot;$&quot;#,###,##0\)"/>
    <numFmt numFmtId="167" formatCode="_(* #,##0_);_(* \(#,##0\);_(* &quot;-&quot;??_);_(@_)"/>
    <numFmt numFmtId="168" formatCode="#,###,##0;\(#,###,##0\)"/>
    <numFmt numFmtId="169" formatCode="_(* #,##0_);_(* \(\ #,##0\ \);_(* &quot;-&quot;??_);_(\ @_ \)"/>
    <numFmt numFmtId="170" formatCode="0.0000%"/>
    <numFmt numFmtId="171" formatCode="0.000%"/>
    <numFmt numFmtId="172" formatCode="[$-409]d\-mmm;@"/>
    <numFmt numFmtId="173" formatCode="_(* #,##0.0000_);_(* \(#,##0.0000\);_(* &quot;-&quot;??_);_(@_)"/>
    <numFmt numFmtId="174" formatCode="#,##0.0000;\(#,##0.0000\)"/>
    <numFmt numFmtId="175" formatCode="#,##0_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indexed="0"/>
      <name val="Arial Black"/>
    </font>
    <font>
      <sz val="10"/>
      <color indexed="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2"/>
      <color indexed="0"/>
      <name val="Arial Black"/>
    </font>
    <font>
      <sz val="10"/>
      <name val="Arial"/>
      <family val="2"/>
    </font>
    <font>
      <b/>
      <sz val="8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0"/>
      <name val="Arial"/>
    </font>
    <font>
      <sz val="10"/>
      <color indexed="0"/>
      <name val="Arial Black"/>
    </font>
    <font>
      <i/>
      <sz val="10"/>
      <color indexed="0"/>
      <name val="Arial"/>
    </font>
    <font>
      <b/>
      <sz val="10"/>
      <color indexed="0"/>
      <name val="Arial"/>
      <family val="2"/>
    </font>
    <font>
      <sz val="12"/>
      <color indexed="0"/>
      <name val="Arial Black"/>
      <family val="2"/>
    </font>
    <font>
      <b/>
      <sz val="10"/>
      <name val="Arial Black"/>
      <family val="2"/>
    </font>
    <font>
      <sz val="10"/>
      <color indexed="0"/>
      <name val="Arial Blac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i/>
      <sz val="8"/>
      <color rgb="FF0000FF"/>
      <name val="Calibri"/>
      <family val="2"/>
      <scheme val="minor"/>
    </font>
    <font>
      <i/>
      <sz val="8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9"/>
      <name val="Calibri"/>
    </font>
    <font>
      <sz val="11"/>
      <color indexed="81"/>
      <name val="Tahoma"/>
      <charset val="1"/>
    </font>
    <font>
      <b/>
      <sz val="11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indexed="8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4" fillId="0" borderId="0"/>
    <xf numFmtId="0" fontId="1" fillId="0" borderId="0"/>
    <xf numFmtId="168" fontId="4" fillId="0" borderId="0"/>
    <xf numFmtId="0" fontId="1" fillId="0" borderId="0"/>
    <xf numFmtId="0" fontId="27" fillId="0" borderId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3" fillId="0" borderId="0" xfId="0" applyFont="1" applyAlignment="1">
      <alignment horizontal="left"/>
    </xf>
    <xf numFmtId="164" fontId="4" fillId="0" borderId="0" xfId="2"/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10" fontId="9" fillId="0" borderId="0" xfId="3" applyNumberFormat="1" applyFont="1" applyFill="1" applyAlignment="1">
      <alignment horizontal="center"/>
    </xf>
    <xf numFmtId="0" fontId="10" fillId="0" borderId="0" xfId="0" applyFont="1" applyFill="1"/>
    <xf numFmtId="165" fontId="9" fillId="0" borderId="0" xfId="3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49" fontId="4" fillId="0" borderId="0" xfId="2" applyNumberFormat="1" applyAlignment="1">
      <alignment horizontal="center"/>
    </xf>
    <xf numFmtId="49" fontId="4" fillId="0" borderId="1" xfId="2" applyNumberFormat="1" applyBorder="1" applyAlignment="1">
      <alignment horizontal="center"/>
    </xf>
    <xf numFmtId="49" fontId="11" fillId="0" borderId="1" xfId="2" applyNumberFormat="1" applyFont="1" applyBorder="1" applyAlignment="1">
      <alignment horizontal="center"/>
    </xf>
    <xf numFmtId="0" fontId="0" fillId="0" borderId="0" xfId="0" applyAlignment="1">
      <alignment horizontal="left"/>
    </xf>
    <xf numFmtId="166" fontId="4" fillId="0" borderId="0" xfId="2" applyNumberFormat="1"/>
    <xf numFmtId="167" fontId="5" fillId="0" borderId="0" xfId="4" applyNumberFormat="1" applyFont="1" applyFill="1"/>
    <xf numFmtId="0" fontId="7" fillId="0" borderId="0" xfId="0" applyFont="1"/>
    <xf numFmtId="164" fontId="7" fillId="0" borderId="0" xfId="2" applyFont="1"/>
    <xf numFmtId="0" fontId="12" fillId="0" borderId="0" xfId="0" applyFont="1" applyAlignment="1">
      <alignment horizontal="left"/>
    </xf>
    <xf numFmtId="0" fontId="12" fillId="0" borderId="0" xfId="0" applyFont="1"/>
    <xf numFmtId="164" fontId="12" fillId="0" borderId="0" xfId="2" applyFont="1"/>
    <xf numFmtId="0" fontId="11" fillId="0" borderId="0" xfId="0" applyFont="1" applyAlignment="1">
      <alignment horizontal="left"/>
    </xf>
    <xf numFmtId="0" fontId="11" fillId="0" borderId="0" xfId="0" applyFont="1"/>
    <xf numFmtId="164" fontId="11" fillId="0" borderId="0" xfId="2" applyFont="1"/>
    <xf numFmtId="168" fontId="4" fillId="0" borderId="0" xfId="5" applyFill="1"/>
    <xf numFmtId="167" fontId="10" fillId="0" borderId="0" xfId="4" applyNumberFormat="1" applyFont="1" applyFill="1"/>
    <xf numFmtId="49" fontId="4" fillId="0" borderId="0" xfId="2" applyNumberFormat="1" applyAlignment="1">
      <alignment horizontal="fill"/>
    </xf>
    <xf numFmtId="167" fontId="5" fillId="0" borderId="0" xfId="0" applyNumberFormat="1" applyFont="1" applyFill="1"/>
    <xf numFmtId="0" fontId="13" fillId="2" borderId="0" xfId="0" applyFont="1" applyFill="1" applyAlignment="1">
      <alignment horizontal="left"/>
    </xf>
    <xf numFmtId="164" fontId="13" fillId="2" borderId="0" xfId="2" applyFont="1" applyFill="1"/>
    <xf numFmtId="0" fontId="1" fillId="0" borderId="0" xfId="6" applyFill="1" applyAlignment="1">
      <alignment horizontal="left"/>
    </xf>
    <xf numFmtId="0" fontId="0" fillId="0" borderId="0" xfId="0" applyFill="1" applyAlignment="1">
      <alignment horizontal="left"/>
    </xf>
    <xf numFmtId="169" fontId="4" fillId="0" borderId="0" xfId="4" applyNumberFormat="1" applyFont="1" applyFill="1"/>
    <xf numFmtId="167" fontId="5" fillId="3" borderId="0" xfId="4" applyNumberFormat="1" applyFont="1" applyFill="1"/>
    <xf numFmtId="0" fontId="5" fillId="3" borderId="0" xfId="0" applyFont="1" applyFill="1"/>
    <xf numFmtId="0" fontId="0" fillId="0" borderId="0" xfId="0" applyFill="1"/>
    <xf numFmtId="49" fontId="4" fillId="0" borderId="0" xfId="5" applyNumberFormat="1" applyFill="1" applyAlignment="1">
      <alignment horizontal="fill"/>
    </xf>
    <xf numFmtId="0" fontId="14" fillId="0" borderId="0" xfId="0" applyFont="1" applyFill="1" applyAlignment="1">
      <alignment horizontal="left"/>
    </xf>
    <xf numFmtId="0" fontId="14" fillId="0" borderId="0" xfId="0" applyFont="1" applyFill="1"/>
    <xf numFmtId="168" fontId="14" fillId="0" borderId="0" xfId="5" applyFont="1" applyFill="1"/>
    <xf numFmtId="0" fontId="0" fillId="0" borderId="1" xfId="0" applyBorder="1"/>
    <xf numFmtId="164" fontId="4" fillId="0" borderId="1" xfId="2" applyBorder="1"/>
    <xf numFmtId="0" fontId="12" fillId="0" borderId="2" xfId="0" applyFont="1" applyBorder="1" applyAlignment="1">
      <alignment horizontal="left"/>
    </xf>
    <xf numFmtId="0" fontId="12" fillId="0" borderId="2" xfId="0" applyFont="1" applyBorder="1"/>
    <xf numFmtId="164" fontId="12" fillId="0" borderId="2" xfId="2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164" fontId="11" fillId="0" borderId="1" xfId="2" applyFont="1" applyBorder="1"/>
    <xf numFmtId="0" fontId="0" fillId="0" borderId="2" xfId="0" applyBorder="1" applyAlignment="1">
      <alignment horizontal="left"/>
    </xf>
    <xf numFmtId="164" fontId="4" fillId="0" borderId="2" xfId="2" applyBorder="1"/>
    <xf numFmtId="0" fontId="15" fillId="0" borderId="0" xfId="0" applyFont="1" applyFill="1" applyAlignment="1">
      <alignment horizontal="left"/>
    </xf>
    <xf numFmtId="0" fontId="15" fillId="0" borderId="0" xfId="0" applyFont="1" applyFill="1"/>
    <xf numFmtId="168" fontId="15" fillId="0" borderId="0" xfId="5" applyFont="1" applyFill="1"/>
    <xf numFmtId="0" fontId="16" fillId="0" borderId="0" xfId="0" applyFont="1" applyFill="1" applyAlignment="1">
      <alignment horizontal="left"/>
    </xf>
    <xf numFmtId="0" fontId="17" fillId="0" borderId="0" xfId="0" applyFont="1" applyFill="1"/>
    <xf numFmtId="168" fontId="17" fillId="0" borderId="0" xfId="5" applyFont="1" applyFill="1"/>
    <xf numFmtId="0" fontId="1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168" fontId="8" fillId="0" borderId="0" xfId="5" applyFont="1" applyFill="1"/>
    <xf numFmtId="167" fontId="5" fillId="4" borderId="0" xfId="4" applyNumberFormat="1" applyFont="1" applyFill="1"/>
    <xf numFmtId="167" fontId="6" fillId="0" borderId="2" xfId="4" applyNumberFormat="1" applyFont="1" applyFill="1" applyBorder="1"/>
    <xf numFmtId="49" fontId="4" fillId="0" borderId="0" xfId="2" applyNumberFormat="1" applyAlignment="1">
      <alignment horizontal="right"/>
    </xf>
    <xf numFmtId="168" fontId="4" fillId="0" borderId="0" xfId="7" applyFill="1"/>
    <xf numFmtId="164" fontId="4" fillId="0" borderId="0" xfId="2" applyFill="1"/>
    <xf numFmtId="17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8" fillId="0" borderId="0" xfId="0" applyFont="1"/>
    <xf numFmtId="167" fontId="0" fillId="0" borderId="0" xfId="4" applyNumberFormat="1" applyFont="1"/>
    <xf numFmtId="0" fontId="1" fillId="0" borderId="0" xfId="8" applyFont="1" applyAlignment="1">
      <alignment horizontal="left"/>
    </xf>
    <xf numFmtId="0" fontId="1" fillId="0" borderId="0" xfId="8" applyAlignment="1">
      <alignment horizontal="left"/>
    </xf>
    <xf numFmtId="167" fontId="0" fillId="0" borderId="2" xfId="4" applyNumberFormat="1" applyFont="1" applyBorder="1"/>
    <xf numFmtId="167" fontId="0" fillId="0" borderId="2" xfId="4" applyNumberFormat="1" applyFont="1" applyFill="1" applyBorder="1"/>
    <xf numFmtId="167" fontId="0" fillId="0" borderId="0" xfId="4" applyNumberFormat="1" applyFont="1" applyFill="1"/>
    <xf numFmtId="167" fontId="0" fillId="0" borderId="0" xfId="4" applyNumberFormat="1" applyFont="1" applyFill="1" applyBorder="1"/>
    <xf numFmtId="167" fontId="0" fillId="0" borderId="1" xfId="4" applyNumberFormat="1" applyFont="1" applyFill="1" applyBorder="1"/>
    <xf numFmtId="167" fontId="0" fillId="0" borderId="3" xfId="4" applyNumberFormat="1" applyFont="1" applyBorder="1"/>
    <xf numFmtId="167" fontId="0" fillId="5" borderId="1" xfId="4" applyNumberFormat="1" applyFont="1" applyFill="1" applyBorder="1"/>
    <xf numFmtId="167" fontId="0" fillId="6" borderId="0" xfId="4" applyNumberFormat="1" applyFont="1" applyFill="1"/>
    <xf numFmtId="167" fontId="0" fillId="0" borderId="1" xfId="4" applyNumberFormat="1" applyFont="1" applyBorder="1"/>
    <xf numFmtId="0" fontId="21" fillId="3" borderId="0" xfId="0" applyFont="1" applyFill="1" applyAlignment="1">
      <alignment horizontal="center"/>
    </xf>
    <xf numFmtId="17" fontId="20" fillId="3" borderId="0" xfId="0" applyNumberFormat="1" applyFont="1" applyFill="1" applyAlignment="1">
      <alignment horizontal="center"/>
    </xf>
    <xf numFmtId="0" fontId="0" fillId="3" borderId="0" xfId="0" applyFill="1"/>
    <xf numFmtId="0" fontId="0" fillId="0" borderId="4" xfId="0" applyBorder="1"/>
    <xf numFmtId="0" fontId="0" fillId="0" borderId="5" xfId="0" applyBorder="1"/>
    <xf numFmtId="10" fontId="0" fillId="0" borderId="5" xfId="3" applyNumberFormat="1" applyFont="1" applyBorder="1" applyAlignment="1">
      <alignment horizontal="left"/>
    </xf>
    <xf numFmtId="167" fontId="0" fillId="0" borderId="6" xfId="4" applyNumberFormat="1" applyFont="1" applyBorder="1"/>
    <xf numFmtId="167" fontId="0" fillId="0" borderId="7" xfId="4" applyNumberFormat="1" applyFont="1" applyBorder="1"/>
    <xf numFmtId="0" fontId="0" fillId="0" borderId="8" xfId="0" applyBorder="1"/>
    <xf numFmtId="0" fontId="0" fillId="0" borderId="0" xfId="0" applyBorder="1"/>
    <xf numFmtId="10" fontId="0" fillId="0" borderId="0" xfId="3" applyNumberFormat="1" applyFont="1" applyBorder="1" applyAlignment="1">
      <alignment horizontal="left"/>
    </xf>
    <xf numFmtId="167" fontId="0" fillId="0" borderId="0" xfId="4" applyNumberFormat="1" applyFont="1" applyBorder="1"/>
    <xf numFmtId="167" fontId="0" fillId="0" borderId="9" xfId="4" applyNumberFormat="1" applyFont="1" applyBorder="1"/>
    <xf numFmtId="0" fontId="0" fillId="0" borderId="0" xfId="0" applyFill="1" applyBorder="1"/>
    <xf numFmtId="0" fontId="0" fillId="0" borderId="10" xfId="0" applyBorder="1"/>
    <xf numFmtId="0" fontId="0" fillId="0" borderId="11" xfId="0" applyBorder="1"/>
    <xf numFmtId="10" fontId="0" fillId="0" borderId="11" xfId="3" applyNumberFormat="1" applyFont="1" applyBorder="1" applyAlignment="1">
      <alignment horizontal="left"/>
    </xf>
    <xf numFmtId="167" fontId="0" fillId="0" borderId="11" xfId="4" applyNumberFormat="1" applyFont="1" applyBorder="1"/>
    <xf numFmtId="0" fontId="8" fillId="0" borderId="0" xfId="0" applyFont="1" applyBorder="1"/>
    <xf numFmtId="0" fontId="0" fillId="0" borderId="0" xfId="0" applyBorder="1" applyAlignment="1">
      <alignment horizontal="left"/>
    </xf>
    <xf numFmtId="10" fontId="0" fillId="0" borderId="0" xfId="0" applyNumberFormat="1" applyBorder="1" applyAlignment="1">
      <alignment horizontal="left"/>
    </xf>
    <xf numFmtId="10" fontId="0" fillId="0" borderId="11" xfId="0" applyNumberFormat="1" applyBorder="1" applyAlignment="1">
      <alignment horizontal="left"/>
    </xf>
    <xf numFmtId="167" fontId="0" fillId="0" borderId="12" xfId="4" applyNumberFormat="1" applyFont="1" applyBorder="1"/>
    <xf numFmtId="0" fontId="0" fillId="3" borderId="0" xfId="0" applyFill="1" applyAlignment="1">
      <alignment horizontal="left"/>
    </xf>
    <xf numFmtId="10" fontId="6" fillId="0" borderId="0" xfId="0" applyNumberFormat="1" applyFont="1" applyFill="1" applyAlignment="1">
      <alignment horizontal="center"/>
    </xf>
    <xf numFmtId="167" fontId="0" fillId="0" borderId="0" xfId="0" applyNumberFormat="1"/>
    <xf numFmtId="43" fontId="0" fillId="0" borderId="0" xfId="0" applyNumberFormat="1"/>
    <xf numFmtId="43" fontId="0" fillId="0" borderId="2" xfId="0" applyNumberFormat="1" applyBorder="1"/>
    <xf numFmtId="43" fontId="0" fillId="0" borderId="13" xfId="0" applyNumberFormat="1" applyBorder="1"/>
    <xf numFmtId="0" fontId="2" fillId="0" borderId="0" xfId="0" applyFont="1"/>
    <xf numFmtId="167" fontId="0" fillId="0" borderId="2" xfId="0" applyNumberFormat="1" applyBorder="1"/>
    <xf numFmtId="167" fontId="0" fillId="0" borderId="13" xfId="0" applyNumberFormat="1" applyBorder="1"/>
    <xf numFmtId="0" fontId="22" fillId="0" borderId="0" xfId="0" applyFont="1"/>
    <xf numFmtId="0" fontId="6" fillId="0" borderId="0" xfId="0" applyFont="1" applyFill="1" applyAlignment="1">
      <alignment horizontal="left"/>
    </xf>
    <xf numFmtId="16" fontId="21" fillId="0" borderId="0" xfId="0" applyNumberFormat="1" applyFont="1"/>
    <xf numFmtId="0" fontId="21" fillId="0" borderId="0" xfId="0" applyFont="1" applyAlignment="1">
      <alignment wrapText="1"/>
    </xf>
    <xf numFmtId="0" fontId="21" fillId="0" borderId="0" xfId="0" applyFont="1"/>
    <xf numFmtId="167" fontId="21" fillId="0" borderId="0" xfId="4" applyNumberFormat="1" applyFont="1"/>
    <xf numFmtId="43" fontId="0" fillId="0" borderId="0" xfId="4" applyFont="1"/>
    <xf numFmtId="0" fontId="21" fillId="0" borderId="0" xfId="0" applyFont="1" applyAlignment="1">
      <alignment horizontal="center"/>
    </xf>
    <xf numFmtId="43" fontId="23" fillId="0" borderId="14" xfId="4" applyFont="1" applyBorder="1"/>
    <xf numFmtId="43" fontId="21" fillId="0" borderId="0" xfId="4" applyFont="1"/>
    <xf numFmtId="167" fontId="25" fillId="0" borderId="3" xfId="1" applyNumberFormat="1" applyFont="1" applyFill="1" applyBorder="1" applyAlignment="1">
      <alignment horizontal="center"/>
    </xf>
    <xf numFmtId="167" fontId="6" fillId="0" borderId="0" xfId="1" applyNumberFormat="1" applyFont="1" applyFill="1" applyAlignment="1">
      <alignment horizontal="center"/>
    </xf>
    <xf numFmtId="167" fontId="9" fillId="0" borderId="0" xfId="1" applyNumberFormat="1" applyFont="1" applyFill="1" applyAlignment="1">
      <alignment horizontal="center"/>
    </xf>
    <xf numFmtId="167" fontId="0" fillId="0" borderId="0" xfId="1" applyNumberFormat="1" applyFont="1"/>
    <xf numFmtId="167" fontId="24" fillId="0" borderId="3" xfId="1" applyNumberFormat="1" applyFont="1" applyFill="1" applyBorder="1" applyAlignment="1">
      <alignment horizontal="center"/>
    </xf>
    <xf numFmtId="167" fontId="9" fillId="0" borderId="0" xfId="1" applyNumberFormat="1" applyFont="1" applyFill="1" applyBorder="1" applyAlignment="1">
      <alignment horizontal="center"/>
    </xf>
    <xf numFmtId="167" fontId="0" fillId="0" borderId="0" xfId="1" applyNumberFormat="1" applyFont="1" applyBorder="1"/>
    <xf numFmtId="167" fontId="9" fillId="0" borderId="13" xfId="1" applyNumberFormat="1" applyFont="1" applyFill="1" applyBorder="1" applyAlignment="1">
      <alignment horizontal="center"/>
    </xf>
    <xf numFmtId="167" fontId="9" fillId="0" borderId="0" xfId="1" applyNumberFormat="1" applyFont="1" applyFill="1" applyAlignment="1">
      <alignment horizontal="left"/>
    </xf>
    <xf numFmtId="10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10" fontId="0" fillId="0" borderId="0" xfId="3" applyNumberFormat="1" applyFont="1"/>
    <xf numFmtId="167" fontId="26" fillId="0" borderId="0" xfId="4" applyNumberFormat="1" applyFont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170" fontId="0" fillId="0" borderId="0" xfId="3" applyNumberFormat="1" applyFont="1"/>
    <xf numFmtId="0" fontId="0" fillId="0" borderId="0" xfId="0" applyFont="1"/>
    <xf numFmtId="171" fontId="0" fillId="0" borderId="0" xfId="3" applyNumberFormat="1" applyFont="1"/>
    <xf numFmtId="0" fontId="13" fillId="0" borderId="0" xfId="0" applyFont="1" applyFill="1" applyAlignment="1">
      <alignment horizontal="left"/>
    </xf>
    <xf numFmtId="172" fontId="21" fillId="0" borderId="0" xfId="0" applyNumberFormat="1" applyFont="1"/>
    <xf numFmtId="167" fontId="8" fillId="0" borderId="0" xfId="4" applyNumberFormat="1" applyFont="1"/>
    <xf numFmtId="167" fontId="21" fillId="0" borderId="0" xfId="1" applyNumberFormat="1" applyFont="1"/>
    <xf numFmtId="173" fontId="0" fillId="0" borderId="0" xfId="4" applyNumberFormat="1" applyFont="1"/>
    <xf numFmtId="167" fontId="28" fillId="5" borderId="0" xfId="10" applyNumberFormat="1" applyFont="1" applyFill="1" applyProtection="1"/>
    <xf numFmtId="164" fontId="11" fillId="5" borderId="0" xfId="2" applyFont="1" applyFill="1"/>
    <xf numFmtId="168" fontId="14" fillId="5" borderId="0" xfId="5" applyFont="1" applyFill="1"/>
    <xf numFmtId="174" fontId="11" fillId="0" borderId="0" xfId="2" applyNumberFormat="1" applyFont="1"/>
    <xf numFmtId="164" fontId="8" fillId="0" borderId="0" xfId="2" applyFont="1"/>
    <xf numFmtId="164" fontId="4" fillId="5" borderId="0" xfId="2" applyFill="1"/>
    <xf numFmtId="167" fontId="5" fillId="5" borderId="0" xfId="4" applyNumberFormat="1" applyFont="1" applyFill="1"/>
    <xf numFmtId="43" fontId="0" fillId="0" borderId="0" xfId="1" applyFont="1"/>
    <xf numFmtId="175" fontId="31" fillId="0" borderId="0" xfId="0" applyNumberFormat="1" applyFont="1" applyAlignment="1">
      <alignment horizontal="right"/>
    </xf>
    <xf numFmtId="49" fontId="11" fillId="0" borderId="0" xfId="2" applyNumberFormat="1" applyFont="1" applyBorder="1" applyAlignment="1">
      <alignment horizontal="center"/>
    </xf>
    <xf numFmtId="168" fontId="4" fillId="5" borderId="0" xfId="5" applyFill="1"/>
    <xf numFmtId="164" fontId="8" fillId="5" borderId="0" xfId="2" applyFont="1" applyFill="1"/>
  </cellXfs>
  <cellStyles count="11">
    <cellStyle name="Comma" xfId="1" builtinId="3"/>
    <cellStyle name="Comma 10" xfId="4"/>
    <cellStyle name="Currency" xfId="10" builtinId="4"/>
    <cellStyle name="FRxAmtStyle" xfId="2"/>
    <cellStyle name="FRxAmtStyle 10 2" xfId="5"/>
    <cellStyle name="FRxAmtStyle 10 2 2" xfId="7"/>
    <cellStyle name="Normal" xfId="0" builtinId="0"/>
    <cellStyle name="Normal 2" xfId="9"/>
    <cellStyle name="Normal 278" xfId="8"/>
    <cellStyle name="Normal 355 5" xfId="6"/>
    <cellStyle name="Percent 9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10.xml" Id="rId10" /><Relationship Type="http://schemas.openxmlformats.org/officeDocument/2006/relationships/calcChain" Target="calcChain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11"/>
  <sheetViews>
    <sheetView zoomScaleNormal="100" workbookViewId="0">
      <pane xSplit="2" ySplit="7" topLeftCell="N47" activePane="bottomRight" state="frozen"/>
      <selection pane="topRight" activeCell="C1" sqref="C1"/>
      <selection pane="bottomLeft" activeCell="A8" sqref="A8"/>
      <selection pane="bottomRight" activeCell="O99" sqref="O99"/>
    </sheetView>
  </sheetViews>
  <sheetFormatPr defaultRowHeight="15" x14ac:dyDescent="0.25"/>
  <cols>
    <col min="1" max="1" width="59.28515625" customWidth="1"/>
    <col min="2" max="2" width="10" bestFit="1" customWidth="1"/>
    <col min="3" max="15" width="15.42578125" bestFit="1" customWidth="1"/>
    <col min="16" max="16" width="17" bestFit="1" customWidth="1"/>
    <col min="17" max="17" width="15.42578125" bestFit="1" customWidth="1"/>
    <col min="18" max="18" width="7.42578125" bestFit="1" customWidth="1"/>
    <col min="19" max="19" width="15.140625" bestFit="1" customWidth="1"/>
    <col min="20" max="20" width="13.140625" bestFit="1" customWidth="1"/>
    <col min="22" max="22" width="7.85546875" bestFit="1" customWidth="1"/>
    <col min="23" max="23" width="6.140625" bestFit="1" customWidth="1"/>
    <col min="24" max="24" width="8" bestFit="1" customWidth="1"/>
    <col min="27" max="27" width="8.42578125" bestFit="1" customWidth="1"/>
    <col min="28" max="29" width="8.7109375" bestFit="1" customWidth="1"/>
    <col min="30" max="30" width="7.85546875" bestFit="1" customWidth="1"/>
    <col min="31" max="31" width="6.140625" bestFit="1" customWidth="1"/>
    <col min="32" max="32" width="8" bestFit="1" customWidth="1"/>
    <col min="33" max="33" width="8.7109375" bestFit="1" customWidth="1"/>
    <col min="34" max="34" width="7.42578125" bestFit="1" customWidth="1"/>
  </cols>
  <sheetData>
    <row r="1" spans="1:34" ht="22.5" x14ac:dyDescent="0.45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 t="s">
        <v>1</v>
      </c>
      <c r="T1" s="4" t="s">
        <v>2</v>
      </c>
      <c r="U1" s="4"/>
      <c r="V1" s="4"/>
      <c r="W1" s="4"/>
      <c r="X1" s="4"/>
      <c r="Y1" s="4"/>
      <c r="Z1" s="4"/>
      <c r="AA1" s="4" t="s">
        <v>1</v>
      </c>
      <c r="AB1" s="4" t="s">
        <v>3</v>
      </c>
      <c r="AC1" s="4"/>
      <c r="AD1" s="4"/>
      <c r="AE1" s="4"/>
      <c r="AF1" s="4"/>
      <c r="AG1" s="4"/>
      <c r="AH1" s="3"/>
    </row>
    <row r="2" spans="1:34" ht="19.5" x14ac:dyDescent="0.4">
      <c r="A2" s="5" t="s">
        <v>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4" t="s">
        <v>5</v>
      </c>
      <c r="T2" s="4" t="s">
        <v>6</v>
      </c>
      <c r="U2" s="4" t="s">
        <v>7</v>
      </c>
      <c r="V2" s="4" t="s">
        <v>8</v>
      </c>
      <c r="W2" s="4" t="s">
        <v>9</v>
      </c>
      <c r="X2" s="4" t="s">
        <v>10</v>
      </c>
      <c r="Y2" s="4" t="s">
        <v>11</v>
      </c>
      <c r="Z2" s="4"/>
      <c r="AA2" s="4" t="s">
        <v>5</v>
      </c>
      <c r="AB2" s="4" t="s">
        <v>6</v>
      </c>
      <c r="AC2" s="4" t="s">
        <v>7</v>
      </c>
      <c r="AD2" s="4" t="s">
        <v>8</v>
      </c>
      <c r="AE2" s="4" t="s">
        <v>9</v>
      </c>
      <c r="AF2" s="4" t="s">
        <v>10</v>
      </c>
      <c r="AG2" s="4" t="s">
        <v>11</v>
      </c>
      <c r="AH2" s="3"/>
    </row>
    <row r="3" spans="1:34" ht="19.5" x14ac:dyDescent="0.4">
      <c r="A3" s="5" t="s">
        <v>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4" t="s">
        <v>13</v>
      </c>
      <c r="T3" s="6">
        <v>0.16214999999999999</v>
      </c>
      <c r="U3" s="6">
        <v>0.39171</v>
      </c>
      <c r="V3" s="6">
        <v>0.18387999999999999</v>
      </c>
      <c r="W3" s="6">
        <v>3.5500000000000002E-3</v>
      </c>
      <c r="X3" s="6">
        <v>1.1100000000000001E-3</v>
      </c>
      <c r="Y3" s="6">
        <v>0.25762000000000002</v>
      </c>
      <c r="Z3" s="4"/>
      <c r="AA3" s="4" t="s">
        <v>13</v>
      </c>
      <c r="AB3" s="6">
        <v>0.16214999999999999</v>
      </c>
      <c r="AC3" s="6">
        <v>0.39171</v>
      </c>
      <c r="AD3" s="6">
        <v>0.18387999999999999</v>
      </c>
      <c r="AE3" s="6">
        <v>3.5500000000000002E-3</v>
      </c>
      <c r="AF3" s="6">
        <v>1.1100000000000001E-3</v>
      </c>
      <c r="AG3" s="6">
        <v>0.25762000000000002</v>
      </c>
      <c r="AH3" s="7"/>
    </row>
    <row r="4" spans="1:34" ht="19.5" x14ac:dyDescent="0.4">
      <c r="A4" s="5" t="s">
        <v>14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4" t="s">
        <v>15</v>
      </c>
      <c r="T4" s="8">
        <v>0.2928</v>
      </c>
      <c r="U4" s="8">
        <v>0.70720000000000005</v>
      </c>
      <c r="V4" s="8"/>
      <c r="W4" s="8"/>
      <c r="X4" s="8"/>
      <c r="Y4" s="9"/>
      <c r="Z4" s="4"/>
      <c r="AA4" s="4" t="s">
        <v>15</v>
      </c>
      <c r="AB4" s="8">
        <v>0.2928</v>
      </c>
      <c r="AC4" s="8">
        <v>0.70720000000000005</v>
      </c>
      <c r="AD4" s="8"/>
      <c r="AE4" s="8"/>
      <c r="AF4" s="8"/>
      <c r="AG4" s="9"/>
      <c r="AH4" s="7"/>
    </row>
    <row r="5" spans="1:34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4" t="s">
        <v>16</v>
      </c>
      <c r="T5" s="8">
        <v>0.21299999999999999</v>
      </c>
      <c r="U5" s="8">
        <v>0.34799999999999998</v>
      </c>
      <c r="V5" s="8">
        <v>0.14399999999999999</v>
      </c>
      <c r="W5" s="8">
        <v>1E-3</v>
      </c>
      <c r="X5" s="8">
        <v>1E-3</v>
      </c>
      <c r="Y5" s="8">
        <v>0.29299999999999998</v>
      </c>
      <c r="Z5" s="4"/>
      <c r="AA5" s="4" t="s">
        <v>16</v>
      </c>
      <c r="AB5" s="8">
        <v>0.21299999999999999</v>
      </c>
      <c r="AC5" s="8">
        <v>0.34799999999999998</v>
      </c>
      <c r="AD5" s="8">
        <v>0.14399999999999999</v>
      </c>
      <c r="AE5" s="8">
        <v>1E-3</v>
      </c>
      <c r="AF5" s="8">
        <v>1E-3</v>
      </c>
      <c r="AG5" s="8">
        <v>0.29299999999999998</v>
      </c>
      <c r="AH5" s="7"/>
    </row>
    <row r="6" spans="1:34" x14ac:dyDescent="0.25">
      <c r="C6" s="10" t="s">
        <v>17</v>
      </c>
      <c r="D6" s="10" t="s">
        <v>18</v>
      </c>
      <c r="E6" s="10" t="s">
        <v>19</v>
      </c>
      <c r="F6" s="10" t="s">
        <v>20</v>
      </c>
      <c r="G6" s="10" t="s">
        <v>21</v>
      </c>
      <c r="H6" s="10" t="s">
        <v>22</v>
      </c>
      <c r="I6" s="10" t="s">
        <v>23</v>
      </c>
      <c r="J6" s="10" t="s">
        <v>24</v>
      </c>
      <c r="K6" s="10" t="s">
        <v>25</v>
      </c>
      <c r="L6" s="10" t="s">
        <v>26</v>
      </c>
      <c r="M6" s="10" t="s">
        <v>27</v>
      </c>
      <c r="N6" s="10" t="s">
        <v>28</v>
      </c>
      <c r="O6" s="10" t="s">
        <v>17</v>
      </c>
      <c r="P6" s="2"/>
      <c r="Q6" s="2"/>
      <c r="R6" s="3"/>
      <c r="S6" s="4" t="s">
        <v>29</v>
      </c>
      <c r="T6" s="8">
        <v>0.252</v>
      </c>
      <c r="U6" s="8">
        <v>0.52</v>
      </c>
      <c r="V6" s="8"/>
      <c r="W6" s="8"/>
      <c r="X6" s="8"/>
      <c r="Y6" s="8">
        <v>0.22800000000000001</v>
      </c>
      <c r="Z6" s="4"/>
      <c r="AA6" s="4" t="s">
        <v>29</v>
      </c>
      <c r="AB6" s="8">
        <v>0.252</v>
      </c>
      <c r="AC6" s="8">
        <v>0.52</v>
      </c>
      <c r="AD6" s="8"/>
      <c r="AE6" s="8"/>
      <c r="AF6" s="8"/>
      <c r="AG6" s="8">
        <v>0.22800000000000001</v>
      </c>
      <c r="AH6" s="7"/>
    </row>
    <row r="7" spans="1:34" x14ac:dyDescent="0.25">
      <c r="C7" s="11" t="s">
        <v>30</v>
      </c>
      <c r="D7" s="11" t="s">
        <v>31</v>
      </c>
      <c r="E7" s="11" t="s">
        <v>31</v>
      </c>
      <c r="F7" s="11" t="s">
        <v>31</v>
      </c>
      <c r="G7" s="11" t="s">
        <v>31</v>
      </c>
      <c r="H7" s="11" t="s">
        <v>31</v>
      </c>
      <c r="I7" s="11" t="s">
        <v>31</v>
      </c>
      <c r="J7" s="11" t="s">
        <v>31</v>
      </c>
      <c r="K7" s="11" t="s">
        <v>31</v>
      </c>
      <c r="L7" s="11" t="s">
        <v>31</v>
      </c>
      <c r="M7" s="11" t="s">
        <v>31</v>
      </c>
      <c r="N7" s="11" t="s">
        <v>31</v>
      </c>
      <c r="O7" s="11" t="s">
        <v>31</v>
      </c>
      <c r="P7" s="12" t="s">
        <v>32</v>
      </c>
      <c r="Q7" s="12" t="s">
        <v>33</v>
      </c>
      <c r="R7" s="3"/>
      <c r="S7" s="4" t="s">
        <v>34</v>
      </c>
      <c r="T7" s="8">
        <v>0.192</v>
      </c>
      <c r="U7" s="8">
        <v>0.39610000000000001</v>
      </c>
      <c r="V7" s="8">
        <v>0.13700000000000001</v>
      </c>
      <c r="W7" s="8">
        <v>3.2000000000000002E-3</v>
      </c>
      <c r="X7" s="8">
        <v>2.2000000000000001E-3</v>
      </c>
      <c r="Y7" s="8">
        <v>0.26950000000000002</v>
      </c>
      <c r="Z7" s="4"/>
      <c r="AA7" s="4" t="s">
        <v>34</v>
      </c>
      <c r="AB7" s="8">
        <v>0.192</v>
      </c>
      <c r="AC7" s="8">
        <v>0.39610000000000001</v>
      </c>
      <c r="AD7" s="8">
        <v>0.13700000000000001</v>
      </c>
      <c r="AE7" s="8">
        <v>3.2000000000000002E-3</v>
      </c>
      <c r="AF7" s="8">
        <v>2.2000000000000001E-3</v>
      </c>
      <c r="AG7" s="8">
        <v>0.26950000000000002</v>
      </c>
      <c r="AH7" s="7"/>
    </row>
    <row r="8" spans="1:34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3"/>
    </row>
    <row r="9" spans="1:34" x14ac:dyDescent="0.25">
      <c r="A9" s="13" t="s">
        <v>35</v>
      </c>
      <c r="B9" s="13" t="s">
        <v>36</v>
      </c>
      <c r="C9" s="14">
        <v>-53473801</v>
      </c>
      <c r="D9" s="14">
        <v>-52927683</v>
      </c>
      <c r="E9" s="14">
        <v>-50782991</v>
      </c>
      <c r="F9" s="14">
        <v>-53728742</v>
      </c>
      <c r="G9" s="14">
        <v>-52528295</v>
      </c>
      <c r="H9" s="14">
        <v>-54546955</v>
      </c>
      <c r="I9" s="14">
        <v>-53198317</v>
      </c>
      <c r="J9" s="14">
        <v>-56088549</v>
      </c>
      <c r="K9" s="14">
        <v>-57339401</v>
      </c>
      <c r="L9" s="14">
        <v>-53454763</v>
      </c>
      <c r="M9" s="14">
        <v>-55104746</v>
      </c>
      <c r="N9" s="14">
        <v>-47993900</v>
      </c>
      <c r="O9" s="14">
        <v>-62628904</v>
      </c>
      <c r="P9" s="14">
        <v>-703797045</v>
      </c>
      <c r="Q9" s="14">
        <v>-54138234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3"/>
    </row>
    <row r="10" spans="1:34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"/>
    </row>
    <row r="11" spans="1:34" ht="19.5" x14ac:dyDescent="0.4">
      <c r="A11" s="5" t="s">
        <v>37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3"/>
    </row>
    <row r="12" spans="1:34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3"/>
    </row>
    <row r="13" spans="1:34" ht="15.75" x14ac:dyDescent="0.3">
      <c r="A13" s="18" t="s">
        <v>38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3"/>
    </row>
    <row r="14" spans="1:34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3"/>
    </row>
    <row r="15" spans="1:34" x14ac:dyDescent="0.25">
      <c r="A15" s="21" t="s">
        <v>39</v>
      </c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3"/>
    </row>
    <row r="16" spans="1:34" x14ac:dyDescent="0.25">
      <c r="A16" s="13" t="s">
        <v>40</v>
      </c>
      <c r="B16" s="13" t="s">
        <v>41</v>
      </c>
      <c r="C16" s="2">
        <v>-1473236</v>
      </c>
      <c r="D16" s="2">
        <v>-1473236</v>
      </c>
      <c r="E16" s="2">
        <v>-1473236</v>
      </c>
      <c r="F16" s="2">
        <v>-1476918</v>
      </c>
      <c r="G16" s="2">
        <v>11909467</v>
      </c>
      <c r="H16" s="2">
        <v>11909467</v>
      </c>
      <c r="I16" s="2">
        <v>11909467</v>
      </c>
      <c r="J16" s="2">
        <v>11909467</v>
      </c>
      <c r="K16" s="2">
        <v>12018628</v>
      </c>
      <c r="L16" s="2">
        <v>11986453</v>
      </c>
      <c r="M16" s="2">
        <v>12004504</v>
      </c>
      <c r="N16" s="2">
        <v>12009002</v>
      </c>
      <c r="O16" s="2">
        <v>11990698</v>
      </c>
      <c r="P16" s="2">
        <v>101750529</v>
      </c>
      <c r="Q16" s="2">
        <v>7826964</v>
      </c>
      <c r="R16" s="24"/>
      <c r="S16" s="25" t="s">
        <v>42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3"/>
    </row>
    <row r="17" spans="1:34" x14ac:dyDescent="0.25">
      <c r="A17" s="13" t="s">
        <v>43</v>
      </c>
      <c r="B17" s="13" t="s">
        <v>44</v>
      </c>
      <c r="C17" s="2">
        <v>594214</v>
      </c>
      <c r="D17" s="2">
        <v>594214</v>
      </c>
      <c r="E17" s="2">
        <v>594214</v>
      </c>
      <c r="F17" s="2">
        <v>594214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2376857</v>
      </c>
      <c r="Q17" s="2">
        <v>182835</v>
      </c>
      <c r="R17" s="1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3"/>
    </row>
    <row r="18" spans="1:34" x14ac:dyDescent="0.25">
      <c r="A18" s="13" t="s">
        <v>45</v>
      </c>
      <c r="B18" s="13" t="s">
        <v>46</v>
      </c>
      <c r="C18" s="2">
        <v>7633251</v>
      </c>
      <c r="D18" s="2">
        <v>7633251</v>
      </c>
      <c r="E18" s="2">
        <v>7633251</v>
      </c>
      <c r="F18" s="2">
        <v>7633251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30533004</v>
      </c>
      <c r="Q18" s="2">
        <v>2348693</v>
      </c>
      <c r="R18" s="1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3"/>
    </row>
    <row r="19" spans="1:34" x14ac:dyDescent="0.25">
      <c r="A19" s="13" t="s">
        <v>47</v>
      </c>
      <c r="B19" s="13" t="s">
        <v>48</v>
      </c>
      <c r="C19" s="2">
        <v>734008</v>
      </c>
      <c r="D19" s="2">
        <v>734008</v>
      </c>
      <c r="E19" s="2">
        <v>734008</v>
      </c>
      <c r="F19" s="2">
        <v>734008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2936031</v>
      </c>
      <c r="Q19" s="2">
        <v>225849</v>
      </c>
      <c r="R19" s="1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3"/>
    </row>
    <row r="20" spans="1:34" x14ac:dyDescent="0.25">
      <c r="A20" s="13" t="s">
        <v>49</v>
      </c>
      <c r="B20" s="13" t="s">
        <v>50</v>
      </c>
      <c r="C20" s="2">
        <v>207153</v>
      </c>
      <c r="D20" s="2">
        <v>207153</v>
      </c>
      <c r="E20" s="2">
        <v>207153</v>
      </c>
      <c r="F20" s="2">
        <v>207153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828610</v>
      </c>
      <c r="Q20" s="2">
        <v>63739</v>
      </c>
      <c r="R20" s="1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3"/>
    </row>
    <row r="21" spans="1:34" x14ac:dyDescent="0.25">
      <c r="A21" s="13" t="s">
        <v>51</v>
      </c>
      <c r="B21" s="13" t="s">
        <v>52</v>
      </c>
      <c r="C21" s="2">
        <v>347686</v>
      </c>
      <c r="D21" s="2">
        <v>347686</v>
      </c>
      <c r="E21" s="2">
        <v>347686</v>
      </c>
      <c r="F21" s="2">
        <v>347686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1390745</v>
      </c>
      <c r="Q21" s="2">
        <v>106980</v>
      </c>
      <c r="R21" s="1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3"/>
    </row>
    <row r="22" spans="1:34" x14ac:dyDescent="0.25">
      <c r="A22" s="13" t="s">
        <v>53</v>
      </c>
      <c r="B22" s="13" t="s">
        <v>54</v>
      </c>
      <c r="C22" s="2">
        <v>2202042</v>
      </c>
      <c r="D22" s="2">
        <v>2202042</v>
      </c>
      <c r="E22" s="2">
        <v>2202042</v>
      </c>
      <c r="F22" s="2">
        <v>2202042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8808168</v>
      </c>
      <c r="Q22" s="2">
        <v>677551</v>
      </c>
      <c r="R22" s="1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3"/>
    </row>
    <row r="23" spans="1:34" x14ac:dyDescent="0.25">
      <c r="A23" s="13" t="s">
        <v>55</v>
      </c>
      <c r="B23" s="13" t="s">
        <v>56</v>
      </c>
      <c r="C23" s="2">
        <v>258117</v>
      </c>
      <c r="D23" s="2">
        <v>258117</v>
      </c>
      <c r="E23" s="2">
        <v>258117</v>
      </c>
      <c r="F23" s="2">
        <v>258117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1032466</v>
      </c>
      <c r="Q23" s="2">
        <v>79420</v>
      </c>
      <c r="R23" s="1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3"/>
    </row>
    <row r="24" spans="1:34" x14ac:dyDescent="0.25">
      <c r="A24" s="13" t="s">
        <v>57</v>
      </c>
      <c r="B24" s="13" t="s">
        <v>58</v>
      </c>
      <c r="C24" s="2">
        <v>763766</v>
      </c>
      <c r="D24" s="2">
        <v>763766</v>
      </c>
      <c r="E24" s="2">
        <v>763766</v>
      </c>
      <c r="F24" s="2">
        <v>763766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3055062</v>
      </c>
      <c r="Q24" s="2">
        <v>235005</v>
      </c>
      <c r="R24" s="1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3"/>
    </row>
    <row r="25" spans="1:34" x14ac:dyDescent="0.25">
      <c r="A25" s="13" t="s">
        <v>59</v>
      </c>
      <c r="B25" s="13" t="s">
        <v>60</v>
      </c>
      <c r="C25" s="2">
        <v>640682</v>
      </c>
      <c r="D25" s="2">
        <v>640682</v>
      </c>
      <c r="E25" s="2">
        <v>640682</v>
      </c>
      <c r="F25" s="2">
        <v>640682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2562728</v>
      </c>
      <c r="Q25" s="2">
        <v>197133</v>
      </c>
      <c r="R25" s="1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3"/>
    </row>
    <row r="26" spans="1:34" x14ac:dyDescent="0.25">
      <c r="A26" s="13" t="s">
        <v>61</v>
      </c>
      <c r="B26" s="13" t="s">
        <v>62</v>
      </c>
      <c r="C26" s="2">
        <v>36332</v>
      </c>
      <c r="D26" s="2">
        <v>36332</v>
      </c>
      <c r="E26" s="2">
        <v>36332</v>
      </c>
      <c r="F26" s="2">
        <v>36332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145330</v>
      </c>
      <c r="Q26" s="2">
        <v>11179</v>
      </c>
      <c r="R26" s="1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3"/>
    </row>
    <row r="27" spans="1:34" x14ac:dyDescent="0.25">
      <c r="A27" s="13" t="s">
        <v>63</v>
      </c>
      <c r="B27" s="13" t="s">
        <v>64</v>
      </c>
      <c r="C27" s="2">
        <v>24970</v>
      </c>
      <c r="D27" s="2">
        <v>24970</v>
      </c>
      <c r="E27" s="2">
        <v>24970</v>
      </c>
      <c r="F27" s="2">
        <v>24970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99881</v>
      </c>
      <c r="Q27" s="2">
        <v>7683</v>
      </c>
      <c r="R27" s="1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3"/>
    </row>
    <row r="28" spans="1:34" x14ac:dyDescent="0.25">
      <c r="A28" s="13" t="s">
        <v>65</v>
      </c>
      <c r="B28" s="13" t="s">
        <v>66</v>
      </c>
      <c r="C28" s="2">
        <v>256310</v>
      </c>
      <c r="D28" s="2">
        <v>266247</v>
      </c>
      <c r="E28" s="2">
        <v>274476</v>
      </c>
      <c r="F28" s="2">
        <v>279560</v>
      </c>
      <c r="G28" s="2">
        <v>281045</v>
      </c>
      <c r="H28" s="2">
        <v>282630</v>
      </c>
      <c r="I28" s="2">
        <v>292269</v>
      </c>
      <c r="J28" s="2">
        <v>308037</v>
      </c>
      <c r="K28" s="2">
        <v>208301</v>
      </c>
      <c r="L28" s="2">
        <v>208301</v>
      </c>
      <c r="M28" s="2">
        <v>200307</v>
      </c>
      <c r="N28" s="2">
        <v>200307</v>
      </c>
      <c r="O28" s="2">
        <v>200307</v>
      </c>
      <c r="P28" s="2">
        <v>3258096</v>
      </c>
      <c r="Q28" s="2">
        <v>250623</v>
      </c>
      <c r="R28" s="1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3"/>
    </row>
    <row r="29" spans="1:34" x14ac:dyDescent="0.25">
      <c r="C29" s="26" t="s">
        <v>67</v>
      </c>
      <c r="D29" s="26" t="s">
        <v>67</v>
      </c>
      <c r="E29" s="26" t="s">
        <v>67</v>
      </c>
      <c r="F29" s="26" t="s">
        <v>67</v>
      </c>
      <c r="G29" s="26" t="s">
        <v>67</v>
      </c>
      <c r="H29" s="26" t="s">
        <v>67</v>
      </c>
      <c r="I29" s="26" t="s">
        <v>67</v>
      </c>
      <c r="J29" s="26" t="s">
        <v>67</v>
      </c>
      <c r="K29" s="26" t="s">
        <v>67</v>
      </c>
      <c r="L29" s="26" t="s">
        <v>67</v>
      </c>
      <c r="M29" s="26" t="s">
        <v>67</v>
      </c>
      <c r="N29" s="26" t="s">
        <v>67</v>
      </c>
      <c r="O29" s="26" t="s">
        <v>67</v>
      </c>
      <c r="P29" s="26" t="s">
        <v>67</v>
      </c>
      <c r="Q29" s="26" t="s">
        <v>67</v>
      </c>
      <c r="R29" s="1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3"/>
    </row>
    <row r="30" spans="1:34" x14ac:dyDescent="0.25">
      <c r="A30" s="21" t="s">
        <v>68</v>
      </c>
      <c r="B30" s="22"/>
      <c r="C30" s="23">
        <v>12225295</v>
      </c>
      <c r="D30" s="23">
        <v>12235232</v>
      </c>
      <c r="E30" s="23">
        <v>12243461</v>
      </c>
      <c r="F30" s="23">
        <v>12244863</v>
      </c>
      <c r="G30" s="23">
        <v>12190512</v>
      </c>
      <c r="H30" s="23">
        <v>12192097</v>
      </c>
      <c r="I30" s="23">
        <v>12201736</v>
      </c>
      <c r="J30" s="23">
        <v>12217504</v>
      </c>
      <c r="K30" s="23">
        <v>12226929</v>
      </c>
      <c r="L30" s="23">
        <v>12194754</v>
      </c>
      <c r="M30" s="23">
        <v>12204811</v>
      </c>
      <c r="N30" s="23">
        <v>12209309</v>
      </c>
      <c r="O30" s="23">
        <v>12191005</v>
      </c>
      <c r="P30" s="23">
        <v>158777507</v>
      </c>
      <c r="Q30" s="23">
        <v>12213654</v>
      </c>
      <c r="R30" s="1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7"/>
    </row>
    <row r="31" spans="1:34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1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3"/>
    </row>
    <row r="32" spans="1:34" x14ac:dyDescent="0.25">
      <c r="A32" s="21" t="s">
        <v>69</v>
      </c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3"/>
    </row>
    <row r="33" spans="1:34" x14ac:dyDescent="0.25">
      <c r="A33" s="13" t="s">
        <v>70</v>
      </c>
      <c r="B33" s="13" t="s">
        <v>71</v>
      </c>
      <c r="C33" s="2">
        <v>0</v>
      </c>
      <c r="D33" s="2">
        <v>0</v>
      </c>
      <c r="E33" s="2">
        <v>0</v>
      </c>
      <c r="F33" s="2">
        <v>0</v>
      </c>
      <c r="G33" s="2">
        <v>3418</v>
      </c>
      <c r="H33" s="2">
        <v>3418</v>
      </c>
      <c r="I33" s="2">
        <v>0</v>
      </c>
      <c r="J33" s="2">
        <v>0</v>
      </c>
      <c r="K33" s="2">
        <v>0</v>
      </c>
      <c r="L33" s="2">
        <v>1364</v>
      </c>
      <c r="M33" s="2">
        <v>0</v>
      </c>
      <c r="N33" s="2">
        <v>0</v>
      </c>
      <c r="O33" s="2">
        <v>0</v>
      </c>
      <c r="P33" s="2">
        <v>8200</v>
      </c>
      <c r="Q33" s="2">
        <v>631</v>
      </c>
      <c r="R33" s="15"/>
      <c r="S33" s="25" t="s">
        <v>42</v>
      </c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3"/>
    </row>
    <row r="34" spans="1:34" x14ac:dyDescent="0.25">
      <c r="C34" s="26" t="s">
        <v>67</v>
      </c>
      <c r="D34" s="26" t="s">
        <v>67</v>
      </c>
      <c r="E34" s="26" t="s">
        <v>67</v>
      </c>
      <c r="F34" s="26" t="s">
        <v>67</v>
      </c>
      <c r="G34" s="26" t="s">
        <v>67</v>
      </c>
      <c r="H34" s="26" t="s">
        <v>67</v>
      </c>
      <c r="I34" s="26" t="s">
        <v>67</v>
      </c>
      <c r="J34" s="26" t="s">
        <v>67</v>
      </c>
      <c r="K34" s="26" t="s">
        <v>67</v>
      </c>
      <c r="L34" s="26" t="s">
        <v>67</v>
      </c>
      <c r="M34" s="26" t="s">
        <v>67</v>
      </c>
      <c r="N34" s="26" t="s">
        <v>67</v>
      </c>
      <c r="O34" s="26" t="s">
        <v>67</v>
      </c>
      <c r="P34" s="26" t="s">
        <v>67</v>
      </c>
      <c r="Q34" s="26" t="s">
        <v>67</v>
      </c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3"/>
    </row>
    <row r="35" spans="1:34" x14ac:dyDescent="0.25">
      <c r="A35" s="21" t="s">
        <v>72</v>
      </c>
      <c r="B35" s="22"/>
      <c r="C35" s="23">
        <v>0</v>
      </c>
      <c r="D35" s="23">
        <v>0</v>
      </c>
      <c r="E35" s="23">
        <v>0</v>
      </c>
      <c r="F35" s="23">
        <v>0</v>
      </c>
      <c r="G35" s="23">
        <v>3418</v>
      </c>
      <c r="H35" s="23">
        <v>3418</v>
      </c>
      <c r="I35" s="23">
        <v>0</v>
      </c>
      <c r="J35" s="23">
        <v>0</v>
      </c>
      <c r="K35" s="23">
        <v>0</v>
      </c>
      <c r="L35" s="23">
        <v>1364</v>
      </c>
      <c r="M35" s="23">
        <v>0</v>
      </c>
      <c r="N35" s="23">
        <v>0</v>
      </c>
      <c r="O35" s="23">
        <v>0</v>
      </c>
      <c r="P35" s="23">
        <v>8200</v>
      </c>
      <c r="Q35" s="23">
        <v>631</v>
      </c>
      <c r="R35" s="15">
        <f>SUM(T35:Y35)-Q35</f>
        <v>-631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27"/>
    </row>
    <row r="36" spans="1:34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3"/>
    </row>
    <row r="37" spans="1:34" x14ac:dyDescent="0.25">
      <c r="A37" s="21" t="s">
        <v>73</v>
      </c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3"/>
    </row>
    <row r="38" spans="1:34" x14ac:dyDescent="0.25">
      <c r="A38" s="13" t="s">
        <v>74</v>
      </c>
      <c r="B38" s="13" t="s">
        <v>75</v>
      </c>
      <c r="C38" s="2">
        <v>1282528</v>
      </c>
      <c r="D38" s="2">
        <v>1234302</v>
      </c>
      <c r="E38" s="2">
        <v>1186004</v>
      </c>
      <c r="F38" s="2">
        <v>1141373</v>
      </c>
      <c r="G38" s="2">
        <v>-737548</v>
      </c>
      <c r="H38" s="2">
        <v>-785378</v>
      </c>
      <c r="I38" s="2">
        <v>-833211</v>
      </c>
      <c r="J38" s="2">
        <v>-881257</v>
      </c>
      <c r="K38" s="2">
        <v>-929435</v>
      </c>
      <c r="L38" s="2">
        <v>-945516</v>
      </c>
      <c r="M38" s="2">
        <v>-993504</v>
      </c>
      <c r="N38" s="2">
        <v>-1041575</v>
      </c>
      <c r="O38" s="2">
        <v>-913291</v>
      </c>
      <c r="P38" s="2">
        <v>-3216507</v>
      </c>
      <c r="Q38" s="2">
        <v>-247424</v>
      </c>
      <c r="R38" s="24"/>
      <c r="S38" s="25" t="s">
        <v>42</v>
      </c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3"/>
    </row>
    <row r="39" spans="1:34" x14ac:dyDescent="0.25">
      <c r="A39" s="13" t="s">
        <v>45</v>
      </c>
      <c r="B39" s="13" t="s">
        <v>76</v>
      </c>
      <c r="C39" s="2">
        <v>-181320</v>
      </c>
      <c r="D39" s="2">
        <v>-181320</v>
      </c>
      <c r="E39" s="2">
        <v>-181320</v>
      </c>
      <c r="F39" s="2">
        <v>-181320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-725282</v>
      </c>
      <c r="Q39" s="2">
        <v>-55791</v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3"/>
    </row>
    <row r="40" spans="1:34" x14ac:dyDescent="0.25">
      <c r="A40" s="13" t="s">
        <v>47</v>
      </c>
      <c r="B40" s="13" t="s">
        <v>77</v>
      </c>
      <c r="C40" s="2">
        <v>-377336</v>
      </c>
      <c r="D40" s="2">
        <v>-377336</v>
      </c>
      <c r="E40" s="2">
        <v>-377336</v>
      </c>
      <c r="F40" s="2">
        <v>-377336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-1509345</v>
      </c>
      <c r="Q40" s="2">
        <v>-116103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3"/>
    </row>
    <row r="41" spans="1:34" x14ac:dyDescent="0.25">
      <c r="A41" s="13" t="s">
        <v>49</v>
      </c>
      <c r="B41" s="13" t="s">
        <v>78</v>
      </c>
      <c r="C41" s="2">
        <v>347516</v>
      </c>
      <c r="D41" s="2">
        <v>347516</v>
      </c>
      <c r="E41" s="2">
        <v>347516</v>
      </c>
      <c r="F41" s="2">
        <v>347516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1390064</v>
      </c>
      <c r="Q41" s="2">
        <v>106928</v>
      </c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3"/>
    </row>
    <row r="42" spans="1:34" x14ac:dyDescent="0.25">
      <c r="A42" s="13" t="s">
        <v>51</v>
      </c>
      <c r="B42" s="13" t="s">
        <v>79</v>
      </c>
      <c r="C42" s="2">
        <v>162420</v>
      </c>
      <c r="D42" s="2">
        <v>162420</v>
      </c>
      <c r="E42" s="2">
        <v>162420</v>
      </c>
      <c r="F42" s="2">
        <v>162420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649680</v>
      </c>
      <c r="Q42" s="2">
        <v>49975</v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3"/>
    </row>
    <row r="43" spans="1:34" x14ac:dyDescent="0.25">
      <c r="A43" s="13" t="s">
        <v>53</v>
      </c>
      <c r="B43" s="13" t="s">
        <v>80</v>
      </c>
      <c r="C43" s="2">
        <v>-1379260</v>
      </c>
      <c r="D43" s="2">
        <v>-1379260</v>
      </c>
      <c r="E43" s="2">
        <v>-1379260</v>
      </c>
      <c r="F43" s="2">
        <v>-1379260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-5517042</v>
      </c>
      <c r="Q43" s="2">
        <v>-424388</v>
      </c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3"/>
    </row>
    <row r="44" spans="1:34" x14ac:dyDescent="0.25">
      <c r="A44" s="13" t="s">
        <v>55</v>
      </c>
      <c r="B44" s="13" t="s">
        <v>81</v>
      </c>
      <c r="C44" s="2">
        <v>-93792</v>
      </c>
      <c r="D44" s="2">
        <v>-93792</v>
      </c>
      <c r="E44" s="2">
        <v>-93792</v>
      </c>
      <c r="F44" s="2">
        <v>-93792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-375167</v>
      </c>
      <c r="Q44" s="2">
        <v>-28859</v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3"/>
    </row>
    <row r="45" spans="1:34" x14ac:dyDescent="0.25">
      <c r="A45" s="13" t="s">
        <v>57</v>
      </c>
      <c r="B45" s="13" t="s">
        <v>82</v>
      </c>
      <c r="C45" s="2">
        <v>-237842</v>
      </c>
      <c r="D45" s="2">
        <v>-237842</v>
      </c>
      <c r="E45" s="2">
        <v>-237842</v>
      </c>
      <c r="F45" s="2">
        <v>-237842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-951369</v>
      </c>
      <c r="Q45" s="2">
        <v>-73182</v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3"/>
    </row>
    <row r="46" spans="1:34" x14ac:dyDescent="0.25">
      <c r="A46" s="13" t="s">
        <v>59</v>
      </c>
      <c r="B46" s="13" t="s">
        <v>83</v>
      </c>
      <c r="C46" s="2">
        <v>-99101</v>
      </c>
      <c r="D46" s="2">
        <v>-99101</v>
      </c>
      <c r="E46" s="2">
        <v>-99101</v>
      </c>
      <c r="F46" s="2">
        <v>-99101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-396402</v>
      </c>
      <c r="Q46" s="2">
        <v>-30492</v>
      </c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3"/>
    </row>
    <row r="47" spans="1:34" x14ac:dyDescent="0.25">
      <c r="A47" s="13" t="s">
        <v>61</v>
      </c>
      <c r="B47" s="13" t="s">
        <v>84</v>
      </c>
      <c r="C47" s="2">
        <v>-2779</v>
      </c>
      <c r="D47" s="2">
        <v>-2779</v>
      </c>
      <c r="E47" s="2">
        <v>-2779</v>
      </c>
      <c r="F47" s="2">
        <v>-2779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-11117</v>
      </c>
      <c r="Q47" s="2">
        <v>-855</v>
      </c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3"/>
    </row>
    <row r="48" spans="1:34" x14ac:dyDescent="0.25">
      <c r="A48" s="13" t="s">
        <v>63</v>
      </c>
      <c r="B48" s="13" t="s">
        <v>85</v>
      </c>
      <c r="C48" s="2">
        <v>-24970</v>
      </c>
      <c r="D48" s="2">
        <v>-24970</v>
      </c>
      <c r="E48" s="2">
        <v>-24970</v>
      </c>
      <c r="F48" s="2">
        <v>-24970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-99881</v>
      </c>
      <c r="Q48" s="2">
        <v>-7683</v>
      </c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3"/>
    </row>
    <row r="49" spans="1:34" x14ac:dyDescent="0.25">
      <c r="A49" s="28" t="s">
        <v>86</v>
      </c>
      <c r="B49" s="28" t="s">
        <v>87</v>
      </c>
      <c r="C49" s="29">
        <v>30205</v>
      </c>
      <c r="D49" s="29">
        <v>32003</v>
      </c>
      <c r="E49" s="29">
        <v>32006</v>
      </c>
      <c r="F49" s="29">
        <v>32022</v>
      </c>
      <c r="G49" s="29">
        <v>32001</v>
      </c>
      <c r="H49" s="29">
        <v>31539</v>
      </c>
      <c r="I49" s="29">
        <v>31497</v>
      </c>
      <c r="J49" s="29">
        <v>31475</v>
      </c>
      <c r="K49" s="29">
        <v>31520</v>
      </c>
      <c r="L49" s="29">
        <v>31520</v>
      </c>
      <c r="M49" s="29">
        <v>31252</v>
      </c>
      <c r="N49" s="29">
        <v>31252</v>
      </c>
      <c r="O49" s="29">
        <v>25334</v>
      </c>
      <c r="P49" s="29">
        <v>403625</v>
      </c>
      <c r="Q49" s="29">
        <v>31048</v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3"/>
    </row>
    <row r="50" spans="1:34" x14ac:dyDescent="0.25">
      <c r="A50" s="28" t="s">
        <v>88</v>
      </c>
      <c r="B50" s="28" t="s">
        <v>89</v>
      </c>
      <c r="C50" s="29">
        <v>18026</v>
      </c>
      <c r="D50" s="29">
        <v>16224</v>
      </c>
      <c r="E50" s="29">
        <v>16291</v>
      </c>
      <c r="F50" s="29">
        <v>16291</v>
      </c>
      <c r="G50" s="29">
        <v>16291</v>
      </c>
      <c r="H50" s="29">
        <v>16291</v>
      </c>
      <c r="I50" s="29">
        <v>16291</v>
      </c>
      <c r="J50" s="29">
        <v>16526</v>
      </c>
      <c r="K50" s="29">
        <v>16658</v>
      </c>
      <c r="L50" s="29">
        <v>16736</v>
      </c>
      <c r="M50" s="29">
        <v>16736</v>
      </c>
      <c r="N50" s="29">
        <v>16820</v>
      </c>
      <c r="O50" s="29">
        <v>22241</v>
      </c>
      <c r="P50" s="29">
        <v>221422</v>
      </c>
      <c r="Q50" s="29">
        <v>17032</v>
      </c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3"/>
    </row>
    <row r="51" spans="1:34" x14ac:dyDescent="0.25">
      <c r="A51" s="28" t="s">
        <v>90</v>
      </c>
      <c r="B51" s="28" t="s">
        <v>91</v>
      </c>
      <c r="C51" s="29">
        <v>-45669</v>
      </c>
      <c r="D51" s="29">
        <v>-45669</v>
      </c>
      <c r="E51" s="29">
        <v>-45669</v>
      </c>
      <c r="F51" s="29">
        <v>-45669</v>
      </c>
      <c r="G51" s="29">
        <v>-45669</v>
      </c>
      <c r="H51" s="29">
        <v>-45669</v>
      </c>
      <c r="I51" s="29">
        <v>-45669</v>
      </c>
      <c r="J51" s="29">
        <v>-45669</v>
      </c>
      <c r="K51" s="29">
        <v>-45669</v>
      </c>
      <c r="L51" s="29">
        <v>-45669</v>
      </c>
      <c r="M51" s="29">
        <v>-45669</v>
      </c>
      <c r="N51" s="29">
        <v>-45669</v>
      </c>
      <c r="O51" s="29">
        <v>-45669</v>
      </c>
      <c r="P51" s="29">
        <v>-593703</v>
      </c>
      <c r="Q51" s="29">
        <v>-45669</v>
      </c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3"/>
    </row>
    <row r="52" spans="1:34" x14ac:dyDescent="0.25">
      <c r="C52" s="26" t="s">
        <v>67</v>
      </c>
      <c r="D52" s="26" t="s">
        <v>67</v>
      </c>
      <c r="E52" s="26" t="s">
        <v>67</v>
      </c>
      <c r="F52" s="26" t="s">
        <v>67</v>
      </c>
      <c r="G52" s="26" t="s">
        <v>67</v>
      </c>
      <c r="H52" s="26" t="s">
        <v>67</v>
      </c>
      <c r="I52" s="26" t="s">
        <v>67</v>
      </c>
      <c r="J52" s="26" t="s">
        <v>67</v>
      </c>
      <c r="K52" s="26" t="s">
        <v>67</v>
      </c>
      <c r="L52" s="26" t="s">
        <v>67</v>
      </c>
      <c r="M52" s="26" t="s">
        <v>67</v>
      </c>
      <c r="N52" s="26" t="s">
        <v>67</v>
      </c>
      <c r="O52" s="26" t="s">
        <v>67</v>
      </c>
      <c r="P52" s="26" t="s">
        <v>67</v>
      </c>
      <c r="Q52" s="26" t="s">
        <v>67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3"/>
    </row>
    <row r="53" spans="1:34" x14ac:dyDescent="0.25">
      <c r="A53" s="21" t="s">
        <v>92</v>
      </c>
      <c r="B53" s="22"/>
      <c r="C53" s="23">
        <v>-601375</v>
      </c>
      <c r="D53" s="23">
        <v>-649606</v>
      </c>
      <c r="E53" s="23">
        <v>-697833</v>
      </c>
      <c r="F53" s="23">
        <v>-742448</v>
      </c>
      <c r="G53" s="23">
        <v>-734925</v>
      </c>
      <c r="H53" s="23">
        <v>-783218</v>
      </c>
      <c r="I53" s="23">
        <v>-831093</v>
      </c>
      <c r="J53" s="23">
        <v>-878925</v>
      </c>
      <c r="K53" s="23">
        <v>-926927</v>
      </c>
      <c r="L53" s="23">
        <v>-942929</v>
      </c>
      <c r="M53" s="23">
        <v>-991185</v>
      </c>
      <c r="N53" s="23">
        <v>-1039173</v>
      </c>
      <c r="O53" s="23">
        <v>-911386</v>
      </c>
      <c r="P53" s="23">
        <v>-10731023</v>
      </c>
      <c r="Q53" s="23">
        <v>-825463</v>
      </c>
      <c r="R53" s="15">
        <f>SUM(T53:Y53)-Q53</f>
        <v>825463</v>
      </c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27"/>
    </row>
    <row r="54" spans="1:34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3"/>
    </row>
    <row r="55" spans="1:34" ht="15.75" x14ac:dyDescent="0.3">
      <c r="A55" s="18" t="s">
        <v>93</v>
      </c>
      <c r="B55" s="19"/>
      <c r="C55" s="20">
        <v>11623920</v>
      </c>
      <c r="D55" s="20">
        <v>11585626</v>
      </c>
      <c r="E55" s="20">
        <v>11545628</v>
      </c>
      <c r="F55" s="20">
        <v>11502415</v>
      </c>
      <c r="G55" s="20">
        <v>11459004</v>
      </c>
      <c r="H55" s="20">
        <v>11412297</v>
      </c>
      <c r="I55" s="20">
        <v>11370644</v>
      </c>
      <c r="J55" s="20">
        <v>11338578</v>
      </c>
      <c r="K55" s="20">
        <v>11300002</v>
      </c>
      <c r="L55" s="20">
        <v>11253189</v>
      </c>
      <c r="M55" s="20">
        <v>11213626</v>
      </c>
      <c r="N55" s="20">
        <v>11170136</v>
      </c>
      <c r="O55" s="20">
        <v>11279619</v>
      </c>
      <c r="P55" s="20">
        <v>148054684</v>
      </c>
      <c r="Q55" s="20">
        <v>11388822</v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3"/>
    </row>
    <row r="56" spans="1:34" ht="15.75" x14ac:dyDescent="0.3">
      <c r="A56" s="18" t="s">
        <v>94</v>
      </c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3"/>
    </row>
    <row r="57" spans="1:34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3"/>
    </row>
    <row r="58" spans="1:34" x14ac:dyDescent="0.25">
      <c r="A58" s="21" t="s">
        <v>95</v>
      </c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3"/>
    </row>
    <row r="59" spans="1:34" x14ac:dyDescent="0.25">
      <c r="A59" s="13" t="s">
        <v>96</v>
      </c>
      <c r="B59" s="13" t="s">
        <v>97</v>
      </c>
      <c r="C59" s="2">
        <v>19699280</v>
      </c>
      <c r="D59" s="2">
        <v>19699280</v>
      </c>
      <c r="E59" s="2">
        <v>19699280</v>
      </c>
      <c r="F59" s="2">
        <v>19699280</v>
      </c>
      <c r="G59" s="2">
        <v>19699280</v>
      </c>
      <c r="H59" s="2">
        <v>19699280</v>
      </c>
      <c r="I59" s="2">
        <v>19699280</v>
      </c>
      <c r="J59" s="2">
        <v>19699280</v>
      </c>
      <c r="K59" s="2">
        <v>19699280</v>
      </c>
      <c r="L59" s="2">
        <v>19699280</v>
      </c>
      <c r="M59" s="2">
        <v>19699280</v>
      </c>
      <c r="N59" s="2">
        <v>19699280</v>
      </c>
      <c r="O59" s="2">
        <v>19699280</v>
      </c>
      <c r="P59" s="2">
        <v>256090643</v>
      </c>
      <c r="Q59" s="2">
        <v>19699280</v>
      </c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3"/>
    </row>
    <row r="60" spans="1:34" x14ac:dyDescent="0.25">
      <c r="A60" s="13" t="s">
        <v>98</v>
      </c>
      <c r="B60" s="13" t="s">
        <v>99</v>
      </c>
      <c r="C60" s="2">
        <v>9502865</v>
      </c>
      <c r="D60" s="2">
        <v>9502865</v>
      </c>
      <c r="E60" s="2">
        <v>9502865</v>
      </c>
      <c r="F60" s="2">
        <v>9502865</v>
      </c>
      <c r="G60" s="2">
        <v>9502865</v>
      </c>
      <c r="H60" s="2">
        <v>9502865</v>
      </c>
      <c r="I60" s="2">
        <v>9502865</v>
      </c>
      <c r="J60" s="2">
        <v>9502865</v>
      </c>
      <c r="K60" s="2">
        <v>9502865</v>
      </c>
      <c r="L60" s="2">
        <v>9502865</v>
      </c>
      <c r="M60" s="2">
        <v>9502865</v>
      </c>
      <c r="N60" s="2">
        <v>9502865</v>
      </c>
      <c r="O60" s="2">
        <v>9502865</v>
      </c>
      <c r="P60" s="2">
        <v>123537243</v>
      </c>
      <c r="Q60" s="2">
        <v>9502865</v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3"/>
    </row>
    <row r="61" spans="1:34" x14ac:dyDescent="0.25">
      <c r="A61" s="13" t="s">
        <v>100</v>
      </c>
      <c r="B61" s="13" t="s">
        <v>101</v>
      </c>
      <c r="C61" s="2">
        <v>-234850</v>
      </c>
      <c r="D61" s="2">
        <v>-234850</v>
      </c>
      <c r="E61" s="2">
        <v>-234850</v>
      </c>
      <c r="F61" s="2">
        <v>-234850</v>
      </c>
      <c r="G61" s="2">
        <v>-234850</v>
      </c>
      <c r="H61" s="2">
        <v>-234850</v>
      </c>
      <c r="I61" s="2">
        <v>-234850</v>
      </c>
      <c r="J61" s="2">
        <v>-234850</v>
      </c>
      <c r="K61" s="2">
        <v>-234850</v>
      </c>
      <c r="L61" s="2">
        <v>-234850</v>
      </c>
      <c r="M61" s="2">
        <v>-234850</v>
      </c>
      <c r="N61" s="2">
        <v>-234850</v>
      </c>
      <c r="O61" s="2">
        <v>-234850</v>
      </c>
      <c r="P61" s="2">
        <v>-3053054</v>
      </c>
      <c r="Q61" s="2">
        <v>-234850</v>
      </c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3"/>
    </row>
    <row r="62" spans="1:34" x14ac:dyDescent="0.25">
      <c r="A62" s="13" t="s">
        <v>102</v>
      </c>
      <c r="B62" s="13" t="s">
        <v>103</v>
      </c>
      <c r="C62" s="2">
        <v>2980568</v>
      </c>
      <c r="D62" s="2">
        <v>2980568</v>
      </c>
      <c r="E62" s="2">
        <v>2980568</v>
      </c>
      <c r="F62" s="2">
        <v>2980568</v>
      </c>
      <c r="G62" s="2">
        <v>2980568</v>
      </c>
      <c r="H62" s="2">
        <v>2980568</v>
      </c>
      <c r="I62" s="2">
        <v>2980568</v>
      </c>
      <c r="J62" s="2">
        <v>2980568</v>
      </c>
      <c r="K62" s="2">
        <v>2980568</v>
      </c>
      <c r="L62" s="2">
        <v>2980568</v>
      </c>
      <c r="M62" s="2">
        <v>2980568</v>
      </c>
      <c r="N62" s="2">
        <v>2980568</v>
      </c>
      <c r="O62" s="2">
        <v>2980568</v>
      </c>
      <c r="P62" s="2">
        <v>38747388</v>
      </c>
      <c r="Q62" s="2">
        <v>2980568</v>
      </c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3"/>
    </row>
    <row r="63" spans="1:34" x14ac:dyDescent="0.25">
      <c r="A63" s="13" t="s">
        <v>104</v>
      </c>
      <c r="B63" s="13" t="s">
        <v>105</v>
      </c>
      <c r="C63" s="2">
        <v>77756946</v>
      </c>
      <c r="D63" s="2">
        <v>77756946</v>
      </c>
      <c r="E63" s="2">
        <v>77756946</v>
      </c>
      <c r="F63" s="2">
        <v>77756946</v>
      </c>
      <c r="G63" s="2">
        <v>77756946</v>
      </c>
      <c r="H63" s="2">
        <v>77756946</v>
      </c>
      <c r="I63" s="2">
        <v>77756946</v>
      </c>
      <c r="J63" s="2">
        <v>77756946</v>
      </c>
      <c r="K63" s="2">
        <v>77756946</v>
      </c>
      <c r="L63" s="2">
        <v>77756946</v>
      </c>
      <c r="M63" s="2">
        <v>77756946</v>
      </c>
      <c r="N63" s="2">
        <v>77756946</v>
      </c>
      <c r="O63" s="2">
        <v>77756946</v>
      </c>
      <c r="P63" s="2">
        <v>1010840295</v>
      </c>
      <c r="Q63" s="2">
        <v>77756946</v>
      </c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3"/>
    </row>
    <row r="64" spans="1:34" x14ac:dyDescent="0.25">
      <c r="A64" s="13" t="s">
        <v>106</v>
      </c>
      <c r="B64" s="13" t="s">
        <v>107</v>
      </c>
      <c r="C64" s="2">
        <v>-388179</v>
      </c>
      <c r="D64" s="2">
        <v>-388179</v>
      </c>
      <c r="E64" s="2">
        <v>-388179</v>
      </c>
      <c r="F64" s="2">
        <v>-388179</v>
      </c>
      <c r="G64" s="2">
        <v>-388179</v>
      </c>
      <c r="H64" s="2">
        <v>-388179</v>
      </c>
      <c r="I64" s="2">
        <v>-388179</v>
      </c>
      <c r="J64" s="2">
        <v>-388179</v>
      </c>
      <c r="K64" s="2">
        <v>-388179</v>
      </c>
      <c r="L64" s="2">
        <v>-388179</v>
      </c>
      <c r="M64" s="2">
        <v>-388179</v>
      </c>
      <c r="N64" s="2">
        <v>-388179</v>
      </c>
      <c r="O64" s="2">
        <v>-388179</v>
      </c>
      <c r="P64" s="2">
        <v>-5046328</v>
      </c>
      <c r="Q64" s="2">
        <v>-388179</v>
      </c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3"/>
    </row>
    <row r="65" spans="1:34" x14ac:dyDescent="0.25">
      <c r="C65" s="26" t="s">
        <v>67</v>
      </c>
      <c r="D65" s="26" t="s">
        <v>67</v>
      </c>
      <c r="E65" s="26" t="s">
        <v>67</v>
      </c>
      <c r="F65" s="26" t="s">
        <v>67</v>
      </c>
      <c r="G65" s="26" t="s">
        <v>67</v>
      </c>
      <c r="H65" s="26" t="s">
        <v>67</v>
      </c>
      <c r="I65" s="26" t="s">
        <v>67</v>
      </c>
      <c r="J65" s="26" t="s">
        <v>67</v>
      </c>
      <c r="K65" s="26" t="s">
        <v>67</v>
      </c>
      <c r="L65" s="26" t="s">
        <v>67</v>
      </c>
      <c r="M65" s="26" t="s">
        <v>67</v>
      </c>
      <c r="N65" s="26" t="s">
        <v>67</v>
      </c>
      <c r="O65" s="26" t="s">
        <v>67</v>
      </c>
      <c r="P65" s="26" t="s">
        <v>67</v>
      </c>
      <c r="Q65" s="26" t="s">
        <v>67</v>
      </c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3"/>
    </row>
    <row r="66" spans="1:34" x14ac:dyDescent="0.25">
      <c r="A66" s="21" t="s">
        <v>108</v>
      </c>
      <c r="B66" s="22"/>
      <c r="C66" s="23">
        <v>109316630</v>
      </c>
      <c r="D66" s="23">
        <v>109316630</v>
      </c>
      <c r="E66" s="23">
        <v>109316630</v>
      </c>
      <c r="F66" s="23">
        <v>109316630</v>
      </c>
      <c r="G66" s="23">
        <v>109316630</v>
      </c>
      <c r="H66" s="23">
        <v>109316630</v>
      </c>
      <c r="I66" s="23">
        <v>109316630</v>
      </c>
      <c r="J66" s="23">
        <v>109316630</v>
      </c>
      <c r="K66" s="23">
        <v>109316630</v>
      </c>
      <c r="L66" s="23">
        <v>109316630</v>
      </c>
      <c r="M66" s="23">
        <v>109316630</v>
      </c>
      <c r="N66" s="23">
        <v>109316630</v>
      </c>
      <c r="O66" s="23">
        <v>109316630</v>
      </c>
      <c r="P66" s="23">
        <v>1421116186</v>
      </c>
      <c r="Q66" s="23">
        <v>109316630</v>
      </c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3"/>
    </row>
    <row r="67" spans="1:34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3"/>
    </row>
    <row r="68" spans="1:34" ht="15.75" x14ac:dyDescent="0.3">
      <c r="A68" s="18" t="s">
        <v>109</v>
      </c>
      <c r="B68" s="19"/>
      <c r="C68" s="20">
        <v>109316630</v>
      </c>
      <c r="D68" s="20">
        <v>109316630</v>
      </c>
      <c r="E68" s="20">
        <v>109316630</v>
      </c>
      <c r="F68" s="20">
        <v>109316630</v>
      </c>
      <c r="G68" s="20">
        <v>109316630</v>
      </c>
      <c r="H68" s="20">
        <v>109316630</v>
      </c>
      <c r="I68" s="20">
        <v>109316630</v>
      </c>
      <c r="J68" s="20">
        <v>109316630</v>
      </c>
      <c r="K68" s="20">
        <v>109316630</v>
      </c>
      <c r="L68" s="20">
        <v>109316630</v>
      </c>
      <c r="M68" s="20">
        <v>109316630</v>
      </c>
      <c r="N68" s="20">
        <v>109316630</v>
      </c>
      <c r="O68" s="20">
        <v>109316630</v>
      </c>
      <c r="P68" s="20">
        <v>1421116186</v>
      </c>
      <c r="Q68" s="20">
        <v>109316630</v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3"/>
    </row>
    <row r="69" spans="1:34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3"/>
    </row>
    <row r="70" spans="1:34" ht="15.75" x14ac:dyDescent="0.3">
      <c r="A70" s="18" t="s">
        <v>110</v>
      </c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3"/>
    </row>
    <row r="71" spans="1:34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3"/>
    </row>
    <row r="72" spans="1:34" x14ac:dyDescent="0.25">
      <c r="A72" s="21" t="s">
        <v>111</v>
      </c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3"/>
    </row>
    <row r="73" spans="1:34" x14ac:dyDescent="0.25">
      <c r="A73" s="13" t="s">
        <v>112</v>
      </c>
      <c r="B73" s="13" t="s">
        <v>113</v>
      </c>
      <c r="C73" s="2">
        <v>-1389376</v>
      </c>
      <c r="D73" s="2">
        <v>-2744921</v>
      </c>
      <c r="E73" s="2">
        <v>-242641</v>
      </c>
      <c r="F73" s="2">
        <v>-1312016</v>
      </c>
      <c r="G73" s="2">
        <v>-2757235</v>
      </c>
      <c r="H73" s="2">
        <v>-366717</v>
      </c>
      <c r="I73" s="2">
        <v>-1716584</v>
      </c>
      <c r="J73" s="2">
        <v>-1409018</v>
      </c>
      <c r="K73" s="2">
        <v>-459564</v>
      </c>
      <c r="L73" s="2">
        <v>-534721</v>
      </c>
      <c r="M73" s="2">
        <v>701523</v>
      </c>
      <c r="N73" s="2">
        <v>-547137</v>
      </c>
      <c r="O73" s="2">
        <v>279594</v>
      </c>
      <c r="P73" s="2">
        <v>-12498814</v>
      </c>
      <c r="Q73" s="2">
        <v>-961447</v>
      </c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3"/>
    </row>
    <row r="74" spans="1:34" x14ac:dyDescent="0.25">
      <c r="A74" s="13" t="s">
        <v>114</v>
      </c>
      <c r="B74" s="13" t="s">
        <v>115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-283637</v>
      </c>
      <c r="L74" s="2">
        <v>-471767</v>
      </c>
      <c r="M74" s="2">
        <v>-1607513</v>
      </c>
      <c r="N74" s="2">
        <v>-10250485</v>
      </c>
      <c r="O74" s="2">
        <v>-532716</v>
      </c>
      <c r="P74" s="2">
        <v>-13146118</v>
      </c>
      <c r="Q74" s="2">
        <v>-1011240</v>
      </c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3"/>
    </row>
    <row r="75" spans="1:34" x14ac:dyDescent="0.25">
      <c r="A75" s="13" t="s">
        <v>116</v>
      </c>
      <c r="B75" s="13" t="s">
        <v>117</v>
      </c>
      <c r="C75" s="2">
        <v>-6300</v>
      </c>
      <c r="D75" s="2">
        <v>-6300</v>
      </c>
      <c r="E75" s="2">
        <v>-6300</v>
      </c>
      <c r="F75" s="2">
        <v>-6300</v>
      </c>
      <c r="G75" s="2">
        <v>-6300</v>
      </c>
      <c r="H75" s="2">
        <v>-6300</v>
      </c>
      <c r="I75" s="2">
        <v>-6300</v>
      </c>
      <c r="J75" s="2">
        <v>-6300</v>
      </c>
      <c r="K75" s="2">
        <v>-6300</v>
      </c>
      <c r="L75" s="2">
        <v>-6300</v>
      </c>
      <c r="M75" s="2">
        <v>-3980</v>
      </c>
      <c r="N75" s="2">
        <v>-3980</v>
      </c>
      <c r="O75" s="2">
        <v>-3980</v>
      </c>
      <c r="P75" s="2">
        <v>-74942</v>
      </c>
      <c r="Q75" s="2">
        <v>-5765</v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3"/>
    </row>
    <row r="76" spans="1:34" x14ac:dyDescent="0.25">
      <c r="A76" s="13" t="s">
        <v>118</v>
      </c>
      <c r="B76" s="13" t="s">
        <v>119</v>
      </c>
      <c r="C76" s="2">
        <v>1750274</v>
      </c>
      <c r="D76" s="2">
        <v>2859989</v>
      </c>
      <c r="E76" s="2">
        <v>2216786</v>
      </c>
      <c r="F76" s="2">
        <v>2598019</v>
      </c>
      <c r="G76" s="2">
        <v>1508544</v>
      </c>
      <c r="H76" s="2">
        <v>2307120</v>
      </c>
      <c r="I76" s="2">
        <v>2774574</v>
      </c>
      <c r="J76" s="2">
        <v>1709538</v>
      </c>
      <c r="K76" s="2">
        <v>1339343</v>
      </c>
      <c r="L76" s="2">
        <v>3986040</v>
      </c>
      <c r="M76" s="2">
        <v>2153479</v>
      </c>
      <c r="N76" s="2">
        <v>1538569</v>
      </c>
      <c r="O76" s="2">
        <v>1662505</v>
      </c>
      <c r="P76" s="2">
        <v>28404780</v>
      </c>
      <c r="Q76" s="2">
        <v>2184983</v>
      </c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3"/>
    </row>
    <row r="77" spans="1:34" x14ac:dyDescent="0.25">
      <c r="A77" s="30" t="s">
        <v>120</v>
      </c>
      <c r="B77" s="31"/>
      <c r="C77" s="32"/>
      <c r="D77" s="32"/>
      <c r="E77" s="32"/>
      <c r="F77" s="32"/>
      <c r="G77" s="32">
        <v>1254991</v>
      </c>
      <c r="H77" s="32"/>
      <c r="I77" s="32"/>
      <c r="J77" s="32"/>
      <c r="K77" s="32"/>
      <c r="L77" s="32"/>
      <c r="M77" s="32"/>
      <c r="N77" s="32">
        <v>9263033</v>
      </c>
      <c r="O77" s="32"/>
      <c r="P77" s="24">
        <f t="shared" ref="P77" si="0">SUM(C77:O77)</f>
        <v>10518024</v>
      </c>
      <c r="Q77" s="32">
        <f>+P77/13</f>
        <v>809078.76923076925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4"/>
    </row>
    <row r="78" spans="1:34" x14ac:dyDescent="0.25">
      <c r="A78" s="35"/>
      <c r="B78" s="35"/>
      <c r="C78" s="36" t="s">
        <v>67</v>
      </c>
      <c r="D78" s="36" t="s">
        <v>67</v>
      </c>
      <c r="E78" s="36" t="s">
        <v>67</v>
      </c>
      <c r="F78" s="36" t="s">
        <v>67</v>
      </c>
      <c r="G78" s="36" t="s">
        <v>67</v>
      </c>
      <c r="H78" s="36" t="s">
        <v>67</v>
      </c>
      <c r="I78" s="36" t="s">
        <v>67</v>
      </c>
      <c r="J78" s="36" t="s">
        <v>67</v>
      </c>
      <c r="K78" s="36" t="s">
        <v>67</v>
      </c>
      <c r="L78" s="36" t="s">
        <v>67</v>
      </c>
      <c r="M78" s="36" t="s">
        <v>67</v>
      </c>
      <c r="N78" s="36" t="s">
        <v>67</v>
      </c>
      <c r="O78" s="36" t="s">
        <v>67</v>
      </c>
      <c r="P78" s="36" t="s">
        <v>67</v>
      </c>
      <c r="Q78" s="36" t="s">
        <v>67</v>
      </c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3"/>
    </row>
    <row r="79" spans="1:34" x14ac:dyDescent="0.25">
      <c r="A79" s="37" t="s">
        <v>121</v>
      </c>
      <c r="B79" s="38"/>
      <c r="C79" s="39">
        <f>SUM(C73:C77)</f>
        <v>354598</v>
      </c>
      <c r="D79" s="39">
        <f t="shared" ref="D79:Q79" si="1">SUM(D73:D77)</f>
        <v>108768</v>
      </c>
      <c r="E79" s="39">
        <f t="shared" si="1"/>
        <v>1967845</v>
      </c>
      <c r="F79" s="39">
        <f t="shared" si="1"/>
        <v>1279703</v>
      </c>
      <c r="G79" s="39">
        <f t="shared" si="1"/>
        <v>0</v>
      </c>
      <c r="H79" s="39">
        <f t="shared" si="1"/>
        <v>1934103</v>
      </c>
      <c r="I79" s="39">
        <f t="shared" si="1"/>
        <v>1051690</v>
      </c>
      <c r="J79" s="39">
        <f t="shared" si="1"/>
        <v>294220</v>
      </c>
      <c r="K79" s="39">
        <f t="shared" si="1"/>
        <v>589842</v>
      </c>
      <c r="L79" s="39">
        <f t="shared" si="1"/>
        <v>2973252</v>
      </c>
      <c r="M79" s="39">
        <f t="shared" si="1"/>
        <v>1243509</v>
      </c>
      <c r="N79" s="39">
        <f t="shared" si="1"/>
        <v>0</v>
      </c>
      <c r="O79" s="39">
        <f t="shared" si="1"/>
        <v>1405403</v>
      </c>
      <c r="P79" s="39">
        <f t="shared" si="1"/>
        <v>13202930</v>
      </c>
      <c r="Q79" s="39">
        <f t="shared" si="1"/>
        <v>1015609.7692307692</v>
      </c>
      <c r="R79" s="15">
        <f>SUM(T79:Y79)-Q79</f>
        <v>0</v>
      </c>
      <c r="S79" s="15" t="s">
        <v>16</v>
      </c>
      <c r="T79" s="15">
        <f>$Q79*T$5</f>
        <v>216324.88084615386</v>
      </c>
      <c r="U79" s="15">
        <f t="shared" ref="U79:Y79" si="2">$Q79*U$5</f>
        <v>353432.19969230768</v>
      </c>
      <c r="V79" s="15">
        <f t="shared" si="2"/>
        <v>146247.80676923075</v>
      </c>
      <c r="W79" s="15">
        <f t="shared" si="2"/>
        <v>1015.6097692307693</v>
      </c>
      <c r="X79" s="15">
        <f t="shared" si="2"/>
        <v>1015.6097692307693</v>
      </c>
      <c r="Y79" s="15">
        <f t="shared" si="2"/>
        <v>297573.6623846154</v>
      </c>
      <c r="Z79" s="15"/>
      <c r="AA79" s="15" t="s">
        <v>16</v>
      </c>
      <c r="AB79" s="15">
        <f>$O79*AB$5</f>
        <v>299350.83899999998</v>
      </c>
      <c r="AC79" s="15">
        <f t="shared" ref="AC79:AG79" si="3">$O79*AC$5</f>
        <v>489080.24399999995</v>
      </c>
      <c r="AD79" s="15">
        <f t="shared" si="3"/>
        <v>202378.03199999998</v>
      </c>
      <c r="AE79" s="15">
        <f t="shared" si="3"/>
        <v>1405.403</v>
      </c>
      <c r="AF79" s="15">
        <f t="shared" si="3"/>
        <v>1405.403</v>
      </c>
      <c r="AG79" s="15">
        <f t="shared" si="3"/>
        <v>411783.07899999997</v>
      </c>
      <c r="AH79" s="27">
        <f>SUM(AB79:AG79)-O79</f>
        <v>0</v>
      </c>
    </row>
    <row r="80" spans="1:34" x14ac:dyDescent="0.25">
      <c r="A80" s="35"/>
      <c r="B80" s="35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3"/>
    </row>
    <row r="81" spans="1:34" x14ac:dyDescent="0.25">
      <c r="A81" s="21" t="s">
        <v>122</v>
      </c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3"/>
    </row>
    <row r="82" spans="1:34" x14ac:dyDescent="0.25">
      <c r="A82" s="13" t="s">
        <v>123</v>
      </c>
      <c r="B82" s="13" t="s">
        <v>124</v>
      </c>
      <c r="C82" s="2">
        <v>-2535037</v>
      </c>
      <c r="D82" s="2">
        <v>-2535037</v>
      </c>
      <c r="E82" s="2">
        <v>-2535037</v>
      </c>
      <c r="F82" s="2">
        <v>-3052502</v>
      </c>
      <c r="G82" s="2">
        <v>-3052502</v>
      </c>
      <c r="H82" s="2">
        <v>-3052502</v>
      </c>
      <c r="I82" s="2">
        <v>-3098873</v>
      </c>
      <c r="J82" s="2">
        <v>-3098873</v>
      </c>
      <c r="K82" s="2">
        <v>-3098873</v>
      </c>
      <c r="L82" s="2">
        <v>-3200347</v>
      </c>
      <c r="M82" s="2">
        <v>-3200347</v>
      </c>
      <c r="N82" s="2">
        <v>-3200347</v>
      </c>
      <c r="O82" s="2">
        <v>-2464378</v>
      </c>
      <c r="P82" s="2">
        <v>-38124651</v>
      </c>
      <c r="Q82" s="2">
        <v>-2932665</v>
      </c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3"/>
    </row>
    <row r="83" spans="1:34" x14ac:dyDescent="0.25">
      <c r="A83" s="13" t="s">
        <v>125</v>
      </c>
      <c r="B83" s="13" t="s">
        <v>126</v>
      </c>
      <c r="C83" s="2">
        <v>-1241115</v>
      </c>
      <c r="D83" s="2">
        <v>0</v>
      </c>
      <c r="E83" s="2">
        <v>0</v>
      </c>
      <c r="F83" s="2">
        <v>-223629</v>
      </c>
      <c r="G83" s="2">
        <v>0</v>
      </c>
      <c r="H83" s="2">
        <v>0</v>
      </c>
      <c r="I83" s="2">
        <v>-538495</v>
      </c>
      <c r="J83" s="2">
        <v>0</v>
      </c>
      <c r="K83" s="2">
        <v>0</v>
      </c>
      <c r="L83" s="2">
        <v>-1860640</v>
      </c>
      <c r="M83" s="2">
        <v>0</v>
      </c>
      <c r="N83" s="2">
        <v>0</v>
      </c>
      <c r="O83" s="2">
        <v>-781627</v>
      </c>
      <c r="P83" s="2">
        <v>-4645506</v>
      </c>
      <c r="Q83" s="2">
        <v>-357347</v>
      </c>
      <c r="R83" s="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 spans="1:34" x14ac:dyDescent="0.25">
      <c r="A84" s="13" t="s">
        <v>127</v>
      </c>
      <c r="B84" s="13" t="s">
        <v>128</v>
      </c>
      <c r="C84" s="2">
        <v>2535037</v>
      </c>
      <c r="D84" s="2">
        <v>2535037</v>
      </c>
      <c r="E84" s="2">
        <v>2535037</v>
      </c>
      <c r="F84" s="2">
        <v>3052502</v>
      </c>
      <c r="G84" s="2">
        <v>3052502</v>
      </c>
      <c r="H84" s="2">
        <v>3052502</v>
      </c>
      <c r="I84" s="2">
        <v>3098873</v>
      </c>
      <c r="J84" s="2">
        <v>3098873</v>
      </c>
      <c r="K84" s="2">
        <v>3098873</v>
      </c>
      <c r="L84" s="2">
        <v>3200347</v>
      </c>
      <c r="M84" s="2">
        <v>3200347</v>
      </c>
      <c r="N84" s="2">
        <v>3200347</v>
      </c>
      <c r="O84" s="2">
        <v>2464378</v>
      </c>
      <c r="P84" s="2">
        <v>38124651</v>
      </c>
      <c r="Q84" s="2">
        <v>2932665</v>
      </c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3"/>
    </row>
    <row r="85" spans="1:34" x14ac:dyDescent="0.25">
      <c r="C85" s="26" t="s">
        <v>67</v>
      </c>
      <c r="D85" s="26" t="s">
        <v>67</v>
      </c>
      <c r="E85" s="26" t="s">
        <v>67</v>
      </c>
      <c r="F85" s="26" t="s">
        <v>67</v>
      </c>
      <c r="G85" s="26" t="s">
        <v>67</v>
      </c>
      <c r="H85" s="26" t="s">
        <v>67</v>
      </c>
      <c r="I85" s="26" t="s">
        <v>67</v>
      </c>
      <c r="J85" s="26" t="s">
        <v>67</v>
      </c>
      <c r="K85" s="26" t="s">
        <v>67</v>
      </c>
      <c r="L85" s="26" t="s">
        <v>67</v>
      </c>
      <c r="M85" s="26" t="s">
        <v>67</v>
      </c>
      <c r="N85" s="26" t="s">
        <v>67</v>
      </c>
      <c r="O85" s="26" t="s">
        <v>67</v>
      </c>
      <c r="P85" s="26" t="s">
        <v>67</v>
      </c>
      <c r="Q85" s="26" t="s">
        <v>67</v>
      </c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3"/>
    </row>
    <row r="86" spans="1:34" x14ac:dyDescent="0.25">
      <c r="A86" s="21" t="s">
        <v>129</v>
      </c>
      <c r="B86" s="22"/>
      <c r="C86" s="23">
        <v>-1241115</v>
      </c>
      <c r="D86" s="23">
        <v>0</v>
      </c>
      <c r="E86" s="23">
        <v>0</v>
      </c>
      <c r="F86" s="23">
        <v>-223629</v>
      </c>
      <c r="G86" s="23">
        <v>0</v>
      </c>
      <c r="H86" s="23">
        <v>0</v>
      </c>
      <c r="I86" s="23">
        <v>-538495</v>
      </c>
      <c r="J86" s="23">
        <v>0</v>
      </c>
      <c r="K86" s="23">
        <v>0</v>
      </c>
      <c r="L86" s="23">
        <v>-1860640</v>
      </c>
      <c r="M86" s="23">
        <v>0</v>
      </c>
      <c r="N86" s="23">
        <v>0</v>
      </c>
      <c r="O86" s="23">
        <v>-781627</v>
      </c>
      <c r="P86" s="23">
        <v>-4645506</v>
      </c>
      <c r="Q86" s="23">
        <v>-357347</v>
      </c>
      <c r="R86" s="15">
        <f>SUM(T86:Y86)-Q86</f>
        <v>0</v>
      </c>
      <c r="S86" s="15" t="s">
        <v>16</v>
      </c>
      <c r="T86" s="15">
        <f t="shared" ref="T86:Y86" si="4">$Q86*T5</f>
        <v>-76114.910999999993</v>
      </c>
      <c r="U86" s="15">
        <f t="shared" si="4"/>
        <v>-124356.75599999999</v>
      </c>
      <c r="V86" s="15">
        <f t="shared" si="4"/>
        <v>-51457.967999999993</v>
      </c>
      <c r="W86" s="15">
        <f t="shared" si="4"/>
        <v>-357.34699999999998</v>
      </c>
      <c r="X86" s="15">
        <f t="shared" si="4"/>
        <v>-357.34699999999998</v>
      </c>
      <c r="Y86" s="15">
        <f t="shared" si="4"/>
        <v>-104702.67099999999</v>
      </c>
      <c r="Z86" s="15"/>
      <c r="AA86" s="15" t="s">
        <v>16</v>
      </c>
      <c r="AB86" s="15">
        <f t="shared" ref="AB86:AG86" si="5">$O86*AB$5</f>
        <v>-166486.55100000001</v>
      </c>
      <c r="AC86" s="15">
        <f t="shared" si="5"/>
        <v>-272006.196</v>
      </c>
      <c r="AD86" s="15">
        <f t="shared" si="5"/>
        <v>-112554.28799999999</v>
      </c>
      <c r="AE86" s="15">
        <f t="shared" si="5"/>
        <v>-781.62700000000007</v>
      </c>
      <c r="AF86" s="15">
        <f t="shared" si="5"/>
        <v>-781.62700000000007</v>
      </c>
      <c r="AG86" s="15">
        <f t="shared" si="5"/>
        <v>-229016.71099999998</v>
      </c>
      <c r="AH86" s="27">
        <f>SUM(AB86:AG86)-O86</f>
        <v>0</v>
      </c>
    </row>
    <row r="87" spans="1:34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3"/>
    </row>
    <row r="88" spans="1:34" x14ac:dyDescent="0.25">
      <c r="A88" s="21" t="s">
        <v>130</v>
      </c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3"/>
    </row>
    <row r="89" spans="1:34" x14ac:dyDescent="0.25">
      <c r="A89" s="13" t="s">
        <v>131</v>
      </c>
      <c r="B89" s="13" t="s">
        <v>132</v>
      </c>
      <c r="C89" s="2">
        <v>30255</v>
      </c>
      <c r="D89" s="2">
        <v>28460</v>
      </c>
      <c r="E89" s="2">
        <v>26665</v>
      </c>
      <c r="F89" s="2">
        <v>24870</v>
      </c>
      <c r="G89" s="2">
        <v>15254</v>
      </c>
      <c r="H89" s="2">
        <v>13459</v>
      </c>
      <c r="I89" s="2">
        <v>11664</v>
      </c>
      <c r="J89" s="2">
        <v>8972</v>
      </c>
      <c r="K89" s="2">
        <v>7177</v>
      </c>
      <c r="L89" s="2">
        <v>5382</v>
      </c>
      <c r="M89" s="2">
        <v>3587</v>
      </c>
      <c r="N89" s="2">
        <v>1792</v>
      </c>
      <c r="O89" s="2">
        <v>0</v>
      </c>
      <c r="P89" s="2">
        <v>177537</v>
      </c>
      <c r="Q89" s="2">
        <v>13657</v>
      </c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3"/>
    </row>
    <row r="90" spans="1:34" x14ac:dyDescent="0.25">
      <c r="A90" s="13" t="s">
        <v>133</v>
      </c>
      <c r="B90" s="13" t="s">
        <v>134</v>
      </c>
      <c r="C90" s="2">
        <v>-671</v>
      </c>
      <c r="D90" s="2">
        <v>-671</v>
      </c>
      <c r="E90" s="2">
        <v>-671</v>
      </c>
      <c r="F90" s="2">
        <v>-671</v>
      </c>
      <c r="G90" s="2">
        <v>-671</v>
      </c>
      <c r="H90" s="2">
        <v>-671</v>
      </c>
      <c r="I90" s="2">
        <v>-671</v>
      </c>
      <c r="J90" s="2">
        <v>-671</v>
      </c>
      <c r="K90" s="2">
        <v>-671</v>
      </c>
      <c r="L90" s="2">
        <v>-671</v>
      </c>
      <c r="M90" s="2">
        <v>-671</v>
      </c>
      <c r="N90" s="2">
        <v>-671</v>
      </c>
      <c r="O90" s="2">
        <v>-671</v>
      </c>
      <c r="P90" s="2">
        <v>-8726</v>
      </c>
      <c r="Q90" s="2">
        <v>-671</v>
      </c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3"/>
    </row>
    <row r="91" spans="1:34" x14ac:dyDescent="0.25">
      <c r="C91" s="26" t="s">
        <v>67</v>
      </c>
      <c r="D91" s="26" t="s">
        <v>67</v>
      </c>
      <c r="E91" s="26" t="s">
        <v>67</v>
      </c>
      <c r="F91" s="26" t="s">
        <v>67</v>
      </c>
      <c r="G91" s="26" t="s">
        <v>67</v>
      </c>
      <c r="H91" s="26" t="s">
        <v>67</v>
      </c>
      <c r="I91" s="26" t="s">
        <v>67</v>
      </c>
      <c r="J91" s="26" t="s">
        <v>67</v>
      </c>
      <c r="K91" s="26" t="s">
        <v>67</v>
      </c>
      <c r="L91" s="26" t="s">
        <v>67</v>
      </c>
      <c r="M91" s="26" t="s">
        <v>67</v>
      </c>
      <c r="N91" s="26" t="s">
        <v>67</v>
      </c>
      <c r="O91" s="26" t="s">
        <v>67</v>
      </c>
      <c r="P91" s="26" t="s">
        <v>67</v>
      </c>
      <c r="Q91" s="26" t="s">
        <v>67</v>
      </c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3"/>
    </row>
    <row r="92" spans="1:34" x14ac:dyDescent="0.25">
      <c r="A92" s="21" t="s">
        <v>135</v>
      </c>
      <c r="B92" s="22"/>
      <c r="C92" s="23">
        <v>29583</v>
      </c>
      <c r="D92" s="23">
        <v>27788</v>
      </c>
      <c r="E92" s="23">
        <v>25993</v>
      </c>
      <c r="F92" s="23">
        <v>24198</v>
      </c>
      <c r="G92" s="23">
        <v>14583</v>
      </c>
      <c r="H92" s="23">
        <v>12788</v>
      </c>
      <c r="I92" s="23">
        <v>10993</v>
      </c>
      <c r="J92" s="23">
        <v>8301</v>
      </c>
      <c r="K92" s="23">
        <v>6506</v>
      </c>
      <c r="L92" s="23">
        <v>4711</v>
      </c>
      <c r="M92" s="23">
        <v>2916</v>
      </c>
      <c r="N92" s="23">
        <v>1121</v>
      </c>
      <c r="O92" s="23">
        <v>-671</v>
      </c>
      <c r="P92" s="23">
        <v>168811</v>
      </c>
      <c r="Q92" s="23">
        <v>12985</v>
      </c>
      <c r="R92" s="15">
        <f>SUM(T92:Y92)-Q92</f>
        <v>0</v>
      </c>
      <c r="S92" s="15" t="s">
        <v>16</v>
      </c>
      <c r="T92" s="15">
        <f t="shared" ref="T92:Y92" si="6">$Q92*T5</f>
        <v>2765.8049999999998</v>
      </c>
      <c r="U92" s="15">
        <f t="shared" si="6"/>
        <v>4518.78</v>
      </c>
      <c r="V92" s="15">
        <f t="shared" si="6"/>
        <v>1869.84</v>
      </c>
      <c r="W92" s="15">
        <f t="shared" si="6"/>
        <v>12.984999999999999</v>
      </c>
      <c r="X92" s="15">
        <f t="shared" si="6"/>
        <v>12.984999999999999</v>
      </c>
      <c r="Y92" s="15">
        <f t="shared" si="6"/>
        <v>3804.6049999999996</v>
      </c>
      <c r="Z92" s="15"/>
      <c r="AA92" s="15" t="s">
        <v>16</v>
      </c>
      <c r="AB92" s="15">
        <f t="shared" ref="AB92:AG92" si="7">$O92*AB$5</f>
        <v>-142.923</v>
      </c>
      <c r="AC92" s="15">
        <f t="shared" si="7"/>
        <v>-233.50799999999998</v>
      </c>
      <c r="AD92" s="15">
        <f t="shared" si="7"/>
        <v>-96.623999999999995</v>
      </c>
      <c r="AE92" s="15">
        <f t="shared" si="7"/>
        <v>-0.67100000000000004</v>
      </c>
      <c r="AF92" s="15">
        <f t="shared" si="7"/>
        <v>-0.67100000000000004</v>
      </c>
      <c r="AG92" s="15">
        <f t="shared" si="7"/>
        <v>-196.60299999999998</v>
      </c>
      <c r="AH92" s="27">
        <f>SUM(AB92:AG92)-O92</f>
        <v>0</v>
      </c>
    </row>
    <row r="93" spans="1:34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3"/>
    </row>
    <row r="94" spans="1:34" x14ac:dyDescent="0.25">
      <c r="A94" s="21" t="s">
        <v>136</v>
      </c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3"/>
    </row>
    <row r="95" spans="1:34" x14ac:dyDescent="0.25">
      <c r="A95" s="13" t="s">
        <v>137</v>
      </c>
      <c r="B95" s="13" t="s">
        <v>138</v>
      </c>
      <c r="C95" s="2">
        <v>3462662</v>
      </c>
      <c r="D95" s="2">
        <v>3599197</v>
      </c>
      <c r="E95" s="2">
        <v>3704348</v>
      </c>
      <c r="F95" s="2">
        <v>3850212</v>
      </c>
      <c r="G95" s="2">
        <v>3997591</v>
      </c>
      <c r="H95" s="2">
        <v>4135917</v>
      </c>
      <c r="I95" s="2">
        <v>4277449</v>
      </c>
      <c r="J95" s="2">
        <v>4480472</v>
      </c>
      <c r="K95" s="2">
        <v>4681552</v>
      </c>
      <c r="L95" s="2">
        <v>4912729</v>
      </c>
      <c r="M95" s="2">
        <v>5133262</v>
      </c>
      <c r="N95" s="2">
        <v>5357774</v>
      </c>
      <c r="O95" s="2">
        <v>5587778</v>
      </c>
      <c r="P95" s="2">
        <v>57180942</v>
      </c>
      <c r="Q95" s="2">
        <v>4398534</v>
      </c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3"/>
    </row>
    <row r="96" spans="1:34" x14ac:dyDescent="0.25">
      <c r="A96" s="13" t="s">
        <v>139</v>
      </c>
      <c r="B96" s="13" t="s">
        <v>140</v>
      </c>
      <c r="C96" s="2">
        <v>8842</v>
      </c>
      <c r="D96" s="2">
        <v>6739</v>
      </c>
      <c r="E96" s="2">
        <v>6739</v>
      </c>
      <c r="F96" s="2">
        <v>6796</v>
      </c>
      <c r="G96" s="2">
        <v>6796</v>
      </c>
      <c r="H96" s="2">
        <v>6851</v>
      </c>
      <c r="I96" s="2">
        <v>6952</v>
      </c>
      <c r="J96" s="2">
        <v>7024</v>
      </c>
      <c r="K96" s="2">
        <v>8264</v>
      </c>
      <c r="L96" s="2">
        <v>8264</v>
      </c>
      <c r="M96" s="2">
        <v>8801</v>
      </c>
      <c r="N96" s="2">
        <v>9324</v>
      </c>
      <c r="O96" s="2">
        <v>10140</v>
      </c>
      <c r="P96" s="2">
        <v>101533</v>
      </c>
      <c r="Q96" s="2">
        <v>7810</v>
      </c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3"/>
    </row>
    <row r="97" spans="1:34" x14ac:dyDescent="0.25">
      <c r="A97" s="13" t="s">
        <v>141</v>
      </c>
      <c r="B97" s="13" t="s">
        <v>142</v>
      </c>
      <c r="C97" s="2">
        <v>-878937</v>
      </c>
      <c r="D97" s="2">
        <v>-878937</v>
      </c>
      <c r="E97" s="2">
        <v>-878937</v>
      </c>
      <c r="F97" s="2">
        <v>-878937</v>
      </c>
      <c r="G97" s="2">
        <v>-878937</v>
      </c>
      <c r="H97" s="2">
        <v>-878937</v>
      </c>
      <c r="I97" s="2">
        <v>-878937</v>
      </c>
      <c r="J97" s="2">
        <v>-878937</v>
      </c>
      <c r="K97" s="2">
        <v>-878937</v>
      </c>
      <c r="L97" s="2">
        <v>-878937</v>
      </c>
      <c r="M97" s="2">
        <v>-878937</v>
      </c>
      <c r="N97" s="2">
        <v>-878937</v>
      </c>
      <c r="O97" s="2">
        <v>-878937</v>
      </c>
      <c r="P97" s="2">
        <v>-11426175</v>
      </c>
      <c r="Q97" s="2">
        <v>-878937</v>
      </c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3"/>
    </row>
    <row r="98" spans="1:34" x14ac:dyDescent="0.25">
      <c r="A98" s="13"/>
      <c r="B98" s="1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3"/>
    </row>
    <row r="99" spans="1:34" x14ac:dyDescent="0.25">
      <c r="A99" s="13" t="s">
        <v>143</v>
      </c>
      <c r="B99" s="13" t="s">
        <v>144</v>
      </c>
      <c r="C99" s="2">
        <v>240485272</v>
      </c>
      <c r="D99" s="2">
        <v>242284788</v>
      </c>
      <c r="E99" s="2">
        <v>243915313</v>
      </c>
      <c r="F99" s="2">
        <v>246012996</v>
      </c>
      <c r="G99" s="2">
        <v>247865097</v>
      </c>
      <c r="H99" s="2">
        <v>249638357</v>
      </c>
      <c r="I99" s="2">
        <v>251083095</v>
      </c>
      <c r="J99" s="2">
        <v>252810345</v>
      </c>
      <c r="K99" s="2">
        <v>254506936</v>
      </c>
      <c r="L99" s="2">
        <v>256136194</v>
      </c>
      <c r="M99" s="2">
        <v>257678689</v>
      </c>
      <c r="N99" s="2">
        <v>259442865</v>
      </c>
      <c r="O99" s="2">
        <v>261061369</v>
      </c>
      <c r="P99" s="2">
        <v>3262921315</v>
      </c>
      <c r="Q99" s="2">
        <v>250993947</v>
      </c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3"/>
    </row>
    <row r="100" spans="1:34" x14ac:dyDescent="0.25">
      <c r="A100" s="13" t="s">
        <v>145</v>
      </c>
      <c r="B100" s="13" t="s">
        <v>146</v>
      </c>
      <c r="C100" s="2">
        <v>2513</v>
      </c>
      <c r="D100" s="2">
        <v>2513</v>
      </c>
      <c r="E100" s="2">
        <v>2513</v>
      </c>
      <c r="F100" s="2">
        <v>2513</v>
      </c>
      <c r="G100" s="2">
        <v>2513</v>
      </c>
      <c r="H100" s="2">
        <v>2513</v>
      </c>
      <c r="I100" s="2">
        <v>2513</v>
      </c>
      <c r="J100" s="2">
        <v>2513</v>
      </c>
      <c r="K100" s="2">
        <v>2513</v>
      </c>
      <c r="L100" s="2">
        <v>2513</v>
      </c>
      <c r="M100" s="2">
        <v>2513</v>
      </c>
      <c r="N100" s="2">
        <v>2513</v>
      </c>
      <c r="O100" s="2">
        <v>2513</v>
      </c>
      <c r="P100" s="2">
        <v>32665</v>
      </c>
      <c r="Q100" s="2">
        <v>2513</v>
      </c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3"/>
    </row>
    <row r="101" spans="1:34" x14ac:dyDescent="0.25">
      <c r="A101" s="13" t="s">
        <v>147</v>
      </c>
      <c r="B101" s="13" t="s">
        <v>148</v>
      </c>
      <c r="C101" s="2">
        <v>717</v>
      </c>
      <c r="D101" s="2">
        <v>717</v>
      </c>
      <c r="E101" s="2">
        <v>717</v>
      </c>
      <c r="F101" s="2">
        <v>717</v>
      </c>
      <c r="G101" s="2">
        <v>717</v>
      </c>
      <c r="H101" s="2">
        <v>717</v>
      </c>
      <c r="I101" s="2">
        <v>717</v>
      </c>
      <c r="J101" s="2">
        <v>717</v>
      </c>
      <c r="K101" s="2">
        <v>717</v>
      </c>
      <c r="L101" s="2">
        <v>717</v>
      </c>
      <c r="M101" s="2">
        <v>717</v>
      </c>
      <c r="N101" s="2">
        <v>717</v>
      </c>
      <c r="O101" s="2">
        <v>717</v>
      </c>
      <c r="P101" s="2">
        <v>9321</v>
      </c>
      <c r="Q101" s="2">
        <v>717</v>
      </c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3"/>
    </row>
    <row r="102" spans="1:34" x14ac:dyDescent="0.25">
      <c r="A102" s="13" t="s">
        <v>149</v>
      </c>
      <c r="B102" s="13" t="s">
        <v>150</v>
      </c>
      <c r="C102" s="2">
        <v>12973</v>
      </c>
      <c r="D102" s="2">
        <v>12973</v>
      </c>
      <c r="E102" s="2">
        <v>13078</v>
      </c>
      <c r="F102" s="2">
        <v>16203</v>
      </c>
      <c r="G102" s="2">
        <v>16285</v>
      </c>
      <c r="H102" s="2">
        <v>16326</v>
      </c>
      <c r="I102" s="2">
        <v>16435</v>
      </c>
      <c r="J102" s="2">
        <v>28263</v>
      </c>
      <c r="K102" s="2">
        <v>28263</v>
      </c>
      <c r="L102" s="2">
        <v>28263</v>
      </c>
      <c r="M102" s="2">
        <v>28433</v>
      </c>
      <c r="N102" s="2">
        <v>28433</v>
      </c>
      <c r="O102" s="2">
        <v>28433</v>
      </c>
      <c r="P102" s="2">
        <v>274360</v>
      </c>
      <c r="Q102" s="2">
        <v>21105</v>
      </c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3"/>
    </row>
    <row r="103" spans="1:34" x14ac:dyDescent="0.25">
      <c r="A103" s="13" t="s">
        <v>151</v>
      </c>
      <c r="B103" s="13" t="s">
        <v>152</v>
      </c>
      <c r="C103" s="2">
        <v>-161779294</v>
      </c>
      <c r="D103" s="2">
        <v>-162827343</v>
      </c>
      <c r="E103" s="2">
        <v>-163498872</v>
      </c>
      <c r="F103" s="2">
        <v>-164556596</v>
      </c>
      <c r="G103" s="2">
        <v>-166912074</v>
      </c>
      <c r="H103" s="2">
        <v>-168423688</v>
      </c>
      <c r="I103" s="2">
        <v>-169899356</v>
      </c>
      <c r="J103" s="2">
        <v>-171705867</v>
      </c>
      <c r="K103" s="2">
        <v>-172667670</v>
      </c>
      <c r="L103" s="2">
        <v>-174816539</v>
      </c>
      <c r="M103" s="2">
        <v>-174894027</v>
      </c>
      <c r="N103" s="2">
        <v>-174220784</v>
      </c>
      <c r="O103" s="2">
        <v>-176556469</v>
      </c>
      <c r="P103" s="2">
        <v>-2202758579</v>
      </c>
      <c r="Q103" s="2">
        <v>-169442968</v>
      </c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3"/>
    </row>
    <row r="104" spans="1:34" x14ac:dyDescent="0.25">
      <c r="A104" s="13" t="s">
        <v>153</v>
      </c>
      <c r="B104" s="13" t="s">
        <v>154</v>
      </c>
      <c r="C104" s="2">
        <v>3417</v>
      </c>
      <c r="D104" s="2">
        <v>14140</v>
      </c>
      <c r="E104" s="2">
        <v>21627</v>
      </c>
      <c r="F104" s="2">
        <v>24067</v>
      </c>
      <c r="G104" s="2">
        <v>48762</v>
      </c>
      <c r="H104" s="2">
        <v>74953</v>
      </c>
      <c r="I104" s="2">
        <v>103417</v>
      </c>
      <c r="J104" s="2">
        <v>116581</v>
      </c>
      <c r="K104" s="2">
        <v>133789</v>
      </c>
      <c r="L104" s="2">
        <v>155642</v>
      </c>
      <c r="M104" s="2">
        <v>183308</v>
      </c>
      <c r="N104" s="2">
        <v>204950</v>
      </c>
      <c r="O104" s="2">
        <v>229881</v>
      </c>
      <c r="P104" s="2">
        <v>1314534</v>
      </c>
      <c r="Q104" s="2">
        <v>101118</v>
      </c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3"/>
    </row>
    <row r="105" spans="1:34" x14ac:dyDescent="0.25">
      <c r="A105" s="13" t="s">
        <v>155</v>
      </c>
      <c r="B105" s="13" t="s">
        <v>156</v>
      </c>
      <c r="C105" s="2">
        <v>229659708</v>
      </c>
      <c r="D105" s="2">
        <v>228329029</v>
      </c>
      <c r="E105" s="2">
        <v>231048752</v>
      </c>
      <c r="F105" s="2">
        <v>229681128</v>
      </c>
      <c r="G105" s="2">
        <v>232093573</v>
      </c>
      <c r="H105" s="2">
        <v>234438303</v>
      </c>
      <c r="I105" s="2">
        <v>227344494</v>
      </c>
      <c r="J105" s="2">
        <v>221800111</v>
      </c>
      <c r="K105" s="2">
        <v>220167244</v>
      </c>
      <c r="L105" s="2">
        <v>222548779</v>
      </c>
      <c r="M105" s="2">
        <v>219004452</v>
      </c>
      <c r="N105" s="2">
        <v>216358248</v>
      </c>
      <c r="O105" s="2">
        <v>205593022</v>
      </c>
      <c r="P105" s="2">
        <v>2918066843</v>
      </c>
      <c r="Q105" s="2">
        <v>224466680</v>
      </c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3"/>
    </row>
    <row r="106" spans="1:34" x14ac:dyDescent="0.25">
      <c r="A106" s="13" t="s">
        <v>157</v>
      </c>
      <c r="B106" s="13" t="s">
        <v>158</v>
      </c>
      <c r="C106" s="2">
        <v>1066664</v>
      </c>
      <c r="D106" s="2">
        <v>1084631</v>
      </c>
      <c r="E106" s="2">
        <v>1165883</v>
      </c>
      <c r="F106" s="2">
        <v>1146847</v>
      </c>
      <c r="G106" s="2">
        <v>1158095</v>
      </c>
      <c r="H106" s="2">
        <v>1162532</v>
      </c>
      <c r="I106" s="2">
        <v>1168300</v>
      </c>
      <c r="J106" s="2">
        <v>1178009</v>
      </c>
      <c r="K106" s="2">
        <v>1185648</v>
      </c>
      <c r="L106" s="2">
        <v>1226368</v>
      </c>
      <c r="M106" s="2">
        <v>1240534</v>
      </c>
      <c r="N106" s="2">
        <v>1241943</v>
      </c>
      <c r="O106" s="2">
        <v>1232745</v>
      </c>
      <c r="P106" s="2">
        <v>15258199</v>
      </c>
      <c r="Q106" s="2">
        <v>1173708</v>
      </c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3"/>
    </row>
    <row r="107" spans="1:34" x14ac:dyDescent="0.25">
      <c r="A107" s="13" t="s">
        <v>159</v>
      </c>
      <c r="B107" s="13" t="s">
        <v>160</v>
      </c>
      <c r="C107" s="2">
        <v>20980262</v>
      </c>
      <c r="D107" s="2">
        <v>20459978</v>
      </c>
      <c r="E107" s="2">
        <v>21399091</v>
      </c>
      <c r="F107" s="2">
        <v>18339431</v>
      </c>
      <c r="G107" s="2">
        <v>19215225</v>
      </c>
      <c r="H107" s="2">
        <v>18571770</v>
      </c>
      <c r="I107" s="2">
        <v>17047318</v>
      </c>
      <c r="J107" s="2">
        <v>17973455</v>
      </c>
      <c r="K107" s="2">
        <v>17497656</v>
      </c>
      <c r="L107" s="2">
        <v>17114346</v>
      </c>
      <c r="M107" s="2">
        <v>16662541</v>
      </c>
      <c r="N107" s="2">
        <v>15229670</v>
      </c>
      <c r="O107" s="2">
        <v>14639395</v>
      </c>
      <c r="P107" s="2">
        <v>235130139</v>
      </c>
      <c r="Q107" s="2">
        <v>18086934</v>
      </c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3"/>
    </row>
    <row r="108" spans="1:34" x14ac:dyDescent="0.25">
      <c r="A108" s="13" t="s">
        <v>161</v>
      </c>
      <c r="B108" s="13" t="s">
        <v>162</v>
      </c>
      <c r="C108" s="2">
        <v>0</v>
      </c>
      <c r="D108" s="2">
        <v>140</v>
      </c>
      <c r="E108" s="2">
        <v>13091</v>
      </c>
      <c r="F108" s="2">
        <v>9795</v>
      </c>
      <c r="G108" s="2">
        <v>10495</v>
      </c>
      <c r="H108" s="2">
        <v>10910</v>
      </c>
      <c r="I108" s="2">
        <v>12062</v>
      </c>
      <c r="J108" s="2">
        <v>15117</v>
      </c>
      <c r="K108" s="2">
        <v>16482</v>
      </c>
      <c r="L108" s="2">
        <v>22242</v>
      </c>
      <c r="M108" s="2">
        <v>23917</v>
      </c>
      <c r="N108" s="2">
        <v>20337</v>
      </c>
      <c r="O108" s="2">
        <v>20662</v>
      </c>
      <c r="P108" s="2">
        <v>175250</v>
      </c>
      <c r="Q108" s="2">
        <v>13481</v>
      </c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3"/>
    </row>
    <row r="109" spans="1:34" x14ac:dyDescent="0.25">
      <c r="A109" s="13" t="s">
        <v>163</v>
      </c>
      <c r="B109" s="13" t="s">
        <v>164</v>
      </c>
      <c r="C109" s="2">
        <v>0</v>
      </c>
      <c r="D109" s="2">
        <v>0</v>
      </c>
      <c r="E109" s="2">
        <v>0</v>
      </c>
      <c r="F109" s="2">
        <v>18077</v>
      </c>
      <c r="G109" s="2">
        <v>18473</v>
      </c>
      <c r="H109" s="2">
        <v>18894</v>
      </c>
      <c r="I109" s="2">
        <v>74943</v>
      </c>
      <c r="J109" s="2">
        <v>74943</v>
      </c>
      <c r="K109" s="2">
        <v>74943</v>
      </c>
      <c r="L109" s="2">
        <v>75263</v>
      </c>
      <c r="M109" s="2">
        <v>76336</v>
      </c>
      <c r="N109" s="2">
        <v>76336</v>
      </c>
      <c r="O109" s="2">
        <v>76336</v>
      </c>
      <c r="P109" s="2">
        <v>584545</v>
      </c>
      <c r="Q109" s="2">
        <v>44965</v>
      </c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3"/>
    </row>
    <row r="110" spans="1:34" x14ac:dyDescent="0.25">
      <c r="A110" s="13" t="s">
        <v>165</v>
      </c>
      <c r="B110" s="13" t="s">
        <v>166</v>
      </c>
      <c r="C110" s="2">
        <v>37660</v>
      </c>
      <c r="D110" s="2">
        <v>45745</v>
      </c>
      <c r="E110" s="2">
        <v>37660</v>
      </c>
      <c r="F110" s="2">
        <v>37660</v>
      </c>
      <c r="G110" s="2">
        <v>37660</v>
      </c>
      <c r="H110" s="2">
        <v>37660</v>
      </c>
      <c r="I110" s="2">
        <v>65859</v>
      </c>
      <c r="J110" s="2">
        <v>65859</v>
      </c>
      <c r="K110" s="2">
        <v>65859</v>
      </c>
      <c r="L110" s="2">
        <v>67224</v>
      </c>
      <c r="M110" s="2">
        <v>65859</v>
      </c>
      <c r="N110" s="2">
        <v>70357</v>
      </c>
      <c r="O110" s="2">
        <v>69877</v>
      </c>
      <c r="P110" s="2">
        <v>704937</v>
      </c>
      <c r="Q110" s="2">
        <v>54226</v>
      </c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3"/>
    </row>
    <row r="111" spans="1:34" x14ac:dyDescent="0.25">
      <c r="A111" s="13" t="s">
        <v>167</v>
      </c>
      <c r="B111" s="13" t="s">
        <v>168</v>
      </c>
      <c r="C111" s="2">
        <v>-15589439</v>
      </c>
      <c r="D111" s="2">
        <v>-14517311</v>
      </c>
      <c r="E111" s="2">
        <v>-17718666</v>
      </c>
      <c r="F111" s="2">
        <v>-19424705</v>
      </c>
      <c r="G111" s="2">
        <v>-21081721</v>
      </c>
      <c r="H111" s="2">
        <v>-24896226</v>
      </c>
      <c r="I111" s="2">
        <v>-25850627</v>
      </c>
      <c r="J111" s="2">
        <v>-25632295</v>
      </c>
      <c r="K111" s="2">
        <v>-28570512</v>
      </c>
      <c r="L111" s="2">
        <v>-31829503</v>
      </c>
      <c r="M111" s="2">
        <v>-32022457</v>
      </c>
      <c r="N111" s="2">
        <v>-30927041</v>
      </c>
      <c r="O111" s="2">
        <v>-33020023</v>
      </c>
      <c r="P111" s="2">
        <v>-321080525</v>
      </c>
      <c r="Q111" s="2">
        <v>-24698502</v>
      </c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3"/>
    </row>
    <row r="112" spans="1:34" x14ac:dyDescent="0.25">
      <c r="A112" s="13" t="s">
        <v>169</v>
      </c>
      <c r="B112" s="13" t="s">
        <v>170</v>
      </c>
      <c r="C112" s="2">
        <v>-55537772</v>
      </c>
      <c r="D112" s="2">
        <v>-54624880</v>
      </c>
      <c r="E112" s="2">
        <v>-53574667</v>
      </c>
      <c r="F112" s="2">
        <v>-52249012</v>
      </c>
      <c r="G112" s="2">
        <v>-51458853</v>
      </c>
      <c r="H112" s="2">
        <v>-50783422</v>
      </c>
      <c r="I112" s="2">
        <v>-50107466</v>
      </c>
      <c r="J112" s="2">
        <v>-49089240</v>
      </c>
      <c r="K112" s="2">
        <v>-48187925</v>
      </c>
      <c r="L112" s="2">
        <v>-47253622</v>
      </c>
      <c r="M112" s="2">
        <v>-46382705</v>
      </c>
      <c r="N112" s="2">
        <v>-45189932</v>
      </c>
      <c r="O112" s="2">
        <v>-44354199</v>
      </c>
      <c r="P112" s="2">
        <v>-648793695</v>
      </c>
      <c r="Q112" s="2">
        <v>-49907207</v>
      </c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3"/>
    </row>
    <row r="113" spans="1:34" x14ac:dyDescent="0.25">
      <c r="A113" s="13" t="s">
        <v>171</v>
      </c>
      <c r="B113" s="13" t="s">
        <v>172</v>
      </c>
      <c r="C113" s="2">
        <v>139</v>
      </c>
      <c r="D113" s="2">
        <v>139</v>
      </c>
      <c r="E113" s="2">
        <v>139</v>
      </c>
      <c r="F113" s="2">
        <v>139</v>
      </c>
      <c r="G113" s="2">
        <v>139</v>
      </c>
      <c r="H113" s="2">
        <v>139</v>
      </c>
      <c r="I113" s="2">
        <v>139</v>
      </c>
      <c r="J113" s="2">
        <v>139</v>
      </c>
      <c r="K113" s="2">
        <v>139</v>
      </c>
      <c r="L113" s="2">
        <v>139</v>
      </c>
      <c r="M113" s="2">
        <v>139</v>
      </c>
      <c r="N113" s="2">
        <v>139</v>
      </c>
      <c r="O113" s="2">
        <v>139</v>
      </c>
      <c r="P113" s="2">
        <v>1801</v>
      </c>
      <c r="Q113" s="2">
        <v>139</v>
      </c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3"/>
    </row>
    <row r="114" spans="1:34" x14ac:dyDescent="0.25">
      <c r="A114" s="13" t="s">
        <v>173</v>
      </c>
      <c r="B114" s="13" t="s">
        <v>174</v>
      </c>
      <c r="C114" s="2">
        <v>-744049</v>
      </c>
      <c r="D114" s="2">
        <v>-758841</v>
      </c>
      <c r="E114" s="2">
        <v>-758737</v>
      </c>
      <c r="F114" s="2">
        <v>-773601</v>
      </c>
      <c r="G114" s="2">
        <v>-792185</v>
      </c>
      <c r="H114" s="2">
        <v>-796015</v>
      </c>
      <c r="I114" s="2">
        <v>-806810</v>
      </c>
      <c r="J114" s="2">
        <v>-816232</v>
      </c>
      <c r="K114" s="2">
        <v>-823703</v>
      </c>
      <c r="L114" s="2">
        <v>-790242</v>
      </c>
      <c r="M114" s="2">
        <v>-824770</v>
      </c>
      <c r="N114" s="2">
        <v>-799953</v>
      </c>
      <c r="O114" s="2">
        <v>-808476</v>
      </c>
      <c r="P114" s="2">
        <v>-10293614</v>
      </c>
      <c r="Q114" s="2">
        <v>-791816</v>
      </c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3"/>
    </row>
    <row r="115" spans="1:34" x14ac:dyDescent="0.25">
      <c r="A115" s="13" t="s">
        <v>175</v>
      </c>
      <c r="B115" s="13" t="s">
        <v>176</v>
      </c>
      <c r="C115" s="2">
        <v>-4099775</v>
      </c>
      <c r="D115" s="2">
        <v>-4122915</v>
      </c>
      <c r="E115" s="2">
        <v>-4158847</v>
      </c>
      <c r="F115" s="2">
        <v>-4263419</v>
      </c>
      <c r="G115" s="2">
        <v>-4224456</v>
      </c>
      <c r="H115" s="2">
        <v>-4244282</v>
      </c>
      <c r="I115" s="2">
        <v>-4434640</v>
      </c>
      <c r="J115" s="2">
        <v>-4392416</v>
      </c>
      <c r="K115" s="2">
        <v>-4430234</v>
      </c>
      <c r="L115" s="2">
        <v>-4535197</v>
      </c>
      <c r="M115" s="2">
        <v>-4594060</v>
      </c>
      <c r="N115" s="2">
        <v>-4604286</v>
      </c>
      <c r="O115" s="2">
        <v>-4598036</v>
      </c>
      <c r="P115" s="2">
        <v>-56702563</v>
      </c>
      <c r="Q115" s="2">
        <v>-4361736</v>
      </c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3"/>
    </row>
    <row r="116" spans="1:34" x14ac:dyDescent="0.25">
      <c r="A116" s="13" t="s">
        <v>177</v>
      </c>
      <c r="B116" s="13" t="s">
        <v>178</v>
      </c>
      <c r="C116" s="2">
        <v>-85494283</v>
      </c>
      <c r="D116" s="2">
        <v>-86512124</v>
      </c>
      <c r="E116" s="2">
        <v>-88139007</v>
      </c>
      <c r="F116" s="2">
        <v>-87502903</v>
      </c>
      <c r="G116" s="2">
        <v>-90011249</v>
      </c>
      <c r="H116" s="2">
        <v>-91139756</v>
      </c>
      <c r="I116" s="2">
        <v>-91102540</v>
      </c>
      <c r="J116" s="2">
        <v>-91205732</v>
      </c>
      <c r="K116" s="2">
        <v>-91716179</v>
      </c>
      <c r="L116" s="2">
        <v>-90264072</v>
      </c>
      <c r="M116" s="2">
        <v>-89501393</v>
      </c>
      <c r="N116" s="2">
        <v>-84958935</v>
      </c>
      <c r="O116" s="2">
        <v>-86351305</v>
      </c>
      <c r="P116" s="2">
        <v>-1153899479</v>
      </c>
      <c r="Q116" s="2">
        <v>-88761498</v>
      </c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3"/>
    </row>
    <row r="117" spans="1:34" x14ac:dyDescent="0.25">
      <c r="A117" s="13" t="s">
        <v>179</v>
      </c>
      <c r="B117" s="13" t="s">
        <v>180</v>
      </c>
      <c r="C117" s="2">
        <v>1065770</v>
      </c>
      <c r="D117" s="2">
        <v>1027869</v>
      </c>
      <c r="E117" s="2">
        <v>987637</v>
      </c>
      <c r="F117" s="2">
        <v>944119</v>
      </c>
      <c r="G117" s="2">
        <v>911376</v>
      </c>
      <c r="H117" s="2">
        <v>878073</v>
      </c>
      <c r="I117" s="2">
        <v>857939</v>
      </c>
      <c r="J117" s="2">
        <v>833540</v>
      </c>
      <c r="K117" s="2">
        <v>826549</v>
      </c>
      <c r="L117" s="2">
        <v>820155</v>
      </c>
      <c r="M117" s="2">
        <v>818044</v>
      </c>
      <c r="N117" s="2">
        <v>830931</v>
      </c>
      <c r="O117" s="2">
        <v>800877</v>
      </c>
      <c r="P117" s="2">
        <v>11602879</v>
      </c>
      <c r="Q117" s="2">
        <v>892529</v>
      </c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3"/>
    </row>
    <row r="118" spans="1:34" x14ac:dyDescent="0.25">
      <c r="A118" s="13" t="s">
        <v>181</v>
      </c>
      <c r="B118" s="13" t="s">
        <v>182</v>
      </c>
      <c r="C118" s="2">
        <v>13828</v>
      </c>
      <c r="D118" s="2">
        <v>36507</v>
      </c>
      <c r="E118" s="2">
        <v>41340</v>
      </c>
      <c r="F118" s="2">
        <v>46552</v>
      </c>
      <c r="G118" s="2">
        <v>53594</v>
      </c>
      <c r="H118" s="2">
        <v>59856</v>
      </c>
      <c r="I118" s="2">
        <v>66313</v>
      </c>
      <c r="J118" s="2">
        <v>79037</v>
      </c>
      <c r="K118" s="2">
        <v>86704</v>
      </c>
      <c r="L118" s="2">
        <v>92075</v>
      </c>
      <c r="M118" s="2">
        <v>109288</v>
      </c>
      <c r="N118" s="2">
        <v>140089</v>
      </c>
      <c r="O118" s="2">
        <v>169412</v>
      </c>
      <c r="P118" s="2">
        <v>994595</v>
      </c>
      <c r="Q118" s="2">
        <v>76507</v>
      </c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3"/>
    </row>
    <row r="119" spans="1:34" x14ac:dyDescent="0.25">
      <c r="A119" s="13" t="s">
        <v>183</v>
      </c>
      <c r="B119" s="13" t="s">
        <v>184</v>
      </c>
      <c r="C119" s="2">
        <v>215150</v>
      </c>
      <c r="D119" s="2">
        <v>226454</v>
      </c>
      <c r="E119" s="2">
        <v>805759</v>
      </c>
      <c r="F119" s="2">
        <v>1684974</v>
      </c>
      <c r="G119" s="2">
        <v>3522074</v>
      </c>
      <c r="H119" s="2">
        <v>5163047</v>
      </c>
      <c r="I119" s="2">
        <v>5831020</v>
      </c>
      <c r="J119" s="2">
        <v>8318262</v>
      </c>
      <c r="K119" s="2">
        <v>9086838</v>
      </c>
      <c r="L119" s="2">
        <v>9722512</v>
      </c>
      <c r="M119" s="2">
        <v>10121211</v>
      </c>
      <c r="N119" s="2">
        <v>10563971</v>
      </c>
      <c r="O119" s="2">
        <v>10638609</v>
      </c>
      <c r="P119" s="2">
        <v>75899881</v>
      </c>
      <c r="Q119" s="2">
        <v>5838452</v>
      </c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3"/>
    </row>
    <row r="120" spans="1:34" x14ac:dyDescent="0.25">
      <c r="A120" s="13" t="s">
        <v>185</v>
      </c>
      <c r="B120" s="13" t="s">
        <v>186</v>
      </c>
      <c r="C120" s="2">
        <v>26181695</v>
      </c>
      <c r="D120" s="2">
        <v>27282734</v>
      </c>
      <c r="E120" s="2">
        <v>28254246</v>
      </c>
      <c r="F120" s="2">
        <v>30137171</v>
      </c>
      <c r="G120" s="2">
        <v>30591737</v>
      </c>
      <c r="H120" s="2">
        <v>30958800</v>
      </c>
      <c r="I120" s="2">
        <v>33619938</v>
      </c>
      <c r="J120" s="2">
        <v>34166096</v>
      </c>
      <c r="K120" s="2">
        <v>34616573</v>
      </c>
      <c r="L120" s="2">
        <v>34953869</v>
      </c>
      <c r="M120" s="2">
        <v>36339588</v>
      </c>
      <c r="N120" s="2">
        <v>36835746</v>
      </c>
      <c r="O120" s="2">
        <v>38123553</v>
      </c>
      <c r="P120" s="2">
        <v>422061744</v>
      </c>
      <c r="Q120" s="2">
        <v>32466288</v>
      </c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3"/>
    </row>
    <row r="121" spans="1:34" x14ac:dyDescent="0.25">
      <c r="A121" s="13" t="s">
        <v>187</v>
      </c>
      <c r="B121" s="13" t="s">
        <v>188</v>
      </c>
      <c r="C121" s="2">
        <v>52191148</v>
      </c>
      <c r="D121" s="2">
        <v>50638985</v>
      </c>
      <c r="E121" s="2">
        <v>49947468</v>
      </c>
      <c r="F121" s="2">
        <v>47365696</v>
      </c>
      <c r="G121" s="2">
        <v>45450167</v>
      </c>
      <c r="H121" s="2">
        <v>43478485</v>
      </c>
      <c r="I121" s="2">
        <v>49024001</v>
      </c>
      <c r="J121" s="2">
        <v>45659505</v>
      </c>
      <c r="K121" s="2">
        <v>43816500</v>
      </c>
      <c r="L121" s="2">
        <v>45886592</v>
      </c>
      <c r="M121" s="2">
        <v>43281180</v>
      </c>
      <c r="N121" s="2">
        <v>43836782</v>
      </c>
      <c r="O121" s="2">
        <v>42173466</v>
      </c>
      <c r="P121" s="2">
        <v>602749976</v>
      </c>
      <c r="Q121" s="2">
        <v>46365383</v>
      </c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3"/>
    </row>
    <row r="122" spans="1:34" x14ac:dyDescent="0.25">
      <c r="A122" s="13" t="s">
        <v>189</v>
      </c>
      <c r="B122" s="13" t="s">
        <v>190</v>
      </c>
      <c r="C122" s="2">
        <v>-308271772</v>
      </c>
      <c r="D122" s="2">
        <v>-308271772</v>
      </c>
      <c r="E122" s="2">
        <v>-308271772</v>
      </c>
      <c r="F122" s="2">
        <v>-308271772</v>
      </c>
      <c r="G122" s="2">
        <v>-308271772</v>
      </c>
      <c r="H122" s="2">
        <v>-308271772</v>
      </c>
      <c r="I122" s="2">
        <v>-308271772</v>
      </c>
      <c r="J122" s="2">
        <v>-308271772</v>
      </c>
      <c r="K122" s="2">
        <v>-308270572</v>
      </c>
      <c r="L122" s="2">
        <v>-308270572</v>
      </c>
      <c r="M122" s="2">
        <v>-308270572</v>
      </c>
      <c r="N122" s="2">
        <v>-308270572</v>
      </c>
      <c r="O122" s="2">
        <v>-308270572</v>
      </c>
      <c r="P122" s="2">
        <v>-4007527038</v>
      </c>
      <c r="Q122" s="2">
        <v>-308271311</v>
      </c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3"/>
    </row>
    <row r="123" spans="1:34" x14ac:dyDescent="0.25">
      <c r="A123" s="13" t="s">
        <v>191</v>
      </c>
      <c r="B123" s="13" t="s">
        <v>192</v>
      </c>
      <c r="C123" s="2">
        <v>408725</v>
      </c>
      <c r="D123" s="2">
        <v>1410881</v>
      </c>
      <c r="E123" s="2">
        <v>1723886</v>
      </c>
      <c r="F123" s="2">
        <v>1762020</v>
      </c>
      <c r="G123" s="2">
        <v>2997586</v>
      </c>
      <c r="H123" s="2">
        <v>3123189</v>
      </c>
      <c r="I123" s="2">
        <v>4440216</v>
      </c>
      <c r="J123" s="2">
        <v>5185209</v>
      </c>
      <c r="K123" s="2">
        <v>8300459</v>
      </c>
      <c r="L123" s="2">
        <v>8319619</v>
      </c>
      <c r="M123" s="2">
        <v>8386992</v>
      </c>
      <c r="N123" s="2">
        <v>8507397</v>
      </c>
      <c r="O123" s="2">
        <v>8670858</v>
      </c>
      <c r="P123" s="2">
        <v>63237037</v>
      </c>
      <c r="Q123" s="2">
        <v>4864387</v>
      </c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3"/>
    </row>
    <row r="124" spans="1:34" x14ac:dyDescent="0.25">
      <c r="A124" s="13" t="s">
        <v>193</v>
      </c>
      <c r="B124" s="13" t="s">
        <v>194</v>
      </c>
      <c r="C124" s="2">
        <v>3500</v>
      </c>
      <c r="D124" s="2">
        <v>3500</v>
      </c>
      <c r="E124" s="2">
        <v>3500</v>
      </c>
      <c r="F124" s="2">
        <v>3644</v>
      </c>
      <c r="G124" s="2">
        <v>3644</v>
      </c>
      <c r="H124" s="2">
        <v>3644</v>
      </c>
      <c r="I124" s="2">
        <v>3644</v>
      </c>
      <c r="J124" s="2">
        <v>3644</v>
      </c>
      <c r="K124" s="2">
        <v>3644</v>
      </c>
      <c r="L124" s="2">
        <v>3644</v>
      </c>
      <c r="M124" s="2">
        <v>3704</v>
      </c>
      <c r="N124" s="2">
        <v>3704</v>
      </c>
      <c r="O124" s="2">
        <v>3704</v>
      </c>
      <c r="P124" s="2">
        <v>47120</v>
      </c>
      <c r="Q124" s="2">
        <v>3625</v>
      </c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3"/>
    </row>
    <row r="125" spans="1:34" x14ac:dyDescent="0.25">
      <c r="A125" s="13" t="s">
        <v>195</v>
      </c>
      <c r="B125" s="13" t="s">
        <v>196</v>
      </c>
      <c r="C125" s="2">
        <v>-163</v>
      </c>
      <c r="D125" s="2">
        <v>-163</v>
      </c>
      <c r="E125" s="2">
        <v>-163</v>
      </c>
      <c r="F125" s="2">
        <v>-163</v>
      </c>
      <c r="G125" s="2">
        <v>-163</v>
      </c>
      <c r="H125" s="2">
        <v>-163</v>
      </c>
      <c r="I125" s="2">
        <v>-163</v>
      </c>
      <c r="J125" s="2">
        <v>-163</v>
      </c>
      <c r="K125" s="2">
        <v>-163</v>
      </c>
      <c r="L125" s="2">
        <v>-163</v>
      </c>
      <c r="M125" s="2">
        <v>-163</v>
      </c>
      <c r="N125" s="2">
        <v>-163</v>
      </c>
      <c r="O125" s="2">
        <v>-163</v>
      </c>
      <c r="P125" s="2">
        <v>-2117</v>
      </c>
      <c r="Q125" s="2">
        <v>-163</v>
      </c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3"/>
    </row>
    <row r="126" spans="1:34" x14ac:dyDescent="0.25">
      <c r="A126" s="13" t="s">
        <v>197</v>
      </c>
      <c r="B126" s="13" t="s">
        <v>198</v>
      </c>
      <c r="C126" s="2">
        <v>6500</v>
      </c>
      <c r="D126" s="2">
        <v>6500</v>
      </c>
      <c r="E126" s="2">
        <v>6500</v>
      </c>
      <c r="F126" s="2">
        <v>6500</v>
      </c>
      <c r="G126" s="2">
        <v>6500</v>
      </c>
      <c r="H126" s="2">
        <v>6500</v>
      </c>
      <c r="I126" s="2">
        <v>6500</v>
      </c>
      <c r="J126" s="2">
        <v>6500</v>
      </c>
      <c r="K126" s="2">
        <v>6500</v>
      </c>
      <c r="L126" s="2">
        <v>6500</v>
      </c>
      <c r="M126" s="2">
        <v>6500</v>
      </c>
      <c r="N126" s="2">
        <v>6500</v>
      </c>
      <c r="O126" s="2">
        <v>6500</v>
      </c>
      <c r="P126" s="2">
        <v>84500</v>
      </c>
      <c r="Q126" s="2">
        <v>6500</v>
      </c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3"/>
    </row>
    <row r="127" spans="1:34" x14ac:dyDescent="0.25">
      <c r="A127" s="13" t="s">
        <v>199</v>
      </c>
      <c r="B127" s="13" t="s">
        <v>200</v>
      </c>
      <c r="C127" s="2">
        <v>2861715</v>
      </c>
      <c r="D127" s="2">
        <v>2856755</v>
      </c>
      <c r="E127" s="2">
        <v>2844435</v>
      </c>
      <c r="F127" s="2">
        <v>2822765</v>
      </c>
      <c r="G127" s="2">
        <v>2818993</v>
      </c>
      <c r="H127" s="2">
        <v>2822738</v>
      </c>
      <c r="I127" s="2">
        <v>2822548</v>
      </c>
      <c r="J127" s="2">
        <v>2818183</v>
      </c>
      <c r="K127" s="2">
        <v>2810016</v>
      </c>
      <c r="L127" s="2">
        <v>2790680</v>
      </c>
      <c r="M127" s="2">
        <v>2793798</v>
      </c>
      <c r="N127" s="2">
        <v>2792046</v>
      </c>
      <c r="O127" s="2">
        <v>2775908</v>
      </c>
      <c r="P127" s="2">
        <v>36630579</v>
      </c>
      <c r="Q127" s="2">
        <v>2817737</v>
      </c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3"/>
    </row>
    <row r="128" spans="1:34" x14ac:dyDescent="0.25">
      <c r="A128" s="13" t="s">
        <v>201</v>
      </c>
      <c r="B128" s="13" t="s">
        <v>202</v>
      </c>
      <c r="C128" s="2">
        <v>109634</v>
      </c>
      <c r="D128" s="2">
        <v>109634</v>
      </c>
      <c r="E128" s="2">
        <v>109634</v>
      </c>
      <c r="F128" s="2">
        <v>109634</v>
      </c>
      <c r="G128" s="2">
        <v>109634</v>
      </c>
      <c r="H128" s="2">
        <v>109634</v>
      </c>
      <c r="I128" s="2">
        <v>109634</v>
      </c>
      <c r="J128" s="2">
        <v>109634</v>
      </c>
      <c r="K128" s="2">
        <v>109634</v>
      </c>
      <c r="L128" s="2">
        <v>109634</v>
      </c>
      <c r="M128" s="2">
        <v>109634</v>
      </c>
      <c r="N128" s="2">
        <v>109634</v>
      </c>
      <c r="O128" s="2">
        <v>109634</v>
      </c>
      <c r="P128" s="2">
        <v>1425236</v>
      </c>
      <c r="Q128" s="2">
        <v>109634</v>
      </c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3"/>
    </row>
    <row r="129" spans="1:34" x14ac:dyDescent="0.25">
      <c r="A129" s="13" t="s">
        <v>203</v>
      </c>
      <c r="B129" s="13" t="s">
        <v>204</v>
      </c>
      <c r="C129" s="2">
        <v>143190</v>
      </c>
      <c r="D129" s="2">
        <v>146055</v>
      </c>
      <c r="E129" s="2">
        <v>163322</v>
      </c>
      <c r="F129" s="2">
        <v>162714</v>
      </c>
      <c r="G129" s="2">
        <v>166390</v>
      </c>
      <c r="H129" s="2">
        <v>167498</v>
      </c>
      <c r="I129" s="2">
        <v>168548</v>
      </c>
      <c r="J129" s="2">
        <v>170949</v>
      </c>
      <c r="K129" s="2">
        <v>173076</v>
      </c>
      <c r="L129" s="2">
        <v>180121</v>
      </c>
      <c r="M129" s="2">
        <v>184898</v>
      </c>
      <c r="N129" s="2">
        <v>186298</v>
      </c>
      <c r="O129" s="2">
        <v>183748</v>
      </c>
      <c r="P129" s="2">
        <v>2196808</v>
      </c>
      <c r="Q129" s="2">
        <v>168985</v>
      </c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3"/>
    </row>
    <row r="130" spans="1:34" x14ac:dyDescent="0.25">
      <c r="C130" s="26" t="s">
        <v>67</v>
      </c>
      <c r="D130" s="26" t="s">
        <v>67</v>
      </c>
      <c r="E130" s="26" t="s">
        <v>67</v>
      </c>
      <c r="F130" s="26" t="s">
        <v>67</v>
      </c>
      <c r="G130" s="26" t="s">
        <v>67</v>
      </c>
      <c r="H130" s="26" t="s">
        <v>67</v>
      </c>
      <c r="I130" s="26" t="s">
        <v>67</v>
      </c>
      <c r="J130" s="26" t="s">
        <v>67</v>
      </c>
      <c r="K130" s="26" t="s">
        <v>67</v>
      </c>
      <c r="L130" s="26" t="s">
        <v>67</v>
      </c>
      <c r="M130" s="26" t="s">
        <v>67</v>
      </c>
      <c r="N130" s="26" t="s">
        <v>67</v>
      </c>
      <c r="O130" s="26" t="s">
        <v>67</v>
      </c>
      <c r="P130" s="26" t="s">
        <v>67</v>
      </c>
      <c r="Q130" s="26" t="s">
        <v>67</v>
      </c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3"/>
    </row>
    <row r="131" spans="1:34" x14ac:dyDescent="0.25">
      <c r="A131" s="21" t="s">
        <v>205</v>
      </c>
      <c r="B131" s="22"/>
      <c r="C131" s="23">
        <v>-53473801</v>
      </c>
      <c r="D131" s="23">
        <v>-52927683</v>
      </c>
      <c r="E131" s="23">
        <v>-50782991</v>
      </c>
      <c r="F131" s="23">
        <v>-53728742</v>
      </c>
      <c r="G131" s="23">
        <v>-52528295</v>
      </c>
      <c r="H131" s="23">
        <v>-54546955</v>
      </c>
      <c r="I131" s="23">
        <v>-53198317</v>
      </c>
      <c r="J131" s="23">
        <v>-56088549</v>
      </c>
      <c r="K131" s="23">
        <v>-57339401</v>
      </c>
      <c r="L131" s="23">
        <v>-53454763</v>
      </c>
      <c r="M131" s="23">
        <v>-55104746</v>
      </c>
      <c r="N131" s="23">
        <v>-47993900</v>
      </c>
      <c r="O131" s="23">
        <v>-62628904</v>
      </c>
      <c r="P131" s="23">
        <v>-703797045</v>
      </c>
      <c r="Q131" s="23">
        <v>-54138234</v>
      </c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3"/>
    </row>
    <row r="132" spans="1:34" x14ac:dyDescent="0.25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3"/>
    </row>
    <row r="133" spans="1:34" x14ac:dyDescent="0.25">
      <c r="A133" s="21" t="s">
        <v>206</v>
      </c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3"/>
    </row>
    <row r="134" spans="1:34" x14ac:dyDescent="0.25">
      <c r="A134" s="13" t="s">
        <v>207</v>
      </c>
      <c r="B134" s="13" t="s">
        <v>208</v>
      </c>
      <c r="C134" s="2">
        <v>6052</v>
      </c>
      <c r="D134" s="2">
        <v>5359</v>
      </c>
      <c r="E134" s="2">
        <v>4693</v>
      </c>
      <c r="F134" s="2">
        <v>4045</v>
      </c>
      <c r="G134" s="2">
        <v>3343</v>
      </c>
      <c r="H134" s="2">
        <v>2641</v>
      </c>
      <c r="I134" s="2">
        <v>1939</v>
      </c>
      <c r="J134" s="2">
        <v>1400</v>
      </c>
      <c r="K134" s="2">
        <v>696</v>
      </c>
      <c r="L134" s="2">
        <v>9008</v>
      </c>
      <c r="M134" s="2">
        <v>8092</v>
      </c>
      <c r="N134" s="2">
        <v>7179</v>
      </c>
      <c r="O134" s="2">
        <v>6158</v>
      </c>
      <c r="P134" s="2">
        <v>60605</v>
      </c>
      <c r="Q134" s="2">
        <v>4662</v>
      </c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3"/>
    </row>
    <row r="135" spans="1:34" x14ac:dyDescent="0.25">
      <c r="A135" s="13" t="s">
        <v>209</v>
      </c>
      <c r="B135" s="13" t="s">
        <v>210</v>
      </c>
      <c r="C135" s="2">
        <v>103292</v>
      </c>
      <c r="D135" s="2">
        <v>104376</v>
      </c>
      <c r="E135" s="2">
        <v>113752</v>
      </c>
      <c r="F135" s="2">
        <v>101620</v>
      </c>
      <c r="G135" s="2">
        <v>89487</v>
      </c>
      <c r="H135" s="2">
        <v>77354</v>
      </c>
      <c r="I135" s="2">
        <v>65002</v>
      </c>
      <c r="J135" s="2">
        <v>52651</v>
      </c>
      <c r="K135" s="2">
        <v>39877</v>
      </c>
      <c r="L135" s="2">
        <v>55022</v>
      </c>
      <c r="M135" s="2">
        <v>42248</v>
      </c>
      <c r="N135" s="2">
        <v>46106</v>
      </c>
      <c r="O135" s="2">
        <v>33125</v>
      </c>
      <c r="P135" s="2">
        <v>923910</v>
      </c>
      <c r="Q135" s="2">
        <v>71070</v>
      </c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3"/>
    </row>
    <row r="136" spans="1:34" x14ac:dyDescent="0.25">
      <c r="C136" s="26" t="s">
        <v>67</v>
      </c>
      <c r="D136" s="26" t="s">
        <v>67</v>
      </c>
      <c r="E136" s="26" t="s">
        <v>67</v>
      </c>
      <c r="F136" s="26" t="s">
        <v>67</v>
      </c>
      <c r="G136" s="26" t="s">
        <v>67</v>
      </c>
      <c r="H136" s="26" t="s">
        <v>67</v>
      </c>
      <c r="I136" s="26" t="s">
        <v>67</v>
      </c>
      <c r="J136" s="26" t="s">
        <v>67</v>
      </c>
      <c r="K136" s="26" t="s">
        <v>67</v>
      </c>
      <c r="L136" s="26" t="s">
        <v>67</v>
      </c>
      <c r="M136" s="26" t="s">
        <v>67</v>
      </c>
      <c r="N136" s="26" t="s">
        <v>67</v>
      </c>
      <c r="O136" s="26" t="s">
        <v>67</v>
      </c>
      <c r="P136" s="26" t="s">
        <v>67</v>
      </c>
      <c r="Q136" s="26" t="s">
        <v>67</v>
      </c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3"/>
    </row>
    <row r="137" spans="1:34" x14ac:dyDescent="0.25">
      <c r="A137" s="21" t="s">
        <v>211</v>
      </c>
      <c r="B137" s="22"/>
      <c r="C137" s="23">
        <v>109344</v>
      </c>
      <c r="D137" s="23">
        <v>109735</v>
      </c>
      <c r="E137" s="23">
        <v>118445</v>
      </c>
      <c r="F137" s="23">
        <v>105665</v>
      </c>
      <c r="G137" s="23">
        <v>92830</v>
      </c>
      <c r="H137" s="23">
        <v>79995</v>
      </c>
      <c r="I137" s="23">
        <v>66941</v>
      </c>
      <c r="J137" s="23">
        <v>54051</v>
      </c>
      <c r="K137" s="23">
        <v>40573</v>
      </c>
      <c r="L137" s="23">
        <v>64030</v>
      </c>
      <c r="M137" s="23">
        <v>50340</v>
      </c>
      <c r="N137" s="23">
        <v>53285</v>
      </c>
      <c r="O137" s="23">
        <v>39283</v>
      </c>
      <c r="P137" s="23">
        <v>984515</v>
      </c>
      <c r="Q137" s="23">
        <v>75732</v>
      </c>
      <c r="R137" s="15">
        <f>SUM(T137:Y137)-Q137</f>
        <v>0</v>
      </c>
      <c r="S137" s="15" t="s">
        <v>16</v>
      </c>
      <c r="T137" s="15">
        <f t="shared" ref="T137:Y137" si="8">$Q137*T5</f>
        <v>16130.915999999999</v>
      </c>
      <c r="U137" s="15">
        <f t="shared" si="8"/>
        <v>26354.735999999997</v>
      </c>
      <c r="V137" s="15">
        <f t="shared" si="8"/>
        <v>10905.407999999999</v>
      </c>
      <c r="W137" s="15">
        <f t="shared" si="8"/>
        <v>75.731999999999999</v>
      </c>
      <c r="X137" s="15">
        <f t="shared" si="8"/>
        <v>75.731999999999999</v>
      </c>
      <c r="Y137" s="15">
        <f t="shared" si="8"/>
        <v>22189.475999999999</v>
      </c>
      <c r="Z137" s="15"/>
      <c r="AA137" s="15" t="s">
        <v>16</v>
      </c>
      <c r="AB137" s="15">
        <f t="shared" ref="AB137:AG137" si="9">$O137*AB$5</f>
        <v>8367.2790000000005</v>
      </c>
      <c r="AC137" s="15">
        <f t="shared" si="9"/>
        <v>13670.483999999999</v>
      </c>
      <c r="AD137" s="15">
        <f t="shared" si="9"/>
        <v>5656.7519999999995</v>
      </c>
      <c r="AE137" s="15">
        <f t="shared" si="9"/>
        <v>39.283000000000001</v>
      </c>
      <c r="AF137" s="15">
        <f t="shared" si="9"/>
        <v>39.283000000000001</v>
      </c>
      <c r="AG137" s="15">
        <f t="shared" si="9"/>
        <v>11509.919</v>
      </c>
      <c r="AH137" s="27">
        <f>SUM(AB137:AG137)-O137</f>
        <v>0</v>
      </c>
    </row>
    <row r="138" spans="1:34" x14ac:dyDescent="0.25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3"/>
    </row>
    <row r="139" spans="1:34" x14ac:dyDescent="0.25">
      <c r="A139" s="21" t="s">
        <v>212</v>
      </c>
      <c r="B139" s="22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3"/>
    </row>
    <row r="140" spans="1:34" x14ac:dyDescent="0.25">
      <c r="A140" s="13" t="s">
        <v>213</v>
      </c>
      <c r="B140" s="13" t="s">
        <v>214</v>
      </c>
      <c r="C140" s="2">
        <v>92184</v>
      </c>
      <c r="D140" s="2">
        <v>92184</v>
      </c>
      <c r="E140" s="2">
        <v>92184</v>
      </c>
      <c r="F140" s="2">
        <v>92184</v>
      </c>
      <c r="G140" s="2">
        <v>92184</v>
      </c>
      <c r="H140" s="2">
        <v>127184</v>
      </c>
      <c r="I140" s="2">
        <v>127184</v>
      </c>
      <c r="J140" s="2">
        <v>127184</v>
      </c>
      <c r="K140" s="2">
        <v>127184</v>
      </c>
      <c r="L140" s="2">
        <v>127184</v>
      </c>
      <c r="M140" s="2">
        <v>127184</v>
      </c>
      <c r="N140" s="2">
        <v>127184</v>
      </c>
      <c r="O140" s="2">
        <v>127184</v>
      </c>
      <c r="P140" s="2">
        <v>1478390</v>
      </c>
      <c r="Q140" s="2">
        <v>113722</v>
      </c>
      <c r="R140" s="15">
        <f>SUM(T140:Y140)-Q140</f>
        <v>0</v>
      </c>
      <c r="S140" s="15" t="s">
        <v>16</v>
      </c>
      <c r="T140" s="15">
        <f t="shared" ref="T140:Y140" si="10">$Q140*T5</f>
        <v>24222.786</v>
      </c>
      <c r="U140" s="15">
        <f t="shared" si="10"/>
        <v>39575.255999999994</v>
      </c>
      <c r="V140" s="15">
        <f t="shared" si="10"/>
        <v>16375.967999999999</v>
      </c>
      <c r="W140" s="15">
        <f t="shared" si="10"/>
        <v>113.72200000000001</v>
      </c>
      <c r="X140" s="15">
        <f t="shared" si="10"/>
        <v>113.72200000000001</v>
      </c>
      <c r="Y140" s="15">
        <f t="shared" si="10"/>
        <v>33320.545999999995</v>
      </c>
      <c r="Z140" s="15"/>
      <c r="AA140" s="15" t="s">
        <v>16</v>
      </c>
      <c r="AB140" s="15">
        <f t="shared" ref="AB140:AG140" si="11">$O140*AB$5</f>
        <v>27090.191999999999</v>
      </c>
      <c r="AC140" s="15">
        <f t="shared" si="11"/>
        <v>44260.031999999999</v>
      </c>
      <c r="AD140" s="15">
        <f t="shared" si="11"/>
        <v>18314.495999999999</v>
      </c>
      <c r="AE140" s="15">
        <f t="shared" si="11"/>
        <v>127.184</v>
      </c>
      <c r="AF140" s="15">
        <f t="shared" si="11"/>
        <v>127.184</v>
      </c>
      <c r="AG140" s="15">
        <f t="shared" si="11"/>
        <v>37264.911999999997</v>
      </c>
      <c r="AH140" s="27">
        <f>SUM(AB140:AG140)-O140</f>
        <v>0</v>
      </c>
    </row>
    <row r="141" spans="1:34" x14ac:dyDescent="0.25">
      <c r="C141" s="26" t="s">
        <v>67</v>
      </c>
      <c r="D141" s="26" t="s">
        <v>67</v>
      </c>
      <c r="E141" s="26" t="s">
        <v>67</v>
      </c>
      <c r="F141" s="26" t="s">
        <v>67</v>
      </c>
      <c r="G141" s="26" t="s">
        <v>67</v>
      </c>
      <c r="H141" s="26" t="s">
        <v>67</v>
      </c>
      <c r="I141" s="26" t="s">
        <v>67</v>
      </c>
      <c r="J141" s="26" t="s">
        <v>67</v>
      </c>
      <c r="K141" s="26" t="s">
        <v>67</v>
      </c>
      <c r="L141" s="26" t="s">
        <v>67</v>
      </c>
      <c r="M141" s="26" t="s">
        <v>67</v>
      </c>
      <c r="N141" s="26" t="s">
        <v>67</v>
      </c>
      <c r="O141" s="26" t="s">
        <v>67</v>
      </c>
      <c r="P141" s="26" t="s">
        <v>67</v>
      </c>
      <c r="Q141" s="26" t="s">
        <v>67</v>
      </c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3"/>
    </row>
    <row r="142" spans="1:34" x14ac:dyDescent="0.25">
      <c r="A142" s="21" t="s">
        <v>215</v>
      </c>
      <c r="B142" s="22"/>
      <c r="C142" s="23">
        <v>92184</v>
      </c>
      <c r="D142" s="23">
        <v>92184</v>
      </c>
      <c r="E142" s="23">
        <v>92184</v>
      </c>
      <c r="F142" s="23">
        <v>92184</v>
      </c>
      <c r="G142" s="23">
        <v>92184</v>
      </c>
      <c r="H142" s="23">
        <v>127184</v>
      </c>
      <c r="I142" s="23">
        <v>127184</v>
      </c>
      <c r="J142" s="23">
        <v>127184</v>
      </c>
      <c r="K142" s="23">
        <v>127184</v>
      </c>
      <c r="L142" s="23">
        <v>127184</v>
      </c>
      <c r="M142" s="23">
        <v>127184</v>
      </c>
      <c r="N142" s="23">
        <v>127184</v>
      </c>
      <c r="O142" s="23">
        <v>127184</v>
      </c>
      <c r="P142" s="23">
        <v>1478390</v>
      </c>
      <c r="Q142" s="23">
        <v>113722</v>
      </c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3"/>
    </row>
    <row r="143" spans="1:34" x14ac:dyDescent="0.25">
      <c r="A143" s="40"/>
      <c r="B143" s="40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3"/>
    </row>
    <row r="144" spans="1:34" ht="15.75" x14ac:dyDescent="0.3">
      <c r="A144" s="42" t="s">
        <v>216</v>
      </c>
      <c r="B144" s="43"/>
      <c r="C144" s="44">
        <v>-54129207</v>
      </c>
      <c r="D144" s="44">
        <v>-52589209</v>
      </c>
      <c r="E144" s="44">
        <v>-48578523</v>
      </c>
      <c r="F144" s="44">
        <v>-52450621</v>
      </c>
      <c r="G144" s="44">
        <v>-53583689</v>
      </c>
      <c r="H144" s="44">
        <v>-52392886</v>
      </c>
      <c r="I144" s="44">
        <v>-52480004</v>
      </c>
      <c r="J144" s="44">
        <v>-55604793</v>
      </c>
      <c r="K144" s="44">
        <v>-56575297</v>
      </c>
      <c r="L144" s="44">
        <v>-52146226</v>
      </c>
      <c r="M144" s="44">
        <v>-53680797</v>
      </c>
      <c r="N144" s="44">
        <v>-57075343</v>
      </c>
      <c r="O144" s="44">
        <v>-61839333</v>
      </c>
      <c r="P144" s="44">
        <v>-703125929</v>
      </c>
      <c r="Q144" s="44">
        <v>-54086610</v>
      </c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3"/>
    </row>
    <row r="145" spans="1:34" x14ac:dyDescent="0.25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3"/>
    </row>
    <row r="146" spans="1:34" ht="15.75" x14ac:dyDescent="0.3">
      <c r="A146" s="18" t="s">
        <v>217</v>
      </c>
      <c r="B146" s="1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3"/>
    </row>
    <row r="147" spans="1:34" x14ac:dyDescent="0.25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3"/>
    </row>
    <row r="148" spans="1:34" x14ac:dyDescent="0.25">
      <c r="A148" s="45" t="s">
        <v>218</v>
      </c>
      <c r="B148" s="46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3"/>
    </row>
    <row r="149" spans="1:34" x14ac:dyDescent="0.25">
      <c r="A149" s="48" t="s">
        <v>219</v>
      </c>
      <c r="B149" s="48" t="s">
        <v>220</v>
      </c>
      <c r="C149" s="49">
        <v>795056</v>
      </c>
      <c r="D149" s="49">
        <v>788914</v>
      </c>
      <c r="E149" s="49">
        <v>782772</v>
      </c>
      <c r="F149" s="49">
        <v>776631</v>
      </c>
      <c r="G149" s="49">
        <v>770489</v>
      </c>
      <c r="H149" s="49">
        <v>764347</v>
      </c>
      <c r="I149" s="49">
        <v>758205</v>
      </c>
      <c r="J149" s="49">
        <v>752064</v>
      </c>
      <c r="K149" s="49">
        <v>745922</v>
      </c>
      <c r="L149" s="49">
        <v>739780</v>
      </c>
      <c r="M149" s="49">
        <v>733638</v>
      </c>
      <c r="N149" s="49">
        <v>727497</v>
      </c>
      <c r="O149" s="49">
        <v>721355</v>
      </c>
      <c r="P149" s="49">
        <v>9856669</v>
      </c>
      <c r="Q149" s="49">
        <v>758205</v>
      </c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3"/>
    </row>
    <row r="150" spans="1:34" x14ac:dyDescent="0.25">
      <c r="C150" s="26" t="s">
        <v>67</v>
      </c>
      <c r="D150" s="26" t="s">
        <v>67</v>
      </c>
      <c r="E150" s="26" t="s">
        <v>67</v>
      </c>
      <c r="F150" s="26" t="s">
        <v>67</v>
      </c>
      <c r="G150" s="26" t="s">
        <v>67</v>
      </c>
      <c r="H150" s="26" t="s">
        <v>67</v>
      </c>
      <c r="I150" s="26" t="s">
        <v>67</v>
      </c>
      <c r="J150" s="26" t="s">
        <v>67</v>
      </c>
      <c r="K150" s="26" t="s">
        <v>67</v>
      </c>
      <c r="L150" s="26" t="s">
        <v>67</v>
      </c>
      <c r="M150" s="26" t="s">
        <v>67</v>
      </c>
      <c r="N150" s="26" t="s">
        <v>67</v>
      </c>
      <c r="O150" s="26" t="s">
        <v>67</v>
      </c>
      <c r="P150" s="26" t="s">
        <v>67</v>
      </c>
      <c r="Q150" s="26" t="s">
        <v>67</v>
      </c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3"/>
    </row>
    <row r="151" spans="1:34" x14ac:dyDescent="0.25">
      <c r="A151" s="21" t="s">
        <v>221</v>
      </c>
      <c r="B151" s="22"/>
      <c r="C151" s="23">
        <v>795056</v>
      </c>
      <c r="D151" s="23">
        <v>788914</v>
      </c>
      <c r="E151" s="23">
        <v>782772</v>
      </c>
      <c r="F151" s="23">
        <v>776631</v>
      </c>
      <c r="G151" s="23">
        <v>770489</v>
      </c>
      <c r="H151" s="23">
        <v>764347</v>
      </c>
      <c r="I151" s="23">
        <v>758205</v>
      </c>
      <c r="J151" s="23">
        <v>752064</v>
      </c>
      <c r="K151" s="23">
        <v>745922</v>
      </c>
      <c r="L151" s="23">
        <v>739780</v>
      </c>
      <c r="M151" s="23">
        <v>733638</v>
      </c>
      <c r="N151" s="23">
        <v>727497</v>
      </c>
      <c r="O151" s="23">
        <v>721355</v>
      </c>
      <c r="P151" s="23">
        <v>9856669</v>
      </c>
      <c r="Q151" s="23">
        <v>758205</v>
      </c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3"/>
    </row>
    <row r="152" spans="1:34" x14ac:dyDescent="0.25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3"/>
    </row>
    <row r="153" spans="1:34" x14ac:dyDescent="0.25">
      <c r="A153" s="21" t="s">
        <v>222</v>
      </c>
      <c r="B153" s="22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3"/>
    </row>
    <row r="154" spans="1:34" x14ac:dyDescent="0.25">
      <c r="A154" s="13" t="s">
        <v>223</v>
      </c>
      <c r="B154" s="13" t="s">
        <v>224</v>
      </c>
      <c r="C154" s="2">
        <v>705514</v>
      </c>
      <c r="D154" s="2">
        <v>705514</v>
      </c>
      <c r="E154" s="2">
        <v>705514</v>
      </c>
      <c r="F154" s="2">
        <v>705514</v>
      </c>
      <c r="G154" s="2">
        <v>705514</v>
      </c>
      <c r="H154" s="2">
        <v>705514</v>
      </c>
      <c r="I154" s="2">
        <v>705514</v>
      </c>
      <c r="J154" s="2">
        <v>705514</v>
      </c>
      <c r="K154" s="2">
        <v>705514</v>
      </c>
      <c r="L154" s="2">
        <v>705514</v>
      </c>
      <c r="M154" s="2">
        <v>705514</v>
      </c>
      <c r="N154" s="2">
        <v>705514</v>
      </c>
      <c r="O154" s="2">
        <v>705514</v>
      </c>
      <c r="P154" s="2">
        <v>9171684</v>
      </c>
      <c r="Q154" s="2">
        <v>705514</v>
      </c>
      <c r="R154" s="15"/>
      <c r="S154" s="15" t="s">
        <v>225</v>
      </c>
      <c r="T154" s="15">
        <f>$Q154*T$3</f>
        <v>114399.09509999999</v>
      </c>
      <c r="U154" s="15">
        <f t="shared" ref="U154:Y154" si="12">$Q154*U$3</f>
        <v>276356.88893999998</v>
      </c>
      <c r="V154" s="15">
        <f t="shared" si="12"/>
        <v>129729.91432</v>
      </c>
      <c r="W154" s="15">
        <f t="shared" si="12"/>
        <v>2504.5747000000001</v>
      </c>
      <c r="X154" s="15">
        <f t="shared" si="12"/>
        <v>783.12054000000012</v>
      </c>
      <c r="Y154" s="15">
        <f t="shared" si="12"/>
        <v>181754.51668</v>
      </c>
      <c r="Z154" s="15"/>
      <c r="AA154" s="15"/>
      <c r="AB154" s="15">
        <f>$O154*AB$3</f>
        <v>114399.09509999999</v>
      </c>
      <c r="AC154" s="15">
        <f t="shared" ref="AC154:AG154" si="13">$O154*AC$3</f>
        <v>276356.88893999998</v>
      </c>
      <c r="AD154" s="15">
        <f t="shared" si="13"/>
        <v>129729.91432</v>
      </c>
      <c r="AE154" s="15">
        <f t="shared" si="13"/>
        <v>2504.5747000000001</v>
      </c>
      <c r="AF154" s="15">
        <f t="shared" si="13"/>
        <v>783.12054000000012</v>
      </c>
      <c r="AG154" s="15">
        <f t="shared" si="13"/>
        <v>181754.51668</v>
      </c>
      <c r="AH154" s="3"/>
    </row>
    <row r="155" spans="1:34" x14ac:dyDescent="0.25">
      <c r="A155" s="13" t="s">
        <v>226</v>
      </c>
      <c r="B155" s="13" t="s">
        <v>227</v>
      </c>
      <c r="C155" s="2">
        <v>-95046</v>
      </c>
      <c r="D155" s="2">
        <v>-98388</v>
      </c>
      <c r="E155" s="2">
        <v>-101741</v>
      </c>
      <c r="F155" s="2">
        <v>-105104</v>
      </c>
      <c r="G155" s="2">
        <v>-108477</v>
      </c>
      <c r="H155" s="2">
        <v>-111861</v>
      </c>
      <c r="I155" s="2">
        <v>-115256</v>
      </c>
      <c r="J155" s="2">
        <v>-118661</v>
      </c>
      <c r="K155" s="2">
        <v>-122076</v>
      </c>
      <c r="L155" s="2">
        <v>-125502</v>
      </c>
      <c r="M155" s="2">
        <v>-128939</v>
      </c>
      <c r="N155" s="2">
        <v>-132386</v>
      </c>
      <c r="O155" s="2">
        <v>-135844</v>
      </c>
      <c r="P155" s="2">
        <v>-1499282</v>
      </c>
      <c r="Q155" s="2">
        <v>-115329</v>
      </c>
      <c r="R155" s="15"/>
      <c r="S155" s="15" t="s">
        <v>225</v>
      </c>
      <c r="T155" s="15">
        <f t="shared" ref="T155:Y155" si="14">$Q155*T$3</f>
        <v>-18700.59735</v>
      </c>
      <c r="U155" s="15">
        <f t="shared" si="14"/>
        <v>-45175.52259</v>
      </c>
      <c r="V155" s="15">
        <f t="shared" si="14"/>
        <v>-21206.696519999998</v>
      </c>
      <c r="W155" s="15">
        <f t="shared" si="14"/>
        <v>-409.41795000000002</v>
      </c>
      <c r="X155" s="15">
        <f t="shared" si="14"/>
        <v>-128.01519000000002</v>
      </c>
      <c r="Y155" s="15">
        <f t="shared" si="14"/>
        <v>-29711.056980000001</v>
      </c>
      <c r="Z155" s="15"/>
      <c r="AA155" s="15"/>
      <c r="AB155" s="15">
        <f t="shared" ref="AB155:AG155" si="15">$O155*AB$3</f>
        <v>-22027.104599999999</v>
      </c>
      <c r="AC155" s="15">
        <f t="shared" si="15"/>
        <v>-53211.453240000003</v>
      </c>
      <c r="AD155" s="15">
        <f t="shared" si="15"/>
        <v>-24978.994719999999</v>
      </c>
      <c r="AE155" s="15">
        <f t="shared" si="15"/>
        <v>-482.24620000000004</v>
      </c>
      <c r="AF155" s="15">
        <f t="shared" si="15"/>
        <v>-150.78684000000001</v>
      </c>
      <c r="AG155" s="15">
        <f t="shared" si="15"/>
        <v>-34996.131280000001</v>
      </c>
      <c r="AH155" s="3"/>
    </row>
    <row r="156" spans="1:34" x14ac:dyDescent="0.25">
      <c r="C156" s="26" t="s">
        <v>67</v>
      </c>
      <c r="D156" s="26" t="s">
        <v>67</v>
      </c>
      <c r="E156" s="26" t="s">
        <v>67</v>
      </c>
      <c r="F156" s="26" t="s">
        <v>67</v>
      </c>
      <c r="G156" s="26" t="s">
        <v>67</v>
      </c>
      <c r="H156" s="26" t="s">
        <v>67</v>
      </c>
      <c r="I156" s="26" t="s">
        <v>67</v>
      </c>
      <c r="J156" s="26" t="s">
        <v>67</v>
      </c>
      <c r="K156" s="26" t="s">
        <v>67</v>
      </c>
      <c r="L156" s="26" t="s">
        <v>67</v>
      </c>
      <c r="M156" s="26" t="s">
        <v>67</v>
      </c>
      <c r="N156" s="26" t="s">
        <v>67</v>
      </c>
      <c r="O156" s="26" t="s">
        <v>67</v>
      </c>
      <c r="P156" s="26" t="s">
        <v>67</v>
      </c>
      <c r="Q156" s="26" t="s">
        <v>67</v>
      </c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3"/>
    </row>
    <row r="157" spans="1:34" x14ac:dyDescent="0.25">
      <c r="A157" s="21" t="s">
        <v>228</v>
      </c>
      <c r="B157" s="22"/>
      <c r="C157" s="23">
        <v>610468</v>
      </c>
      <c r="D157" s="23">
        <v>607126</v>
      </c>
      <c r="E157" s="23">
        <v>603773</v>
      </c>
      <c r="F157" s="23">
        <v>600410</v>
      </c>
      <c r="G157" s="23">
        <v>597037</v>
      </c>
      <c r="H157" s="23">
        <v>593653</v>
      </c>
      <c r="I157" s="23">
        <v>590258</v>
      </c>
      <c r="J157" s="23">
        <v>586854</v>
      </c>
      <c r="K157" s="23">
        <v>583438</v>
      </c>
      <c r="L157" s="23">
        <v>580012</v>
      </c>
      <c r="M157" s="23">
        <v>576575</v>
      </c>
      <c r="N157" s="23">
        <v>573128</v>
      </c>
      <c r="O157" s="23">
        <v>569670</v>
      </c>
      <c r="P157" s="23">
        <v>7672403</v>
      </c>
      <c r="Q157" s="23">
        <v>590185</v>
      </c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3"/>
    </row>
    <row r="158" spans="1:34" x14ac:dyDescent="0.25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3"/>
    </row>
    <row r="159" spans="1:34" ht="15.75" x14ac:dyDescent="0.3">
      <c r="A159" s="18" t="s">
        <v>229</v>
      </c>
      <c r="B159" s="19"/>
      <c r="C159" s="20">
        <v>1405524</v>
      </c>
      <c r="D159" s="20">
        <v>1396040</v>
      </c>
      <c r="E159" s="20">
        <v>1386545</v>
      </c>
      <c r="F159" s="20">
        <v>1377041</v>
      </c>
      <c r="G159" s="20">
        <v>1367526</v>
      </c>
      <c r="H159" s="20">
        <v>1358000</v>
      </c>
      <c r="I159" s="20">
        <v>1348464</v>
      </c>
      <c r="J159" s="20">
        <v>1338917</v>
      </c>
      <c r="K159" s="20">
        <v>1329360</v>
      </c>
      <c r="L159" s="20">
        <v>1319792</v>
      </c>
      <c r="M159" s="20">
        <v>1310214</v>
      </c>
      <c r="N159" s="20">
        <v>1300625</v>
      </c>
      <c r="O159" s="20">
        <v>1291025</v>
      </c>
      <c r="P159" s="20">
        <v>17529071</v>
      </c>
      <c r="Q159" s="20">
        <v>1348390</v>
      </c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3"/>
    </row>
    <row r="160" spans="1:34" x14ac:dyDescent="0.25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3"/>
    </row>
    <row r="161" spans="1:34" ht="19.5" x14ac:dyDescent="0.4">
      <c r="A161" s="5" t="s">
        <v>230</v>
      </c>
      <c r="B161" s="16"/>
      <c r="C161" s="17">
        <v>68216866</v>
      </c>
      <c r="D161" s="17">
        <v>69709087</v>
      </c>
      <c r="E161" s="17">
        <v>73670280</v>
      </c>
      <c r="F161" s="17">
        <v>69745464</v>
      </c>
      <c r="G161" s="17">
        <v>68559470</v>
      </c>
      <c r="H161" s="17">
        <v>69694041</v>
      </c>
      <c r="I161" s="17">
        <v>69555733</v>
      </c>
      <c r="J161" s="17">
        <v>66389332</v>
      </c>
      <c r="K161" s="17">
        <v>65370695</v>
      </c>
      <c r="L161" s="17">
        <v>69743385</v>
      </c>
      <c r="M161" s="17">
        <v>68159672</v>
      </c>
      <c r="N161" s="17">
        <v>64712047</v>
      </c>
      <c r="O161" s="17">
        <v>60047940</v>
      </c>
      <c r="P161" s="17">
        <v>883574013</v>
      </c>
      <c r="Q161" s="17">
        <v>67967232</v>
      </c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3"/>
    </row>
    <row r="162" spans="1:34" x14ac:dyDescent="0.25">
      <c r="C162" s="26" t="s">
        <v>231</v>
      </c>
      <c r="D162" s="26" t="s">
        <v>231</v>
      </c>
      <c r="E162" s="26" t="s">
        <v>231</v>
      </c>
      <c r="F162" s="26" t="s">
        <v>231</v>
      </c>
      <c r="G162" s="26" t="s">
        <v>231</v>
      </c>
      <c r="H162" s="26" t="s">
        <v>231</v>
      </c>
      <c r="I162" s="26" t="s">
        <v>231</v>
      </c>
      <c r="J162" s="26" t="s">
        <v>231</v>
      </c>
      <c r="K162" s="26" t="s">
        <v>231</v>
      </c>
      <c r="L162" s="26" t="s">
        <v>231</v>
      </c>
      <c r="M162" s="26" t="s">
        <v>231</v>
      </c>
      <c r="N162" s="26" t="s">
        <v>231</v>
      </c>
      <c r="O162" s="26" t="s">
        <v>231</v>
      </c>
      <c r="P162" s="26" t="s">
        <v>231</v>
      </c>
      <c r="Q162" s="26" t="s">
        <v>231</v>
      </c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3"/>
    </row>
    <row r="163" spans="1:34" x14ac:dyDescent="0.25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3"/>
    </row>
    <row r="164" spans="1:34" ht="19.5" x14ac:dyDescent="0.4">
      <c r="A164" s="50" t="s">
        <v>232</v>
      </c>
      <c r="B164" s="51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3"/>
    </row>
    <row r="165" spans="1:34" x14ac:dyDescent="0.25">
      <c r="A165" s="35"/>
      <c r="B165" s="35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3"/>
    </row>
    <row r="166" spans="1:34" ht="15.75" x14ac:dyDescent="0.3">
      <c r="A166" s="53" t="s">
        <v>233</v>
      </c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3"/>
    </row>
    <row r="167" spans="1:34" x14ac:dyDescent="0.25">
      <c r="A167" s="35"/>
      <c r="B167" s="35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3"/>
    </row>
    <row r="168" spans="1:34" x14ac:dyDescent="0.25">
      <c r="A168" s="37" t="s">
        <v>234</v>
      </c>
      <c r="B168" s="38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3"/>
    </row>
    <row r="169" spans="1:34" x14ac:dyDescent="0.25">
      <c r="A169" s="31" t="s">
        <v>235</v>
      </c>
      <c r="B169" s="31" t="s">
        <v>236</v>
      </c>
      <c r="C169" s="24">
        <v>385055</v>
      </c>
      <c r="D169" s="24">
        <v>471386</v>
      </c>
      <c r="E169" s="24">
        <v>500065</v>
      </c>
      <c r="F169" s="24">
        <v>442921</v>
      </c>
      <c r="G169" s="24">
        <v>339026</v>
      </c>
      <c r="H169" s="24">
        <v>516903</v>
      </c>
      <c r="I169" s="24">
        <v>387857</v>
      </c>
      <c r="J169" s="24">
        <v>436736</v>
      </c>
      <c r="K169" s="24">
        <v>254440</v>
      </c>
      <c r="L169" s="24">
        <v>452782</v>
      </c>
      <c r="M169" s="24">
        <v>469214</v>
      </c>
      <c r="N169" s="24">
        <v>473553</v>
      </c>
      <c r="O169" s="24">
        <v>378462</v>
      </c>
      <c r="P169" s="24">
        <v>5508399</v>
      </c>
      <c r="Q169" s="24">
        <v>423723</v>
      </c>
      <c r="R169" s="15">
        <f t="shared" ref="R169:R175" si="16">SUM(T169:Y169)+Q169</f>
        <v>0</v>
      </c>
      <c r="S169" s="15" t="s">
        <v>16</v>
      </c>
      <c r="T169" s="15">
        <f t="shared" ref="T169:Y169" si="17">-$Q169*T5</f>
        <v>-90252.998999999996</v>
      </c>
      <c r="U169" s="15">
        <f t="shared" si="17"/>
        <v>-147455.60399999999</v>
      </c>
      <c r="V169" s="15">
        <f t="shared" si="17"/>
        <v>-61016.111999999994</v>
      </c>
      <c r="W169" s="15">
        <f t="shared" si="17"/>
        <v>-423.72300000000001</v>
      </c>
      <c r="X169" s="15">
        <f t="shared" si="17"/>
        <v>-423.72300000000001</v>
      </c>
      <c r="Y169" s="15">
        <f t="shared" si="17"/>
        <v>-124150.83899999999</v>
      </c>
      <c r="Z169" s="15"/>
      <c r="AA169" s="15" t="s">
        <v>16</v>
      </c>
      <c r="AB169" s="15">
        <f t="shared" ref="AB169:AG171" si="18">-$O169*AB$5</f>
        <v>-80612.406000000003</v>
      </c>
      <c r="AC169" s="15">
        <f t="shared" si="18"/>
        <v>-131704.77599999998</v>
      </c>
      <c r="AD169" s="15">
        <f t="shared" si="18"/>
        <v>-54498.527999999998</v>
      </c>
      <c r="AE169" s="15">
        <f t="shared" si="18"/>
        <v>-378.46199999999999</v>
      </c>
      <c r="AF169" s="15">
        <f t="shared" si="18"/>
        <v>-378.46199999999999</v>
      </c>
      <c r="AG169" s="15">
        <f t="shared" si="18"/>
        <v>-110889.36599999999</v>
      </c>
      <c r="AH169" s="27">
        <f t="shared" ref="AH169:AH175" si="19">SUM(AB169:AG169)+O169</f>
        <v>0</v>
      </c>
    </row>
    <row r="170" spans="1:34" x14ac:dyDescent="0.25">
      <c r="A170" s="31" t="s">
        <v>237</v>
      </c>
      <c r="B170" s="31" t="s">
        <v>238</v>
      </c>
      <c r="C170" s="24">
        <v>1792345</v>
      </c>
      <c r="D170" s="24">
        <v>3504029</v>
      </c>
      <c r="E170" s="24">
        <v>7498727</v>
      </c>
      <c r="F170" s="24">
        <v>4592273</v>
      </c>
      <c r="G170" s="24">
        <v>3610018</v>
      </c>
      <c r="H170" s="24">
        <v>4425893</v>
      </c>
      <c r="I170" s="24">
        <v>5610613</v>
      </c>
      <c r="J170" s="24">
        <v>3574884</v>
      </c>
      <c r="K170" s="24">
        <v>2792093</v>
      </c>
      <c r="L170" s="24">
        <v>7230130</v>
      </c>
      <c r="M170" s="24">
        <v>5670562</v>
      </c>
      <c r="N170" s="24">
        <v>1971164</v>
      </c>
      <c r="O170" s="24">
        <v>1212381</v>
      </c>
      <c r="P170" s="24">
        <v>53485114</v>
      </c>
      <c r="Q170" s="24">
        <v>4114240</v>
      </c>
      <c r="R170" s="15">
        <f t="shared" si="16"/>
        <v>0</v>
      </c>
      <c r="S170" s="15" t="s">
        <v>16</v>
      </c>
      <c r="T170" s="15">
        <f t="shared" ref="T170:Y170" si="20">-$Q170*T5</f>
        <v>-876333.12</v>
      </c>
      <c r="U170" s="15">
        <f t="shared" si="20"/>
        <v>-1431755.5199999998</v>
      </c>
      <c r="V170" s="15">
        <f t="shared" si="20"/>
        <v>-592450.55999999994</v>
      </c>
      <c r="W170" s="15">
        <f t="shared" si="20"/>
        <v>-4114.24</v>
      </c>
      <c r="X170" s="15">
        <f t="shared" si="20"/>
        <v>-4114.24</v>
      </c>
      <c r="Y170" s="15">
        <f t="shared" si="20"/>
        <v>-1205472.3199999998</v>
      </c>
      <c r="Z170" s="15"/>
      <c r="AA170" s="15" t="s">
        <v>16</v>
      </c>
      <c r="AB170" s="15">
        <f t="shared" si="18"/>
        <v>-258237.15299999999</v>
      </c>
      <c r="AC170" s="15">
        <f t="shared" si="18"/>
        <v>-421908.58799999999</v>
      </c>
      <c r="AD170" s="15">
        <f t="shared" si="18"/>
        <v>-174582.86399999997</v>
      </c>
      <c r="AE170" s="15">
        <f t="shared" si="18"/>
        <v>-1212.3810000000001</v>
      </c>
      <c r="AF170" s="15">
        <f t="shared" si="18"/>
        <v>-1212.3810000000001</v>
      </c>
      <c r="AG170" s="15">
        <f t="shared" si="18"/>
        <v>-355227.63299999997</v>
      </c>
      <c r="AH170" s="27">
        <f t="shared" si="19"/>
        <v>0</v>
      </c>
    </row>
    <row r="171" spans="1:34" x14ac:dyDescent="0.25">
      <c r="A171" s="31" t="s">
        <v>239</v>
      </c>
      <c r="B171" s="31" t="s">
        <v>240</v>
      </c>
      <c r="C171" s="24">
        <v>51706</v>
      </c>
      <c r="D171" s="24">
        <v>48582</v>
      </c>
      <c r="E171" s="24">
        <v>29984</v>
      </c>
      <c r="F171" s="24">
        <v>19022</v>
      </c>
      <c r="G171" s="24">
        <v>57613</v>
      </c>
      <c r="H171" s="24">
        <v>53084</v>
      </c>
      <c r="I171" s="24">
        <v>106295</v>
      </c>
      <c r="J171" s="24">
        <v>29261</v>
      </c>
      <c r="K171" s="24">
        <v>51484</v>
      </c>
      <c r="L171" s="24">
        <v>85796</v>
      </c>
      <c r="M171" s="24">
        <v>38248</v>
      </c>
      <c r="N171" s="24">
        <v>209760</v>
      </c>
      <c r="O171" s="24">
        <v>56437</v>
      </c>
      <c r="P171" s="24">
        <v>837271</v>
      </c>
      <c r="Q171" s="24">
        <v>64405</v>
      </c>
      <c r="R171" s="15">
        <f t="shared" si="16"/>
        <v>0</v>
      </c>
      <c r="S171" s="15" t="s">
        <v>16</v>
      </c>
      <c r="T171" s="15">
        <f t="shared" ref="T171:Y171" si="21">-$Q171*T5</f>
        <v>-13718.264999999999</v>
      </c>
      <c r="U171" s="15">
        <f t="shared" si="21"/>
        <v>-22412.94</v>
      </c>
      <c r="V171" s="15">
        <f t="shared" si="21"/>
        <v>-9274.32</v>
      </c>
      <c r="W171" s="15">
        <f t="shared" si="21"/>
        <v>-64.405000000000001</v>
      </c>
      <c r="X171" s="15">
        <f t="shared" si="21"/>
        <v>-64.405000000000001</v>
      </c>
      <c r="Y171" s="15">
        <f t="shared" si="21"/>
        <v>-18870.664999999997</v>
      </c>
      <c r="Z171" s="15"/>
      <c r="AA171" s="15" t="s">
        <v>16</v>
      </c>
      <c r="AB171" s="15">
        <f t="shared" si="18"/>
        <v>-12021.081</v>
      </c>
      <c r="AC171" s="15">
        <f t="shared" si="18"/>
        <v>-19640.075999999997</v>
      </c>
      <c r="AD171" s="15">
        <f t="shared" si="18"/>
        <v>-8126.927999999999</v>
      </c>
      <c r="AE171" s="15">
        <f t="shared" si="18"/>
        <v>-56.437000000000005</v>
      </c>
      <c r="AF171" s="15">
        <f t="shared" si="18"/>
        <v>-56.437000000000005</v>
      </c>
      <c r="AG171" s="15">
        <f t="shared" si="18"/>
        <v>-16536.040999999997</v>
      </c>
      <c r="AH171" s="27">
        <f t="shared" si="19"/>
        <v>0</v>
      </c>
    </row>
    <row r="172" spans="1:34" x14ac:dyDescent="0.25">
      <c r="A172" s="31" t="s">
        <v>241</v>
      </c>
      <c r="B172" s="31" t="s">
        <v>242</v>
      </c>
      <c r="C172" s="24">
        <v>1832</v>
      </c>
      <c r="D172" s="24">
        <v>497</v>
      </c>
      <c r="E172" s="24">
        <v>240</v>
      </c>
      <c r="F172" s="24">
        <v>480</v>
      </c>
      <c r="G172" s="24">
        <v>720</v>
      </c>
      <c r="H172" s="24">
        <v>940</v>
      </c>
      <c r="I172" s="24">
        <v>220</v>
      </c>
      <c r="J172" s="24">
        <v>330</v>
      </c>
      <c r="K172" s="24">
        <v>220</v>
      </c>
      <c r="L172" s="24">
        <v>220</v>
      </c>
      <c r="M172" s="24">
        <v>216</v>
      </c>
      <c r="N172" s="24">
        <v>216</v>
      </c>
      <c r="O172" s="24">
        <v>326</v>
      </c>
      <c r="P172" s="24">
        <v>6457</v>
      </c>
      <c r="Q172" s="24">
        <v>497</v>
      </c>
      <c r="R172" s="15">
        <f t="shared" si="16"/>
        <v>0</v>
      </c>
      <c r="S172" s="15" t="s">
        <v>34</v>
      </c>
      <c r="T172" s="15">
        <f t="shared" ref="T172:Y172" si="22">-$Q172*T7</f>
        <v>-95.424000000000007</v>
      </c>
      <c r="U172" s="15">
        <f t="shared" si="22"/>
        <v>-196.86170000000001</v>
      </c>
      <c r="V172" s="15">
        <f t="shared" si="22"/>
        <v>-68.088999999999999</v>
      </c>
      <c r="W172" s="15">
        <f t="shared" si="22"/>
        <v>-1.5904</v>
      </c>
      <c r="X172" s="15">
        <f t="shared" si="22"/>
        <v>-1.0934000000000001</v>
      </c>
      <c r="Y172" s="15">
        <f t="shared" si="22"/>
        <v>-133.94150000000002</v>
      </c>
      <c r="Z172" s="15"/>
      <c r="AA172" s="15" t="s">
        <v>34</v>
      </c>
      <c r="AB172" s="15">
        <f t="shared" ref="AB172:AG176" si="23">-$O172*AB$7</f>
        <v>-62.591999999999999</v>
      </c>
      <c r="AC172" s="15">
        <f t="shared" si="23"/>
        <v>-129.12860000000001</v>
      </c>
      <c r="AD172" s="15">
        <f t="shared" si="23"/>
        <v>-44.662000000000006</v>
      </c>
      <c r="AE172" s="15">
        <f t="shared" si="23"/>
        <v>-1.0432000000000001</v>
      </c>
      <c r="AF172" s="15">
        <f t="shared" si="23"/>
        <v>-0.71720000000000006</v>
      </c>
      <c r="AG172" s="15">
        <f t="shared" si="23"/>
        <v>-87.856999999999999</v>
      </c>
      <c r="AH172" s="27">
        <f t="shared" si="19"/>
        <v>0</v>
      </c>
    </row>
    <row r="173" spans="1:34" x14ac:dyDescent="0.25">
      <c r="A173" s="31" t="s">
        <v>243</v>
      </c>
      <c r="B173" s="31" t="s">
        <v>244</v>
      </c>
      <c r="C173" s="24">
        <v>3520</v>
      </c>
      <c r="D173" s="24">
        <v>0</v>
      </c>
      <c r="E173" s="24">
        <v>0</v>
      </c>
      <c r="F173" s="24">
        <v>940</v>
      </c>
      <c r="G173" s="24">
        <v>5836</v>
      </c>
      <c r="H173" s="24">
        <v>100</v>
      </c>
      <c r="I173" s="24">
        <v>100</v>
      </c>
      <c r="J173" s="24">
        <v>3138</v>
      </c>
      <c r="K173" s="24">
        <v>100</v>
      </c>
      <c r="L173" s="24">
        <v>100</v>
      </c>
      <c r="M173" s="24">
        <v>100</v>
      </c>
      <c r="N173" s="24">
        <v>100</v>
      </c>
      <c r="O173" s="24">
        <v>100</v>
      </c>
      <c r="P173" s="24">
        <v>14134</v>
      </c>
      <c r="Q173" s="24">
        <v>1087</v>
      </c>
      <c r="R173" s="15">
        <f t="shared" si="16"/>
        <v>0</v>
      </c>
      <c r="S173" s="15" t="s">
        <v>34</v>
      </c>
      <c r="T173" s="15">
        <f t="shared" ref="T173:Y176" si="24">-$Q173*T$7</f>
        <v>-208.70400000000001</v>
      </c>
      <c r="U173" s="15">
        <f t="shared" si="24"/>
        <v>-430.5607</v>
      </c>
      <c r="V173" s="15">
        <f t="shared" si="24"/>
        <v>-148.91900000000001</v>
      </c>
      <c r="W173" s="15">
        <f t="shared" si="24"/>
        <v>-3.4784000000000002</v>
      </c>
      <c r="X173" s="15">
        <f t="shared" si="24"/>
        <v>-2.3914</v>
      </c>
      <c r="Y173" s="15">
        <f t="shared" si="24"/>
        <v>-292.94650000000001</v>
      </c>
      <c r="Z173" s="15"/>
      <c r="AA173" s="15" t="s">
        <v>34</v>
      </c>
      <c r="AB173" s="15">
        <f t="shared" si="23"/>
        <v>-19.2</v>
      </c>
      <c r="AC173" s="15">
        <f t="shared" si="23"/>
        <v>-39.61</v>
      </c>
      <c r="AD173" s="15">
        <f t="shared" si="23"/>
        <v>-13.700000000000001</v>
      </c>
      <c r="AE173" s="15">
        <f t="shared" si="23"/>
        <v>-0.32</v>
      </c>
      <c r="AF173" s="15">
        <f t="shared" si="23"/>
        <v>-0.22</v>
      </c>
      <c r="AG173" s="15">
        <f t="shared" si="23"/>
        <v>-26.950000000000003</v>
      </c>
      <c r="AH173" s="27">
        <f t="shared" si="19"/>
        <v>0</v>
      </c>
    </row>
    <row r="174" spans="1:34" x14ac:dyDescent="0.25">
      <c r="A174" s="31" t="s">
        <v>245</v>
      </c>
      <c r="B174" s="31" t="s">
        <v>246</v>
      </c>
      <c r="C174" s="24">
        <v>2353</v>
      </c>
      <c r="D174" s="24">
        <v>2364</v>
      </c>
      <c r="E174" s="24">
        <v>2439</v>
      </c>
      <c r="F174" s="24">
        <v>2456</v>
      </c>
      <c r="G174" s="24">
        <v>-99</v>
      </c>
      <c r="H174" s="24">
        <v>-99</v>
      </c>
      <c r="I174" s="24">
        <v>-99</v>
      </c>
      <c r="J174" s="24">
        <v>2510</v>
      </c>
      <c r="K174" s="24">
        <v>2424</v>
      </c>
      <c r="L174" s="24">
        <v>2387</v>
      </c>
      <c r="M174" s="24">
        <v>0</v>
      </c>
      <c r="N174" s="24">
        <v>2370</v>
      </c>
      <c r="O174" s="24">
        <v>2262</v>
      </c>
      <c r="P174" s="24">
        <v>21266</v>
      </c>
      <c r="Q174" s="24">
        <v>1636</v>
      </c>
      <c r="R174" s="15">
        <f t="shared" si="16"/>
        <v>0</v>
      </c>
      <c r="S174" s="15" t="s">
        <v>34</v>
      </c>
      <c r="T174" s="15">
        <f t="shared" si="24"/>
        <v>-314.11200000000002</v>
      </c>
      <c r="U174" s="15">
        <f t="shared" si="24"/>
        <v>-648.01959999999997</v>
      </c>
      <c r="V174" s="15">
        <f t="shared" si="24"/>
        <v>-224.13200000000001</v>
      </c>
      <c r="W174" s="15">
        <f t="shared" si="24"/>
        <v>-5.2351999999999999</v>
      </c>
      <c r="X174" s="15">
        <f t="shared" si="24"/>
        <v>-3.5992000000000002</v>
      </c>
      <c r="Y174" s="15">
        <f t="shared" si="24"/>
        <v>-440.90200000000004</v>
      </c>
      <c r="Z174" s="15"/>
      <c r="AA174" s="15" t="s">
        <v>34</v>
      </c>
      <c r="AB174" s="15">
        <f t="shared" si="23"/>
        <v>-434.30400000000003</v>
      </c>
      <c r="AC174" s="15">
        <f t="shared" si="23"/>
        <v>-895.97820000000002</v>
      </c>
      <c r="AD174" s="15">
        <f t="shared" si="23"/>
        <v>-309.89400000000001</v>
      </c>
      <c r="AE174" s="15">
        <f t="shared" si="23"/>
        <v>-7.2384000000000004</v>
      </c>
      <c r="AF174" s="15">
        <f t="shared" si="23"/>
        <v>-4.9763999999999999</v>
      </c>
      <c r="AG174" s="15">
        <f t="shared" si="23"/>
        <v>-609.60900000000004</v>
      </c>
      <c r="AH174" s="27">
        <f t="shared" si="19"/>
        <v>0</v>
      </c>
    </row>
    <row r="175" spans="1:34" x14ac:dyDescent="0.25">
      <c r="A175" s="31" t="s">
        <v>247</v>
      </c>
      <c r="B175" s="31" t="s">
        <v>248</v>
      </c>
      <c r="C175" s="24">
        <v>207701</v>
      </c>
      <c r="D175" s="24">
        <v>79227</v>
      </c>
      <c r="E175" s="24">
        <v>63547</v>
      </c>
      <c r="F175" s="24">
        <v>44792</v>
      </c>
      <c r="G175" s="24">
        <v>36745</v>
      </c>
      <c r="H175" s="24">
        <v>92508</v>
      </c>
      <c r="I175" s="24">
        <v>47896</v>
      </c>
      <c r="J175" s="24">
        <v>56866</v>
      </c>
      <c r="K175" s="24">
        <v>27399</v>
      </c>
      <c r="L175" s="24">
        <v>63904</v>
      </c>
      <c r="M175" s="24">
        <v>94557</v>
      </c>
      <c r="N175" s="24">
        <v>62111</v>
      </c>
      <c r="O175" s="24">
        <v>197746</v>
      </c>
      <c r="P175" s="24">
        <v>1074998</v>
      </c>
      <c r="Q175" s="24">
        <v>82692</v>
      </c>
      <c r="R175" s="15">
        <f t="shared" si="16"/>
        <v>0</v>
      </c>
      <c r="S175" s="15" t="s">
        <v>34</v>
      </c>
      <c r="T175" s="15">
        <f>-$Q175*T$7</f>
        <v>-15876.864</v>
      </c>
      <c r="U175" s="15">
        <f t="shared" si="24"/>
        <v>-32754.301200000002</v>
      </c>
      <c r="V175" s="15">
        <f t="shared" si="24"/>
        <v>-11328.804</v>
      </c>
      <c r="W175" s="15">
        <f t="shared" si="24"/>
        <v>-264.61439999999999</v>
      </c>
      <c r="X175" s="15">
        <f t="shared" si="24"/>
        <v>-181.92240000000001</v>
      </c>
      <c r="Y175" s="15">
        <f t="shared" si="24"/>
        <v>-22285.494000000002</v>
      </c>
      <c r="Z175" s="15"/>
      <c r="AA175" s="15" t="s">
        <v>34</v>
      </c>
      <c r="AB175" s="15">
        <f t="shared" si="23"/>
        <v>-37967.232000000004</v>
      </c>
      <c r="AC175" s="15">
        <f t="shared" si="23"/>
        <v>-78327.190600000002</v>
      </c>
      <c r="AD175" s="15">
        <f t="shared" si="23"/>
        <v>-27091.202000000001</v>
      </c>
      <c r="AE175" s="15">
        <f t="shared" si="23"/>
        <v>-632.78719999999998</v>
      </c>
      <c r="AF175" s="15">
        <f t="shared" si="23"/>
        <v>-435.0412</v>
      </c>
      <c r="AG175" s="15">
        <f t="shared" si="23"/>
        <v>-53292.547000000006</v>
      </c>
      <c r="AH175" s="27">
        <f t="shared" si="19"/>
        <v>0</v>
      </c>
    </row>
    <row r="176" spans="1:34" x14ac:dyDescent="0.25">
      <c r="A176" s="31" t="s">
        <v>249</v>
      </c>
      <c r="B176" s="31" t="s">
        <v>250</v>
      </c>
      <c r="C176" s="24">
        <v>4023</v>
      </c>
      <c r="D176" s="24">
        <v>-1325</v>
      </c>
      <c r="E176" s="24">
        <v>-180669</v>
      </c>
      <c r="F176" s="24">
        <v>-12480</v>
      </c>
      <c r="G176" s="24">
        <v>-18058</v>
      </c>
      <c r="H176" s="24">
        <v>-23635</v>
      </c>
      <c r="I176" s="24">
        <v>-8721</v>
      </c>
      <c r="J176" s="24">
        <v>-14298</v>
      </c>
      <c r="K176" s="24">
        <v>-19876</v>
      </c>
      <c r="L176" s="24">
        <v>-8745</v>
      </c>
      <c r="M176" s="24">
        <v>-47739</v>
      </c>
      <c r="N176" s="24">
        <v>-53317</v>
      </c>
      <c r="O176" s="24">
        <v>-58894</v>
      </c>
      <c r="P176" s="24">
        <v>-443734</v>
      </c>
      <c r="Q176" s="24">
        <v>-34133</v>
      </c>
      <c r="R176" s="15"/>
      <c r="S176" s="15" t="s">
        <v>34</v>
      </c>
      <c r="T176" s="15">
        <f>-$Q176*T$7</f>
        <v>6553.5360000000001</v>
      </c>
      <c r="U176" s="15">
        <f t="shared" si="24"/>
        <v>13520.0813</v>
      </c>
      <c r="V176" s="15">
        <f t="shared" si="24"/>
        <v>4676.2210000000005</v>
      </c>
      <c r="W176" s="15">
        <f t="shared" si="24"/>
        <v>109.2256</v>
      </c>
      <c r="X176" s="15">
        <f t="shared" si="24"/>
        <v>75.092600000000004</v>
      </c>
      <c r="Y176" s="15">
        <f t="shared" si="24"/>
        <v>9198.8435000000009</v>
      </c>
      <c r="Z176" s="15"/>
      <c r="AA176" s="15" t="s">
        <v>34</v>
      </c>
      <c r="AB176" s="15">
        <f t="shared" si="23"/>
        <v>11307.648000000001</v>
      </c>
      <c r="AC176" s="15">
        <f t="shared" si="23"/>
        <v>23327.913400000001</v>
      </c>
      <c r="AD176" s="15">
        <f t="shared" si="23"/>
        <v>8068.478000000001</v>
      </c>
      <c r="AE176" s="15">
        <f t="shared" si="23"/>
        <v>188.46080000000001</v>
      </c>
      <c r="AF176" s="15">
        <f t="shared" si="23"/>
        <v>129.5668</v>
      </c>
      <c r="AG176" s="15">
        <f t="shared" si="23"/>
        <v>15871.933000000001</v>
      </c>
      <c r="AH176" s="27"/>
    </row>
    <row r="177" spans="1:34" x14ac:dyDescent="0.25">
      <c r="A177" s="35"/>
      <c r="B177" s="35"/>
      <c r="C177" s="36" t="s">
        <v>67</v>
      </c>
      <c r="D177" s="36" t="s">
        <v>67</v>
      </c>
      <c r="E177" s="36" t="s">
        <v>67</v>
      </c>
      <c r="F177" s="36" t="s">
        <v>67</v>
      </c>
      <c r="G177" s="36" t="s">
        <v>67</v>
      </c>
      <c r="H177" s="36" t="s">
        <v>67</v>
      </c>
      <c r="I177" s="36" t="s">
        <v>67</v>
      </c>
      <c r="J177" s="36" t="s">
        <v>67</v>
      </c>
      <c r="K177" s="36" t="s">
        <v>67</v>
      </c>
      <c r="L177" s="36" t="s">
        <v>67</v>
      </c>
      <c r="M177" s="36" t="s">
        <v>67</v>
      </c>
      <c r="N177" s="36" t="s">
        <v>67</v>
      </c>
      <c r="O177" s="36" t="s">
        <v>67</v>
      </c>
      <c r="P177" s="36" t="s">
        <v>67</v>
      </c>
      <c r="Q177" s="36" t="s">
        <v>67</v>
      </c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3"/>
    </row>
    <row r="178" spans="1:34" x14ac:dyDescent="0.25">
      <c r="A178" s="37" t="s">
        <v>251</v>
      </c>
      <c r="B178" s="38"/>
      <c r="C178" s="39">
        <v>2448535</v>
      </c>
      <c r="D178" s="39">
        <v>4104760</v>
      </c>
      <c r="E178" s="39">
        <v>7914332</v>
      </c>
      <c r="F178" s="39">
        <v>5090402</v>
      </c>
      <c r="G178" s="39">
        <v>4031801</v>
      </c>
      <c r="H178" s="39">
        <v>5065693</v>
      </c>
      <c r="I178" s="39">
        <v>6144160</v>
      </c>
      <c r="J178" s="39">
        <v>4089427</v>
      </c>
      <c r="K178" s="39">
        <v>3108284</v>
      </c>
      <c r="L178" s="39">
        <v>7826574</v>
      </c>
      <c r="M178" s="39">
        <v>6225158</v>
      </c>
      <c r="N178" s="39">
        <v>2665957</v>
      </c>
      <c r="O178" s="39">
        <v>1788819</v>
      </c>
      <c r="P178" s="39">
        <v>60503904</v>
      </c>
      <c r="Q178" s="39">
        <v>4654146</v>
      </c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3"/>
    </row>
    <row r="179" spans="1:34" x14ac:dyDescent="0.25">
      <c r="A179" s="35"/>
      <c r="B179" s="35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3"/>
    </row>
    <row r="180" spans="1:34" x14ac:dyDescent="0.25">
      <c r="A180" s="37" t="s">
        <v>252</v>
      </c>
      <c r="B180" s="38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3"/>
    </row>
    <row r="181" spans="1:34" x14ac:dyDescent="0.25">
      <c r="A181" s="31" t="s">
        <v>253</v>
      </c>
      <c r="B181" s="31" t="s">
        <v>254</v>
      </c>
      <c r="C181" s="24">
        <v>20873</v>
      </c>
      <c r="D181" s="24">
        <v>20873</v>
      </c>
      <c r="E181" s="24">
        <v>20873</v>
      </c>
      <c r="F181" s="24">
        <v>20873</v>
      </c>
      <c r="G181" s="24">
        <v>20873</v>
      </c>
      <c r="H181" s="24">
        <v>20873</v>
      </c>
      <c r="I181" s="24">
        <v>20873</v>
      </c>
      <c r="J181" s="24">
        <v>20873</v>
      </c>
      <c r="K181" s="24">
        <v>20873</v>
      </c>
      <c r="L181" s="24">
        <v>20873</v>
      </c>
      <c r="M181" s="24">
        <v>20873</v>
      </c>
      <c r="N181" s="24">
        <v>20873</v>
      </c>
      <c r="O181" s="24">
        <v>20873</v>
      </c>
      <c r="P181" s="24">
        <v>271346</v>
      </c>
      <c r="Q181" s="24">
        <v>20873</v>
      </c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3"/>
    </row>
    <row r="182" spans="1:34" x14ac:dyDescent="0.25">
      <c r="A182" s="31" t="s">
        <v>255</v>
      </c>
      <c r="B182" s="31" t="s">
        <v>256</v>
      </c>
      <c r="C182" s="24">
        <v>2535037</v>
      </c>
      <c r="D182" s="24">
        <v>2535037</v>
      </c>
      <c r="E182" s="24">
        <v>2535037</v>
      </c>
      <c r="F182" s="24">
        <v>3052502</v>
      </c>
      <c r="G182" s="24">
        <v>3052502</v>
      </c>
      <c r="H182" s="24">
        <v>3052502</v>
      </c>
      <c r="I182" s="24">
        <v>3098873</v>
      </c>
      <c r="J182" s="24">
        <v>3098873</v>
      </c>
      <c r="K182" s="24">
        <v>3098873</v>
      </c>
      <c r="L182" s="24">
        <v>3200347</v>
      </c>
      <c r="M182" s="24">
        <v>3200347</v>
      </c>
      <c r="N182" s="24">
        <v>3200347</v>
      </c>
      <c r="O182" s="24">
        <v>2464378</v>
      </c>
      <c r="P182" s="24">
        <v>38124651</v>
      </c>
      <c r="Q182" s="24">
        <v>2932665</v>
      </c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3"/>
    </row>
    <row r="183" spans="1:34" x14ac:dyDescent="0.25">
      <c r="A183" s="35"/>
      <c r="B183" s="35"/>
      <c r="C183" s="36" t="s">
        <v>67</v>
      </c>
      <c r="D183" s="36" t="s">
        <v>67</v>
      </c>
      <c r="E183" s="36" t="s">
        <v>67</v>
      </c>
      <c r="F183" s="36" t="s">
        <v>67</v>
      </c>
      <c r="G183" s="36" t="s">
        <v>67</v>
      </c>
      <c r="H183" s="36" t="s">
        <v>67</v>
      </c>
      <c r="I183" s="36" t="s">
        <v>67</v>
      </c>
      <c r="J183" s="36" t="s">
        <v>67</v>
      </c>
      <c r="K183" s="36" t="s">
        <v>67</v>
      </c>
      <c r="L183" s="36" t="s">
        <v>67</v>
      </c>
      <c r="M183" s="36" t="s">
        <v>67</v>
      </c>
      <c r="N183" s="36" t="s">
        <v>67</v>
      </c>
      <c r="O183" s="36" t="s">
        <v>67</v>
      </c>
      <c r="P183" s="36" t="s">
        <v>67</v>
      </c>
      <c r="Q183" s="36" t="s">
        <v>67</v>
      </c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3"/>
    </row>
    <row r="184" spans="1:34" x14ac:dyDescent="0.25">
      <c r="A184" s="37" t="s">
        <v>257</v>
      </c>
      <c r="B184" s="38"/>
      <c r="C184" s="39">
        <v>2555910</v>
      </c>
      <c r="D184" s="39">
        <v>2555910</v>
      </c>
      <c r="E184" s="39">
        <v>2555910</v>
      </c>
      <c r="F184" s="39">
        <v>3073374</v>
      </c>
      <c r="G184" s="39">
        <v>3073374</v>
      </c>
      <c r="H184" s="39">
        <v>3073374</v>
      </c>
      <c r="I184" s="39">
        <v>3119745</v>
      </c>
      <c r="J184" s="39">
        <v>3119745</v>
      </c>
      <c r="K184" s="39">
        <v>3119745</v>
      </c>
      <c r="L184" s="39">
        <v>3221219</v>
      </c>
      <c r="M184" s="39">
        <v>3221219</v>
      </c>
      <c r="N184" s="39">
        <v>3221219</v>
      </c>
      <c r="O184" s="39">
        <v>2485251</v>
      </c>
      <c r="P184" s="39">
        <v>38395997</v>
      </c>
      <c r="Q184" s="39">
        <v>2953538</v>
      </c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3"/>
    </row>
    <row r="185" spans="1:34" x14ac:dyDescent="0.25">
      <c r="A185" s="35"/>
      <c r="B185" s="35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3"/>
    </row>
    <row r="186" spans="1:34" x14ac:dyDescent="0.25">
      <c r="A186" s="37" t="s">
        <v>258</v>
      </c>
      <c r="B186" s="38"/>
      <c r="C186" s="39"/>
      <c r="D186" s="39"/>
      <c r="E186" s="39"/>
      <c r="F186" s="39"/>
      <c r="G186" s="39"/>
      <c r="H186" s="39"/>
      <c r="I186" s="39"/>
      <c r="J186" s="24"/>
      <c r="K186" s="24"/>
      <c r="L186" s="24"/>
      <c r="M186" s="24"/>
      <c r="N186" s="24"/>
      <c r="O186" s="24"/>
      <c r="P186" s="24"/>
      <c r="Q186" s="24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3"/>
    </row>
    <row r="187" spans="1:34" x14ac:dyDescent="0.25">
      <c r="A187" s="31" t="s">
        <v>259</v>
      </c>
      <c r="B187" s="31" t="s">
        <v>260</v>
      </c>
      <c r="C187" s="39"/>
      <c r="D187" s="39"/>
      <c r="E187" s="39"/>
      <c r="F187" s="39"/>
      <c r="G187" s="39"/>
      <c r="H187" s="39"/>
      <c r="I187" s="39"/>
      <c r="J187" s="24">
        <v>0</v>
      </c>
      <c r="K187" s="24">
        <v>0</v>
      </c>
      <c r="L187" s="24">
        <v>-350000</v>
      </c>
      <c r="M187" s="24">
        <v>-350000</v>
      </c>
      <c r="N187" s="24">
        <v>-350000</v>
      </c>
      <c r="O187" s="24">
        <v>-350000</v>
      </c>
      <c r="P187" s="24">
        <v>-1400000</v>
      </c>
      <c r="Q187" s="24">
        <v>-107692</v>
      </c>
      <c r="R187" s="15">
        <f>SUM(T187:Y187)+Q187</f>
        <v>0</v>
      </c>
      <c r="S187" s="15" t="s">
        <v>16</v>
      </c>
      <c r="T187" s="15">
        <f t="shared" ref="T187:Y187" si="25">-$Q187*T5</f>
        <v>22938.396000000001</v>
      </c>
      <c r="U187" s="15">
        <f t="shared" si="25"/>
        <v>37476.815999999999</v>
      </c>
      <c r="V187" s="15">
        <f t="shared" si="25"/>
        <v>15507.647999999999</v>
      </c>
      <c r="W187" s="15">
        <f t="shared" si="25"/>
        <v>107.69200000000001</v>
      </c>
      <c r="X187" s="15">
        <f t="shared" si="25"/>
        <v>107.69200000000001</v>
      </c>
      <c r="Y187" s="15">
        <f t="shared" si="25"/>
        <v>31553.755999999998</v>
      </c>
      <c r="Z187" s="15"/>
      <c r="AA187" s="15" t="s">
        <v>16</v>
      </c>
      <c r="AB187" s="15">
        <f t="shared" ref="AB187:AG192" si="26">-$O187*AB$5</f>
        <v>74550</v>
      </c>
      <c r="AC187" s="15">
        <f t="shared" si="26"/>
        <v>121799.99999999999</v>
      </c>
      <c r="AD187" s="15">
        <f t="shared" si="26"/>
        <v>50399.999999999993</v>
      </c>
      <c r="AE187" s="15">
        <f t="shared" si="26"/>
        <v>350</v>
      </c>
      <c r="AF187" s="15">
        <f t="shared" si="26"/>
        <v>350</v>
      </c>
      <c r="AG187" s="15">
        <f t="shared" si="26"/>
        <v>102550</v>
      </c>
      <c r="AH187" s="27">
        <f t="shared" ref="AH187:AH192" si="27">SUM(AB187:AG187)+O187</f>
        <v>0</v>
      </c>
    </row>
    <row r="188" spans="1:34" x14ac:dyDescent="0.25">
      <c r="A188" s="31" t="s">
        <v>261</v>
      </c>
      <c r="B188" s="31" t="s">
        <v>262</v>
      </c>
      <c r="C188" s="24">
        <v>-36797</v>
      </c>
      <c r="D188" s="24">
        <v>-36797</v>
      </c>
      <c r="E188" s="24">
        <v>-36797</v>
      </c>
      <c r="F188" s="24">
        <v>-87919</v>
      </c>
      <c r="G188" s="24">
        <v>-87919</v>
      </c>
      <c r="H188" s="24">
        <v>-87919</v>
      </c>
      <c r="I188" s="24">
        <v>-125028</v>
      </c>
      <c r="J188" s="24">
        <v>-125028</v>
      </c>
      <c r="K188" s="24">
        <v>-125028</v>
      </c>
      <c r="L188" s="24">
        <v>-122753</v>
      </c>
      <c r="M188" s="24">
        <v>-122753</v>
      </c>
      <c r="N188" s="24">
        <v>-122753</v>
      </c>
      <c r="O188" s="24">
        <v>-59545</v>
      </c>
      <c r="P188" s="24">
        <v>-1177031</v>
      </c>
      <c r="Q188" s="24">
        <v>-90541</v>
      </c>
      <c r="R188" s="15">
        <f>SUM(T188:Y188)+Q188</f>
        <v>0</v>
      </c>
      <c r="S188" s="15" t="s">
        <v>16</v>
      </c>
      <c r="T188" s="15">
        <f t="shared" ref="T188:Y188" si="28">-$Q188*T5</f>
        <v>19285.233</v>
      </c>
      <c r="U188" s="15">
        <f t="shared" si="28"/>
        <v>31508.267999999996</v>
      </c>
      <c r="V188" s="15">
        <f t="shared" si="28"/>
        <v>13037.903999999999</v>
      </c>
      <c r="W188" s="15">
        <f t="shared" si="28"/>
        <v>90.540999999999997</v>
      </c>
      <c r="X188" s="15">
        <f t="shared" si="28"/>
        <v>90.540999999999997</v>
      </c>
      <c r="Y188" s="15">
        <f t="shared" si="28"/>
        <v>26528.512999999999</v>
      </c>
      <c r="Z188" s="15"/>
      <c r="AA188" s="15" t="s">
        <v>16</v>
      </c>
      <c r="AB188" s="15">
        <f t="shared" si="26"/>
        <v>12683.084999999999</v>
      </c>
      <c r="AC188" s="15">
        <f t="shared" si="26"/>
        <v>20721.66</v>
      </c>
      <c r="AD188" s="15">
        <f t="shared" si="26"/>
        <v>8574.48</v>
      </c>
      <c r="AE188" s="15">
        <f t="shared" si="26"/>
        <v>59.545000000000002</v>
      </c>
      <c r="AF188" s="15">
        <f t="shared" si="26"/>
        <v>59.545000000000002</v>
      </c>
      <c r="AG188" s="15">
        <f t="shared" si="26"/>
        <v>17446.684999999998</v>
      </c>
      <c r="AH188" s="27">
        <f t="shared" si="27"/>
        <v>0</v>
      </c>
    </row>
    <row r="189" spans="1:34" x14ac:dyDescent="0.25">
      <c r="A189" s="31" t="s">
        <v>263</v>
      </c>
      <c r="B189" s="31" t="s">
        <v>264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-626133</v>
      </c>
      <c r="P189" s="24">
        <v>-626133</v>
      </c>
      <c r="Q189" s="24">
        <v>-48164</v>
      </c>
      <c r="R189" s="15">
        <f>SUM(T189:Y189)+Q189</f>
        <v>0</v>
      </c>
      <c r="S189" s="15" t="s">
        <v>16</v>
      </c>
      <c r="T189" s="15">
        <f t="shared" ref="T189:Y189" si="29">-$Q189*T5</f>
        <v>10258.931999999999</v>
      </c>
      <c r="U189" s="15">
        <f t="shared" si="29"/>
        <v>16761.072</v>
      </c>
      <c r="V189" s="15">
        <f t="shared" si="29"/>
        <v>6935.6159999999991</v>
      </c>
      <c r="W189" s="15">
        <f t="shared" si="29"/>
        <v>48.164000000000001</v>
      </c>
      <c r="X189" s="15">
        <f t="shared" si="29"/>
        <v>48.164000000000001</v>
      </c>
      <c r="Y189" s="15">
        <f t="shared" si="29"/>
        <v>14112.052</v>
      </c>
      <c r="Z189" s="15"/>
      <c r="AA189" s="15" t="s">
        <v>16</v>
      </c>
      <c r="AB189" s="15">
        <f t="shared" si="26"/>
        <v>133366.329</v>
      </c>
      <c r="AC189" s="15">
        <f t="shared" si="26"/>
        <v>217894.28399999999</v>
      </c>
      <c r="AD189" s="15">
        <f t="shared" si="26"/>
        <v>90163.151999999987</v>
      </c>
      <c r="AE189" s="15">
        <f t="shared" si="26"/>
        <v>626.13300000000004</v>
      </c>
      <c r="AF189" s="15">
        <f t="shared" si="26"/>
        <v>626.13300000000004</v>
      </c>
      <c r="AG189" s="15">
        <f t="shared" si="26"/>
        <v>183456.96899999998</v>
      </c>
      <c r="AH189" s="27">
        <f t="shared" si="27"/>
        <v>0</v>
      </c>
    </row>
    <row r="190" spans="1:34" x14ac:dyDescent="0.25">
      <c r="A190" s="31" t="s">
        <v>265</v>
      </c>
      <c r="B190" s="31" t="s">
        <v>266</v>
      </c>
      <c r="C190" s="24">
        <v>-165608</v>
      </c>
      <c r="D190" s="24">
        <v>-165608</v>
      </c>
      <c r="E190" s="24">
        <v>-165608</v>
      </c>
      <c r="F190" s="24">
        <v>-395689</v>
      </c>
      <c r="G190" s="24">
        <v>-395689</v>
      </c>
      <c r="H190" s="24">
        <v>-395689</v>
      </c>
      <c r="I190" s="24">
        <v>-562703</v>
      </c>
      <c r="J190" s="24">
        <v>-562703</v>
      </c>
      <c r="K190" s="24">
        <v>-562703</v>
      </c>
      <c r="L190" s="24">
        <v>-617414</v>
      </c>
      <c r="M190" s="24">
        <v>-617414</v>
      </c>
      <c r="N190" s="24">
        <v>-617414</v>
      </c>
      <c r="O190" s="24">
        <v>-343881</v>
      </c>
      <c r="P190" s="24">
        <v>-5568124</v>
      </c>
      <c r="Q190" s="24">
        <v>-428317</v>
      </c>
      <c r="R190" s="15">
        <f>SUM(T190:Y190)+Q190</f>
        <v>0</v>
      </c>
      <c r="S190" s="15" t="s">
        <v>16</v>
      </c>
      <c r="T190" s="15">
        <f t="shared" ref="T190:Y190" si="30">-$Q190*T5</f>
        <v>91231.520999999993</v>
      </c>
      <c r="U190" s="15">
        <f t="shared" si="30"/>
        <v>149054.31599999999</v>
      </c>
      <c r="V190" s="15">
        <f t="shared" si="30"/>
        <v>61677.647999999994</v>
      </c>
      <c r="W190" s="15">
        <f t="shared" si="30"/>
        <v>428.31700000000001</v>
      </c>
      <c r="X190" s="15">
        <f t="shared" si="30"/>
        <v>428.31700000000001</v>
      </c>
      <c r="Y190" s="15">
        <f t="shared" si="30"/>
        <v>125496.88099999999</v>
      </c>
      <c r="Z190" s="15"/>
      <c r="AA190" s="15" t="s">
        <v>16</v>
      </c>
      <c r="AB190" s="15">
        <f t="shared" si="26"/>
        <v>73246.652999999991</v>
      </c>
      <c r="AC190" s="15">
        <f t="shared" si="26"/>
        <v>119670.58799999999</v>
      </c>
      <c r="AD190" s="15">
        <f t="shared" si="26"/>
        <v>49518.863999999994</v>
      </c>
      <c r="AE190" s="15">
        <f t="shared" si="26"/>
        <v>343.88100000000003</v>
      </c>
      <c r="AF190" s="15">
        <f t="shared" si="26"/>
        <v>343.88100000000003</v>
      </c>
      <c r="AG190" s="15">
        <f t="shared" si="26"/>
        <v>100757.13299999999</v>
      </c>
      <c r="AH190" s="27">
        <f t="shared" si="27"/>
        <v>0</v>
      </c>
    </row>
    <row r="191" spans="1:34" x14ac:dyDescent="0.25">
      <c r="A191" s="31" t="s">
        <v>267</v>
      </c>
      <c r="B191" s="31" t="s">
        <v>268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-165616</v>
      </c>
      <c r="P191" s="24">
        <v>-165616</v>
      </c>
      <c r="Q191" s="24">
        <v>-12740</v>
      </c>
      <c r="R191" s="15"/>
      <c r="S191" s="15" t="s">
        <v>16</v>
      </c>
      <c r="T191" s="15">
        <f t="shared" ref="T191:Y191" si="31">-$Q191*T5</f>
        <v>2713.62</v>
      </c>
      <c r="U191" s="15">
        <f t="shared" si="31"/>
        <v>4433.5199999999995</v>
      </c>
      <c r="V191" s="15">
        <f t="shared" si="31"/>
        <v>1834.56</v>
      </c>
      <c r="W191" s="15">
        <f t="shared" si="31"/>
        <v>12.74</v>
      </c>
      <c r="X191" s="15">
        <f t="shared" si="31"/>
        <v>12.74</v>
      </c>
      <c r="Y191" s="15">
        <f t="shared" si="31"/>
        <v>3732.8199999999997</v>
      </c>
      <c r="Z191" s="15"/>
      <c r="AA191" s="15" t="s">
        <v>16</v>
      </c>
      <c r="AB191" s="15">
        <f t="shared" si="26"/>
        <v>35276.207999999999</v>
      </c>
      <c r="AC191" s="15">
        <f t="shared" si="26"/>
        <v>57634.367999999995</v>
      </c>
      <c r="AD191" s="15">
        <f t="shared" si="26"/>
        <v>23848.703999999998</v>
      </c>
      <c r="AE191" s="15">
        <f t="shared" si="26"/>
        <v>165.61600000000001</v>
      </c>
      <c r="AF191" s="15">
        <f t="shared" si="26"/>
        <v>165.61600000000001</v>
      </c>
      <c r="AG191" s="15">
        <f t="shared" si="26"/>
        <v>48525.487999999998</v>
      </c>
      <c r="AH191" s="27">
        <f t="shared" si="27"/>
        <v>0</v>
      </c>
    </row>
    <row r="192" spans="1:34" x14ac:dyDescent="0.25">
      <c r="A192" s="31" t="s">
        <v>269</v>
      </c>
      <c r="B192" s="31" t="s">
        <v>270</v>
      </c>
      <c r="C192" s="24">
        <v>-621172</v>
      </c>
      <c r="D192" s="24">
        <v>-621172</v>
      </c>
      <c r="E192" s="24">
        <v>-621172</v>
      </c>
      <c r="F192" s="24">
        <v>-621172</v>
      </c>
      <c r="G192" s="24">
        <v>-621172</v>
      </c>
      <c r="H192" s="24">
        <v>-621172</v>
      </c>
      <c r="I192" s="24">
        <v>-621172</v>
      </c>
      <c r="J192" s="24">
        <v>-621172</v>
      </c>
      <c r="K192" s="24">
        <v>-589335</v>
      </c>
      <c r="L192" s="24">
        <v>-589335</v>
      </c>
      <c r="M192" s="24">
        <v>-589335</v>
      </c>
      <c r="N192" s="24">
        <v>-589335</v>
      </c>
      <c r="O192" s="24">
        <v>0</v>
      </c>
      <c r="P192" s="24">
        <v>-7326716</v>
      </c>
      <c r="Q192" s="24">
        <v>-563594</v>
      </c>
      <c r="R192" s="15"/>
      <c r="S192" s="15" t="s">
        <v>16</v>
      </c>
      <c r="T192" s="15">
        <f t="shared" ref="T192:Y192" si="32">-$Q192*T5</f>
        <v>120045.522</v>
      </c>
      <c r="U192" s="15">
        <f t="shared" si="32"/>
        <v>196130.712</v>
      </c>
      <c r="V192" s="15">
        <f t="shared" si="32"/>
        <v>81157.535999999993</v>
      </c>
      <c r="W192" s="15">
        <f t="shared" si="32"/>
        <v>563.59400000000005</v>
      </c>
      <c r="X192" s="15">
        <f t="shared" si="32"/>
        <v>563.59400000000005</v>
      </c>
      <c r="Y192" s="15">
        <f t="shared" si="32"/>
        <v>165133.04199999999</v>
      </c>
      <c r="Z192" s="15"/>
      <c r="AA192" s="15" t="s">
        <v>16</v>
      </c>
      <c r="AB192" s="15">
        <f t="shared" si="26"/>
        <v>0</v>
      </c>
      <c r="AC192" s="15">
        <f t="shared" si="26"/>
        <v>0</v>
      </c>
      <c r="AD192" s="15">
        <f t="shared" si="26"/>
        <v>0</v>
      </c>
      <c r="AE192" s="15">
        <f t="shared" si="26"/>
        <v>0</v>
      </c>
      <c r="AF192" s="15">
        <f t="shared" si="26"/>
        <v>0</v>
      </c>
      <c r="AG192" s="15">
        <f t="shared" si="26"/>
        <v>0</v>
      </c>
      <c r="AH192" s="27">
        <f t="shared" si="27"/>
        <v>0</v>
      </c>
    </row>
    <row r="193" spans="1:34" x14ac:dyDescent="0.25">
      <c r="A193" s="35"/>
      <c r="B193" s="35"/>
      <c r="C193" s="36" t="s">
        <v>67</v>
      </c>
      <c r="D193" s="36" t="s">
        <v>67</v>
      </c>
      <c r="E193" s="36" t="s">
        <v>67</v>
      </c>
      <c r="F193" s="36" t="s">
        <v>67</v>
      </c>
      <c r="G193" s="36" t="s">
        <v>67</v>
      </c>
      <c r="H193" s="36" t="s">
        <v>67</v>
      </c>
      <c r="I193" s="36" t="s">
        <v>67</v>
      </c>
      <c r="J193" s="36" t="s">
        <v>67</v>
      </c>
      <c r="K193" s="36" t="s">
        <v>67</v>
      </c>
      <c r="L193" s="36" t="s">
        <v>67</v>
      </c>
      <c r="M193" s="36" t="s">
        <v>67</v>
      </c>
      <c r="N193" s="36" t="s">
        <v>67</v>
      </c>
      <c r="O193" s="36" t="s">
        <v>67</v>
      </c>
      <c r="P193" s="36" t="s">
        <v>67</v>
      </c>
      <c r="Q193" s="36" t="s">
        <v>67</v>
      </c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27"/>
    </row>
    <row r="194" spans="1:34" x14ac:dyDescent="0.25">
      <c r="A194" s="37" t="s">
        <v>271</v>
      </c>
      <c r="B194" s="38"/>
      <c r="C194" s="39">
        <v>-823577</v>
      </c>
      <c r="D194" s="39">
        <v>-823577</v>
      </c>
      <c r="E194" s="39">
        <v>-823577</v>
      </c>
      <c r="F194" s="39">
        <v>-1104780</v>
      </c>
      <c r="G194" s="39">
        <v>-1104780</v>
      </c>
      <c r="H194" s="39">
        <v>-1104780</v>
      </c>
      <c r="I194" s="39">
        <v>-1308903</v>
      </c>
      <c r="J194" s="39">
        <v>-1308903</v>
      </c>
      <c r="K194" s="39">
        <v>-1277066</v>
      </c>
      <c r="L194" s="39">
        <v>-1679501</v>
      </c>
      <c r="M194" s="39">
        <v>-1679501</v>
      </c>
      <c r="N194" s="39">
        <v>-1679501</v>
      </c>
      <c r="O194" s="39">
        <v>-1545175</v>
      </c>
      <c r="P194" s="39">
        <v>-16263621</v>
      </c>
      <c r="Q194" s="39">
        <v>-1251048</v>
      </c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27"/>
    </row>
    <row r="195" spans="1:34" x14ac:dyDescent="0.25">
      <c r="A195" s="35"/>
      <c r="B195" s="35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27"/>
    </row>
    <row r="196" spans="1:34" x14ac:dyDescent="0.25">
      <c r="A196" s="37" t="s">
        <v>272</v>
      </c>
      <c r="B196" s="38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27"/>
    </row>
    <row r="197" spans="1:34" x14ac:dyDescent="0.25">
      <c r="A197" s="31" t="s">
        <v>273</v>
      </c>
      <c r="B197" s="31" t="s">
        <v>274</v>
      </c>
      <c r="C197" s="24">
        <v>416161</v>
      </c>
      <c r="D197" s="24">
        <v>474353</v>
      </c>
      <c r="E197" s="24">
        <v>464736</v>
      </c>
      <c r="F197" s="24">
        <v>758854</v>
      </c>
      <c r="G197" s="24">
        <v>934347</v>
      </c>
      <c r="H197" s="24">
        <v>1040349</v>
      </c>
      <c r="I197" s="24">
        <v>1203660</v>
      </c>
      <c r="J197" s="24">
        <v>462073</v>
      </c>
      <c r="K197" s="24">
        <v>691405</v>
      </c>
      <c r="L197" s="24">
        <v>843392</v>
      </c>
      <c r="M197" s="24">
        <v>948423</v>
      </c>
      <c r="N197" s="24">
        <v>1144594</v>
      </c>
      <c r="O197" s="24">
        <v>474927</v>
      </c>
      <c r="P197" s="24">
        <v>9857275</v>
      </c>
      <c r="Q197" s="24">
        <v>758252</v>
      </c>
      <c r="R197" s="15">
        <f>SUM(T197:Y197)+Q197</f>
        <v>0</v>
      </c>
      <c r="S197" s="15" t="s">
        <v>34</v>
      </c>
      <c r="T197" s="15">
        <f t="shared" ref="T197:Y200" si="33">-$Q197*T$7</f>
        <v>-145584.38399999999</v>
      </c>
      <c r="U197" s="15">
        <f t="shared" si="33"/>
        <v>-300343.61719999998</v>
      </c>
      <c r="V197" s="15">
        <f t="shared" si="33"/>
        <v>-103880.524</v>
      </c>
      <c r="W197" s="15">
        <f t="shared" si="33"/>
        <v>-2426.4064000000003</v>
      </c>
      <c r="X197" s="15">
        <f t="shared" si="33"/>
        <v>-1668.1544000000001</v>
      </c>
      <c r="Y197" s="15">
        <f t="shared" si="33"/>
        <v>-204348.91400000002</v>
      </c>
      <c r="Z197" s="15"/>
      <c r="AA197" s="15" t="s">
        <v>34</v>
      </c>
      <c r="AB197" s="15">
        <f>-$O197*AB$7</f>
        <v>-91185.983999999997</v>
      </c>
      <c r="AC197" s="15">
        <f t="shared" ref="AC197:AG200" si="34">-$O197*AC$7</f>
        <v>-188118.58470000001</v>
      </c>
      <c r="AD197" s="15">
        <f t="shared" si="34"/>
        <v>-65064.999000000003</v>
      </c>
      <c r="AE197" s="15">
        <f t="shared" si="34"/>
        <v>-1519.7664</v>
      </c>
      <c r="AF197" s="15">
        <f t="shared" si="34"/>
        <v>-1044.8394000000001</v>
      </c>
      <c r="AG197" s="15">
        <f t="shared" si="34"/>
        <v>-127992.82650000001</v>
      </c>
      <c r="AH197" s="27">
        <f>SUM(AB197:AG197)+O197</f>
        <v>0</v>
      </c>
    </row>
    <row r="198" spans="1:34" x14ac:dyDescent="0.25">
      <c r="A198" s="31" t="s">
        <v>275</v>
      </c>
      <c r="B198" s="31" t="s">
        <v>276</v>
      </c>
      <c r="C198" s="24">
        <v>308243</v>
      </c>
      <c r="D198" s="24">
        <v>308243</v>
      </c>
      <c r="E198" s="24">
        <v>308243</v>
      </c>
      <c r="F198" s="24">
        <v>291797</v>
      </c>
      <c r="G198" s="24">
        <v>291797</v>
      </c>
      <c r="H198" s="24">
        <v>291797</v>
      </c>
      <c r="I198" s="24">
        <v>289145</v>
      </c>
      <c r="J198" s="24">
        <v>289145</v>
      </c>
      <c r="K198" s="24">
        <v>289145</v>
      </c>
      <c r="L198" s="24">
        <v>270314</v>
      </c>
      <c r="M198" s="24">
        <v>270314</v>
      </c>
      <c r="N198" s="24">
        <v>270314</v>
      </c>
      <c r="O198" s="24">
        <v>269029</v>
      </c>
      <c r="P198" s="24">
        <v>3747525</v>
      </c>
      <c r="Q198" s="24">
        <v>288271</v>
      </c>
      <c r="R198" s="15">
        <f>SUM(T198:Y198)+Q198</f>
        <v>0</v>
      </c>
      <c r="S198" s="15" t="s">
        <v>34</v>
      </c>
      <c r="T198" s="15">
        <f t="shared" si="33"/>
        <v>-55348.031999999999</v>
      </c>
      <c r="U198" s="15">
        <f t="shared" si="33"/>
        <v>-114184.1431</v>
      </c>
      <c r="V198" s="15">
        <f t="shared" si="33"/>
        <v>-39493.127</v>
      </c>
      <c r="W198" s="15">
        <f t="shared" si="33"/>
        <v>-922.46720000000005</v>
      </c>
      <c r="X198" s="15">
        <f t="shared" si="33"/>
        <v>-634.19620000000009</v>
      </c>
      <c r="Y198" s="15">
        <f t="shared" si="33"/>
        <v>-77689.034500000009</v>
      </c>
      <c r="Z198" s="15"/>
      <c r="AA198" s="15" t="s">
        <v>34</v>
      </c>
      <c r="AB198" s="15">
        <f>-$O198*AB$7</f>
        <v>-51653.567999999999</v>
      </c>
      <c r="AC198" s="15">
        <f t="shared" si="34"/>
        <v>-106562.3869</v>
      </c>
      <c r="AD198" s="15">
        <f t="shared" si="34"/>
        <v>-36856.973000000005</v>
      </c>
      <c r="AE198" s="15">
        <f t="shared" si="34"/>
        <v>-860.89280000000008</v>
      </c>
      <c r="AF198" s="15">
        <f t="shared" si="34"/>
        <v>-591.86380000000008</v>
      </c>
      <c r="AG198" s="15">
        <f t="shared" si="34"/>
        <v>-72503.315500000012</v>
      </c>
      <c r="AH198" s="27">
        <f>SUM(AB198:AG198)+O198</f>
        <v>0</v>
      </c>
    </row>
    <row r="199" spans="1:34" x14ac:dyDescent="0.25">
      <c r="A199" s="31" t="s">
        <v>277</v>
      </c>
      <c r="B199" s="31" t="s">
        <v>278</v>
      </c>
      <c r="C199" s="24">
        <v>1672986</v>
      </c>
      <c r="D199" s="24">
        <v>1953810</v>
      </c>
      <c r="E199" s="24">
        <v>2201560</v>
      </c>
      <c r="F199" s="24">
        <v>704739</v>
      </c>
      <c r="G199" s="24">
        <v>808552</v>
      </c>
      <c r="H199" s="24">
        <v>909695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8251342</v>
      </c>
      <c r="Q199" s="24">
        <v>634719</v>
      </c>
      <c r="R199" s="15">
        <f>SUM(T199:Y199)+Q199</f>
        <v>0</v>
      </c>
      <c r="S199" s="15" t="s">
        <v>34</v>
      </c>
      <c r="T199" s="15">
        <f t="shared" si="33"/>
        <v>-121866.04800000001</v>
      </c>
      <c r="U199" s="15">
        <f t="shared" si="33"/>
        <v>-251412.19589999999</v>
      </c>
      <c r="V199" s="15">
        <f t="shared" si="33"/>
        <v>-86956.503000000012</v>
      </c>
      <c r="W199" s="15">
        <f t="shared" si="33"/>
        <v>-2031.1008000000002</v>
      </c>
      <c r="X199" s="15">
        <f t="shared" si="33"/>
        <v>-1396.3818000000001</v>
      </c>
      <c r="Y199" s="15">
        <f t="shared" si="33"/>
        <v>-171056.77050000001</v>
      </c>
      <c r="Z199" s="15"/>
      <c r="AA199" s="15" t="s">
        <v>34</v>
      </c>
      <c r="AB199" s="15">
        <f>-$O199*AB$7</f>
        <v>0</v>
      </c>
      <c r="AC199" s="15">
        <f t="shared" si="34"/>
        <v>0</v>
      </c>
      <c r="AD199" s="15">
        <f t="shared" si="34"/>
        <v>0</v>
      </c>
      <c r="AE199" s="15">
        <f t="shared" si="34"/>
        <v>0</v>
      </c>
      <c r="AF199" s="15">
        <f t="shared" si="34"/>
        <v>0</v>
      </c>
      <c r="AG199" s="15">
        <f t="shared" si="34"/>
        <v>0</v>
      </c>
      <c r="AH199" s="27"/>
    </row>
    <row r="200" spans="1:34" x14ac:dyDescent="0.25">
      <c r="A200" s="31" t="s">
        <v>279</v>
      </c>
      <c r="B200" s="31" t="s">
        <v>280</v>
      </c>
      <c r="C200" s="24">
        <v>0</v>
      </c>
      <c r="D200" s="24">
        <v>0</v>
      </c>
      <c r="E200" s="24">
        <v>0</v>
      </c>
      <c r="F200" s="24">
        <v>0</v>
      </c>
      <c r="G200" s="24">
        <v>148496</v>
      </c>
      <c r="H200" s="24">
        <v>117435</v>
      </c>
      <c r="I200" s="24">
        <v>70844</v>
      </c>
      <c r="J200" s="24">
        <v>39783</v>
      </c>
      <c r="K200" s="24">
        <v>16603</v>
      </c>
      <c r="L200" s="24">
        <v>0</v>
      </c>
      <c r="M200" s="24">
        <v>0</v>
      </c>
      <c r="N200" s="24">
        <v>0</v>
      </c>
      <c r="O200" s="24">
        <v>0</v>
      </c>
      <c r="P200" s="24">
        <v>393161</v>
      </c>
      <c r="Q200" s="24">
        <v>30243</v>
      </c>
      <c r="R200" s="15">
        <f>SUM(T200:Y200)+Q200</f>
        <v>0</v>
      </c>
      <c r="S200" s="15" t="s">
        <v>34</v>
      </c>
      <c r="T200" s="15">
        <f t="shared" si="33"/>
        <v>-5806.6559999999999</v>
      </c>
      <c r="U200" s="15">
        <f t="shared" si="33"/>
        <v>-11979.2523</v>
      </c>
      <c r="V200" s="15">
        <f t="shared" si="33"/>
        <v>-4143.2910000000002</v>
      </c>
      <c r="W200" s="15">
        <f t="shared" si="33"/>
        <v>-96.777600000000007</v>
      </c>
      <c r="X200" s="15">
        <f t="shared" si="33"/>
        <v>-66.534599999999998</v>
      </c>
      <c r="Y200" s="15">
        <f t="shared" si="33"/>
        <v>-8150.4885000000004</v>
      </c>
      <c r="Z200" s="15"/>
      <c r="AA200" s="15" t="s">
        <v>34</v>
      </c>
      <c r="AB200" s="15">
        <f>-$O200*AB$7</f>
        <v>0</v>
      </c>
      <c r="AC200" s="15">
        <f t="shared" si="34"/>
        <v>0</v>
      </c>
      <c r="AD200" s="15">
        <f t="shared" si="34"/>
        <v>0</v>
      </c>
      <c r="AE200" s="15">
        <f t="shared" si="34"/>
        <v>0</v>
      </c>
      <c r="AF200" s="15">
        <f t="shared" si="34"/>
        <v>0</v>
      </c>
      <c r="AG200" s="15">
        <f t="shared" si="34"/>
        <v>0</v>
      </c>
      <c r="AH200" s="27"/>
    </row>
    <row r="201" spans="1:34" x14ac:dyDescent="0.25">
      <c r="A201" s="35"/>
      <c r="B201" s="35"/>
      <c r="C201" s="36" t="s">
        <v>67</v>
      </c>
      <c r="D201" s="36" t="s">
        <v>67</v>
      </c>
      <c r="E201" s="36" t="s">
        <v>67</v>
      </c>
      <c r="F201" s="36" t="s">
        <v>67</v>
      </c>
      <c r="G201" s="36" t="s">
        <v>67</v>
      </c>
      <c r="H201" s="36" t="s">
        <v>67</v>
      </c>
      <c r="I201" s="36" t="s">
        <v>67</v>
      </c>
      <c r="J201" s="36" t="s">
        <v>67</v>
      </c>
      <c r="K201" s="36" t="s">
        <v>67</v>
      </c>
      <c r="L201" s="36" t="s">
        <v>67</v>
      </c>
      <c r="M201" s="36" t="s">
        <v>67</v>
      </c>
      <c r="N201" s="36" t="s">
        <v>67</v>
      </c>
      <c r="O201" s="36" t="s">
        <v>67</v>
      </c>
      <c r="P201" s="36" t="s">
        <v>67</v>
      </c>
      <c r="Q201" s="36" t="s">
        <v>67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27"/>
    </row>
    <row r="202" spans="1:34" x14ac:dyDescent="0.25">
      <c r="A202" s="37" t="s">
        <v>281</v>
      </c>
      <c r="B202" s="38"/>
      <c r="C202" s="39">
        <v>2397390</v>
      </c>
      <c r="D202" s="39">
        <v>2736406</v>
      </c>
      <c r="E202" s="39">
        <v>2974539</v>
      </c>
      <c r="F202" s="39">
        <v>1755391</v>
      </c>
      <c r="G202" s="39">
        <v>2183193</v>
      </c>
      <c r="H202" s="39">
        <v>2359277</v>
      </c>
      <c r="I202" s="39">
        <v>1563648</v>
      </c>
      <c r="J202" s="39">
        <v>791000</v>
      </c>
      <c r="K202" s="39">
        <v>997153</v>
      </c>
      <c r="L202" s="39">
        <v>1113706</v>
      </c>
      <c r="M202" s="39">
        <v>1218737</v>
      </c>
      <c r="N202" s="39">
        <v>1414908</v>
      </c>
      <c r="O202" s="39">
        <v>743956</v>
      </c>
      <c r="P202" s="39">
        <v>22249303</v>
      </c>
      <c r="Q202" s="39">
        <v>1711485</v>
      </c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27"/>
    </row>
    <row r="203" spans="1:34" x14ac:dyDescent="0.25">
      <c r="A203" s="35"/>
      <c r="B203" s="35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27"/>
    </row>
    <row r="204" spans="1:34" x14ac:dyDescent="0.25">
      <c r="A204" s="37" t="s">
        <v>282</v>
      </c>
      <c r="B204" s="38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27"/>
    </row>
    <row r="205" spans="1:34" x14ac:dyDescent="0.25">
      <c r="A205" s="31" t="s">
        <v>283</v>
      </c>
      <c r="B205" s="31" t="s">
        <v>284</v>
      </c>
      <c r="C205" s="24">
        <v>154852</v>
      </c>
      <c r="D205" s="24">
        <v>154852</v>
      </c>
      <c r="E205" s="24">
        <v>154852</v>
      </c>
      <c r="F205" s="24">
        <v>154852</v>
      </c>
      <c r="G205" s="24">
        <v>154852</v>
      </c>
      <c r="H205" s="24">
        <v>154852</v>
      </c>
      <c r="I205" s="24">
        <v>154852</v>
      </c>
      <c r="J205" s="24">
        <v>154852</v>
      </c>
      <c r="K205" s="24">
        <v>154852</v>
      </c>
      <c r="L205" s="24">
        <v>154852</v>
      </c>
      <c r="M205" s="24">
        <v>154852</v>
      </c>
      <c r="N205" s="24">
        <v>154852</v>
      </c>
      <c r="O205" s="24">
        <v>154852</v>
      </c>
      <c r="P205" s="24">
        <v>2013076</v>
      </c>
      <c r="Q205" s="24">
        <v>154852</v>
      </c>
      <c r="R205" s="15">
        <f>SUM(T205:Y205)+Q205</f>
        <v>0</v>
      </c>
      <c r="S205" s="15" t="s">
        <v>34</v>
      </c>
      <c r="T205" s="15">
        <f>-$Q205*T$6</f>
        <v>-39022.703999999998</v>
      </c>
      <c r="U205" s="15">
        <f t="shared" ref="U205:Y205" si="35">-$Q205*U$6</f>
        <v>-80523.040000000008</v>
      </c>
      <c r="V205" s="15">
        <f t="shared" si="35"/>
        <v>0</v>
      </c>
      <c r="W205" s="15">
        <f t="shared" si="35"/>
        <v>0</v>
      </c>
      <c r="X205" s="15">
        <f t="shared" si="35"/>
        <v>0</v>
      </c>
      <c r="Y205" s="15">
        <f t="shared" si="35"/>
        <v>-35306.256000000001</v>
      </c>
      <c r="Z205" s="15"/>
      <c r="AA205" s="15" t="s">
        <v>34</v>
      </c>
      <c r="AB205" s="15">
        <f>-$O205*AB$6</f>
        <v>-39022.703999999998</v>
      </c>
      <c r="AC205" s="15">
        <f t="shared" ref="AC205:AG205" si="36">-$O205*AC$6</f>
        <v>-80523.040000000008</v>
      </c>
      <c r="AD205" s="15">
        <f t="shared" si="36"/>
        <v>0</v>
      </c>
      <c r="AE205" s="15">
        <f t="shared" si="36"/>
        <v>0</v>
      </c>
      <c r="AF205" s="15">
        <f t="shared" si="36"/>
        <v>0</v>
      </c>
      <c r="AG205" s="15">
        <f t="shared" si="36"/>
        <v>-35306.256000000001</v>
      </c>
      <c r="AH205" s="27">
        <f t="shared" ref="AH205:AH210" si="37">SUM(AB205:AG205)+O205</f>
        <v>0</v>
      </c>
    </row>
    <row r="206" spans="1:34" x14ac:dyDescent="0.25">
      <c r="A206" s="31" t="s">
        <v>285</v>
      </c>
      <c r="B206" s="31" t="s">
        <v>286</v>
      </c>
      <c r="C206" s="24">
        <v>159994</v>
      </c>
      <c r="D206" s="24">
        <v>160120</v>
      </c>
      <c r="E206" s="24">
        <v>160247</v>
      </c>
      <c r="F206" s="24">
        <v>160374</v>
      </c>
      <c r="G206" s="24">
        <v>160502</v>
      </c>
      <c r="H206" s="24">
        <v>160630</v>
      </c>
      <c r="I206" s="24">
        <v>160759</v>
      </c>
      <c r="J206" s="24">
        <v>160887</v>
      </c>
      <c r="K206" s="24">
        <v>161017</v>
      </c>
      <c r="L206" s="24">
        <v>161146</v>
      </c>
      <c r="M206" s="24">
        <v>161276</v>
      </c>
      <c r="N206" s="24">
        <v>161407</v>
      </c>
      <c r="O206" s="24">
        <v>161538</v>
      </c>
      <c r="P206" s="24">
        <v>2089897</v>
      </c>
      <c r="Q206" s="24">
        <v>160761</v>
      </c>
      <c r="R206" s="15">
        <f>SUM(T206:Y206)+Q206</f>
        <v>0</v>
      </c>
      <c r="S206" s="15" t="s">
        <v>34</v>
      </c>
      <c r="T206" s="15">
        <f t="shared" ref="T206:Y210" si="38">-$Q206*T$7</f>
        <v>-30866.112000000001</v>
      </c>
      <c r="U206" s="15">
        <f t="shared" si="38"/>
        <v>-63677.432099999998</v>
      </c>
      <c r="V206" s="15">
        <f t="shared" si="38"/>
        <v>-22024.257000000001</v>
      </c>
      <c r="W206" s="15">
        <f t="shared" si="38"/>
        <v>-514.43520000000001</v>
      </c>
      <c r="X206" s="15">
        <f t="shared" si="38"/>
        <v>-353.67420000000004</v>
      </c>
      <c r="Y206" s="15">
        <f t="shared" si="38"/>
        <v>-43325.089500000002</v>
      </c>
      <c r="Z206" s="15"/>
      <c r="AA206" s="15" t="s">
        <v>34</v>
      </c>
      <c r="AB206" s="15">
        <f t="shared" ref="AB206:AG210" si="39">-$O206*AB$7</f>
        <v>-31015.296000000002</v>
      </c>
      <c r="AC206" s="15">
        <f t="shared" si="39"/>
        <v>-63985.201800000003</v>
      </c>
      <c r="AD206" s="15">
        <f t="shared" si="39"/>
        <v>-22130.706000000002</v>
      </c>
      <c r="AE206" s="15">
        <f t="shared" si="39"/>
        <v>-516.92160000000001</v>
      </c>
      <c r="AF206" s="15">
        <f t="shared" si="39"/>
        <v>-355.3836</v>
      </c>
      <c r="AG206" s="15">
        <f t="shared" si="39"/>
        <v>-43534.491000000002</v>
      </c>
      <c r="AH206" s="27">
        <f t="shared" si="37"/>
        <v>0</v>
      </c>
    </row>
    <row r="207" spans="1:34" x14ac:dyDescent="0.25">
      <c r="A207" s="31" t="s">
        <v>287</v>
      </c>
      <c r="B207" s="31" t="s">
        <v>288</v>
      </c>
      <c r="C207" s="24">
        <v>-9055</v>
      </c>
      <c r="D207" s="24">
        <v>-9055</v>
      </c>
      <c r="E207" s="24">
        <v>-9055</v>
      </c>
      <c r="F207" s="24">
        <v>-13143</v>
      </c>
      <c r="G207" s="24">
        <v>207446</v>
      </c>
      <c r="H207" s="24">
        <v>-9055</v>
      </c>
      <c r="I207" s="24">
        <v>-9055</v>
      </c>
      <c r="J207" s="24">
        <v>197245</v>
      </c>
      <c r="K207" s="24">
        <v>1473</v>
      </c>
      <c r="L207" s="24">
        <v>1473</v>
      </c>
      <c r="M207" s="24">
        <v>1473</v>
      </c>
      <c r="N207" s="24">
        <v>1250</v>
      </c>
      <c r="O207" s="24">
        <v>1081</v>
      </c>
      <c r="P207" s="24">
        <v>353025</v>
      </c>
      <c r="Q207" s="24">
        <v>27156</v>
      </c>
      <c r="R207" s="15">
        <f>SUM(T207:Y207)+Q207</f>
        <v>0</v>
      </c>
      <c r="S207" s="15" t="s">
        <v>34</v>
      </c>
      <c r="T207" s="15">
        <f t="shared" si="38"/>
        <v>-5213.9520000000002</v>
      </c>
      <c r="U207" s="15">
        <f t="shared" si="38"/>
        <v>-10756.491599999999</v>
      </c>
      <c r="V207" s="15">
        <f t="shared" si="38"/>
        <v>-3720.3720000000003</v>
      </c>
      <c r="W207" s="15">
        <f t="shared" si="38"/>
        <v>-86.899200000000008</v>
      </c>
      <c r="X207" s="15">
        <f t="shared" si="38"/>
        <v>-59.743200000000002</v>
      </c>
      <c r="Y207" s="15">
        <f t="shared" si="38"/>
        <v>-7318.5420000000004</v>
      </c>
      <c r="Z207" s="15"/>
      <c r="AA207" s="15" t="s">
        <v>34</v>
      </c>
      <c r="AB207" s="15">
        <f t="shared" si="39"/>
        <v>-207.55199999999999</v>
      </c>
      <c r="AC207" s="15">
        <f t="shared" si="39"/>
        <v>-428.1841</v>
      </c>
      <c r="AD207" s="15">
        <f t="shared" si="39"/>
        <v>-148.09700000000001</v>
      </c>
      <c r="AE207" s="15">
        <f t="shared" si="39"/>
        <v>-3.4592000000000001</v>
      </c>
      <c r="AF207" s="15">
        <f t="shared" si="39"/>
        <v>-2.3782000000000001</v>
      </c>
      <c r="AG207" s="15">
        <f t="shared" si="39"/>
        <v>-291.3295</v>
      </c>
      <c r="AH207" s="27">
        <f t="shared" si="37"/>
        <v>0</v>
      </c>
    </row>
    <row r="208" spans="1:34" x14ac:dyDescent="0.25">
      <c r="A208" s="31" t="s">
        <v>289</v>
      </c>
      <c r="B208" s="31" t="s">
        <v>290</v>
      </c>
      <c r="C208" s="24">
        <v>-10</v>
      </c>
      <c r="D208" s="24">
        <v>-10</v>
      </c>
      <c r="E208" s="24">
        <v>-10</v>
      </c>
      <c r="F208" s="24">
        <v>-10</v>
      </c>
      <c r="G208" s="24">
        <v>-2898</v>
      </c>
      <c r="H208" s="24">
        <v>-10</v>
      </c>
      <c r="I208" s="24">
        <v>-3</v>
      </c>
      <c r="J208" s="24">
        <v>94</v>
      </c>
      <c r="K208" s="24">
        <v>-3</v>
      </c>
      <c r="L208" s="24">
        <v>-3</v>
      </c>
      <c r="M208" s="24">
        <v>-10</v>
      </c>
      <c r="N208" s="24">
        <v>-10</v>
      </c>
      <c r="O208" s="24">
        <v>-10</v>
      </c>
      <c r="P208" s="24">
        <v>-2898</v>
      </c>
      <c r="Q208" s="24">
        <v>-223</v>
      </c>
      <c r="R208" s="15">
        <f>SUM(T208:Y208)+Q208</f>
        <v>0</v>
      </c>
      <c r="S208" s="15" t="s">
        <v>34</v>
      </c>
      <c r="T208" s="15">
        <f t="shared" si="38"/>
        <v>42.816000000000003</v>
      </c>
      <c r="U208" s="15">
        <f t="shared" si="38"/>
        <v>88.330300000000008</v>
      </c>
      <c r="V208" s="15">
        <f t="shared" si="38"/>
        <v>30.551000000000002</v>
      </c>
      <c r="W208" s="15">
        <f t="shared" si="38"/>
        <v>0.71360000000000001</v>
      </c>
      <c r="X208" s="15">
        <f t="shared" si="38"/>
        <v>0.49060000000000004</v>
      </c>
      <c r="Y208" s="15">
        <f t="shared" si="38"/>
        <v>60.098500000000001</v>
      </c>
      <c r="Z208" s="15"/>
      <c r="AA208" s="15" t="s">
        <v>34</v>
      </c>
      <c r="AB208" s="15">
        <f t="shared" si="39"/>
        <v>1.92</v>
      </c>
      <c r="AC208" s="15">
        <f t="shared" si="39"/>
        <v>3.9610000000000003</v>
      </c>
      <c r="AD208" s="15">
        <f t="shared" si="39"/>
        <v>1.37</v>
      </c>
      <c r="AE208" s="15">
        <f t="shared" si="39"/>
        <v>3.2000000000000001E-2</v>
      </c>
      <c r="AF208" s="15">
        <f t="shared" si="39"/>
        <v>2.2000000000000002E-2</v>
      </c>
      <c r="AG208" s="15">
        <f t="shared" si="39"/>
        <v>2.6950000000000003</v>
      </c>
      <c r="AH208" s="27">
        <f t="shared" si="37"/>
        <v>0</v>
      </c>
    </row>
    <row r="209" spans="1:34" x14ac:dyDescent="0.25">
      <c r="A209" s="31" t="s">
        <v>291</v>
      </c>
      <c r="B209" s="31" t="s">
        <v>292</v>
      </c>
      <c r="C209" s="24">
        <v>-17758</v>
      </c>
      <c r="D209" s="24">
        <v>-17758</v>
      </c>
      <c r="E209" s="24">
        <v>-17758</v>
      </c>
      <c r="F209" s="24">
        <v>-17758</v>
      </c>
      <c r="G209" s="24">
        <v>-17758</v>
      </c>
      <c r="H209" s="24">
        <v>-17758</v>
      </c>
      <c r="I209" s="24">
        <v>-17765</v>
      </c>
      <c r="J209" s="24">
        <v>-17696</v>
      </c>
      <c r="K209" s="24">
        <v>-17765</v>
      </c>
      <c r="L209" s="24">
        <v>-17765</v>
      </c>
      <c r="M209" s="24">
        <v>-17758</v>
      </c>
      <c r="N209" s="24">
        <v>-17758</v>
      </c>
      <c r="O209" s="24">
        <v>-9971</v>
      </c>
      <c r="P209" s="24">
        <v>-223027</v>
      </c>
      <c r="Q209" s="24">
        <v>-17156</v>
      </c>
      <c r="R209" s="15">
        <f>SUM(T209:Y209)+Q209</f>
        <v>0</v>
      </c>
      <c r="S209" s="15" t="s">
        <v>34</v>
      </c>
      <c r="T209" s="15">
        <f t="shared" si="38"/>
        <v>3293.9520000000002</v>
      </c>
      <c r="U209" s="15">
        <f t="shared" si="38"/>
        <v>6795.4916000000003</v>
      </c>
      <c r="V209" s="15">
        <f t="shared" si="38"/>
        <v>2350.3720000000003</v>
      </c>
      <c r="W209" s="15">
        <f t="shared" si="38"/>
        <v>54.8992</v>
      </c>
      <c r="X209" s="15">
        <f t="shared" si="38"/>
        <v>37.743200000000002</v>
      </c>
      <c r="Y209" s="15">
        <f t="shared" si="38"/>
        <v>4623.5420000000004</v>
      </c>
      <c r="Z209" s="15"/>
      <c r="AA209" s="15" t="s">
        <v>34</v>
      </c>
      <c r="AB209" s="15">
        <f t="shared" si="39"/>
        <v>1914.432</v>
      </c>
      <c r="AC209" s="15">
        <f t="shared" si="39"/>
        <v>3949.5131000000001</v>
      </c>
      <c r="AD209" s="15">
        <f t="shared" si="39"/>
        <v>1366.027</v>
      </c>
      <c r="AE209" s="15">
        <f t="shared" si="39"/>
        <v>31.907200000000003</v>
      </c>
      <c r="AF209" s="15">
        <f t="shared" si="39"/>
        <v>21.936200000000003</v>
      </c>
      <c r="AG209" s="15">
        <f t="shared" si="39"/>
        <v>2687.1845000000003</v>
      </c>
      <c r="AH209" s="27">
        <f t="shared" si="37"/>
        <v>0</v>
      </c>
    </row>
    <row r="210" spans="1:34" x14ac:dyDescent="0.25">
      <c r="A210" s="31" t="s">
        <v>293</v>
      </c>
      <c r="B210" s="31" t="s">
        <v>294</v>
      </c>
      <c r="C210" s="24">
        <v>0</v>
      </c>
      <c r="D210" s="24">
        <v>-257</v>
      </c>
      <c r="E210" s="24">
        <v>0</v>
      </c>
      <c r="F210" s="24">
        <v>0</v>
      </c>
      <c r="G210" s="24">
        <v>-223797</v>
      </c>
      <c r="H210" s="24">
        <v>0</v>
      </c>
      <c r="I210" s="24">
        <v>0</v>
      </c>
      <c r="J210" s="24">
        <v>433</v>
      </c>
      <c r="K210" s="24">
        <v>0</v>
      </c>
      <c r="L210" s="24">
        <v>0</v>
      </c>
      <c r="M210" s="24">
        <v>0</v>
      </c>
      <c r="N210" s="24">
        <v>0</v>
      </c>
      <c r="O210" s="24">
        <v>-1269</v>
      </c>
      <c r="P210" s="24">
        <v>-224890</v>
      </c>
      <c r="Q210" s="24">
        <v>-17299</v>
      </c>
      <c r="R210" s="15"/>
      <c r="S210" s="15" t="s">
        <v>34</v>
      </c>
      <c r="T210" s="15">
        <f t="shared" si="38"/>
        <v>3321.4079999999999</v>
      </c>
      <c r="U210" s="15">
        <f t="shared" si="38"/>
        <v>6852.1338999999998</v>
      </c>
      <c r="V210" s="15">
        <f t="shared" si="38"/>
        <v>2369.9630000000002</v>
      </c>
      <c r="W210" s="15">
        <f t="shared" si="38"/>
        <v>55.3568</v>
      </c>
      <c r="X210" s="15">
        <f t="shared" si="38"/>
        <v>38.0578</v>
      </c>
      <c r="Y210" s="15">
        <f t="shared" si="38"/>
        <v>4662.0805</v>
      </c>
      <c r="Z210" s="15"/>
      <c r="AA210" s="15" t="s">
        <v>34</v>
      </c>
      <c r="AB210" s="15">
        <f t="shared" si="39"/>
        <v>243.648</v>
      </c>
      <c r="AC210" s="15">
        <f t="shared" si="39"/>
        <v>502.65090000000004</v>
      </c>
      <c r="AD210" s="15">
        <f t="shared" si="39"/>
        <v>173.85300000000001</v>
      </c>
      <c r="AE210" s="15">
        <f t="shared" si="39"/>
        <v>4.0608000000000004</v>
      </c>
      <c r="AF210" s="15">
        <f t="shared" si="39"/>
        <v>2.7918000000000003</v>
      </c>
      <c r="AG210" s="15">
        <f t="shared" si="39"/>
        <v>341.99550000000005</v>
      </c>
      <c r="AH210" s="27">
        <f t="shared" si="37"/>
        <v>0</v>
      </c>
    </row>
    <row r="211" spans="1:34" x14ac:dyDescent="0.25">
      <c r="A211" s="35"/>
      <c r="B211" s="35"/>
      <c r="C211" s="36" t="s">
        <v>67</v>
      </c>
      <c r="D211" s="36" t="s">
        <v>67</v>
      </c>
      <c r="E211" s="36" t="s">
        <v>67</v>
      </c>
      <c r="F211" s="36" t="s">
        <v>67</v>
      </c>
      <c r="G211" s="36" t="s">
        <v>67</v>
      </c>
      <c r="H211" s="36" t="s">
        <v>67</v>
      </c>
      <c r="I211" s="36" t="s">
        <v>67</v>
      </c>
      <c r="J211" s="36" t="s">
        <v>67</v>
      </c>
      <c r="K211" s="36" t="s">
        <v>67</v>
      </c>
      <c r="L211" s="36" t="s">
        <v>67</v>
      </c>
      <c r="M211" s="36" t="s">
        <v>67</v>
      </c>
      <c r="N211" s="36" t="s">
        <v>67</v>
      </c>
      <c r="O211" s="36" t="s">
        <v>67</v>
      </c>
      <c r="P211" s="36" t="s">
        <v>67</v>
      </c>
      <c r="Q211" s="36" t="s">
        <v>67</v>
      </c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27"/>
    </row>
    <row r="212" spans="1:34" x14ac:dyDescent="0.25">
      <c r="A212" s="37" t="s">
        <v>295</v>
      </c>
      <c r="B212" s="38"/>
      <c r="C212" s="39">
        <v>288023</v>
      </c>
      <c r="D212" s="39">
        <v>287893</v>
      </c>
      <c r="E212" s="39">
        <v>288276</v>
      </c>
      <c r="F212" s="39">
        <v>284315</v>
      </c>
      <c r="G212" s="39">
        <v>278346</v>
      </c>
      <c r="H212" s="39">
        <v>288659</v>
      </c>
      <c r="I212" s="39">
        <v>288787</v>
      </c>
      <c r="J212" s="39">
        <v>495815</v>
      </c>
      <c r="K212" s="39">
        <v>299573</v>
      </c>
      <c r="L212" s="39">
        <v>299703</v>
      </c>
      <c r="M212" s="39">
        <v>299833</v>
      </c>
      <c r="N212" s="39">
        <v>299740</v>
      </c>
      <c r="O212" s="39">
        <v>306220</v>
      </c>
      <c r="P212" s="39">
        <v>4005183</v>
      </c>
      <c r="Q212" s="39">
        <v>308091</v>
      </c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27"/>
    </row>
    <row r="213" spans="1:34" x14ac:dyDescent="0.25">
      <c r="A213" s="35"/>
      <c r="B213" s="35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27"/>
    </row>
    <row r="214" spans="1:34" ht="15.75" x14ac:dyDescent="0.3">
      <c r="A214" s="56" t="s">
        <v>296</v>
      </c>
      <c r="B214" s="54"/>
      <c r="C214" s="55">
        <v>6866281</v>
      </c>
      <c r="D214" s="55">
        <v>8861392</v>
      </c>
      <c r="E214" s="55">
        <v>12909480</v>
      </c>
      <c r="F214" s="55">
        <v>9098702</v>
      </c>
      <c r="G214" s="55">
        <v>8461934</v>
      </c>
      <c r="H214" s="55">
        <v>9682223</v>
      </c>
      <c r="I214" s="55">
        <v>9807438</v>
      </c>
      <c r="J214" s="55">
        <v>7187085</v>
      </c>
      <c r="K214" s="55">
        <v>6247689</v>
      </c>
      <c r="L214" s="55">
        <v>10781701</v>
      </c>
      <c r="M214" s="55">
        <v>9285446</v>
      </c>
      <c r="N214" s="55">
        <v>5922323</v>
      </c>
      <c r="O214" s="55">
        <v>3779071</v>
      </c>
      <c r="P214" s="55">
        <v>108890765</v>
      </c>
      <c r="Q214" s="55">
        <v>8376213</v>
      </c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27"/>
    </row>
    <row r="215" spans="1:34" x14ac:dyDescent="0.25">
      <c r="A215" s="35"/>
      <c r="B215" s="35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27"/>
    </row>
    <row r="216" spans="1:34" ht="15.75" x14ac:dyDescent="0.3">
      <c r="A216" s="56" t="s">
        <v>297</v>
      </c>
      <c r="B216" s="54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27"/>
    </row>
    <row r="217" spans="1:34" x14ac:dyDescent="0.25">
      <c r="A217" s="37" t="s">
        <v>298</v>
      </c>
      <c r="B217" s="38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15"/>
      <c r="S217" s="15" t="s">
        <v>299</v>
      </c>
      <c r="T217" s="15"/>
      <c r="U217" s="15"/>
      <c r="V217" s="15"/>
      <c r="W217" s="15"/>
      <c r="X217" s="15"/>
      <c r="Y217" s="15"/>
      <c r="Z217" s="15"/>
      <c r="AA217" s="15" t="s">
        <v>299</v>
      </c>
      <c r="AB217" s="15"/>
      <c r="AC217" s="15"/>
      <c r="AD217" s="15"/>
      <c r="AE217" s="15"/>
      <c r="AF217" s="15"/>
      <c r="AG217" s="15"/>
      <c r="AH217" s="27">
        <f>SUM(AB217:AG217)+O217</f>
        <v>0</v>
      </c>
    </row>
    <row r="218" spans="1:34" x14ac:dyDescent="0.25">
      <c r="A218" s="57" t="s">
        <v>300</v>
      </c>
      <c r="B218" s="58" t="s">
        <v>301</v>
      </c>
      <c r="C218" s="59">
        <v>56547</v>
      </c>
      <c r="D218" s="59">
        <v>56547</v>
      </c>
      <c r="E218" s="59">
        <v>56547</v>
      </c>
      <c r="F218" s="59">
        <v>57651</v>
      </c>
      <c r="G218" s="59">
        <v>57651</v>
      </c>
      <c r="H218" s="59">
        <v>57651</v>
      </c>
      <c r="I218" s="59">
        <v>58755</v>
      </c>
      <c r="J218" s="24">
        <v>58755</v>
      </c>
      <c r="K218" s="24">
        <v>58755</v>
      </c>
      <c r="L218" s="24">
        <v>137747</v>
      </c>
      <c r="M218" s="24">
        <v>137747</v>
      </c>
      <c r="N218" s="24">
        <v>137747</v>
      </c>
      <c r="O218" s="24">
        <v>478666</v>
      </c>
      <c r="P218" s="24">
        <v>1410765</v>
      </c>
      <c r="Q218" s="24">
        <v>108520</v>
      </c>
      <c r="R218" s="15">
        <f t="shared" ref="R218:R230" si="40">SUM(T218:Y218)+Q218</f>
        <v>-2.1704000000027008</v>
      </c>
      <c r="S218" s="15" t="s">
        <v>13</v>
      </c>
      <c r="T218" s="60">
        <f t="shared" ref="T218:Y225" si="41">-$Q218*T$3</f>
        <v>-17596.518</v>
      </c>
      <c r="U218" s="60">
        <f t="shared" si="41"/>
        <v>-42508.369200000001</v>
      </c>
      <c r="V218" s="60">
        <f t="shared" si="41"/>
        <v>-19954.657599999999</v>
      </c>
      <c r="W218" s="60">
        <f t="shared" si="41"/>
        <v>-385.24600000000004</v>
      </c>
      <c r="X218" s="60">
        <f t="shared" si="41"/>
        <v>-120.45720000000001</v>
      </c>
      <c r="Y218" s="60">
        <f t="shared" si="41"/>
        <v>-27956.922400000003</v>
      </c>
      <c r="Z218" s="15"/>
      <c r="AA218" s="15" t="s">
        <v>13</v>
      </c>
      <c r="AB218" s="60">
        <f t="shared" ref="AB218:AG225" si="42">-$O218*AB$3</f>
        <v>-77615.691899999991</v>
      </c>
      <c r="AC218" s="60">
        <v>23</v>
      </c>
      <c r="AD218" s="60">
        <f t="shared" si="42"/>
        <v>-88017.10407999999</v>
      </c>
      <c r="AE218" s="60">
        <f t="shared" si="42"/>
        <v>-1699.2643</v>
      </c>
      <c r="AF218" s="60">
        <f t="shared" si="42"/>
        <v>-531.3192600000001</v>
      </c>
      <c r="AG218" s="60">
        <f t="shared" si="42"/>
        <v>-123313.93492000001</v>
      </c>
      <c r="AH218" s="27">
        <f>SUM(AB218:AG218)+O218</f>
        <v>187511.68553999998</v>
      </c>
    </row>
    <row r="219" spans="1:34" x14ac:dyDescent="0.25">
      <c r="A219" s="31" t="s">
        <v>302</v>
      </c>
      <c r="B219" s="31" t="s">
        <v>303</v>
      </c>
      <c r="C219" s="24">
        <v>107255</v>
      </c>
      <c r="D219" s="24">
        <v>107255</v>
      </c>
      <c r="E219" s="24">
        <v>107255</v>
      </c>
      <c r="F219" s="24">
        <v>297336</v>
      </c>
      <c r="G219" s="24">
        <v>297336</v>
      </c>
      <c r="H219" s="24">
        <v>297336</v>
      </c>
      <c r="I219" s="24">
        <v>461424</v>
      </c>
      <c r="J219" s="24">
        <v>461424</v>
      </c>
      <c r="K219" s="24">
        <v>461424</v>
      </c>
      <c r="L219" s="24">
        <v>436546</v>
      </c>
      <c r="M219" s="24">
        <v>436546</v>
      </c>
      <c r="N219" s="24">
        <v>436546</v>
      </c>
      <c r="O219" s="24">
        <v>-645706</v>
      </c>
      <c r="P219" s="24">
        <v>3261979</v>
      </c>
      <c r="Q219" s="24">
        <v>250921</v>
      </c>
      <c r="R219" s="15">
        <f t="shared" si="40"/>
        <v>-5.0184199999785051</v>
      </c>
      <c r="S219" s="15" t="s">
        <v>13</v>
      </c>
      <c r="T219" s="60">
        <f t="shared" si="41"/>
        <v>-40686.840149999996</v>
      </c>
      <c r="U219" s="60">
        <f t="shared" si="41"/>
        <v>-98288.264909999998</v>
      </c>
      <c r="V219" s="60">
        <f t="shared" si="41"/>
        <v>-46139.353479999998</v>
      </c>
      <c r="W219" s="60">
        <f t="shared" si="41"/>
        <v>-890.76955000000009</v>
      </c>
      <c r="X219" s="60">
        <f t="shared" si="41"/>
        <v>-278.52231</v>
      </c>
      <c r="Y219" s="60">
        <f t="shared" si="41"/>
        <v>-64642.268020000003</v>
      </c>
      <c r="Z219" s="15"/>
      <c r="AA219" s="15" t="s">
        <v>13</v>
      </c>
      <c r="AB219" s="60">
        <f t="shared" si="42"/>
        <v>104701.2279</v>
      </c>
      <c r="AC219" s="60">
        <f t="shared" si="42"/>
        <v>252929.49726</v>
      </c>
      <c r="AD219" s="60">
        <f t="shared" si="42"/>
        <v>118732.41927999999</v>
      </c>
      <c r="AE219" s="60">
        <f t="shared" si="42"/>
        <v>2292.2563</v>
      </c>
      <c r="AF219" s="60">
        <f t="shared" si="42"/>
        <v>716.7336600000001</v>
      </c>
      <c r="AG219" s="60">
        <f t="shared" si="42"/>
        <v>166346.77972000002</v>
      </c>
      <c r="AH219" s="27"/>
    </row>
    <row r="220" spans="1:34" x14ac:dyDescent="0.25">
      <c r="A220" s="31" t="s">
        <v>304</v>
      </c>
      <c r="B220" s="31" t="s">
        <v>305</v>
      </c>
      <c r="C220" s="24">
        <v>15672</v>
      </c>
      <c r="D220" s="24">
        <v>15672</v>
      </c>
      <c r="E220" s="24">
        <v>15672</v>
      </c>
      <c r="F220" s="24">
        <v>15978</v>
      </c>
      <c r="G220" s="24">
        <v>15978</v>
      </c>
      <c r="H220" s="24">
        <v>15978</v>
      </c>
      <c r="I220" s="24">
        <v>16284</v>
      </c>
      <c r="J220" s="24">
        <v>16284</v>
      </c>
      <c r="K220" s="24">
        <v>16284</v>
      </c>
      <c r="L220" s="24">
        <v>38176</v>
      </c>
      <c r="M220" s="24">
        <v>38176</v>
      </c>
      <c r="N220" s="24">
        <v>38176</v>
      </c>
      <c r="O220" s="24">
        <v>132661</v>
      </c>
      <c r="P220" s="24">
        <v>390990</v>
      </c>
      <c r="Q220" s="24">
        <v>30076</v>
      </c>
      <c r="R220" s="15">
        <f t="shared" si="40"/>
        <v>-0.60152000000016415</v>
      </c>
      <c r="S220" s="15" t="s">
        <v>13</v>
      </c>
      <c r="T220" s="60">
        <f t="shared" si="41"/>
        <v>-4876.8233999999993</v>
      </c>
      <c r="U220" s="60">
        <f t="shared" si="41"/>
        <v>-11781.069960000001</v>
      </c>
      <c r="V220" s="60">
        <f t="shared" si="41"/>
        <v>-5530.3748799999994</v>
      </c>
      <c r="W220" s="60">
        <f t="shared" si="41"/>
        <v>-106.7698</v>
      </c>
      <c r="X220" s="60">
        <f t="shared" si="41"/>
        <v>-33.384360000000001</v>
      </c>
      <c r="Y220" s="60">
        <f t="shared" si="41"/>
        <v>-7748.1791200000007</v>
      </c>
      <c r="Z220" s="15"/>
      <c r="AA220" s="15" t="s">
        <v>13</v>
      </c>
      <c r="AB220" s="60">
        <f t="shared" si="42"/>
        <v>-21510.98115</v>
      </c>
      <c r="AC220" s="60">
        <f t="shared" si="42"/>
        <v>-51964.640310000003</v>
      </c>
      <c r="AD220" s="60">
        <f t="shared" si="42"/>
        <v>-24393.704679999999</v>
      </c>
      <c r="AE220" s="60">
        <f t="shared" si="42"/>
        <v>-470.94655</v>
      </c>
      <c r="AF220" s="60">
        <f t="shared" si="42"/>
        <v>-147.25371000000001</v>
      </c>
      <c r="AG220" s="60">
        <f t="shared" si="42"/>
        <v>-34176.126820000005</v>
      </c>
      <c r="AH220" s="27">
        <f t="shared" ref="AH220:AH230" si="43">SUM(AB220:AG220)+O220</f>
        <v>-2.6532199999783188</v>
      </c>
    </row>
    <row r="221" spans="1:34" x14ac:dyDescent="0.25">
      <c r="A221" s="31" t="s">
        <v>306</v>
      </c>
      <c r="B221" s="31" t="s">
        <v>307</v>
      </c>
      <c r="C221" s="24">
        <v>29726</v>
      </c>
      <c r="D221" s="24">
        <v>29726</v>
      </c>
      <c r="E221" s="24">
        <v>29726</v>
      </c>
      <c r="F221" s="24">
        <v>82406</v>
      </c>
      <c r="G221" s="24">
        <v>82406</v>
      </c>
      <c r="H221" s="24">
        <v>82406</v>
      </c>
      <c r="I221" s="24">
        <v>127883</v>
      </c>
      <c r="J221" s="24">
        <v>127883</v>
      </c>
      <c r="K221" s="24">
        <v>127883</v>
      </c>
      <c r="L221" s="24">
        <v>120988</v>
      </c>
      <c r="M221" s="24">
        <v>120988</v>
      </c>
      <c r="N221" s="24">
        <v>120988</v>
      </c>
      <c r="O221" s="24">
        <v>-178954</v>
      </c>
      <c r="P221" s="24">
        <v>904053</v>
      </c>
      <c r="Q221" s="24">
        <v>69543</v>
      </c>
      <c r="R221" s="15">
        <f t="shared" si="40"/>
        <v>-1.3908599999995204</v>
      </c>
      <c r="S221" s="15" t="s">
        <v>13</v>
      </c>
      <c r="T221" s="60">
        <f t="shared" si="41"/>
        <v>-11276.397449999999</v>
      </c>
      <c r="U221" s="60">
        <f t="shared" si="41"/>
        <v>-27240.688529999999</v>
      </c>
      <c r="V221" s="60">
        <f t="shared" si="41"/>
        <v>-12787.56684</v>
      </c>
      <c r="W221" s="60">
        <f t="shared" si="41"/>
        <v>-246.87765000000002</v>
      </c>
      <c r="X221" s="60">
        <f t="shared" si="41"/>
        <v>-77.192730000000012</v>
      </c>
      <c r="Y221" s="60">
        <f t="shared" si="41"/>
        <v>-17915.667660000003</v>
      </c>
      <c r="Z221" s="15"/>
      <c r="AA221" s="15" t="s">
        <v>13</v>
      </c>
      <c r="AB221" s="60">
        <f t="shared" si="42"/>
        <v>29017.391099999997</v>
      </c>
      <c r="AC221" s="60">
        <f t="shared" si="42"/>
        <v>70098.071339999995</v>
      </c>
      <c r="AD221" s="60">
        <f t="shared" si="42"/>
        <v>32906.061519999996</v>
      </c>
      <c r="AE221" s="60">
        <f t="shared" si="42"/>
        <v>635.2867</v>
      </c>
      <c r="AF221" s="60">
        <f t="shared" si="42"/>
        <v>198.63894000000002</v>
      </c>
      <c r="AG221" s="60">
        <f t="shared" si="42"/>
        <v>46102.129480000003</v>
      </c>
      <c r="AH221" s="27">
        <f t="shared" si="43"/>
        <v>3.5790799999958836</v>
      </c>
    </row>
    <row r="222" spans="1:34" x14ac:dyDescent="0.25">
      <c r="A222" s="31" t="s">
        <v>308</v>
      </c>
      <c r="B222" s="31" t="s">
        <v>309</v>
      </c>
      <c r="C222" s="24">
        <v>-544432</v>
      </c>
      <c r="D222" s="24">
        <v>-544432</v>
      </c>
      <c r="E222" s="24">
        <v>-544432</v>
      </c>
      <c r="F222" s="24">
        <v>-544432</v>
      </c>
      <c r="G222" s="24">
        <v>-544432</v>
      </c>
      <c r="H222" s="24">
        <v>-544432</v>
      </c>
      <c r="I222" s="24">
        <v>-544432</v>
      </c>
      <c r="J222" s="24">
        <v>-544432</v>
      </c>
      <c r="K222" s="24">
        <v>-544432</v>
      </c>
      <c r="L222" s="24">
        <v>-544432</v>
      </c>
      <c r="M222" s="24">
        <v>-544432</v>
      </c>
      <c r="N222" s="24">
        <v>-544432</v>
      </c>
      <c r="O222" s="24">
        <v>0</v>
      </c>
      <c r="P222" s="24">
        <v>-6533184</v>
      </c>
      <c r="Q222" s="24">
        <v>-502553</v>
      </c>
      <c r="R222" s="15">
        <f t="shared" si="40"/>
        <v>10.051060000027064</v>
      </c>
      <c r="S222" s="15" t="s">
        <v>13</v>
      </c>
      <c r="T222" s="60">
        <f t="shared" si="41"/>
        <v>81488.968949999995</v>
      </c>
      <c r="U222" s="60">
        <f t="shared" si="41"/>
        <v>196855.03563</v>
      </c>
      <c r="V222" s="60">
        <f t="shared" si="41"/>
        <v>92409.445639999991</v>
      </c>
      <c r="W222" s="60">
        <f t="shared" si="41"/>
        <v>1784.0631500000002</v>
      </c>
      <c r="X222" s="60">
        <f t="shared" si="41"/>
        <v>557.83383000000003</v>
      </c>
      <c r="Y222" s="60">
        <f t="shared" si="41"/>
        <v>129467.70386000001</v>
      </c>
      <c r="Z222" s="15"/>
      <c r="AA222" s="15" t="s">
        <v>13</v>
      </c>
      <c r="AB222" s="60">
        <f t="shared" si="42"/>
        <v>0</v>
      </c>
      <c r="AC222" s="60">
        <f t="shared" si="42"/>
        <v>0</v>
      </c>
      <c r="AD222" s="60">
        <f t="shared" si="42"/>
        <v>0</v>
      </c>
      <c r="AE222" s="60">
        <f t="shared" si="42"/>
        <v>0</v>
      </c>
      <c r="AF222" s="60">
        <f t="shared" si="42"/>
        <v>0</v>
      </c>
      <c r="AG222" s="60">
        <f t="shared" si="42"/>
        <v>0</v>
      </c>
      <c r="AH222" s="27">
        <f t="shared" si="43"/>
        <v>0</v>
      </c>
    </row>
    <row r="223" spans="1:34" x14ac:dyDescent="0.25">
      <c r="A223" s="31" t="s">
        <v>310</v>
      </c>
      <c r="B223" s="31" t="s">
        <v>311</v>
      </c>
      <c r="C223" s="24">
        <v>556790</v>
      </c>
      <c r="D223" s="24">
        <v>556790</v>
      </c>
      <c r="E223" s="24">
        <v>556790</v>
      </c>
      <c r="F223" s="24">
        <v>556790</v>
      </c>
      <c r="G223" s="24">
        <v>556790</v>
      </c>
      <c r="H223" s="24">
        <v>556790</v>
      </c>
      <c r="I223" s="24">
        <v>556790</v>
      </c>
      <c r="J223" s="24">
        <v>556790</v>
      </c>
      <c r="K223" s="24">
        <v>556790</v>
      </c>
      <c r="L223" s="24">
        <v>556790</v>
      </c>
      <c r="M223" s="24">
        <v>556790</v>
      </c>
      <c r="N223" s="24">
        <v>556790</v>
      </c>
      <c r="O223" s="24">
        <v>0</v>
      </c>
      <c r="P223" s="24">
        <v>6681480</v>
      </c>
      <c r="Q223" s="24">
        <v>513960</v>
      </c>
      <c r="R223" s="15">
        <f t="shared" si="40"/>
        <v>-10.279200000048149</v>
      </c>
      <c r="S223" s="15" t="s">
        <v>13</v>
      </c>
      <c r="T223" s="60">
        <f t="shared" si="41"/>
        <v>-83338.614000000001</v>
      </c>
      <c r="U223" s="60">
        <f t="shared" si="41"/>
        <v>-201323.27160000001</v>
      </c>
      <c r="V223" s="60">
        <f t="shared" si="41"/>
        <v>-94506.964799999987</v>
      </c>
      <c r="W223" s="60">
        <f t="shared" si="41"/>
        <v>-1824.558</v>
      </c>
      <c r="X223" s="60">
        <f t="shared" si="41"/>
        <v>-570.49560000000008</v>
      </c>
      <c r="Y223" s="60">
        <f t="shared" si="41"/>
        <v>-132406.37520000001</v>
      </c>
      <c r="Z223" s="15"/>
      <c r="AA223" s="15" t="s">
        <v>13</v>
      </c>
      <c r="AB223" s="60">
        <f t="shared" si="42"/>
        <v>0</v>
      </c>
      <c r="AC223" s="60">
        <f t="shared" si="42"/>
        <v>0</v>
      </c>
      <c r="AD223" s="60">
        <f t="shared" si="42"/>
        <v>0</v>
      </c>
      <c r="AE223" s="60">
        <f t="shared" si="42"/>
        <v>0</v>
      </c>
      <c r="AF223" s="60">
        <f t="shared" si="42"/>
        <v>0</v>
      </c>
      <c r="AG223" s="60">
        <f t="shared" si="42"/>
        <v>0</v>
      </c>
      <c r="AH223" s="27">
        <f t="shared" si="43"/>
        <v>0</v>
      </c>
    </row>
    <row r="224" spans="1:34" x14ac:dyDescent="0.25">
      <c r="A224" s="31" t="s">
        <v>312</v>
      </c>
      <c r="B224" s="31" t="s">
        <v>313</v>
      </c>
      <c r="C224" s="24">
        <v>1196</v>
      </c>
      <c r="D224" s="24">
        <v>1196</v>
      </c>
      <c r="E224" s="24">
        <v>1196</v>
      </c>
      <c r="F224" s="24">
        <v>1196</v>
      </c>
      <c r="G224" s="24">
        <v>1196</v>
      </c>
      <c r="H224" s="24">
        <v>1196</v>
      </c>
      <c r="I224" s="24">
        <v>1196</v>
      </c>
      <c r="J224" s="24">
        <v>1196</v>
      </c>
      <c r="K224" s="24">
        <v>1196</v>
      </c>
      <c r="L224" s="24">
        <v>1196</v>
      </c>
      <c r="M224" s="24">
        <v>1196</v>
      </c>
      <c r="N224" s="24">
        <v>1196</v>
      </c>
      <c r="O224" s="24">
        <v>0</v>
      </c>
      <c r="P224" s="24">
        <v>14352</v>
      </c>
      <c r="Q224" s="24">
        <v>1104</v>
      </c>
      <c r="R224" s="15">
        <f t="shared" si="40"/>
        <v>-2.2080000000187283E-2</v>
      </c>
      <c r="S224" s="15" t="s">
        <v>13</v>
      </c>
      <c r="T224" s="60">
        <f>-$Q224*T$3</f>
        <v>-179.0136</v>
      </c>
      <c r="U224" s="60">
        <f t="shared" si="41"/>
        <v>-432.44783999999999</v>
      </c>
      <c r="V224" s="60">
        <f t="shared" si="41"/>
        <v>-203.00351999999998</v>
      </c>
      <c r="W224" s="60">
        <f t="shared" si="41"/>
        <v>-3.9192</v>
      </c>
      <c r="X224" s="60">
        <f t="shared" si="41"/>
        <v>-1.2254400000000001</v>
      </c>
      <c r="Y224" s="60">
        <f t="shared" si="41"/>
        <v>-284.41248000000002</v>
      </c>
      <c r="Z224" s="15"/>
      <c r="AA224" s="15" t="s">
        <v>13</v>
      </c>
      <c r="AB224" s="60">
        <f>-$O224*AB$3</f>
        <v>0</v>
      </c>
      <c r="AC224" s="60">
        <f t="shared" si="42"/>
        <v>0</v>
      </c>
      <c r="AD224" s="60">
        <f t="shared" si="42"/>
        <v>0</v>
      </c>
      <c r="AE224" s="60">
        <f t="shared" si="42"/>
        <v>0</v>
      </c>
      <c r="AF224" s="60">
        <f t="shared" si="42"/>
        <v>0</v>
      </c>
      <c r="AG224" s="60">
        <f t="shared" si="42"/>
        <v>0</v>
      </c>
      <c r="AH224" s="27">
        <f t="shared" si="43"/>
        <v>0</v>
      </c>
    </row>
    <row r="225" spans="1:34" x14ac:dyDescent="0.25">
      <c r="A225" s="31" t="s">
        <v>314</v>
      </c>
      <c r="B225" s="31" t="s">
        <v>315</v>
      </c>
      <c r="C225" s="24">
        <v>1796</v>
      </c>
      <c r="D225" s="24">
        <v>1796</v>
      </c>
      <c r="E225" s="24">
        <v>1796</v>
      </c>
      <c r="F225" s="24">
        <v>1796</v>
      </c>
      <c r="G225" s="24">
        <v>1796</v>
      </c>
      <c r="H225" s="24">
        <v>1796</v>
      </c>
      <c r="I225" s="24">
        <v>1796</v>
      </c>
      <c r="J225" s="24">
        <v>1796</v>
      </c>
      <c r="K225" s="24">
        <v>1796</v>
      </c>
      <c r="L225" s="24">
        <v>1796</v>
      </c>
      <c r="M225" s="24">
        <v>1796</v>
      </c>
      <c r="N225" s="24">
        <v>1796</v>
      </c>
      <c r="O225" s="24">
        <v>0</v>
      </c>
      <c r="P225" s="24">
        <v>21552</v>
      </c>
      <c r="Q225" s="24">
        <v>1658</v>
      </c>
      <c r="R225" s="15">
        <f t="shared" si="40"/>
        <v>-3.3159999999952561E-2</v>
      </c>
      <c r="S225" s="15" t="s">
        <v>13</v>
      </c>
      <c r="T225" s="60">
        <f>-$Q225*T$3</f>
        <v>-268.84469999999999</v>
      </c>
      <c r="U225" s="60">
        <f t="shared" si="41"/>
        <v>-649.45518000000004</v>
      </c>
      <c r="V225" s="60">
        <f t="shared" si="41"/>
        <v>-304.87304</v>
      </c>
      <c r="W225" s="60">
        <f t="shared" si="41"/>
        <v>-5.8859000000000004</v>
      </c>
      <c r="X225" s="60">
        <f t="shared" si="41"/>
        <v>-1.8403800000000001</v>
      </c>
      <c r="Y225" s="60">
        <f t="shared" si="41"/>
        <v>-427.13396</v>
      </c>
      <c r="Z225" s="15"/>
      <c r="AA225" s="15" t="s">
        <v>13</v>
      </c>
      <c r="AB225" s="60">
        <f>-$O225*AB$3</f>
        <v>0</v>
      </c>
      <c r="AC225" s="60">
        <f t="shared" si="42"/>
        <v>0</v>
      </c>
      <c r="AD225" s="60">
        <f t="shared" si="42"/>
        <v>0</v>
      </c>
      <c r="AE225" s="60">
        <f t="shared" si="42"/>
        <v>0</v>
      </c>
      <c r="AF225" s="60">
        <f t="shared" si="42"/>
        <v>0</v>
      </c>
      <c r="AG225" s="60">
        <f t="shared" si="42"/>
        <v>0</v>
      </c>
      <c r="AH225" s="27">
        <f t="shared" si="43"/>
        <v>0</v>
      </c>
    </row>
    <row r="226" spans="1:34" x14ac:dyDescent="0.25">
      <c r="A226" s="31" t="s">
        <v>316</v>
      </c>
      <c r="B226" s="31" t="s">
        <v>317</v>
      </c>
      <c r="C226" s="24">
        <v>-3559</v>
      </c>
      <c r="D226" s="24">
        <v>-3559</v>
      </c>
      <c r="E226" s="24">
        <v>-3559</v>
      </c>
      <c r="F226" s="24">
        <v>-3559</v>
      </c>
      <c r="G226" s="24">
        <v>-3559</v>
      </c>
      <c r="H226" s="24">
        <v>-3559</v>
      </c>
      <c r="I226" s="24">
        <v>-3559</v>
      </c>
      <c r="J226" s="24">
        <v>-3559</v>
      </c>
      <c r="K226" s="24">
        <v>-3559</v>
      </c>
      <c r="L226" s="24">
        <v>-3559</v>
      </c>
      <c r="M226" s="24">
        <v>-3559</v>
      </c>
      <c r="N226" s="24">
        <v>-3559</v>
      </c>
      <c r="O226" s="24">
        <v>0</v>
      </c>
      <c r="P226" s="24">
        <v>-42708</v>
      </c>
      <c r="Q226" s="24">
        <v>-3285</v>
      </c>
      <c r="R226" s="15">
        <f t="shared" si="40"/>
        <v>6.5700000000106229E-2</v>
      </c>
      <c r="S226" s="15" t="s">
        <v>13</v>
      </c>
      <c r="T226" s="60">
        <f t="shared" ref="T226:Y233" si="44">-$Q226*T$3</f>
        <v>532.66274999999996</v>
      </c>
      <c r="U226" s="60">
        <f t="shared" si="44"/>
        <v>1286.7673500000001</v>
      </c>
      <c r="V226" s="60">
        <f t="shared" si="44"/>
        <v>604.04579999999999</v>
      </c>
      <c r="W226" s="60">
        <f t="shared" si="44"/>
        <v>11.661750000000001</v>
      </c>
      <c r="X226" s="60">
        <f t="shared" si="44"/>
        <v>3.6463500000000004</v>
      </c>
      <c r="Y226" s="60">
        <f t="shared" si="44"/>
        <v>846.2817</v>
      </c>
      <c r="Z226" s="15"/>
      <c r="AA226" s="15" t="s">
        <v>13</v>
      </c>
      <c r="AB226" s="60">
        <f t="shared" ref="AB226:AG233" si="45">-$O226*AB$3</f>
        <v>0</v>
      </c>
      <c r="AC226" s="60">
        <f t="shared" si="45"/>
        <v>0</v>
      </c>
      <c r="AD226" s="60">
        <f t="shared" si="45"/>
        <v>0</v>
      </c>
      <c r="AE226" s="60">
        <f t="shared" si="45"/>
        <v>0</v>
      </c>
      <c r="AF226" s="60">
        <f t="shared" si="45"/>
        <v>0</v>
      </c>
      <c r="AG226" s="60">
        <f t="shared" si="45"/>
        <v>0</v>
      </c>
      <c r="AH226" s="27">
        <f t="shared" si="43"/>
        <v>0</v>
      </c>
    </row>
    <row r="227" spans="1:34" x14ac:dyDescent="0.25">
      <c r="A227" s="31" t="s">
        <v>318</v>
      </c>
      <c r="B227" s="31" t="s">
        <v>319</v>
      </c>
      <c r="C227" s="24">
        <v>1483</v>
      </c>
      <c r="D227" s="24">
        <v>1483</v>
      </c>
      <c r="E227" s="24">
        <v>1483</v>
      </c>
      <c r="F227" s="24">
        <v>1483</v>
      </c>
      <c r="G227" s="24">
        <v>1483</v>
      </c>
      <c r="H227" s="24">
        <v>1483</v>
      </c>
      <c r="I227" s="24">
        <v>1483</v>
      </c>
      <c r="J227" s="24">
        <v>1483</v>
      </c>
      <c r="K227" s="24">
        <v>1483</v>
      </c>
      <c r="L227" s="24">
        <v>1483</v>
      </c>
      <c r="M227" s="24">
        <v>1483</v>
      </c>
      <c r="N227" s="24">
        <v>1483</v>
      </c>
      <c r="O227" s="24">
        <v>0</v>
      </c>
      <c r="P227" s="24">
        <v>17796</v>
      </c>
      <c r="Q227" s="24">
        <v>1369</v>
      </c>
      <c r="R227" s="15">
        <f t="shared" si="40"/>
        <v>-2.7379999999993743E-2</v>
      </c>
      <c r="S227" s="15" t="s">
        <v>13</v>
      </c>
      <c r="T227" s="60">
        <f t="shared" si="44"/>
        <v>-221.98334999999997</v>
      </c>
      <c r="U227" s="60">
        <f t="shared" si="44"/>
        <v>-536.25099</v>
      </c>
      <c r="V227" s="60">
        <f t="shared" si="44"/>
        <v>-251.73172</v>
      </c>
      <c r="W227" s="60">
        <f t="shared" si="44"/>
        <v>-4.8599500000000004</v>
      </c>
      <c r="X227" s="60">
        <f t="shared" si="44"/>
        <v>-1.5195900000000002</v>
      </c>
      <c r="Y227" s="60">
        <f t="shared" si="44"/>
        <v>-352.68178</v>
      </c>
      <c r="Z227" s="15"/>
      <c r="AA227" s="15" t="s">
        <v>13</v>
      </c>
      <c r="AB227" s="60">
        <f t="shared" si="45"/>
        <v>0</v>
      </c>
      <c r="AC227" s="60">
        <f t="shared" si="45"/>
        <v>0</v>
      </c>
      <c r="AD227" s="60">
        <f t="shared" si="45"/>
        <v>0</v>
      </c>
      <c r="AE227" s="60">
        <f t="shared" si="45"/>
        <v>0</v>
      </c>
      <c r="AF227" s="60">
        <f t="shared" si="45"/>
        <v>0</v>
      </c>
      <c r="AG227" s="60">
        <f t="shared" si="45"/>
        <v>0</v>
      </c>
      <c r="AH227" s="27">
        <f t="shared" si="43"/>
        <v>0</v>
      </c>
    </row>
    <row r="228" spans="1:34" x14ac:dyDescent="0.25">
      <c r="A228" s="31" t="s">
        <v>320</v>
      </c>
      <c r="B228" s="31" t="s">
        <v>321</v>
      </c>
      <c r="C228" s="24">
        <v>-1022941</v>
      </c>
      <c r="D228" s="24">
        <v>-1022941</v>
      </c>
      <c r="E228" s="24">
        <v>-1022941</v>
      </c>
      <c r="F228" s="24">
        <v>-1015465</v>
      </c>
      <c r="G228" s="24">
        <v>-1015465</v>
      </c>
      <c r="H228" s="24">
        <v>-1015465</v>
      </c>
      <c r="I228" s="24">
        <v>-1007989</v>
      </c>
      <c r="J228" s="24">
        <v>-1007989</v>
      </c>
      <c r="K228" s="24">
        <v>-1007989</v>
      </c>
      <c r="L228" s="24">
        <v>-1000513</v>
      </c>
      <c r="M228" s="24">
        <v>-1000513</v>
      </c>
      <c r="N228" s="24">
        <v>-1000513</v>
      </c>
      <c r="O228" s="24">
        <v>146357</v>
      </c>
      <c r="P228" s="24">
        <v>-11994367</v>
      </c>
      <c r="Q228" s="24">
        <v>-922644</v>
      </c>
      <c r="R228" s="15">
        <f t="shared" si="40"/>
        <v>18.452879999880679</v>
      </c>
      <c r="S228" s="15" t="s">
        <v>13</v>
      </c>
      <c r="T228" s="60">
        <f t="shared" si="44"/>
        <v>149606.72459999999</v>
      </c>
      <c r="U228" s="60">
        <f t="shared" si="44"/>
        <v>361408.88124000002</v>
      </c>
      <c r="V228" s="60">
        <f t="shared" si="44"/>
        <v>169655.77872</v>
      </c>
      <c r="W228" s="60">
        <f t="shared" si="44"/>
        <v>3275.3862000000004</v>
      </c>
      <c r="X228" s="60">
        <f t="shared" si="44"/>
        <v>1024.1348400000002</v>
      </c>
      <c r="Y228" s="60">
        <f t="shared" si="44"/>
        <v>237691.54728000003</v>
      </c>
      <c r="Z228" s="15"/>
      <c r="AA228" s="15" t="s">
        <v>13</v>
      </c>
      <c r="AB228" s="60">
        <f t="shared" si="45"/>
        <v>-23731.787549999997</v>
      </c>
      <c r="AC228" s="60">
        <f t="shared" si="45"/>
        <v>-57329.500469999999</v>
      </c>
      <c r="AD228" s="60">
        <f t="shared" si="45"/>
        <v>-26912.12516</v>
      </c>
      <c r="AE228" s="60">
        <f t="shared" si="45"/>
        <v>-519.56735000000003</v>
      </c>
      <c r="AF228" s="60">
        <f t="shared" si="45"/>
        <v>-162.45627000000002</v>
      </c>
      <c r="AG228" s="60">
        <f t="shared" si="45"/>
        <v>-37704.490340000004</v>
      </c>
      <c r="AH228" s="27">
        <f t="shared" si="43"/>
        <v>-2.9271399999852292</v>
      </c>
    </row>
    <row r="229" spans="1:34" x14ac:dyDescent="0.25">
      <c r="A229" s="31" t="s">
        <v>322</v>
      </c>
      <c r="B229" s="31" t="s">
        <v>323</v>
      </c>
      <c r="C229" s="24">
        <v>5523</v>
      </c>
      <c r="D229" s="24">
        <v>5523</v>
      </c>
      <c r="E229" s="24">
        <v>5523</v>
      </c>
      <c r="F229" s="24">
        <v>5523</v>
      </c>
      <c r="G229" s="24">
        <v>5523</v>
      </c>
      <c r="H229" s="24">
        <v>5523</v>
      </c>
      <c r="I229" s="24">
        <v>5523</v>
      </c>
      <c r="J229" s="24">
        <v>5523</v>
      </c>
      <c r="K229" s="24">
        <v>5523</v>
      </c>
      <c r="L229" s="24">
        <v>5523</v>
      </c>
      <c r="M229" s="24">
        <v>5523</v>
      </c>
      <c r="N229" s="24">
        <v>5523</v>
      </c>
      <c r="O229" s="24">
        <v>0</v>
      </c>
      <c r="P229" s="24">
        <v>66276</v>
      </c>
      <c r="Q229" s="24">
        <v>5098</v>
      </c>
      <c r="R229" s="15">
        <f t="shared" si="40"/>
        <v>-0.10195999999996275</v>
      </c>
      <c r="S229" s="15" t="s">
        <v>13</v>
      </c>
      <c r="T229" s="60">
        <f t="shared" si="44"/>
        <v>-826.64069999999992</v>
      </c>
      <c r="U229" s="60">
        <f t="shared" si="44"/>
        <v>-1996.93758</v>
      </c>
      <c r="V229" s="60">
        <f t="shared" si="44"/>
        <v>-937.42023999999992</v>
      </c>
      <c r="W229" s="60">
        <f t="shared" si="44"/>
        <v>-18.097900000000003</v>
      </c>
      <c r="X229" s="60">
        <f t="shared" si="44"/>
        <v>-5.6587800000000001</v>
      </c>
      <c r="Y229" s="60">
        <f t="shared" si="44"/>
        <v>-1313.3467600000001</v>
      </c>
      <c r="Z229" s="15"/>
      <c r="AA229" s="15" t="s">
        <v>13</v>
      </c>
      <c r="AB229" s="60">
        <f t="shared" si="45"/>
        <v>0</v>
      </c>
      <c r="AC229" s="60">
        <f t="shared" si="45"/>
        <v>0</v>
      </c>
      <c r="AD229" s="60">
        <f t="shared" si="45"/>
        <v>0</v>
      </c>
      <c r="AE229" s="60">
        <f t="shared" si="45"/>
        <v>0</v>
      </c>
      <c r="AF229" s="60">
        <f t="shared" si="45"/>
        <v>0</v>
      </c>
      <c r="AG229" s="60">
        <f t="shared" si="45"/>
        <v>0</v>
      </c>
      <c r="AH229" s="27">
        <f t="shared" si="43"/>
        <v>0</v>
      </c>
    </row>
    <row r="230" spans="1:34" x14ac:dyDescent="0.25">
      <c r="A230" s="31" t="s">
        <v>324</v>
      </c>
      <c r="B230" s="31" t="s">
        <v>325</v>
      </c>
      <c r="C230" s="24">
        <v>220186</v>
      </c>
      <c r="D230" s="24">
        <v>220186</v>
      </c>
      <c r="E230" s="24">
        <v>220186</v>
      </c>
      <c r="F230" s="24">
        <v>220186</v>
      </c>
      <c r="G230" s="24">
        <v>220186</v>
      </c>
      <c r="H230" s="24">
        <v>220186</v>
      </c>
      <c r="I230" s="24">
        <v>220186</v>
      </c>
      <c r="J230" s="24">
        <v>220186</v>
      </c>
      <c r="K230" s="24">
        <v>220186</v>
      </c>
      <c r="L230" s="24">
        <v>220186</v>
      </c>
      <c r="M230" s="24">
        <v>220186</v>
      </c>
      <c r="N230" s="24">
        <v>220186</v>
      </c>
      <c r="O230" s="24">
        <v>0</v>
      </c>
      <c r="P230" s="24">
        <v>2642232</v>
      </c>
      <c r="Q230" s="24">
        <v>203249</v>
      </c>
      <c r="R230" s="15">
        <f t="shared" si="40"/>
        <v>-4.0649799999955576</v>
      </c>
      <c r="S230" s="15" t="s">
        <v>13</v>
      </c>
      <c r="T230" s="60">
        <f t="shared" si="44"/>
        <v>-32956.825349999999</v>
      </c>
      <c r="U230" s="60">
        <f t="shared" si="44"/>
        <v>-79614.665789999999</v>
      </c>
      <c r="V230" s="60">
        <f t="shared" si="44"/>
        <v>-37373.426119999996</v>
      </c>
      <c r="W230" s="60">
        <f t="shared" si="44"/>
        <v>-721.53395</v>
      </c>
      <c r="X230" s="60">
        <f t="shared" si="44"/>
        <v>-225.60639</v>
      </c>
      <c r="Y230" s="60">
        <f t="shared" si="44"/>
        <v>-52361.007380000003</v>
      </c>
      <c r="Z230" s="15"/>
      <c r="AA230" s="15" t="s">
        <v>13</v>
      </c>
      <c r="AB230" s="60">
        <f t="shared" si="45"/>
        <v>0</v>
      </c>
      <c r="AC230" s="60">
        <f t="shared" si="45"/>
        <v>0</v>
      </c>
      <c r="AD230" s="60">
        <f t="shared" si="45"/>
        <v>0</v>
      </c>
      <c r="AE230" s="60">
        <f t="shared" si="45"/>
        <v>0</v>
      </c>
      <c r="AF230" s="60">
        <f t="shared" si="45"/>
        <v>0</v>
      </c>
      <c r="AG230" s="60">
        <f t="shared" si="45"/>
        <v>0</v>
      </c>
      <c r="AH230" s="27">
        <f t="shared" si="43"/>
        <v>0</v>
      </c>
    </row>
    <row r="231" spans="1:34" x14ac:dyDescent="0.25">
      <c r="A231" s="31" t="s">
        <v>326</v>
      </c>
      <c r="B231" s="31" t="s">
        <v>327</v>
      </c>
      <c r="C231" s="24">
        <v>5054</v>
      </c>
      <c r="D231" s="24">
        <v>5054</v>
      </c>
      <c r="E231" s="24">
        <v>5054</v>
      </c>
      <c r="F231" s="24">
        <v>5054</v>
      </c>
      <c r="G231" s="24">
        <v>5054</v>
      </c>
      <c r="H231" s="24">
        <v>5054</v>
      </c>
      <c r="I231" s="24">
        <v>5054</v>
      </c>
      <c r="J231" s="24">
        <v>5054</v>
      </c>
      <c r="K231" s="24">
        <v>5054</v>
      </c>
      <c r="L231" s="24">
        <v>5054</v>
      </c>
      <c r="M231" s="24">
        <v>5054</v>
      </c>
      <c r="N231" s="24">
        <v>5054</v>
      </c>
      <c r="O231" s="24">
        <v>0</v>
      </c>
      <c r="P231" s="24">
        <v>60648</v>
      </c>
      <c r="Q231" s="24">
        <v>4665</v>
      </c>
      <c r="R231" s="15"/>
      <c r="S231" s="15" t="s">
        <v>13</v>
      </c>
      <c r="T231" s="60">
        <f t="shared" si="44"/>
        <v>-756.4297499999999</v>
      </c>
      <c r="U231" s="60">
        <f t="shared" si="44"/>
        <v>-1827.3271500000001</v>
      </c>
      <c r="V231" s="60">
        <f t="shared" si="44"/>
        <v>-857.8001999999999</v>
      </c>
      <c r="W231" s="60">
        <f t="shared" si="44"/>
        <v>-16.560750000000002</v>
      </c>
      <c r="X231" s="60">
        <f t="shared" si="44"/>
        <v>-5.1781500000000005</v>
      </c>
      <c r="Y231" s="60">
        <f t="shared" si="44"/>
        <v>-1201.7973000000002</v>
      </c>
      <c r="Z231" s="15"/>
      <c r="AA231" s="15" t="s">
        <v>13</v>
      </c>
      <c r="AB231" s="60">
        <f t="shared" si="45"/>
        <v>0</v>
      </c>
      <c r="AC231" s="60">
        <f t="shared" si="45"/>
        <v>0</v>
      </c>
      <c r="AD231" s="60">
        <f t="shared" si="45"/>
        <v>0</v>
      </c>
      <c r="AE231" s="60">
        <f t="shared" si="45"/>
        <v>0</v>
      </c>
      <c r="AF231" s="60">
        <f t="shared" si="45"/>
        <v>0</v>
      </c>
      <c r="AG231" s="60">
        <f t="shared" si="45"/>
        <v>0</v>
      </c>
      <c r="AH231" s="27"/>
    </row>
    <row r="232" spans="1:34" x14ac:dyDescent="0.25">
      <c r="A232" s="31" t="s">
        <v>328</v>
      </c>
      <c r="B232" s="31" t="s">
        <v>329</v>
      </c>
      <c r="C232" s="24">
        <v>8914</v>
      </c>
      <c r="D232" s="24">
        <v>8244</v>
      </c>
      <c r="E232" s="24">
        <v>7574</v>
      </c>
      <c r="F232" s="24">
        <v>6904</v>
      </c>
      <c r="G232" s="24">
        <v>6234</v>
      </c>
      <c r="H232" s="24">
        <v>5564</v>
      </c>
      <c r="I232" s="24">
        <v>4894</v>
      </c>
      <c r="J232" s="24">
        <v>4224</v>
      </c>
      <c r="K232" s="24">
        <v>3554</v>
      </c>
      <c r="L232" s="24">
        <v>2884</v>
      </c>
      <c r="M232" s="24">
        <v>2214</v>
      </c>
      <c r="N232" s="24">
        <v>1544</v>
      </c>
      <c r="O232" s="24">
        <v>874</v>
      </c>
      <c r="P232" s="24">
        <v>63622</v>
      </c>
      <c r="Q232" s="24">
        <v>4894</v>
      </c>
      <c r="R232" s="15"/>
      <c r="S232" s="15" t="s">
        <v>13</v>
      </c>
      <c r="T232" s="60">
        <f t="shared" si="44"/>
        <v>-793.56209999999999</v>
      </c>
      <c r="U232" s="60">
        <f t="shared" si="44"/>
        <v>-1917.02874</v>
      </c>
      <c r="V232" s="60">
        <f t="shared" si="44"/>
        <v>-899.9087199999999</v>
      </c>
      <c r="W232" s="60">
        <f t="shared" si="44"/>
        <v>-17.373699999999999</v>
      </c>
      <c r="X232" s="60">
        <f t="shared" si="44"/>
        <v>-5.4323400000000008</v>
      </c>
      <c r="Y232" s="60">
        <f t="shared" si="44"/>
        <v>-1260.7922800000001</v>
      </c>
      <c r="Z232" s="15"/>
      <c r="AA232" s="15" t="s">
        <v>13</v>
      </c>
      <c r="AB232" s="60">
        <f t="shared" si="45"/>
        <v>-141.7191</v>
      </c>
      <c r="AC232" s="60">
        <f t="shared" si="45"/>
        <v>-342.35453999999999</v>
      </c>
      <c r="AD232" s="60">
        <f t="shared" si="45"/>
        <v>-160.71111999999999</v>
      </c>
      <c r="AE232" s="60">
        <f t="shared" si="45"/>
        <v>-3.1027</v>
      </c>
      <c r="AF232" s="60">
        <f t="shared" si="45"/>
        <v>-0.97014000000000011</v>
      </c>
      <c r="AG232" s="60">
        <f t="shared" si="45"/>
        <v>-225.15988000000002</v>
      </c>
      <c r="AH232" s="27"/>
    </row>
    <row r="233" spans="1:34" x14ac:dyDescent="0.25">
      <c r="A233" s="31" t="s">
        <v>330</v>
      </c>
      <c r="B233" s="31" t="s">
        <v>331</v>
      </c>
      <c r="C233" s="24">
        <v>-92290</v>
      </c>
      <c r="D233" s="24">
        <v>-92290</v>
      </c>
      <c r="E233" s="24">
        <v>-92290</v>
      </c>
      <c r="F233" s="24">
        <v>-92290</v>
      </c>
      <c r="G233" s="24">
        <v>-92290</v>
      </c>
      <c r="H233" s="24">
        <v>-92290</v>
      </c>
      <c r="I233" s="24">
        <v>-92290</v>
      </c>
      <c r="J233" s="24">
        <v>-92290</v>
      </c>
      <c r="K233" s="24">
        <v>-92290</v>
      </c>
      <c r="L233" s="24">
        <v>-92290</v>
      </c>
      <c r="M233" s="24">
        <v>-92290</v>
      </c>
      <c r="N233" s="24">
        <v>-92290</v>
      </c>
      <c r="O233" s="24">
        <v>0</v>
      </c>
      <c r="P233" s="24">
        <v>-1107480</v>
      </c>
      <c r="Q233" s="24">
        <v>-85191</v>
      </c>
      <c r="R233" s="15"/>
      <c r="S233" s="15" t="s">
        <v>13</v>
      </c>
      <c r="T233" s="60">
        <f t="shared" si="44"/>
        <v>13813.720649999999</v>
      </c>
      <c r="U233" s="60">
        <f t="shared" si="44"/>
        <v>33370.16661</v>
      </c>
      <c r="V233" s="60">
        <f t="shared" si="44"/>
        <v>15664.921079999998</v>
      </c>
      <c r="W233" s="60">
        <f t="shared" si="44"/>
        <v>302.42805000000004</v>
      </c>
      <c r="X233" s="60">
        <f t="shared" si="44"/>
        <v>94.562010000000001</v>
      </c>
      <c r="Y233" s="60">
        <f t="shared" si="44"/>
        <v>21946.905420000003</v>
      </c>
      <c r="Z233" s="15"/>
      <c r="AA233" s="15" t="s">
        <v>13</v>
      </c>
      <c r="AB233" s="60">
        <f t="shared" si="45"/>
        <v>0</v>
      </c>
      <c r="AC233" s="60">
        <f t="shared" si="45"/>
        <v>0</v>
      </c>
      <c r="AD233" s="60">
        <f t="shared" si="45"/>
        <v>0</v>
      </c>
      <c r="AE233" s="60">
        <f t="shared" si="45"/>
        <v>0</v>
      </c>
      <c r="AF233" s="60">
        <f t="shared" si="45"/>
        <v>0</v>
      </c>
      <c r="AG233" s="60">
        <f t="shared" si="45"/>
        <v>0</v>
      </c>
      <c r="AH233" s="27"/>
    </row>
    <row r="234" spans="1:34" x14ac:dyDescent="0.25">
      <c r="A234" s="35"/>
      <c r="B234" s="35"/>
      <c r="C234" s="36" t="s">
        <v>67</v>
      </c>
      <c r="D234" s="36" t="s">
        <v>67</v>
      </c>
      <c r="E234" s="36" t="s">
        <v>67</v>
      </c>
      <c r="F234" s="36" t="s">
        <v>67</v>
      </c>
      <c r="G234" s="36" t="s">
        <v>67</v>
      </c>
      <c r="H234" s="36" t="s">
        <v>67</v>
      </c>
      <c r="I234" s="36" t="s">
        <v>67</v>
      </c>
      <c r="J234" s="36" t="s">
        <v>67</v>
      </c>
      <c r="K234" s="36" t="s">
        <v>67</v>
      </c>
      <c r="L234" s="36" t="s">
        <v>67</v>
      </c>
      <c r="M234" s="36" t="s">
        <v>67</v>
      </c>
      <c r="N234" s="36" t="s">
        <v>67</v>
      </c>
      <c r="O234" s="36" t="s">
        <v>67</v>
      </c>
      <c r="P234" s="36" t="s">
        <v>67</v>
      </c>
      <c r="Q234" s="36" t="s">
        <v>67</v>
      </c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27"/>
    </row>
    <row r="235" spans="1:34" x14ac:dyDescent="0.25">
      <c r="A235" s="37" t="s">
        <v>332</v>
      </c>
      <c r="B235" s="38"/>
      <c r="C235" s="39">
        <v>-653081</v>
      </c>
      <c r="D235" s="39">
        <v>-653751</v>
      </c>
      <c r="E235" s="39">
        <v>-654421</v>
      </c>
      <c r="F235" s="39">
        <v>-403443</v>
      </c>
      <c r="G235" s="39">
        <v>-404113</v>
      </c>
      <c r="H235" s="39">
        <v>-404783</v>
      </c>
      <c r="I235" s="39">
        <v>-187002</v>
      </c>
      <c r="J235" s="39">
        <v>-187672</v>
      </c>
      <c r="K235" s="39">
        <v>-188342</v>
      </c>
      <c r="L235" s="39">
        <v>-112425</v>
      </c>
      <c r="M235" s="39">
        <v>-113095</v>
      </c>
      <c r="N235" s="39">
        <v>-113765</v>
      </c>
      <c r="O235" s="39">
        <v>-66102</v>
      </c>
      <c r="P235" s="39">
        <v>-4141995</v>
      </c>
      <c r="Q235" s="39">
        <v>-318615</v>
      </c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27"/>
    </row>
    <row r="236" spans="1:34" x14ac:dyDescent="0.25">
      <c r="A236" s="35"/>
      <c r="B236" s="35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27"/>
    </row>
    <row r="237" spans="1:34" x14ac:dyDescent="0.25">
      <c r="A237" s="37" t="s">
        <v>333</v>
      </c>
      <c r="B237" s="38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27"/>
    </row>
    <row r="238" spans="1:34" x14ac:dyDescent="0.25">
      <c r="A238" s="31" t="s">
        <v>334</v>
      </c>
      <c r="B238" s="31" t="s">
        <v>335</v>
      </c>
      <c r="C238" s="24">
        <v>-336892</v>
      </c>
      <c r="D238" s="24">
        <v>-332882</v>
      </c>
      <c r="E238" s="24">
        <v>-328871</v>
      </c>
      <c r="F238" s="24">
        <v>-324861</v>
      </c>
      <c r="G238" s="24">
        <v>-320850</v>
      </c>
      <c r="H238" s="24">
        <v>-316840</v>
      </c>
      <c r="I238" s="24">
        <v>-312830</v>
      </c>
      <c r="J238" s="24">
        <v>-308820</v>
      </c>
      <c r="K238" s="24">
        <v>-304810</v>
      </c>
      <c r="L238" s="24">
        <v>-300800</v>
      </c>
      <c r="M238" s="24">
        <v>-296790</v>
      </c>
      <c r="N238" s="24">
        <v>-292780</v>
      </c>
      <c r="O238" s="24">
        <v>-288770</v>
      </c>
      <c r="P238" s="24">
        <v>-4066791</v>
      </c>
      <c r="Q238" s="24">
        <v>-312830</v>
      </c>
      <c r="R238" s="15">
        <f>SUM(T238:Y238)+Q238</f>
        <v>6.2565999999642372</v>
      </c>
      <c r="S238" s="15" t="s">
        <v>13</v>
      </c>
      <c r="T238" s="60">
        <f t="shared" ref="T238:Y239" si="46">-$Q238*T$3</f>
        <v>50725.384499999993</v>
      </c>
      <c r="U238" s="60">
        <f t="shared" si="46"/>
        <v>122538.6393</v>
      </c>
      <c r="V238" s="60">
        <f t="shared" si="46"/>
        <v>57523.180399999997</v>
      </c>
      <c r="W238" s="60">
        <f t="shared" si="46"/>
        <v>1110.5465000000002</v>
      </c>
      <c r="X238" s="60">
        <f t="shared" si="46"/>
        <v>347.24130000000002</v>
      </c>
      <c r="Y238" s="60">
        <f t="shared" si="46"/>
        <v>80591.26460000001</v>
      </c>
      <c r="Z238" s="15"/>
      <c r="AA238" s="15" t="s">
        <v>13</v>
      </c>
      <c r="AB238" s="60">
        <f t="shared" ref="AB238:AG239" si="47">-$O238*AB$3</f>
        <v>46824.055499999995</v>
      </c>
      <c r="AC238" s="60">
        <f t="shared" si="47"/>
        <v>113114.09669999999</v>
      </c>
      <c r="AD238" s="60">
        <f t="shared" si="47"/>
        <v>53099.027599999994</v>
      </c>
      <c r="AE238" s="60">
        <f t="shared" si="47"/>
        <v>1025.1335000000001</v>
      </c>
      <c r="AF238" s="60">
        <f t="shared" si="47"/>
        <v>320.53470000000004</v>
      </c>
      <c r="AG238" s="60">
        <f t="shared" si="47"/>
        <v>74392.9274</v>
      </c>
      <c r="AH238" s="27">
        <f>SUM(AB238:AG238)+O238</f>
        <v>5.7753999999840744</v>
      </c>
    </row>
    <row r="239" spans="1:34" x14ac:dyDescent="0.25">
      <c r="A239" s="31" t="s">
        <v>336</v>
      </c>
      <c r="B239" s="31" t="s">
        <v>337</v>
      </c>
      <c r="C239" s="24">
        <v>301770</v>
      </c>
      <c r="D239" s="24">
        <v>300404</v>
      </c>
      <c r="E239" s="24">
        <v>299038</v>
      </c>
      <c r="F239" s="24">
        <v>297672</v>
      </c>
      <c r="G239" s="24">
        <v>296306</v>
      </c>
      <c r="H239" s="24">
        <v>294940</v>
      </c>
      <c r="I239" s="24">
        <v>293575</v>
      </c>
      <c r="J239" s="24">
        <v>292210</v>
      </c>
      <c r="K239" s="24">
        <v>290845</v>
      </c>
      <c r="L239" s="24">
        <v>289480</v>
      </c>
      <c r="M239" s="24">
        <v>288115</v>
      </c>
      <c r="N239" s="24">
        <v>286750</v>
      </c>
      <c r="O239" s="24">
        <v>285385</v>
      </c>
      <c r="P239" s="24">
        <v>3816495</v>
      </c>
      <c r="Q239" s="24">
        <v>293577</v>
      </c>
      <c r="R239" s="15">
        <f>SUM(T239:Y239)+Q239</f>
        <v>-5.8715399999637157</v>
      </c>
      <c r="S239" s="15" t="s">
        <v>13</v>
      </c>
      <c r="T239" s="60">
        <f t="shared" si="46"/>
        <v>-47603.510549999999</v>
      </c>
      <c r="U239" s="60">
        <f t="shared" si="46"/>
        <v>-114997.04667</v>
      </c>
      <c r="V239" s="60">
        <f t="shared" si="46"/>
        <v>-53982.938759999997</v>
      </c>
      <c r="W239" s="60">
        <f t="shared" si="46"/>
        <v>-1042.1983500000001</v>
      </c>
      <c r="X239" s="60">
        <f t="shared" si="46"/>
        <v>-325.87047000000001</v>
      </c>
      <c r="Y239" s="60">
        <f t="shared" si="46"/>
        <v>-75631.30674</v>
      </c>
      <c r="Z239" s="15"/>
      <c r="AA239" s="15" t="s">
        <v>13</v>
      </c>
      <c r="AB239" s="60">
        <f t="shared" si="47"/>
        <v>-46275.177749999995</v>
      </c>
      <c r="AC239" s="60">
        <f t="shared" si="47"/>
        <v>-111788.15835</v>
      </c>
      <c r="AD239" s="60">
        <f t="shared" si="47"/>
        <v>-52476.593799999995</v>
      </c>
      <c r="AE239" s="60">
        <f t="shared" si="47"/>
        <v>-1013.11675</v>
      </c>
      <c r="AF239" s="60">
        <f t="shared" si="47"/>
        <v>-316.77735000000001</v>
      </c>
      <c r="AG239" s="60">
        <f t="shared" si="47"/>
        <v>-73520.883700000006</v>
      </c>
      <c r="AH239" s="27">
        <f>SUM(AB239:AG239)+O239</f>
        <v>-5.7076999999699183</v>
      </c>
    </row>
    <row r="240" spans="1:34" x14ac:dyDescent="0.25">
      <c r="A240" s="35"/>
      <c r="B240" s="35"/>
      <c r="C240" s="36" t="s">
        <v>67</v>
      </c>
      <c r="D240" s="36" t="s">
        <v>67</v>
      </c>
      <c r="E240" s="36" t="s">
        <v>67</v>
      </c>
      <c r="F240" s="36" t="s">
        <v>67</v>
      </c>
      <c r="G240" s="36" t="s">
        <v>67</v>
      </c>
      <c r="H240" s="36" t="s">
        <v>67</v>
      </c>
      <c r="I240" s="36" t="s">
        <v>67</v>
      </c>
      <c r="J240" s="36" t="s">
        <v>67</v>
      </c>
      <c r="K240" s="36" t="s">
        <v>67</v>
      </c>
      <c r="L240" s="36" t="s">
        <v>67</v>
      </c>
      <c r="M240" s="36" t="s">
        <v>67</v>
      </c>
      <c r="N240" s="36" t="s">
        <v>67</v>
      </c>
      <c r="O240" s="36" t="s">
        <v>67</v>
      </c>
      <c r="P240" s="36" t="s">
        <v>67</v>
      </c>
      <c r="Q240" s="36" t="s">
        <v>67</v>
      </c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27"/>
    </row>
    <row r="241" spans="1:34" x14ac:dyDescent="0.25">
      <c r="A241" s="37" t="s">
        <v>338</v>
      </c>
      <c r="B241" s="38"/>
      <c r="C241" s="39">
        <v>-35122</v>
      </c>
      <c r="D241" s="39">
        <v>-32477</v>
      </c>
      <c r="E241" s="39">
        <v>-29833</v>
      </c>
      <c r="F241" s="39">
        <v>-27188</v>
      </c>
      <c r="G241" s="39">
        <v>-24544</v>
      </c>
      <c r="H241" s="39">
        <v>-21899</v>
      </c>
      <c r="I241" s="39">
        <v>-19254</v>
      </c>
      <c r="J241" s="39">
        <v>-16609</v>
      </c>
      <c r="K241" s="39">
        <v>-13964</v>
      </c>
      <c r="L241" s="39">
        <v>-11319</v>
      </c>
      <c r="M241" s="39">
        <v>-8674</v>
      </c>
      <c r="N241" s="39">
        <v>-6029</v>
      </c>
      <c r="O241" s="39">
        <v>-3384</v>
      </c>
      <c r="P241" s="39">
        <v>-250297</v>
      </c>
      <c r="Q241" s="39">
        <v>-19254</v>
      </c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27"/>
    </row>
    <row r="242" spans="1:34" x14ac:dyDescent="0.25">
      <c r="A242" s="35"/>
      <c r="B242" s="35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27"/>
    </row>
    <row r="243" spans="1:34" x14ac:dyDescent="0.25">
      <c r="A243" s="21" t="s">
        <v>339</v>
      </c>
      <c r="B243" s="22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27"/>
    </row>
    <row r="244" spans="1:34" x14ac:dyDescent="0.25">
      <c r="A244" s="13" t="s">
        <v>340</v>
      </c>
      <c r="B244" s="13" t="s">
        <v>341</v>
      </c>
      <c r="C244" s="2">
        <v>-7496577</v>
      </c>
      <c r="D244" s="2">
        <v>-7994795</v>
      </c>
      <c r="E244" s="2">
        <v>-8076462</v>
      </c>
      <c r="F244" s="2">
        <v>-8313380</v>
      </c>
      <c r="G244" s="2">
        <v>-8857881</v>
      </c>
      <c r="H244" s="2">
        <v>-8939548</v>
      </c>
      <c r="I244" s="2">
        <v>-9431662</v>
      </c>
      <c r="J244" s="2">
        <v>-9976163</v>
      </c>
      <c r="K244" s="2">
        <v>-10057830</v>
      </c>
      <c r="L244" s="2">
        <v>-10294748</v>
      </c>
      <c r="M244" s="2">
        <v>-10376415</v>
      </c>
      <c r="N244" s="2">
        <v>-10458082</v>
      </c>
      <c r="O244" s="2">
        <v>-13579024</v>
      </c>
      <c r="P244" s="2">
        <v>-123852568</v>
      </c>
      <c r="Q244" s="2">
        <v>-9527121</v>
      </c>
      <c r="R244" s="15">
        <f t="shared" ref="R244:R249" si="48">SUM(T244:Y244)+Q244</f>
        <v>0</v>
      </c>
      <c r="S244" s="15" t="s">
        <v>29</v>
      </c>
      <c r="T244" s="15">
        <f t="shared" ref="T244:Y249" si="49">-$Q244*T$6</f>
        <v>2400834.4920000001</v>
      </c>
      <c r="U244" s="15">
        <f t="shared" si="49"/>
        <v>4954102.92</v>
      </c>
      <c r="V244" s="15">
        <f t="shared" si="49"/>
        <v>0</v>
      </c>
      <c r="W244" s="15">
        <f t="shared" si="49"/>
        <v>0</v>
      </c>
      <c r="X244" s="15">
        <f t="shared" si="49"/>
        <v>0</v>
      </c>
      <c r="Y244" s="15">
        <f t="shared" si="49"/>
        <v>2172183.588</v>
      </c>
      <c r="Z244" s="15"/>
      <c r="AA244" s="15" t="s">
        <v>29</v>
      </c>
      <c r="AB244" s="15">
        <f t="shared" ref="AB244:AG249" si="50">-$O244*AB$6</f>
        <v>3421914.048</v>
      </c>
      <c r="AC244" s="15">
        <f t="shared" si="50"/>
        <v>7061092.4800000004</v>
      </c>
      <c r="AD244" s="15">
        <f t="shared" si="50"/>
        <v>0</v>
      </c>
      <c r="AE244" s="15">
        <f t="shared" si="50"/>
        <v>0</v>
      </c>
      <c r="AF244" s="15">
        <f t="shared" si="50"/>
        <v>0</v>
      </c>
      <c r="AG244" s="15">
        <f t="shared" si="50"/>
        <v>3096017.4720000001</v>
      </c>
      <c r="AH244" s="27">
        <f t="shared" ref="AH244:AH249" si="51">SUM(AB244:AG244)+O244</f>
        <v>0</v>
      </c>
    </row>
    <row r="245" spans="1:34" x14ac:dyDescent="0.25">
      <c r="A245" s="13" t="s">
        <v>342</v>
      </c>
      <c r="B245" s="13" t="s">
        <v>343</v>
      </c>
      <c r="C245" s="2">
        <v>-87726</v>
      </c>
      <c r="D245" s="2">
        <v>-86440</v>
      </c>
      <c r="E245" s="2">
        <v>-85154</v>
      </c>
      <c r="F245" s="2">
        <v>-83868</v>
      </c>
      <c r="G245" s="2">
        <v>-82582</v>
      </c>
      <c r="H245" s="2">
        <v>-81296</v>
      </c>
      <c r="I245" s="2">
        <v>-80010</v>
      </c>
      <c r="J245" s="2">
        <v>-78724</v>
      </c>
      <c r="K245" s="2">
        <v>-77438</v>
      </c>
      <c r="L245" s="2">
        <v>-76152</v>
      </c>
      <c r="M245" s="2">
        <v>-74866</v>
      </c>
      <c r="N245" s="2">
        <v>-73580</v>
      </c>
      <c r="O245" s="2">
        <v>7455</v>
      </c>
      <c r="P245" s="2">
        <v>-960381</v>
      </c>
      <c r="Q245" s="2">
        <v>-73875</v>
      </c>
      <c r="R245" s="15">
        <f t="shared" si="48"/>
        <v>0</v>
      </c>
      <c r="S245" s="15" t="s">
        <v>29</v>
      </c>
      <c r="T245" s="15">
        <f t="shared" si="49"/>
        <v>18616.5</v>
      </c>
      <c r="U245" s="15">
        <f t="shared" si="49"/>
        <v>38415</v>
      </c>
      <c r="V245" s="15">
        <f t="shared" si="49"/>
        <v>0</v>
      </c>
      <c r="W245" s="15">
        <f t="shared" si="49"/>
        <v>0</v>
      </c>
      <c r="X245" s="15">
        <f t="shared" si="49"/>
        <v>0</v>
      </c>
      <c r="Y245" s="15">
        <f t="shared" si="49"/>
        <v>16843.5</v>
      </c>
      <c r="Z245" s="15"/>
      <c r="AA245" s="15" t="s">
        <v>29</v>
      </c>
      <c r="AB245" s="15">
        <f t="shared" si="50"/>
        <v>-1878.66</v>
      </c>
      <c r="AC245" s="15">
        <f t="shared" si="50"/>
        <v>-3876.6</v>
      </c>
      <c r="AD245" s="15">
        <f t="shared" si="50"/>
        <v>0</v>
      </c>
      <c r="AE245" s="15">
        <f t="shared" si="50"/>
        <v>0</v>
      </c>
      <c r="AF245" s="15">
        <f t="shared" si="50"/>
        <v>0</v>
      </c>
      <c r="AG245" s="15">
        <f t="shared" si="50"/>
        <v>-1699.74</v>
      </c>
      <c r="AH245" s="27">
        <f t="shared" si="51"/>
        <v>0</v>
      </c>
    </row>
    <row r="246" spans="1:34" x14ac:dyDescent="0.25">
      <c r="A246" s="13" t="s">
        <v>344</v>
      </c>
      <c r="B246" s="13" t="s">
        <v>345</v>
      </c>
      <c r="C246" s="2">
        <v>-478218</v>
      </c>
      <c r="D246" s="2">
        <v>-485418</v>
      </c>
      <c r="E246" s="2">
        <v>-492618</v>
      </c>
      <c r="F246" s="2">
        <v>-499818</v>
      </c>
      <c r="G246" s="2">
        <v>-507018</v>
      </c>
      <c r="H246" s="2">
        <v>-514218</v>
      </c>
      <c r="I246" s="2">
        <v>-521418</v>
      </c>
      <c r="J246" s="2">
        <v>-528618</v>
      </c>
      <c r="K246" s="2">
        <v>-535818</v>
      </c>
      <c r="L246" s="2">
        <v>-543018</v>
      </c>
      <c r="M246" s="2">
        <v>-550218</v>
      </c>
      <c r="N246" s="2">
        <v>-557418</v>
      </c>
      <c r="O246" s="2">
        <v>-598688</v>
      </c>
      <c r="P246" s="2">
        <v>-6812507</v>
      </c>
      <c r="Q246" s="2">
        <v>-524039</v>
      </c>
      <c r="R246" s="15">
        <f t="shared" si="48"/>
        <v>0</v>
      </c>
      <c r="S246" s="15" t="s">
        <v>29</v>
      </c>
      <c r="T246" s="15">
        <f t="shared" si="49"/>
        <v>132057.82800000001</v>
      </c>
      <c r="U246" s="15">
        <f t="shared" si="49"/>
        <v>272500.28000000003</v>
      </c>
      <c r="V246" s="15">
        <f t="shared" si="49"/>
        <v>0</v>
      </c>
      <c r="W246" s="15">
        <f t="shared" si="49"/>
        <v>0</v>
      </c>
      <c r="X246" s="15">
        <f t="shared" si="49"/>
        <v>0</v>
      </c>
      <c r="Y246" s="15">
        <f t="shared" si="49"/>
        <v>119480.89200000001</v>
      </c>
      <c r="Z246" s="15"/>
      <c r="AA246" s="15" t="s">
        <v>29</v>
      </c>
      <c r="AB246" s="15">
        <f t="shared" si="50"/>
        <v>150869.37599999999</v>
      </c>
      <c r="AC246" s="15">
        <f t="shared" si="50"/>
        <v>311317.76000000001</v>
      </c>
      <c r="AD246" s="15">
        <f t="shared" si="50"/>
        <v>0</v>
      </c>
      <c r="AE246" s="15">
        <f t="shared" si="50"/>
        <v>0</v>
      </c>
      <c r="AF246" s="15">
        <f t="shared" si="50"/>
        <v>0</v>
      </c>
      <c r="AG246" s="15">
        <f t="shared" si="50"/>
        <v>136500.864</v>
      </c>
      <c r="AH246" s="27">
        <f t="shared" si="51"/>
        <v>0</v>
      </c>
    </row>
    <row r="247" spans="1:34" x14ac:dyDescent="0.25">
      <c r="A247" s="13" t="s">
        <v>346</v>
      </c>
      <c r="B247" s="13" t="s">
        <v>347</v>
      </c>
      <c r="C247" s="2">
        <v>-95590</v>
      </c>
      <c r="D247" s="2">
        <v>-96700</v>
      </c>
      <c r="E247" s="2">
        <v>-97810</v>
      </c>
      <c r="F247" s="2">
        <v>-98920</v>
      </c>
      <c r="G247" s="2">
        <v>-100030</v>
      </c>
      <c r="H247" s="2">
        <v>-101140</v>
      </c>
      <c r="I247" s="2">
        <v>-102250</v>
      </c>
      <c r="J247" s="2">
        <v>-103360</v>
      </c>
      <c r="K247" s="2">
        <v>-104470</v>
      </c>
      <c r="L247" s="2">
        <v>-105580</v>
      </c>
      <c r="M247" s="2">
        <v>-106690</v>
      </c>
      <c r="N247" s="2">
        <v>-107800</v>
      </c>
      <c r="O247" s="2">
        <v>-102586</v>
      </c>
      <c r="P247" s="2">
        <v>-1322925</v>
      </c>
      <c r="Q247" s="2">
        <v>-101763</v>
      </c>
      <c r="R247" s="15">
        <f t="shared" si="48"/>
        <v>0</v>
      </c>
      <c r="S247" s="15" t="s">
        <v>29</v>
      </c>
      <c r="T247" s="15">
        <f t="shared" si="49"/>
        <v>25644.276000000002</v>
      </c>
      <c r="U247" s="15">
        <f t="shared" si="49"/>
        <v>52916.76</v>
      </c>
      <c r="V247" s="15">
        <f t="shared" si="49"/>
        <v>0</v>
      </c>
      <c r="W247" s="15">
        <f t="shared" si="49"/>
        <v>0</v>
      </c>
      <c r="X247" s="15">
        <f t="shared" si="49"/>
        <v>0</v>
      </c>
      <c r="Y247" s="15">
        <f t="shared" si="49"/>
        <v>23201.964</v>
      </c>
      <c r="Z247" s="15"/>
      <c r="AA247" s="15" t="s">
        <v>29</v>
      </c>
      <c r="AB247" s="15">
        <f t="shared" si="50"/>
        <v>25851.671999999999</v>
      </c>
      <c r="AC247" s="15">
        <f t="shared" si="50"/>
        <v>53344.72</v>
      </c>
      <c r="AD247" s="15">
        <f t="shared" si="50"/>
        <v>0</v>
      </c>
      <c r="AE247" s="15">
        <f t="shared" si="50"/>
        <v>0</v>
      </c>
      <c r="AF247" s="15">
        <f t="shared" si="50"/>
        <v>0</v>
      </c>
      <c r="AG247" s="15">
        <f t="shared" si="50"/>
        <v>23389.608</v>
      </c>
      <c r="AH247" s="27">
        <f t="shared" si="51"/>
        <v>0</v>
      </c>
    </row>
    <row r="248" spans="1:34" x14ac:dyDescent="0.25">
      <c r="A248" s="13" t="s">
        <v>348</v>
      </c>
      <c r="B248" s="13" t="s">
        <v>349</v>
      </c>
      <c r="C248" s="2">
        <v>-6856</v>
      </c>
      <c r="D248" s="2">
        <v>-6856</v>
      </c>
      <c r="E248" s="2">
        <v>-6856</v>
      </c>
      <c r="F248" s="2">
        <v>-6856</v>
      </c>
      <c r="G248" s="2">
        <v>-6856</v>
      </c>
      <c r="H248" s="2">
        <v>-6856</v>
      </c>
      <c r="I248" s="2">
        <v>-6856</v>
      </c>
      <c r="J248" s="2">
        <v>-6856</v>
      </c>
      <c r="K248" s="2">
        <v>-6856</v>
      </c>
      <c r="L248" s="2">
        <v>-6856</v>
      </c>
      <c r="M248" s="2">
        <v>-6856</v>
      </c>
      <c r="N248" s="2">
        <v>-6856</v>
      </c>
      <c r="O248" s="2">
        <v>-8652</v>
      </c>
      <c r="P248" s="2">
        <v>-90928</v>
      </c>
      <c r="Q248" s="2">
        <v>-6994</v>
      </c>
      <c r="R248" s="15">
        <f t="shared" si="48"/>
        <v>0</v>
      </c>
      <c r="S248" s="15" t="s">
        <v>29</v>
      </c>
      <c r="T248" s="15">
        <f t="shared" si="49"/>
        <v>1762.4880000000001</v>
      </c>
      <c r="U248" s="15">
        <f t="shared" si="49"/>
        <v>3636.88</v>
      </c>
      <c r="V248" s="15">
        <f t="shared" si="49"/>
        <v>0</v>
      </c>
      <c r="W248" s="15">
        <f t="shared" si="49"/>
        <v>0</v>
      </c>
      <c r="X248" s="15">
        <f t="shared" si="49"/>
        <v>0</v>
      </c>
      <c r="Y248" s="15">
        <f t="shared" si="49"/>
        <v>1594.6320000000001</v>
      </c>
      <c r="Z248" s="15"/>
      <c r="AA248" s="15" t="s">
        <v>29</v>
      </c>
      <c r="AB248" s="15">
        <f t="shared" si="50"/>
        <v>2180.3040000000001</v>
      </c>
      <c r="AC248" s="15">
        <f t="shared" si="50"/>
        <v>4499.04</v>
      </c>
      <c r="AD248" s="15">
        <f t="shared" si="50"/>
        <v>0</v>
      </c>
      <c r="AE248" s="15">
        <f t="shared" si="50"/>
        <v>0</v>
      </c>
      <c r="AF248" s="15">
        <f t="shared" si="50"/>
        <v>0</v>
      </c>
      <c r="AG248" s="15">
        <f t="shared" si="50"/>
        <v>1972.6560000000002</v>
      </c>
      <c r="AH248" s="27">
        <f t="shared" si="51"/>
        <v>0</v>
      </c>
    </row>
    <row r="249" spans="1:34" x14ac:dyDescent="0.25">
      <c r="A249" s="13" t="s">
        <v>350</v>
      </c>
      <c r="B249" s="13" t="s">
        <v>351</v>
      </c>
      <c r="C249" s="2">
        <v>230135</v>
      </c>
      <c r="D249" s="2">
        <v>233981</v>
      </c>
      <c r="E249" s="2">
        <v>237282</v>
      </c>
      <c r="F249" s="2">
        <v>241356</v>
      </c>
      <c r="G249" s="2">
        <v>245182</v>
      </c>
      <c r="H249" s="2">
        <v>249692</v>
      </c>
      <c r="I249" s="2">
        <v>253234</v>
      </c>
      <c r="J249" s="2">
        <v>260270</v>
      </c>
      <c r="K249" s="2">
        <v>271290</v>
      </c>
      <c r="L249" s="2">
        <v>273557</v>
      </c>
      <c r="M249" s="2">
        <v>276381</v>
      </c>
      <c r="N249" s="2">
        <v>282173</v>
      </c>
      <c r="O249" s="2">
        <v>259223</v>
      </c>
      <c r="P249" s="2">
        <v>3313757</v>
      </c>
      <c r="Q249" s="2">
        <v>254904</v>
      </c>
      <c r="R249" s="15">
        <f t="shared" si="48"/>
        <v>0</v>
      </c>
      <c r="S249" s="15" t="s">
        <v>29</v>
      </c>
      <c r="T249" s="15">
        <f t="shared" si="49"/>
        <v>-64235.807999999997</v>
      </c>
      <c r="U249" s="15">
        <f t="shared" si="49"/>
        <v>-132550.08000000002</v>
      </c>
      <c r="V249" s="15">
        <f t="shared" si="49"/>
        <v>0</v>
      </c>
      <c r="W249" s="15">
        <f t="shared" si="49"/>
        <v>0</v>
      </c>
      <c r="X249" s="15">
        <f t="shared" si="49"/>
        <v>0</v>
      </c>
      <c r="Y249" s="15">
        <f t="shared" si="49"/>
        <v>-58118.112000000001</v>
      </c>
      <c r="Z249" s="15"/>
      <c r="AA249" s="15" t="s">
        <v>29</v>
      </c>
      <c r="AB249" s="15">
        <f t="shared" si="50"/>
        <v>-65324.196000000004</v>
      </c>
      <c r="AC249" s="15">
        <f t="shared" si="50"/>
        <v>-134795.96</v>
      </c>
      <c r="AD249" s="15">
        <f t="shared" si="50"/>
        <v>0</v>
      </c>
      <c r="AE249" s="15">
        <f t="shared" si="50"/>
        <v>0</v>
      </c>
      <c r="AF249" s="15">
        <f t="shared" si="50"/>
        <v>0</v>
      </c>
      <c r="AG249" s="15">
        <f t="shared" si="50"/>
        <v>-59102.844000000005</v>
      </c>
      <c r="AH249" s="27">
        <f t="shared" si="51"/>
        <v>0</v>
      </c>
    </row>
    <row r="250" spans="1:34" x14ac:dyDescent="0.25">
      <c r="C250" s="26" t="s">
        <v>67</v>
      </c>
      <c r="D250" s="26" t="s">
        <v>67</v>
      </c>
      <c r="E250" s="26" t="s">
        <v>67</v>
      </c>
      <c r="F250" s="26" t="s">
        <v>67</v>
      </c>
      <c r="G250" s="26" t="s">
        <v>67</v>
      </c>
      <c r="H250" s="26" t="s">
        <v>67</v>
      </c>
      <c r="I250" s="26" t="s">
        <v>67</v>
      </c>
      <c r="J250" s="26" t="s">
        <v>67</v>
      </c>
      <c r="K250" s="26" t="s">
        <v>67</v>
      </c>
      <c r="L250" s="26" t="s">
        <v>67</v>
      </c>
      <c r="M250" s="26" t="s">
        <v>67</v>
      </c>
      <c r="N250" s="26" t="s">
        <v>67</v>
      </c>
      <c r="O250" s="26" t="s">
        <v>67</v>
      </c>
      <c r="P250" s="26" t="s">
        <v>67</v>
      </c>
      <c r="Q250" s="26" t="s">
        <v>67</v>
      </c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27"/>
    </row>
    <row r="251" spans="1:34" x14ac:dyDescent="0.25">
      <c r="A251" s="21" t="s">
        <v>352</v>
      </c>
      <c r="B251" s="22"/>
      <c r="C251" s="23">
        <v>-7934832</v>
      </c>
      <c r="D251" s="23">
        <v>-8436228</v>
      </c>
      <c r="E251" s="23">
        <v>-8521619</v>
      </c>
      <c r="F251" s="23">
        <v>-8761486</v>
      </c>
      <c r="G251" s="23">
        <v>-9309186</v>
      </c>
      <c r="H251" s="23">
        <v>-9393367</v>
      </c>
      <c r="I251" s="23">
        <v>-9888963</v>
      </c>
      <c r="J251" s="23">
        <v>-10433452</v>
      </c>
      <c r="K251" s="23">
        <v>-10511123</v>
      </c>
      <c r="L251" s="23">
        <v>-10752798</v>
      </c>
      <c r="M251" s="23">
        <v>-10838664</v>
      </c>
      <c r="N251" s="23">
        <v>-10921564</v>
      </c>
      <c r="O251" s="23">
        <v>-14022271</v>
      </c>
      <c r="P251" s="23">
        <v>-129725553</v>
      </c>
      <c r="Q251" s="23">
        <v>-9978889</v>
      </c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27"/>
    </row>
    <row r="252" spans="1:34" x14ac:dyDescent="0.25"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3"/>
    </row>
    <row r="253" spans="1:34" x14ac:dyDescent="0.25">
      <c r="A253" s="21" t="s">
        <v>353</v>
      </c>
      <c r="B253" s="22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3"/>
    </row>
    <row r="254" spans="1:34" x14ac:dyDescent="0.25">
      <c r="A254" s="13" t="s">
        <v>354</v>
      </c>
      <c r="B254" s="13" t="s">
        <v>355</v>
      </c>
      <c r="C254" s="2">
        <v>453491</v>
      </c>
      <c r="D254" s="2">
        <v>450022</v>
      </c>
      <c r="E254" s="2">
        <v>446542</v>
      </c>
      <c r="F254" s="2">
        <v>443052</v>
      </c>
      <c r="G254" s="2">
        <v>439551</v>
      </c>
      <c r="H254" s="2">
        <v>436039</v>
      </c>
      <c r="I254" s="2">
        <v>432516</v>
      </c>
      <c r="J254" s="2">
        <v>428982</v>
      </c>
      <c r="K254" s="2">
        <v>425438</v>
      </c>
      <c r="L254" s="2">
        <v>421882</v>
      </c>
      <c r="M254" s="2">
        <v>418315</v>
      </c>
      <c r="N254" s="2">
        <v>414738</v>
      </c>
      <c r="O254" s="2">
        <v>411149</v>
      </c>
      <c r="P254" s="2">
        <v>5621717</v>
      </c>
      <c r="Q254" s="2">
        <v>432440</v>
      </c>
      <c r="R254" s="15">
        <f>SUM(T254:Y254)+Q254</f>
        <v>-8.6488000000244938</v>
      </c>
      <c r="S254" s="15" t="s">
        <v>225</v>
      </c>
      <c r="T254" s="15">
        <f t="shared" ref="T254:Y254" si="52">-$Q254*T$3</f>
        <v>-70120.145999999993</v>
      </c>
      <c r="U254" s="15">
        <f t="shared" si="52"/>
        <v>-169391.0724</v>
      </c>
      <c r="V254" s="15">
        <f t="shared" si="52"/>
        <v>-79517.06719999999</v>
      </c>
      <c r="W254" s="15">
        <f t="shared" si="52"/>
        <v>-1535.162</v>
      </c>
      <c r="X254" s="15">
        <f t="shared" si="52"/>
        <v>-480.00840000000005</v>
      </c>
      <c r="Y254" s="15">
        <f t="shared" si="52"/>
        <v>-111405.1928</v>
      </c>
      <c r="Z254" s="15"/>
      <c r="AA254" s="15" t="s">
        <v>225</v>
      </c>
      <c r="AB254" s="15">
        <f t="shared" ref="AB254:AG254" si="53">-$O254*AB$3</f>
        <v>-66667.81035</v>
      </c>
      <c r="AC254" s="15">
        <f t="shared" si="53"/>
        <v>-161051.17478999999</v>
      </c>
      <c r="AD254" s="15">
        <f t="shared" si="53"/>
        <v>-75602.078119999991</v>
      </c>
      <c r="AE254" s="15">
        <f t="shared" si="53"/>
        <v>-1459.5789500000001</v>
      </c>
      <c r="AF254" s="15">
        <f t="shared" si="53"/>
        <v>-456.37539000000004</v>
      </c>
      <c r="AG254" s="15">
        <f t="shared" si="53"/>
        <v>-105920.20538</v>
      </c>
      <c r="AH254" s="27">
        <f>SUM(AB254:AG254)+O254</f>
        <v>-8.2229799999622628</v>
      </c>
    </row>
    <row r="255" spans="1:34" x14ac:dyDescent="0.25"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27"/>
    </row>
    <row r="256" spans="1:34" ht="15.75" x14ac:dyDescent="0.3">
      <c r="A256" s="18" t="s">
        <v>356</v>
      </c>
      <c r="B256" s="19"/>
      <c r="C256" s="20">
        <v>-8169545</v>
      </c>
      <c r="D256" s="20">
        <v>-8672435</v>
      </c>
      <c r="E256" s="20">
        <v>-8759330</v>
      </c>
      <c r="F256" s="20">
        <v>-8749066</v>
      </c>
      <c r="G256" s="20">
        <v>-9298292</v>
      </c>
      <c r="H256" s="20">
        <v>-9384010</v>
      </c>
      <c r="I256" s="20">
        <v>-9662703</v>
      </c>
      <c r="J256" s="20">
        <v>-10208750</v>
      </c>
      <c r="K256" s="20">
        <v>-10287992</v>
      </c>
      <c r="L256" s="20">
        <v>-10454659</v>
      </c>
      <c r="M256" s="20">
        <v>-10542118</v>
      </c>
      <c r="N256" s="20">
        <v>-10626620</v>
      </c>
      <c r="O256" s="20">
        <v>-13684461</v>
      </c>
      <c r="P256" s="20">
        <v>-128499980</v>
      </c>
      <c r="Q256" s="20">
        <v>-9884614</v>
      </c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3"/>
    </row>
    <row r="257" spans="1:34" x14ac:dyDescent="0.25"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3"/>
    </row>
    <row r="258" spans="1:34" ht="15.75" x14ac:dyDescent="0.3">
      <c r="A258" s="18" t="s">
        <v>357</v>
      </c>
      <c r="B258" s="19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3"/>
    </row>
    <row r="259" spans="1:34" x14ac:dyDescent="0.25"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3"/>
    </row>
    <row r="260" spans="1:34" x14ac:dyDescent="0.25">
      <c r="A260" s="21" t="s">
        <v>358</v>
      </c>
      <c r="B260" s="22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3"/>
    </row>
    <row r="261" spans="1:34" x14ac:dyDescent="0.25">
      <c r="A261" s="13" t="s">
        <v>359</v>
      </c>
      <c r="B261" s="13" t="s">
        <v>360</v>
      </c>
      <c r="C261" s="2">
        <v>-2986058</v>
      </c>
      <c r="D261" s="2">
        <v>-2986058</v>
      </c>
      <c r="E261" s="2">
        <v>-2986058</v>
      </c>
      <c r="F261" s="2">
        <v>-2964036</v>
      </c>
      <c r="G261" s="2">
        <v>-2964036</v>
      </c>
      <c r="H261" s="2">
        <v>-2964036</v>
      </c>
      <c r="I261" s="2">
        <v>-2942014</v>
      </c>
      <c r="J261" s="2">
        <v>-2942014</v>
      </c>
      <c r="K261" s="2">
        <v>-2942014</v>
      </c>
      <c r="L261" s="2">
        <v>-2919992</v>
      </c>
      <c r="M261" s="2">
        <v>-2919992</v>
      </c>
      <c r="N261" s="2">
        <v>-2919992</v>
      </c>
      <c r="O261" s="2">
        <v>-2500241</v>
      </c>
      <c r="P261" s="2">
        <v>-37936536</v>
      </c>
      <c r="Q261" s="2">
        <v>-2918195</v>
      </c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3"/>
    </row>
    <row r="262" spans="1:34" x14ac:dyDescent="0.25">
      <c r="A262" s="13" t="s">
        <v>361</v>
      </c>
      <c r="B262" s="13" t="s">
        <v>362</v>
      </c>
      <c r="C262" s="2">
        <v>-538104</v>
      </c>
      <c r="D262" s="2">
        <v>-538104</v>
      </c>
      <c r="E262" s="2">
        <v>-538104</v>
      </c>
      <c r="F262" s="2">
        <v>-684428</v>
      </c>
      <c r="G262" s="2">
        <v>-684428</v>
      </c>
      <c r="H262" s="2">
        <v>-684428</v>
      </c>
      <c r="I262" s="2">
        <v>-691280</v>
      </c>
      <c r="J262" s="2">
        <v>-691280</v>
      </c>
      <c r="K262" s="2">
        <v>-691280</v>
      </c>
      <c r="L262" s="2">
        <v>-707956</v>
      </c>
      <c r="M262" s="2">
        <v>-707956</v>
      </c>
      <c r="N262" s="2">
        <v>-707956</v>
      </c>
      <c r="O262" s="2">
        <v>-590721</v>
      </c>
      <c r="P262" s="2">
        <v>-8456023</v>
      </c>
      <c r="Q262" s="2">
        <v>-650463</v>
      </c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3"/>
    </row>
    <row r="263" spans="1:34" x14ac:dyDescent="0.25">
      <c r="A263" s="13" t="s">
        <v>363</v>
      </c>
      <c r="B263" s="13" t="s">
        <v>364</v>
      </c>
      <c r="C263" s="2">
        <v>73044291</v>
      </c>
      <c r="D263" s="2">
        <v>73044291</v>
      </c>
      <c r="E263" s="2">
        <v>73044291</v>
      </c>
      <c r="F263" s="2">
        <v>73044291</v>
      </c>
      <c r="G263" s="2">
        <v>73044291</v>
      </c>
      <c r="H263" s="2">
        <v>73044291</v>
      </c>
      <c r="I263" s="2">
        <v>73044291</v>
      </c>
      <c r="J263" s="2">
        <v>73044291</v>
      </c>
      <c r="K263" s="2">
        <v>73044291</v>
      </c>
      <c r="L263" s="2">
        <v>73044291</v>
      </c>
      <c r="M263" s="2">
        <v>73044291</v>
      </c>
      <c r="N263" s="2">
        <v>73044291</v>
      </c>
      <c r="O263" s="2">
        <v>73044291</v>
      </c>
      <c r="P263" s="2">
        <v>949575785</v>
      </c>
      <c r="Q263" s="2">
        <v>73044291</v>
      </c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3"/>
    </row>
    <row r="264" spans="1:34" x14ac:dyDescent="0.25">
      <c r="C264" s="26" t="s">
        <v>67</v>
      </c>
      <c r="D264" s="26" t="s">
        <v>67</v>
      </c>
      <c r="E264" s="26" t="s">
        <v>67</v>
      </c>
      <c r="F264" s="26" t="s">
        <v>67</v>
      </c>
      <c r="G264" s="26" t="s">
        <v>67</v>
      </c>
      <c r="H264" s="26" t="s">
        <v>67</v>
      </c>
      <c r="I264" s="26" t="s">
        <v>67</v>
      </c>
      <c r="J264" s="26" t="s">
        <v>67</v>
      </c>
      <c r="K264" s="26" t="s">
        <v>67</v>
      </c>
      <c r="L264" s="26" t="s">
        <v>67</v>
      </c>
      <c r="M264" s="26" t="s">
        <v>67</v>
      </c>
      <c r="N264" s="26" t="s">
        <v>67</v>
      </c>
      <c r="O264" s="26" t="s">
        <v>67</v>
      </c>
      <c r="P264" s="26" t="s">
        <v>67</v>
      </c>
      <c r="Q264" s="26" t="s">
        <v>67</v>
      </c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3"/>
    </row>
    <row r="265" spans="1:34" x14ac:dyDescent="0.25">
      <c r="A265" s="21" t="s">
        <v>365</v>
      </c>
      <c r="B265" s="22"/>
      <c r="C265" s="23">
        <v>69520130</v>
      </c>
      <c r="D265" s="23">
        <v>69520130</v>
      </c>
      <c r="E265" s="23">
        <v>69520130</v>
      </c>
      <c r="F265" s="23">
        <v>69395828</v>
      </c>
      <c r="G265" s="23">
        <v>69395828</v>
      </c>
      <c r="H265" s="23">
        <v>69395828</v>
      </c>
      <c r="I265" s="23">
        <v>69410997</v>
      </c>
      <c r="J265" s="23">
        <v>69410997</v>
      </c>
      <c r="K265" s="23">
        <v>69410997</v>
      </c>
      <c r="L265" s="23">
        <v>69416344</v>
      </c>
      <c r="M265" s="23">
        <v>69416344</v>
      </c>
      <c r="N265" s="23">
        <v>69416344</v>
      </c>
      <c r="O265" s="23">
        <v>69953330</v>
      </c>
      <c r="P265" s="23">
        <v>903183227</v>
      </c>
      <c r="Q265" s="23">
        <v>69475633</v>
      </c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3"/>
    </row>
    <row r="266" spans="1:34" x14ac:dyDescent="0.25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3"/>
    </row>
    <row r="267" spans="1:34" ht="15.75" x14ac:dyDescent="0.3">
      <c r="A267" s="18" t="s">
        <v>366</v>
      </c>
      <c r="B267" s="19"/>
      <c r="C267" s="20">
        <v>69520130</v>
      </c>
      <c r="D267" s="20">
        <v>69520130</v>
      </c>
      <c r="E267" s="20">
        <v>69520130</v>
      </c>
      <c r="F267" s="20">
        <v>69395828</v>
      </c>
      <c r="G267" s="20">
        <v>69395828</v>
      </c>
      <c r="H267" s="20">
        <v>69395828</v>
      </c>
      <c r="I267" s="20">
        <v>69410997</v>
      </c>
      <c r="J267" s="20">
        <v>69410997</v>
      </c>
      <c r="K267" s="20">
        <v>69410997</v>
      </c>
      <c r="L267" s="20">
        <v>69416344</v>
      </c>
      <c r="M267" s="20">
        <v>69416344</v>
      </c>
      <c r="N267" s="20">
        <v>69416344</v>
      </c>
      <c r="O267" s="20">
        <v>69953330</v>
      </c>
      <c r="P267" s="20">
        <v>903183227</v>
      </c>
      <c r="Q267" s="20">
        <v>69475633</v>
      </c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3"/>
    </row>
    <row r="268" spans="1:34" x14ac:dyDescent="0.25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3"/>
    </row>
    <row r="269" spans="1:34" ht="19.5" x14ac:dyDescent="0.4">
      <c r="A269" s="5" t="s">
        <v>367</v>
      </c>
      <c r="B269" s="16"/>
      <c r="C269" s="17">
        <v>68216866</v>
      </c>
      <c r="D269" s="17">
        <v>69709087</v>
      </c>
      <c r="E269" s="17">
        <v>73670280</v>
      </c>
      <c r="F269" s="17">
        <v>69745464</v>
      </c>
      <c r="G269" s="17">
        <v>68559470</v>
      </c>
      <c r="H269" s="17">
        <v>69694041</v>
      </c>
      <c r="I269" s="17">
        <v>69555733</v>
      </c>
      <c r="J269" s="17">
        <v>66389332</v>
      </c>
      <c r="K269" s="17">
        <v>65370695</v>
      </c>
      <c r="L269" s="17">
        <v>69743385</v>
      </c>
      <c r="M269" s="17">
        <v>68159672</v>
      </c>
      <c r="N269" s="17">
        <v>64712047</v>
      </c>
      <c r="O269" s="17">
        <v>60047940</v>
      </c>
      <c r="P269" s="17">
        <v>883574013</v>
      </c>
      <c r="Q269" s="17">
        <v>67967232</v>
      </c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3"/>
    </row>
    <row r="270" spans="1:34" x14ac:dyDescent="0.25">
      <c r="C270" s="26" t="s">
        <v>231</v>
      </c>
      <c r="D270" s="26" t="s">
        <v>231</v>
      </c>
      <c r="E270" s="26" t="s">
        <v>231</v>
      </c>
      <c r="F270" s="26" t="s">
        <v>231</v>
      </c>
      <c r="G270" s="26" t="s">
        <v>231</v>
      </c>
      <c r="H270" s="26" t="s">
        <v>231</v>
      </c>
      <c r="I270" s="26" t="s">
        <v>231</v>
      </c>
      <c r="J270" s="26" t="s">
        <v>231</v>
      </c>
      <c r="K270" s="26" t="s">
        <v>231</v>
      </c>
      <c r="L270" s="26" t="s">
        <v>231</v>
      </c>
      <c r="M270" s="26" t="s">
        <v>231</v>
      </c>
      <c r="N270" s="26" t="s">
        <v>231</v>
      </c>
      <c r="O270" s="26" t="s">
        <v>231</v>
      </c>
      <c r="P270" s="26" t="s">
        <v>231</v>
      </c>
      <c r="Q270" s="26" t="s">
        <v>231</v>
      </c>
      <c r="R270" s="15"/>
      <c r="S270" s="15"/>
      <c r="T270" s="61">
        <f t="shared" ref="T270:Y270" si="54">SUM(T79:T269)-SUM(T217:T233)-T238-T239</f>
        <v>1602765.1645961539</v>
      </c>
      <c r="U270" s="61">
        <f t="shared" si="54"/>
        <v>3544427.0313423076</v>
      </c>
      <c r="V270" s="61">
        <f t="shared" si="54"/>
        <v>-592203.78563076933</v>
      </c>
      <c r="W270" s="61">
        <f t="shared" si="54"/>
        <v>-8063.4330807692313</v>
      </c>
      <c r="X270" s="61">
        <f t="shared" si="54"/>
        <v>-6531.8278807692313</v>
      </c>
      <c r="Y270" s="61">
        <f t="shared" si="54"/>
        <v>1034269.7747846154</v>
      </c>
      <c r="Z270" s="61"/>
      <c r="AA270" s="61"/>
      <c r="AB270" s="61">
        <f t="shared" ref="AB270:AG270" si="55">SUM(AB79:AB269)-SUM(AB217:AB233)-AB238-AB239</f>
        <v>3467646.4111499996</v>
      </c>
      <c r="AC270" s="61">
        <f t="shared" si="55"/>
        <v>7101688.950410001</v>
      </c>
      <c r="AD270" s="61">
        <f t="shared" si="55"/>
        <v>-13906.415519999988</v>
      </c>
      <c r="AE270" s="61">
        <f t="shared" si="55"/>
        <v>-2067.7514499999997</v>
      </c>
      <c r="AF270" s="61">
        <f t="shared" si="55"/>
        <v>-1417.6776900000002</v>
      </c>
      <c r="AG270" s="61">
        <f t="shared" si="55"/>
        <v>3124602.6535199997</v>
      </c>
      <c r="AH270" s="3"/>
    </row>
    <row r="271" spans="1:34" x14ac:dyDescent="0.25"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3"/>
    </row>
    <row r="272" spans="1:34" x14ac:dyDescent="0.25"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3"/>
    </row>
    <row r="273" spans="1:34" x14ac:dyDescent="0.25"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 x14ac:dyDescent="0.25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 x14ac:dyDescent="0.25">
      <c r="A275" s="13" t="s">
        <v>368</v>
      </c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62" t="s">
        <v>369</v>
      </c>
      <c r="R275" s="3"/>
      <c r="S275" s="3"/>
      <c r="T275" s="3"/>
      <c r="U275" s="3" t="s">
        <v>370</v>
      </c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 x14ac:dyDescent="0.25">
      <c r="A276" s="13" t="s">
        <v>371</v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62" t="s">
        <v>372</v>
      </c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x14ac:dyDescent="0.25"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x14ac:dyDescent="0.25">
      <c r="A278" s="35"/>
      <c r="B278" s="35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x14ac:dyDescent="0.25">
      <c r="A279" s="35"/>
      <c r="B279" s="35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 x14ac:dyDescent="0.25">
      <c r="A280" s="35"/>
      <c r="B280" s="35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 x14ac:dyDescent="0.25">
      <c r="A281" s="35"/>
      <c r="B281" s="35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 x14ac:dyDescent="0.25">
      <c r="A282" s="35"/>
      <c r="B282" s="35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24"/>
      <c r="P283" s="24"/>
      <c r="Q283" s="24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1:34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24"/>
      <c r="P284" s="24"/>
      <c r="Q284" s="24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24"/>
      <c r="P285" s="24"/>
      <c r="Q285" s="24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24"/>
      <c r="P286" s="24"/>
      <c r="Q286" s="24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24"/>
      <c r="P287" s="24"/>
      <c r="Q287" s="24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24"/>
      <c r="P288" s="24"/>
      <c r="Q288" s="24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24"/>
      <c r="P289" s="24"/>
      <c r="Q289" s="24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24"/>
      <c r="P290" s="24"/>
      <c r="Q290" s="24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24"/>
      <c r="P291" s="24"/>
      <c r="Q291" s="24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24"/>
      <c r="P292" s="24"/>
      <c r="Q292" s="24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24"/>
      <c r="P293" s="24"/>
      <c r="Q293" s="24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24"/>
      <c r="P294" s="24"/>
      <c r="Q294" s="24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24"/>
      <c r="P295" s="24"/>
      <c r="Q295" s="24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24"/>
      <c r="P296" s="24"/>
      <c r="Q296" s="24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24"/>
      <c r="P297" s="24"/>
      <c r="Q297" s="24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24"/>
      <c r="P298" s="24"/>
      <c r="Q298" s="24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24"/>
      <c r="P299" s="24"/>
      <c r="Q299" s="24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24"/>
      <c r="P300" s="24"/>
      <c r="Q300" s="24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24"/>
      <c r="P301" s="24"/>
      <c r="Q301" s="24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24"/>
      <c r="P302" s="24"/>
      <c r="Q302" s="24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24"/>
      <c r="P303" s="24"/>
      <c r="Q303" s="24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24"/>
      <c r="P304" s="24"/>
      <c r="Q304" s="24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 x14ac:dyDescent="0.25">
      <c r="A305" s="35"/>
      <c r="B305" s="35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 x14ac:dyDescent="0.25">
      <c r="A306" s="35"/>
      <c r="B306" s="35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 x14ac:dyDescent="0.25">
      <c r="A307" s="35"/>
      <c r="B307" s="35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x14ac:dyDescent="0.25">
      <c r="A308" s="35"/>
      <c r="B308" s="35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x14ac:dyDescent="0.25">
      <c r="A309" s="35"/>
      <c r="B309" s="35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64"/>
      <c r="P310" s="64"/>
      <c r="Q310" s="64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</row>
    <row r="311" spans="1:34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topLeftCell="F1" workbookViewId="0">
      <selection activeCell="A32" sqref="A32"/>
    </sheetView>
  </sheetViews>
  <sheetFormatPr defaultRowHeight="15" x14ac:dyDescent="0.25"/>
  <cols>
    <col min="1" max="1" width="61.7109375" bestFit="1" customWidth="1"/>
    <col min="2" max="14" width="11.28515625" bestFit="1" customWidth="1"/>
    <col min="15" max="15" width="11.5703125" bestFit="1" customWidth="1"/>
    <col min="16" max="16" width="4.7109375" bestFit="1" customWidth="1"/>
    <col min="17" max="17" width="12.7109375" bestFit="1" customWidth="1"/>
    <col min="18" max="18" width="13.28515625" bestFit="1" customWidth="1"/>
    <col min="19" max="19" width="12.140625" customWidth="1"/>
    <col min="20" max="20" width="11.42578125" customWidth="1"/>
    <col min="21" max="21" width="8.85546875" customWidth="1"/>
    <col min="22" max="22" width="8.42578125" bestFit="1" customWidth="1"/>
    <col min="23" max="23" width="12.140625" customWidth="1"/>
    <col min="25" max="25" width="8.42578125" bestFit="1" customWidth="1"/>
    <col min="26" max="28" width="11.42578125" bestFit="1" customWidth="1"/>
    <col min="29" max="29" width="9.28515625" bestFit="1" customWidth="1"/>
    <col min="30" max="30" width="8.42578125" bestFit="1" customWidth="1"/>
    <col min="31" max="31" width="11.85546875" bestFit="1" customWidth="1"/>
  </cols>
  <sheetData>
    <row r="1" spans="1:31" ht="15.75" x14ac:dyDescent="0.25">
      <c r="A1" s="112" t="s">
        <v>450</v>
      </c>
      <c r="Q1" s="4"/>
      <c r="R1" s="113" t="s">
        <v>2</v>
      </c>
      <c r="S1" s="4"/>
      <c r="T1" s="4"/>
      <c r="U1" s="4"/>
      <c r="V1" s="4"/>
      <c r="W1" s="4"/>
      <c r="X1" s="4"/>
      <c r="Y1" s="4" t="s">
        <v>1</v>
      </c>
      <c r="Z1" s="4" t="s">
        <v>3</v>
      </c>
      <c r="AA1" s="4"/>
      <c r="AB1" s="4"/>
      <c r="AC1" s="4"/>
      <c r="AD1" s="4"/>
      <c r="AE1" s="4"/>
    </row>
    <row r="2" spans="1:31" x14ac:dyDescent="0.25">
      <c r="Q2" s="4" t="s">
        <v>5</v>
      </c>
      <c r="R2" s="4" t="s">
        <v>6</v>
      </c>
      <c r="S2" s="4" t="s">
        <v>7</v>
      </c>
      <c r="T2" s="4" t="s">
        <v>8</v>
      </c>
      <c r="U2" s="4" t="s">
        <v>9</v>
      </c>
      <c r="V2" s="4" t="s">
        <v>10</v>
      </c>
      <c r="W2" s="4" t="s">
        <v>11</v>
      </c>
      <c r="X2" s="4"/>
      <c r="Y2" s="4" t="s">
        <v>5</v>
      </c>
      <c r="Z2" s="4" t="s">
        <v>6</v>
      </c>
      <c r="AA2" s="4" t="s">
        <v>7</v>
      </c>
      <c r="AB2" s="4" t="s">
        <v>8</v>
      </c>
      <c r="AC2" s="4" t="s">
        <v>9</v>
      </c>
      <c r="AD2" s="4" t="s">
        <v>10</v>
      </c>
      <c r="AE2" s="4" t="s">
        <v>11</v>
      </c>
    </row>
    <row r="3" spans="1:31" x14ac:dyDescent="0.25">
      <c r="Q3" s="4" t="s">
        <v>451</v>
      </c>
      <c r="R3" s="104">
        <v>7.9662094019411156E-2</v>
      </c>
      <c r="S3" s="104">
        <v>0.19003155668817437</v>
      </c>
      <c r="T3" s="104">
        <v>7.9590522149324952E-2</v>
      </c>
      <c r="U3" s="104">
        <v>1.0011386433877352E-3</v>
      </c>
      <c r="V3" s="104">
        <v>1.869544000433769E-4</v>
      </c>
      <c r="W3" s="104">
        <v>0.64952773409965836</v>
      </c>
      <c r="X3" s="4"/>
      <c r="Y3" s="4" t="s">
        <v>452</v>
      </c>
      <c r="Z3" s="104">
        <f>R3</f>
        <v>7.9662094019411156E-2</v>
      </c>
      <c r="AA3" s="104">
        <f t="shared" ref="AA3:AE3" si="0">S3</f>
        <v>0.19003155668817437</v>
      </c>
      <c r="AB3" s="104">
        <f t="shared" si="0"/>
        <v>7.9590522149324952E-2</v>
      </c>
      <c r="AC3" s="104">
        <f t="shared" si="0"/>
        <v>1.0011386433877352E-3</v>
      </c>
      <c r="AD3" s="104">
        <f t="shared" si="0"/>
        <v>1.869544000433769E-4</v>
      </c>
      <c r="AE3" s="104">
        <f t="shared" si="0"/>
        <v>0.64952773409965836</v>
      </c>
    </row>
    <row r="4" spans="1:31" x14ac:dyDescent="0.25"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26.25" x14ac:dyDescent="0.25">
      <c r="A5" s="112" t="s">
        <v>453</v>
      </c>
      <c r="B5" s="114">
        <v>44915</v>
      </c>
      <c r="C5" s="114">
        <v>44582</v>
      </c>
      <c r="D5" s="114">
        <v>44613</v>
      </c>
      <c r="E5" s="114">
        <v>44641</v>
      </c>
      <c r="F5" s="114">
        <v>44672</v>
      </c>
      <c r="G5" s="114">
        <v>44702</v>
      </c>
      <c r="H5" s="114">
        <v>44733</v>
      </c>
      <c r="I5" s="114">
        <v>44763</v>
      </c>
      <c r="J5" s="114">
        <v>44794</v>
      </c>
      <c r="K5" s="114">
        <v>44825</v>
      </c>
      <c r="L5" s="114">
        <v>44855</v>
      </c>
      <c r="M5" s="114">
        <v>44886</v>
      </c>
      <c r="N5" s="114">
        <v>44916</v>
      </c>
      <c r="O5" s="115" t="s">
        <v>12</v>
      </c>
      <c r="Q5" s="4"/>
      <c r="R5" s="6"/>
      <c r="S5" s="6"/>
      <c r="T5" s="6"/>
      <c r="U5" s="6"/>
      <c r="V5" s="6"/>
      <c r="W5" s="6"/>
      <c r="X5" s="4"/>
      <c r="Y5" s="4"/>
      <c r="Z5" s="6"/>
      <c r="AA5" s="6"/>
      <c r="AB5" s="6"/>
      <c r="AC5" s="6"/>
      <c r="AD5" s="6"/>
      <c r="AE5" s="6"/>
    </row>
    <row r="6" spans="1:31" x14ac:dyDescent="0.25">
      <c r="A6" s="116" t="s">
        <v>454</v>
      </c>
      <c r="B6" s="117">
        <f>SUM(B7:B16)</f>
        <v>14389776.240000002</v>
      </c>
      <c r="C6" s="117">
        <f t="shared" ref="C6:O6" si="1">SUM(C7:C16)</f>
        <v>14399872.160000004</v>
      </c>
      <c r="D6" s="117">
        <f t="shared" si="1"/>
        <v>14217086.630000005</v>
      </c>
      <c r="E6" s="117">
        <f t="shared" si="1"/>
        <v>14331910.310000002</v>
      </c>
      <c r="F6" s="117">
        <f t="shared" si="1"/>
        <v>14402447.750000002</v>
      </c>
      <c r="G6" s="117">
        <f t="shared" si="1"/>
        <v>14488993.130000001</v>
      </c>
      <c r="H6" s="117">
        <f t="shared" si="1"/>
        <v>14599094.330000002</v>
      </c>
      <c r="I6" s="117">
        <f t="shared" si="1"/>
        <v>14726238.840000002</v>
      </c>
      <c r="J6" s="117">
        <f t="shared" si="1"/>
        <v>14934878.860000001</v>
      </c>
      <c r="K6" s="117">
        <f t="shared" si="1"/>
        <v>15033615.440000003</v>
      </c>
      <c r="L6" s="117">
        <f t="shared" si="1"/>
        <v>15326651.670000004</v>
      </c>
      <c r="M6" s="117">
        <f t="shared" si="1"/>
        <v>15323172.600000003</v>
      </c>
      <c r="N6" s="117">
        <f t="shared" si="1"/>
        <v>15392407.290000001</v>
      </c>
      <c r="O6" s="117">
        <f t="shared" si="1"/>
        <v>14735857.326923078</v>
      </c>
      <c r="Q6" s="4"/>
      <c r="R6" s="122">
        <f>$O6*R$3</f>
        <v>1173889.2518339751</v>
      </c>
      <c r="S6" s="122">
        <f t="shared" ref="S6:W18" si="2">$O6*S$3</f>
        <v>2800277.9069700325</v>
      </c>
      <c r="T6" s="122">
        <f t="shared" si="2"/>
        <v>1172834.5789677636</v>
      </c>
      <c r="U6" s="122">
        <f t="shared" si="2"/>
        <v>14752.636213430987</v>
      </c>
      <c r="V6" s="122">
        <f t="shared" si="2"/>
        <v>2754.9333656797035</v>
      </c>
      <c r="W6" s="122">
        <f t="shared" si="2"/>
        <v>9571348.0195721947</v>
      </c>
      <c r="X6" s="123"/>
      <c r="Y6" s="123"/>
      <c r="Z6" s="122">
        <f>$N6*Z$3</f>
        <v>1226191.3967210497</v>
      </c>
      <c r="AA6" s="122">
        <f t="shared" ref="AA6:AE18" si="3">$N6*AA$3</f>
        <v>2925043.1184971035</v>
      </c>
      <c r="AB6" s="122">
        <f t="shared" si="3"/>
        <v>1225089.7333461759</v>
      </c>
      <c r="AC6" s="122">
        <f t="shared" si="3"/>
        <v>15409.933752782086</v>
      </c>
      <c r="AD6" s="122">
        <f t="shared" si="3"/>
        <v>2877.6782701252509</v>
      </c>
      <c r="AE6" s="122">
        <f t="shared" si="3"/>
        <v>9997795.4294127636</v>
      </c>
    </row>
    <row r="7" spans="1:31" x14ac:dyDescent="0.25">
      <c r="A7" t="s">
        <v>455</v>
      </c>
      <c r="B7" s="68">
        <v>5966.29</v>
      </c>
      <c r="C7" s="68">
        <v>5966.29</v>
      </c>
      <c r="D7" s="68">
        <v>5966.29</v>
      </c>
      <c r="E7" s="68">
        <v>5966.29</v>
      </c>
      <c r="F7" s="68">
        <v>5966.29</v>
      </c>
      <c r="G7" s="68">
        <v>5966.29</v>
      </c>
      <c r="H7" s="68">
        <v>5966.29</v>
      </c>
      <c r="I7" s="68">
        <v>5966.29</v>
      </c>
      <c r="J7" s="68">
        <v>5966.29</v>
      </c>
      <c r="K7" s="68">
        <v>5966.29</v>
      </c>
      <c r="L7" s="68">
        <v>5966.29</v>
      </c>
      <c r="M7" s="68">
        <v>5966.29</v>
      </c>
      <c r="N7" s="68">
        <v>5966.29</v>
      </c>
      <c r="O7" s="68">
        <f>SUM(B7:N7)/13</f>
        <v>5966.2899999999991</v>
      </c>
      <c r="R7" s="124">
        <f t="shared" ref="R7:W20" si="4">$O7*R$3</f>
        <v>475.28715492707249</v>
      </c>
      <c r="S7" s="124">
        <f t="shared" si="2"/>
        <v>1133.7833763530878</v>
      </c>
      <c r="T7" s="124">
        <f t="shared" si="2"/>
        <v>474.86013639429592</v>
      </c>
      <c r="U7" s="124">
        <f t="shared" si="2"/>
        <v>5.9730834766578091</v>
      </c>
      <c r="V7" s="124">
        <f t="shared" si="2"/>
        <v>1.1154241674347989</v>
      </c>
      <c r="W7" s="124">
        <f t="shared" si="2"/>
        <v>3875.27082468145</v>
      </c>
      <c r="X7" s="125"/>
      <c r="Y7" s="125"/>
      <c r="Z7" s="124">
        <f t="shared" ref="Z7:AE20" si="5">$N7*Z$3</f>
        <v>475.28715492707261</v>
      </c>
      <c r="AA7" s="124">
        <f t="shared" si="3"/>
        <v>1133.7833763530878</v>
      </c>
      <c r="AB7" s="124">
        <f t="shared" si="3"/>
        <v>474.86013639429598</v>
      </c>
      <c r="AC7" s="124">
        <f t="shared" si="3"/>
        <v>5.97308347665781</v>
      </c>
      <c r="AD7" s="124">
        <f t="shared" si="3"/>
        <v>1.1154241674347991</v>
      </c>
      <c r="AE7" s="124">
        <f t="shared" si="3"/>
        <v>3875.2708246814504</v>
      </c>
    </row>
    <row r="8" spans="1:31" x14ac:dyDescent="0.25">
      <c r="A8" t="s">
        <v>434</v>
      </c>
      <c r="B8" s="68">
        <v>5204446.2700000005</v>
      </c>
      <c r="C8" s="68">
        <v>5204446.2700000005</v>
      </c>
      <c r="D8" s="68">
        <v>5047142.1800000006</v>
      </c>
      <c r="E8" s="68">
        <v>5047142.1800000006</v>
      </c>
      <c r="F8" s="68">
        <v>5047142.1800000006</v>
      </c>
      <c r="G8" s="68">
        <v>5047142.1800000006</v>
      </c>
      <c r="H8" s="68">
        <v>5047142.1800000006</v>
      </c>
      <c r="I8" s="68">
        <v>5047142.1800000006</v>
      </c>
      <c r="J8" s="68">
        <v>5047142.1800000006</v>
      </c>
      <c r="K8" s="68">
        <v>5047142.1800000006</v>
      </c>
      <c r="L8" s="68">
        <v>5047142.1800000006</v>
      </c>
      <c r="M8" s="68">
        <v>5047142.1800000006</v>
      </c>
      <c r="N8" s="68">
        <v>5047142.1800000006</v>
      </c>
      <c r="O8" s="68">
        <f t="shared" ref="O8:O19" si="6">SUM(B8:N8)/13</f>
        <v>5071342.8092307691</v>
      </c>
      <c r="R8" s="124">
        <f t="shared" si="4"/>
        <v>403993.78767360625</v>
      </c>
      <c r="S8" s="124">
        <f t="shared" si="2"/>
        <v>963715.16853750229</v>
      </c>
      <c r="T8" s="124">
        <f t="shared" si="2"/>
        <v>403630.82218490134</v>
      </c>
      <c r="U8" s="124">
        <f t="shared" si="2"/>
        <v>5077.1172601874378</v>
      </c>
      <c r="V8" s="124">
        <f t="shared" si="2"/>
        <v>948.10985231403197</v>
      </c>
      <c r="W8" s="124">
        <f t="shared" si="2"/>
        <v>3293977.8037222573</v>
      </c>
      <c r="X8" s="125"/>
      <c r="Y8" s="125"/>
      <c r="Z8" s="124">
        <f t="shared" si="5"/>
        <v>402065.91487249581</v>
      </c>
      <c r="AA8" s="124">
        <f t="shared" si="3"/>
        <v>959116.28529194603</v>
      </c>
      <c r="AB8" s="124">
        <f t="shared" si="3"/>
        <v>401704.6814680823</v>
      </c>
      <c r="AC8" s="124">
        <f t="shared" si="3"/>
        <v>5052.8890750702167</v>
      </c>
      <c r="AD8" s="124">
        <f t="shared" si="3"/>
        <v>943.58543819552153</v>
      </c>
      <c r="AE8" s="124">
        <f t="shared" si="3"/>
        <v>3278258.8238542103</v>
      </c>
    </row>
    <row r="9" spans="1:31" x14ac:dyDescent="0.25">
      <c r="A9" t="s">
        <v>456</v>
      </c>
      <c r="B9" s="68">
        <v>421491.92</v>
      </c>
      <c r="C9" s="68">
        <v>421491.92</v>
      </c>
      <c r="D9" s="68">
        <v>421491.92</v>
      </c>
      <c r="E9" s="68">
        <v>421491.92</v>
      </c>
      <c r="F9" s="68">
        <v>421491.92</v>
      </c>
      <c r="G9" s="68">
        <v>421491.92</v>
      </c>
      <c r="H9" s="68">
        <v>421491.92</v>
      </c>
      <c r="I9" s="68">
        <v>421491.92</v>
      </c>
      <c r="J9" s="68">
        <v>421491.92</v>
      </c>
      <c r="K9" s="68">
        <v>421491.92</v>
      </c>
      <c r="L9" s="68">
        <v>421491.92</v>
      </c>
      <c r="M9" s="68">
        <v>421491.92</v>
      </c>
      <c r="N9" s="68">
        <v>421491.92</v>
      </c>
      <c r="O9" s="68">
        <f t="shared" si="6"/>
        <v>421491.92</v>
      </c>
      <c r="R9" s="124">
        <f t="shared" si="4"/>
        <v>33576.928959462122</v>
      </c>
      <c r="S9" s="124">
        <f t="shared" si="2"/>
        <v>80096.76568908745</v>
      </c>
      <c r="T9" s="124">
        <f t="shared" si="2"/>
        <v>33546.761994521497</v>
      </c>
      <c r="U9" s="124">
        <f t="shared" si="2"/>
        <v>421.97184898769177</v>
      </c>
      <c r="V9" s="124">
        <f t="shared" si="2"/>
        <v>78.799769026731013</v>
      </c>
      <c r="W9" s="124">
        <f t="shared" si="2"/>
        <v>273770.69173891447</v>
      </c>
      <c r="X9" s="125"/>
      <c r="Y9" s="125"/>
      <c r="Z9" s="124">
        <f t="shared" si="5"/>
        <v>33576.928959462122</v>
      </c>
      <c r="AA9" s="124">
        <f t="shared" si="3"/>
        <v>80096.76568908745</v>
      </c>
      <c r="AB9" s="124">
        <f t="shared" si="3"/>
        <v>33546.761994521497</v>
      </c>
      <c r="AC9" s="124">
        <f t="shared" si="3"/>
        <v>421.97184898769177</v>
      </c>
      <c r="AD9" s="124">
        <f t="shared" si="3"/>
        <v>78.799769026731013</v>
      </c>
      <c r="AE9" s="124">
        <f t="shared" si="3"/>
        <v>273770.69173891447</v>
      </c>
    </row>
    <row r="10" spans="1:31" x14ac:dyDescent="0.25">
      <c r="A10" t="s">
        <v>435</v>
      </c>
      <c r="B10" s="68">
        <v>1110199.5099999998</v>
      </c>
      <c r="C10" s="68">
        <v>1110199.5099999998</v>
      </c>
      <c r="D10" s="68">
        <v>1119766.2299999997</v>
      </c>
      <c r="E10" s="68">
        <v>1193136.53</v>
      </c>
      <c r="F10" s="68">
        <v>1193136.53</v>
      </c>
      <c r="G10" s="68">
        <v>1195878.7100000002</v>
      </c>
      <c r="H10" s="68">
        <v>1182442.1100000001</v>
      </c>
      <c r="I10" s="68">
        <v>1182442.1100000001</v>
      </c>
      <c r="J10" s="68">
        <v>1182442.1100000001</v>
      </c>
      <c r="K10" s="68">
        <v>1182442.1100000001</v>
      </c>
      <c r="L10" s="68">
        <v>1182442.1100000001</v>
      </c>
      <c r="M10" s="68">
        <v>1182442.1100000001</v>
      </c>
      <c r="N10" s="68">
        <v>1182442.1100000001</v>
      </c>
      <c r="O10" s="68">
        <f t="shared" si="6"/>
        <v>1169185.5223076921</v>
      </c>
      <c r="R10" s="124">
        <f t="shared" si="4"/>
        <v>93139.767004209702</v>
      </c>
      <c r="S10" s="124">
        <f t="shared" si="2"/>
        <v>222182.14486140694</v>
      </c>
      <c r="T10" s="124">
        <f t="shared" si="2"/>
        <v>93056.08620990043</v>
      </c>
      <c r="U10" s="124">
        <f t="shared" si="2"/>
        <v>1170.5168076717034</v>
      </c>
      <c r="V10" s="124">
        <f t="shared" si="2"/>
        <v>218.58437786243684</v>
      </c>
      <c r="W10" s="124">
        <f t="shared" si="2"/>
        <v>759418.42304664082</v>
      </c>
      <c r="X10" s="125"/>
      <c r="Y10" s="125"/>
      <c r="Z10" s="124">
        <f t="shared" si="5"/>
        <v>94195.81453933091</v>
      </c>
      <c r="AA10" s="124">
        <f t="shared" si="3"/>
        <v>224701.31485694952</v>
      </c>
      <c r="AB10" s="124">
        <f t="shared" si="3"/>
        <v>94111.184946249545</v>
      </c>
      <c r="AC10" s="124">
        <f t="shared" si="3"/>
        <v>1183.7884898899313</v>
      </c>
      <c r="AD10" s="124">
        <f t="shared" si="3"/>
        <v>221.0627552610747</v>
      </c>
      <c r="AE10" s="124">
        <f t="shared" si="3"/>
        <v>768028.94441231911</v>
      </c>
    </row>
    <row r="11" spans="1:31" x14ac:dyDescent="0.25">
      <c r="A11" t="s">
        <v>457</v>
      </c>
      <c r="B11" s="68">
        <v>3817517.6700000013</v>
      </c>
      <c r="C11" s="68">
        <v>3821752.0400000024</v>
      </c>
      <c r="D11" s="68">
        <v>3822561.0000000023</v>
      </c>
      <c r="E11" s="68">
        <v>3810907.0000000023</v>
      </c>
      <c r="F11" s="68">
        <v>3800958.6200000015</v>
      </c>
      <c r="G11" s="68">
        <v>3802145.390000002</v>
      </c>
      <c r="H11" s="68">
        <v>3793826.390000002</v>
      </c>
      <c r="I11" s="68">
        <v>3793826.390000002</v>
      </c>
      <c r="J11" s="68">
        <v>3791738.3900000011</v>
      </c>
      <c r="K11" s="68">
        <v>3850064.3900000011</v>
      </c>
      <c r="L11" s="68">
        <v>3856926.3900000011</v>
      </c>
      <c r="M11" s="68">
        <v>3852154.0300000017</v>
      </c>
      <c r="N11" s="68">
        <v>3850066.0300000017</v>
      </c>
      <c r="O11" s="68">
        <f t="shared" si="6"/>
        <v>3820341.8253846169</v>
      </c>
      <c r="R11" s="124">
        <f t="shared" si="4"/>
        <v>304336.42968007817</v>
      </c>
      <c r="S11" s="124">
        <f t="shared" si="2"/>
        <v>725985.50415878033</v>
      </c>
      <c r="T11" s="124">
        <f t="shared" si="2"/>
        <v>304063.00067126687</v>
      </c>
      <c r="U11" s="124">
        <f t="shared" si="2"/>
        <v>3824.6918323429791</v>
      </c>
      <c r="V11" s="124">
        <f t="shared" si="2"/>
        <v>714.22971392540035</v>
      </c>
      <c r="W11" s="124">
        <f t="shared" si="2"/>
        <v>2481417.9693282228</v>
      </c>
      <c r="X11" s="125"/>
      <c r="Y11" s="125"/>
      <c r="Z11" s="124">
        <f t="shared" si="5"/>
        <v>306704.32206280116</v>
      </c>
      <c r="AA11" s="124">
        <f t="shared" si="3"/>
        <v>731634.04103315971</v>
      </c>
      <c r="AB11" s="124">
        <f t="shared" si="3"/>
        <v>306428.76563707873</v>
      </c>
      <c r="AC11" s="124">
        <f t="shared" si="3"/>
        <v>3854.4498822274049</v>
      </c>
      <c r="AD11" s="124">
        <f t="shared" si="3"/>
        <v>719.78678476603625</v>
      </c>
      <c r="AE11" s="124">
        <f t="shared" si="3"/>
        <v>2500724.6645999686</v>
      </c>
    </row>
    <row r="12" spans="1:31" x14ac:dyDescent="0.25">
      <c r="A12" t="s">
        <v>436</v>
      </c>
      <c r="B12" s="68">
        <v>408872.10000000003</v>
      </c>
      <c r="C12" s="68">
        <v>408872.10000000003</v>
      </c>
      <c r="D12" s="68">
        <v>349634.40000000008</v>
      </c>
      <c r="E12" s="68">
        <v>343422.68000000005</v>
      </c>
      <c r="F12" s="68">
        <v>330586.02</v>
      </c>
      <c r="G12" s="68">
        <v>362249.77</v>
      </c>
      <c r="H12" s="68">
        <v>416778.64999999997</v>
      </c>
      <c r="I12" s="68">
        <v>451533.37</v>
      </c>
      <c r="J12" s="68">
        <v>597442.09</v>
      </c>
      <c r="K12" s="68">
        <v>637795.80999999994</v>
      </c>
      <c r="L12" s="68">
        <v>739356.33999999985</v>
      </c>
      <c r="M12" s="68">
        <v>782299.66999999981</v>
      </c>
      <c r="N12" s="68">
        <v>871991.45999999973</v>
      </c>
      <c r="O12" s="68">
        <f t="shared" si="6"/>
        <v>515448.80461538461</v>
      </c>
      <c r="R12" s="124">
        <f t="shared" si="4"/>
        <v>41061.731135463859</v>
      </c>
      <c r="S12" s="124">
        <f t="shared" si="2"/>
        <v>97951.538734120171</v>
      </c>
      <c r="T12" s="124">
        <f t="shared" si="2"/>
        <v>41024.839500583839</v>
      </c>
      <c r="U12" s="124">
        <f t="shared" si="2"/>
        <v>516.03571698847588</v>
      </c>
      <c r="V12" s="124">
        <f t="shared" si="2"/>
        <v>96.365422019945029</v>
      </c>
      <c r="W12" s="124">
        <f t="shared" si="2"/>
        <v>334798.29410620831</v>
      </c>
      <c r="X12" s="125"/>
      <c r="Y12" s="125"/>
      <c r="Z12" s="124">
        <f t="shared" si="5"/>
        <v>69464.665670643575</v>
      </c>
      <c r="AA12" s="124">
        <f t="shared" si="3"/>
        <v>165705.89456259389</v>
      </c>
      <c r="AB12" s="124">
        <f t="shared" si="3"/>
        <v>69402.255611152184</v>
      </c>
      <c r="AC12" s="124">
        <f t="shared" si="3"/>
        <v>872.98434731009024</v>
      </c>
      <c r="AD12" s="124">
        <f t="shared" si="3"/>
        <v>163.02264024724823</v>
      </c>
      <c r="AE12" s="124">
        <f t="shared" si="3"/>
        <v>566382.63716805272</v>
      </c>
    </row>
    <row r="13" spans="1:31" x14ac:dyDescent="0.25">
      <c r="A13" t="s">
        <v>437</v>
      </c>
      <c r="B13" s="68">
        <v>133969.25</v>
      </c>
      <c r="C13" s="68">
        <v>133969.25</v>
      </c>
      <c r="D13" s="68">
        <v>133969.25</v>
      </c>
      <c r="E13" s="68">
        <v>133969.25</v>
      </c>
      <c r="F13" s="68">
        <v>133969.25</v>
      </c>
      <c r="G13" s="68">
        <v>133969.25</v>
      </c>
      <c r="H13" s="68">
        <v>133969.25</v>
      </c>
      <c r="I13" s="68">
        <v>133969.25</v>
      </c>
      <c r="J13" s="68">
        <v>133969.25</v>
      </c>
      <c r="K13" s="68">
        <v>133969.25</v>
      </c>
      <c r="L13" s="68">
        <v>133969.25</v>
      </c>
      <c r="M13" s="68">
        <v>133969.25</v>
      </c>
      <c r="N13" s="68">
        <v>133969.25</v>
      </c>
      <c r="O13" s="68">
        <f t="shared" si="6"/>
        <v>133969.25</v>
      </c>
      <c r="R13" s="124">
        <f t="shared" si="4"/>
        <v>10672.270989209997</v>
      </c>
      <c r="S13" s="124">
        <f t="shared" si="2"/>
        <v>25458.385125847202</v>
      </c>
      <c r="T13" s="124">
        <f t="shared" si="2"/>
        <v>10662.682559453451</v>
      </c>
      <c r="U13" s="124">
        <f t="shared" si="2"/>
        <v>134.12179320067233</v>
      </c>
      <c r="V13" s="124">
        <f t="shared" si="2"/>
        <v>25.04614075801117</v>
      </c>
      <c r="W13" s="124">
        <f t="shared" si="2"/>
        <v>87016.743391530661</v>
      </c>
      <c r="X13" s="125"/>
      <c r="Y13" s="125"/>
      <c r="Z13" s="124">
        <f t="shared" si="5"/>
        <v>10672.270989209997</v>
      </c>
      <c r="AA13" s="124">
        <f t="shared" si="3"/>
        <v>25458.385125847202</v>
      </c>
      <c r="AB13" s="124">
        <f t="shared" si="3"/>
        <v>10662.682559453451</v>
      </c>
      <c r="AC13" s="124">
        <f t="shared" si="3"/>
        <v>134.12179320067233</v>
      </c>
      <c r="AD13" s="124">
        <f t="shared" si="3"/>
        <v>25.04614075801117</v>
      </c>
      <c r="AE13" s="124">
        <f t="shared" si="3"/>
        <v>87016.743391530661</v>
      </c>
    </row>
    <row r="14" spans="1:31" x14ac:dyDescent="0.25">
      <c r="A14" t="s">
        <v>438</v>
      </c>
      <c r="B14" s="68">
        <v>1642872.16</v>
      </c>
      <c r="C14" s="68">
        <v>1648733.7100000002</v>
      </c>
      <c r="D14" s="68">
        <v>1672114.2900000003</v>
      </c>
      <c r="E14" s="68">
        <v>1786165.45</v>
      </c>
      <c r="F14" s="68">
        <v>1855637.9300000004</v>
      </c>
      <c r="G14" s="68">
        <v>1906590.61</v>
      </c>
      <c r="H14" s="68">
        <v>1983918.53</v>
      </c>
      <c r="I14" s="68">
        <v>2076308.32</v>
      </c>
      <c r="J14" s="68">
        <v>2141127.62</v>
      </c>
      <c r="K14" s="68">
        <v>2141184.48</v>
      </c>
      <c r="L14" s="68">
        <v>2325798.1800000006</v>
      </c>
      <c r="M14" s="68">
        <v>2284148.14</v>
      </c>
      <c r="N14" s="68">
        <v>2265779.04</v>
      </c>
      <c r="O14" s="68">
        <f t="shared" si="6"/>
        <v>1979259.8815384617</v>
      </c>
      <c r="R14" s="124">
        <f t="shared" si="4"/>
        <v>157671.98677196552</v>
      </c>
      <c r="S14" s="124">
        <f t="shared" si="2"/>
        <v>376121.83637920546</v>
      </c>
      <c r="T14" s="124">
        <f t="shared" si="2"/>
        <v>157530.32744085722</v>
      </c>
      <c r="U14" s="124">
        <f t="shared" si="2"/>
        <v>1981.5135527151849</v>
      </c>
      <c r="V14" s="124">
        <f t="shared" si="2"/>
        <v>370.03134368294832</v>
      </c>
      <c r="W14" s="124">
        <f t="shared" si="2"/>
        <v>1285584.1860500353</v>
      </c>
      <c r="X14" s="125"/>
      <c r="Y14" s="125"/>
      <c r="Z14" s="124">
        <f t="shared" si="5"/>
        <v>180496.70291169116</v>
      </c>
      <c r="AA14" s="124">
        <f t="shared" si="3"/>
        <v>430569.51808263728</v>
      </c>
      <c r="AB14" s="124">
        <f t="shared" si="3"/>
        <v>180334.53686859622</v>
      </c>
      <c r="AC14" s="124">
        <f t="shared" si="3"/>
        <v>2268.358954321965</v>
      </c>
      <c r="AD14" s="124">
        <f t="shared" si="3"/>
        <v>423.59736105405847</v>
      </c>
      <c r="AE14" s="124">
        <f t="shared" si="3"/>
        <v>1471686.3258216991</v>
      </c>
    </row>
    <row r="15" spans="1:31" x14ac:dyDescent="0.25">
      <c r="A15" t="s">
        <v>458</v>
      </c>
      <c r="B15" s="68">
        <v>1244509.3299999998</v>
      </c>
      <c r="C15" s="68">
        <v>1244509.3299999998</v>
      </c>
      <c r="D15" s="68">
        <v>1244509.3299999998</v>
      </c>
      <c r="E15" s="68">
        <v>1244509.3299999998</v>
      </c>
      <c r="F15" s="68">
        <v>1244509.3299999998</v>
      </c>
      <c r="G15" s="68">
        <v>1244509.3299999998</v>
      </c>
      <c r="H15" s="68">
        <v>1244509.3299999998</v>
      </c>
      <c r="I15" s="68">
        <v>1244509.3299999998</v>
      </c>
      <c r="J15" s="68">
        <v>1244509.3299999998</v>
      </c>
      <c r="K15" s="68">
        <v>1244509.3299999998</v>
      </c>
      <c r="L15" s="68">
        <v>1244509.3299999998</v>
      </c>
      <c r="M15" s="68">
        <v>1244509.3299999998</v>
      </c>
      <c r="N15" s="68">
        <v>1244509.3299999998</v>
      </c>
      <c r="O15" s="68">
        <f t="shared" si="6"/>
        <v>1244509.3299999998</v>
      </c>
      <c r="R15" s="124">
        <f t="shared" si="4"/>
        <v>99140.219254494368</v>
      </c>
      <c r="S15" s="124">
        <f t="shared" si="2"/>
        <v>236496.04529285687</v>
      </c>
      <c r="T15" s="124">
        <f t="shared" si="2"/>
        <v>99051.147394406536</v>
      </c>
      <c r="U15" s="124">
        <f t="shared" si="2"/>
        <v>1245.926382319579</v>
      </c>
      <c r="V15" s="124">
        <f t="shared" si="2"/>
        <v>232.66649513853491</v>
      </c>
      <c r="W15" s="124">
        <f t="shared" si="2"/>
        <v>808343.32518078387</v>
      </c>
      <c r="X15" s="125"/>
      <c r="Y15" s="125"/>
      <c r="Z15" s="124">
        <f t="shared" si="5"/>
        <v>99140.219254494368</v>
      </c>
      <c r="AA15" s="124">
        <f t="shared" si="3"/>
        <v>236496.04529285687</v>
      </c>
      <c r="AB15" s="124">
        <f t="shared" si="3"/>
        <v>99051.147394406536</v>
      </c>
      <c r="AC15" s="124">
        <f t="shared" si="3"/>
        <v>1245.926382319579</v>
      </c>
      <c r="AD15" s="124">
        <f t="shared" si="3"/>
        <v>232.66649513853491</v>
      </c>
      <c r="AE15" s="124">
        <f t="shared" si="3"/>
        <v>808343.32518078387</v>
      </c>
    </row>
    <row r="16" spans="1:31" x14ac:dyDescent="0.25">
      <c r="A16" t="s">
        <v>441</v>
      </c>
      <c r="B16" s="68">
        <v>399931.74</v>
      </c>
      <c r="C16" s="68">
        <v>399931.74</v>
      </c>
      <c r="D16" s="68">
        <v>399931.74</v>
      </c>
      <c r="E16" s="68">
        <v>345199.68000000005</v>
      </c>
      <c r="F16" s="68">
        <v>369049.68000000005</v>
      </c>
      <c r="G16" s="68">
        <v>369049.68000000005</v>
      </c>
      <c r="H16" s="68">
        <v>369049.68000000005</v>
      </c>
      <c r="I16" s="68">
        <v>369049.68000000005</v>
      </c>
      <c r="J16" s="68">
        <v>369049.68000000005</v>
      </c>
      <c r="K16" s="68">
        <v>369049.68000000005</v>
      </c>
      <c r="L16" s="68">
        <v>369049.68000000005</v>
      </c>
      <c r="M16" s="68">
        <v>369049.68000000005</v>
      </c>
      <c r="N16" s="68">
        <v>369049.68000000005</v>
      </c>
      <c r="O16" s="68">
        <f t="shared" si="6"/>
        <v>374341.69384615391</v>
      </c>
      <c r="R16" s="124">
        <f t="shared" si="4"/>
        <v>29820.843210557938</v>
      </c>
      <c r="S16" s="124">
        <f t="shared" si="2"/>
        <v>71136.734814872616</v>
      </c>
      <c r="T16" s="124">
        <f t="shared" si="2"/>
        <v>29794.050875478133</v>
      </c>
      <c r="U16" s="124">
        <f t="shared" si="2"/>
        <v>374.76793554060544</v>
      </c>
      <c r="V16" s="124">
        <f t="shared" si="2"/>
        <v>69.98482678422917</v>
      </c>
      <c r="W16" s="124">
        <f t="shared" si="2"/>
        <v>243145.31218292037</v>
      </c>
      <c r="X16" s="125"/>
      <c r="Y16" s="125"/>
      <c r="Z16" s="124">
        <f t="shared" si="5"/>
        <v>29399.270305993607</v>
      </c>
      <c r="AA16" s="124">
        <f t="shared" si="3"/>
        <v>70131.085185672622</v>
      </c>
      <c r="AB16" s="124">
        <f t="shared" si="3"/>
        <v>29372.856730241288</v>
      </c>
      <c r="AC16" s="124">
        <f t="shared" si="3"/>
        <v>369.46989597787785</v>
      </c>
      <c r="AD16" s="124">
        <f t="shared" si="3"/>
        <v>68.995461510600236</v>
      </c>
      <c r="AE16" s="124">
        <f t="shared" si="3"/>
        <v>239708.00242060403</v>
      </c>
    </row>
    <row r="17" spans="1:32" x14ac:dyDescent="0.25">
      <c r="A17" s="116" t="s">
        <v>459</v>
      </c>
      <c r="B17" s="117">
        <f t="shared" ref="B17:O17" si="7">SUM(B18:B19)</f>
        <v>475306.17</v>
      </c>
      <c r="C17" s="117">
        <f t="shared" si="7"/>
        <v>475306.17</v>
      </c>
      <c r="D17" s="117">
        <f t="shared" si="7"/>
        <v>475306.17</v>
      </c>
      <c r="E17" s="117">
        <f t="shared" si="7"/>
        <v>475306.17</v>
      </c>
      <c r="F17" s="117">
        <f t="shared" si="7"/>
        <v>475306.17</v>
      </c>
      <c r="G17" s="117">
        <f t="shared" si="7"/>
        <v>475306.17</v>
      </c>
      <c r="H17" s="117">
        <f t="shared" si="7"/>
        <v>475306.17</v>
      </c>
      <c r="I17" s="117">
        <f t="shared" si="7"/>
        <v>475306.17</v>
      </c>
      <c r="J17" s="117">
        <f t="shared" si="7"/>
        <v>475306.17</v>
      </c>
      <c r="K17" s="117">
        <f t="shared" si="7"/>
        <v>475306.17</v>
      </c>
      <c r="L17" s="117">
        <f t="shared" si="7"/>
        <v>475306.17</v>
      </c>
      <c r="M17" s="117">
        <f t="shared" si="7"/>
        <v>475306.17</v>
      </c>
      <c r="N17" s="117">
        <f t="shared" si="7"/>
        <v>475306.17</v>
      </c>
      <c r="O17" s="117">
        <f t="shared" si="7"/>
        <v>475306.17</v>
      </c>
      <c r="R17" s="126">
        <f t="shared" si="4"/>
        <v>37863.884802546221</v>
      </c>
      <c r="S17" s="126">
        <f t="shared" si="2"/>
        <v>90323.171388594041</v>
      </c>
      <c r="T17" s="126">
        <f t="shared" si="2"/>
        <v>37829.866251095809</v>
      </c>
      <c r="U17" s="126">
        <f t="shared" si="2"/>
        <v>475.84737422762021</v>
      </c>
      <c r="V17" s="126">
        <f t="shared" si="2"/>
        <v>88.860579849265307</v>
      </c>
      <c r="W17" s="126">
        <f t="shared" si="2"/>
        <v>308724.53960368701</v>
      </c>
      <c r="X17" s="125"/>
      <c r="Y17" s="125"/>
      <c r="Z17" s="126">
        <f t="shared" si="5"/>
        <v>37863.884802546221</v>
      </c>
      <c r="AA17" s="126">
        <f t="shared" si="3"/>
        <v>90323.171388594041</v>
      </c>
      <c r="AB17" s="126">
        <f t="shared" si="3"/>
        <v>37829.866251095809</v>
      </c>
      <c r="AC17" s="126">
        <f t="shared" si="3"/>
        <v>475.84737422762021</v>
      </c>
      <c r="AD17" s="126">
        <f t="shared" si="3"/>
        <v>88.860579849265307</v>
      </c>
      <c r="AE17" s="126">
        <f t="shared" si="3"/>
        <v>308724.53960368701</v>
      </c>
    </row>
    <row r="18" spans="1:32" x14ac:dyDescent="0.25">
      <c r="A18" t="s">
        <v>435</v>
      </c>
      <c r="B18" s="68">
        <v>5656.13</v>
      </c>
      <c r="C18" s="68">
        <v>5656.13</v>
      </c>
      <c r="D18" s="68">
        <v>5656.13</v>
      </c>
      <c r="E18" s="68">
        <v>5656.13</v>
      </c>
      <c r="F18" s="68">
        <v>5656.13</v>
      </c>
      <c r="G18" s="68">
        <v>5656.13</v>
      </c>
      <c r="H18" s="68">
        <v>5656.13</v>
      </c>
      <c r="I18" s="68">
        <v>5656.13</v>
      </c>
      <c r="J18" s="68">
        <v>5656.13</v>
      </c>
      <c r="K18" s="68">
        <v>5656.13</v>
      </c>
      <c r="L18" s="68">
        <v>5656.13</v>
      </c>
      <c r="M18" s="68">
        <v>5656.13</v>
      </c>
      <c r="N18" s="68">
        <v>5656.13</v>
      </c>
      <c r="O18" s="68">
        <f t="shared" si="6"/>
        <v>5656.1299999999992</v>
      </c>
      <c r="R18" s="127">
        <f t="shared" si="4"/>
        <v>450.57915984601198</v>
      </c>
      <c r="S18" s="127">
        <f t="shared" si="2"/>
        <v>1074.8431887306836</v>
      </c>
      <c r="T18" s="127">
        <f t="shared" si="2"/>
        <v>450.1743400444613</v>
      </c>
      <c r="U18" s="127">
        <f t="shared" si="2"/>
        <v>5.66257031502467</v>
      </c>
      <c r="V18" s="127">
        <f t="shared" si="2"/>
        <v>1.0574383907173452</v>
      </c>
      <c r="W18" s="127">
        <f t="shared" si="2"/>
        <v>3673.8133026731002</v>
      </c>
      <c r="X18" s="128"/>
      <c r="Y18" s="128"/>
      <c r="Z18" s="127">
        <f t="shared" si="5"/>
        <v>450.57915984601203</v>
      </c>
      <c r="AA18" s="127">
        <f t="shared" si="3"/>
        <v>1074.8431887306838</v>
      </c>
      <c r="AB18" s="127">
        <f t="shared" si="3"/>
        <v>450.17434004446136</v>
      </c>
      <c r="AC18" s="127">
        <f t="shared" si="3"/>
        <v>5.6625703150246709</v>
      </c>
      <c r="AD18" s="127">
        <f t="shared" si="3"/>
        <v>1.0574383907173455</v>
      </c>
      <c r="AE18" s="127">
        <f t="shared" si="3"/>
        <v>3673.8133026731007</v>
      </c>
      <c r="AF18" s="89"/>
    </row>
    <row r="19" spans="1:32" x14ac:dyDescent="0.25">
      <c r="A19" t="s">
        <v>441</v>
      </c>
      <c r="B19" s="68">
        <v>469650.04</v>
      </c>
      <c r="C19" s="68">
        <v>469650.04</v>
      </c>
      <c r="D19" s="68">
        <v>469650.04</v>
      </c>
      <c r="E19" s="68">
        <v>469650.04</v>
      </c>
      <c r="F19" s="68">
        <v>469650.04</v>
      </c>
      <c r="G19" s="68">
        <v>469650.04</v>
      </c>
      <c r="H19" s="68">
        <v>469650.04</v>
      </c>
      <c r="I19" s="68">
        <v>469650.04</v>
      </c>
      <c r="J19" s="68">
        <v>469650.04</v>
      </c>
      <c r="K19" s="68">
        <v>469650.04</v>
      </c>
      <c r="L19" s="68">
        <v>469650.04</v>
      </c>
      <c r="M19" s="68">
        <v>469650.04</v>
      </c>
      <c r="N19" s="68">
        <v>469650.04</v>
      </c>
      <c r="O19" s="68">
        <f t="shared" si="6"/>
        <v>469650.04</v>
      </c>
      <c r="R19" s="124">
        <f t="shared" si="4"/>
        <v>37413.305642700208</v>
      </c>
      <c r="S19" s="124">
        <f t="shared" si="4"/>
        <v>89248.328199863361</v>
      </c>
      <c r="T19" s="124">
        <f t="shared" si="4"/>
        <v>37379.691911051348</v>
      </c>
      <c r="U19" s="124">
        <f t="shared" si="4"/>
        <v>470.18480391259556</v>
      </c>
      <c r="V19" s="124">
        <f t="shared" si="4"/>
        <v>87.803141458547955</v>
      </c>
      <c r="W19" s="124">
        <f t="shared" si="4"/>
        <v>305050.7263010139</v>
      </c>
      <c r="X19" s="125"/>
      <c r="Y19" s="125"/>
      <c r="Z19" s="124">
        <f t="shared" si="5"/>
        <v>37413.305642700208</v>
      </c>
      <c r="AA19" s="124">
        <f t="shared" si="5"/>
        <v>89248.328199863361</v>
      </c>
      <c r="AB19" s="124">
        <f t="shared" si="5"/>
        <v>37379.691911051348</v>
      </c>
      <c r="AC19" s="124">
        <f t="shared" si="5"/>
        <v>470.18480391259556</v>
      </c>
      <c r="AD19" s="124">
        <f t="shared" si="5"/>
        <v>87.803141458547955</v>
      </c>
      <c r="AE19" s="124">
        <f t="shared" si="5"/>
        <v>305050.7263010139</v>
      </c>
    </row>
    <row r="20" spans="1:32" ht="15.75" thickBot="1" x14ac:dyDescent="0.3">
      <c r="A20" s="116" t="s">
        <v>443</v>
      </c>
      <c r="B20" s="117">
        <f t="shared" ref="B20:O20" si="8">B17+B6</f>
        <v>14865082.410000002</v>
      </c>
      <c r="C20" s="117">
        <f t="shared" si="8"/>
        <v>14875178.330000004</v>
      </c>
      <c r="D20" s="117">
        <f t="shared" si="8"/>
        <v>14692392.800000004</v>
      </c>
      <c r="E20" s="117">
        <f t="shared" si="8"/>
        <v>14807216.480000002</v>
      </c>
      <c r="F20" s="117">
        <f t="shared" si="8"/>
        <v>14877753.920000002</v>
      </c>
      <c r="G20" s="117">
        <f t="shared" si="8"/>
        <v>14964299.300000001</v>
      </c>
      <c r="H20" s="117">
        <f t="shared" si="8"/>
        <v>15074400.500000002</v>
      </c>
      <c r="I20" s="117">
        <f t="shared" si="8"/>
        <v>15201545.010000002</v>
      </c>
      <c r="J20" s="117">
        <f t="shared" si="8"/>
        <v>15410185.030000001</v>
      </c>
      <c r="K20" s="117">
        <f t="shared" si="8"/>
        <v>15508921.610000003</v>
      </c>
      <c r="L20" s="117">
        <f t="shared" si="8"/>
        <v>15801957.840000004</v>
      </c>
      <c r="M20" s="117">
        <f t="shared" si="8"/>
        <v>15798478.770000003</v>
      </c>
      <c r="N20" s="117">
        <f t="shared" si="8"/>
        <v>15867713.460000001</v>
      </c>
      <c r="O20" s="117">
        <f t="shared" si="8"/>
        <v>15211163.496923078</v>
      </c>
      <c r="R20" s="129">
        <f t="shared" si="4"/>
        <v>1211753.1366365212</v>
      </c>
      <c r="S20" s="129">
        <f t="shared" si="4"/>
        <v>2890601.0783586265</v>
      </c>
      <c r="T20" s="129">
        <f t="shared" si="4"/>
        <v>1210664.4452188595</v>
      </c>
      <c r="U20" s="129">
        <f t="shared" si="4"/>
        <v>15228.483587658608</v>
      </c>
      <c r="V20" s="129">
        <f t="shared" si="4"/>
        <v>2843.7939455289688</v>
      </c>
      <c r="W20" s="129">
        <f t="shared" si="4"/>
        <v>9880072.5591758825</v>
      </c>
      <c r="X20" s="125"/>
      <c r="Y20" s="125"/>
      <c r="Z20" s="129">
        <f t="shared" si="5"/>
        <v>1264055.281523596</v>
      </c>
      <c r="AA20" s="129">
        <f t="shared" si="5"/>
        <v>3015366.2898856974</v>
      </c>
      <c r="AB20" s="129">
        <f t="shared" si="5"/>
        <v>1262919.5995972718</v>
      </c>
      <c r="AC20" s="129">
        <f t="shared" si="5"/>
        <v>15885.781127009706</v>
      </c>
      <c r="AD20" s="129">
        <f t="shared" si="5"/>
        <v>2966.5388499745163</v>
      </c>
      <c r="AE20" s="129">
        <f t="shared" si="5"/>
        <v>10306519.969016451</v>
      </c>
    </row>
    <row r="21" spans="1:32" ht="15.75" thickTop="1" x14ac:dyDescent="0.25"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</row>
    <row r="22" spans="1:32" ht="15.75" x14ac:dyDescent="0.25">
      <c r="A22" s="112" t="s">
        <v>74</v>
      </c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</row>
    <row r="23" spans="1:32" x14ac:dyDescent="0.25">
      <c r="A23" s="116" t="s">
        <v>454</v>
      </c>
      <c r="B23" s="117">
        <f>SUM(B24:B33)</f>
        <v>4264123.080000001</v>
      </c>
      <c r="C23" s="117">
        <f t="shared" ref="C23:O23" si="9">SUM(C24:C33)</f>
        <v>4442648.1999999983</v>
      </c>
      <c r="D23" s="117">
        <f t="shared" si="9"/>
        <v>4383745.53</v>
      </c>
      <c r="E23" s="117">
        <f t="shared" si="9"/>
        <v>4472407.8600000013</v>
      </c>
      <c r="F23" s="117">
        <f t="shared" si="9"/>
        <v>4598536.57</v>
      </c>
      <c r="G23" s="117">
        <f t="shared" si="9"/>
        <v>4768382.1899999995</v>
      </c>
      <c r="H23" s="117">
        <f t="shared" si="9"/>
        <v>4924031.08</v>
      </c>
      <c r="I23" s="117">
        <f t="shared" si="9"/>
        <v>5111202.5599999996</v>
      </c>
      <c r="J23" s="117">
        <f t="shared" si="9"/>
        <v>5298179.1899999995</v>
      </c>
      <c r="K23" s="117">
        <f t="shared" si="9"/>
        <v>5363657.2799999993</v>
      </c>
      <c r="L23" s="117">
        <f t="shared" si="9"/>
        <v>5553518.8499999996</v>
      </c>
      <c r="M23" s="117">
        <f t="shared" si="9"/>
        <v>5679412.879999999</v>
      </c>
      <c r="N23" s="117">
        <f t="shared" si="9"/>
        <v>5841590.54</v>
      </c>
      <c r="O23" s="117">
        <f t="shared" si="9"/>
        <v>4977033.5238461532</v>
      </c>
      <c r="R23" s="122">
        <f t="shared" ref="R23:W37" si="10">$O23*R$3</f>
        <v>396480.91251439345</v>
      </c>
      <c r="S23" s="122">
        <f t="shared" si="10"/>
        <v>945793.42822571448</v>
      </c>
      <c r="T23" s="122">
        <f t="shared" si="10"/>
        <v>396124.69691761007</v>
      </c>
      <c r="U23" s="122">
        <f t="shared" si="10"/>
        <v>4982.7005901586172</v>
      </c>
      <c r="V23" s="122">
        <f t="shared" si="10"/>
        <v>930.47831644643156</v>
      </c>
      <c r="W23" s="122">
        <f t="shared" si="10"/>
        <v>3232721.3072818299</v>
      </c>
      <c r="X23" s="125"/>
      <c r="Y23" s="125"/>
      <c r="Z23" s="122">
        <f t="shared" ref="Z23:AE37" si="11">$N23*Z$3</f>
        <v>465353.33482038276</v>
      </c>
      <c r="AA23" s="122">
        <f t="shared" si="11"/>
        <v>1110086.5438511132</v>
      </c>
      <c r="AB23" s="122">
        <f t="shared" si="11"/>
        <v>464935.24126115709</v>
      </c>
      <c r="AC23" s="122">
        <f t="shared" si="11"/>
        <v>5848.2420284422278</v>
      </c>
      <c r="AD23" s="122">
        <f t="shared" si="11"/>
        <v>1092.111054704766</v>
      </c>
      <c r="AE23" s="122">
        <f t="shared" si="11"/>
        <v>3794275.0669841999</v>
      </c>
    </row>
    <row r="24" spans="1:32" x14ac:dyDescent="0.25">
      <c r="A24" t="s">
        <v>455</v>
      </c>
      <c r="B24" s="68">
        <v>5966.29</v>
      </c>
      <c r="C24" s="68">
        <v>5966.29</v>
      </c>
      <c r="D24" s="68">
        <v>5966.29</v>
      </c>
      <c r="E24" s="68">
        <v>5966.29</v>
      </c>
      <c r="F24" s="68">
        <v>5966.29</v>
      </c>
      <c r="G24" s="68">
        <v>5966.29</v>
      </c>
      <c r="H24" s="68">
        <v>5966.29</v>
      </c>
      <c r="I24" s="68">
        <v>5966.29</v>
      </c>
      <c r="J24" s="68">
        <v>5966.29</v>
      </c>
      <c r="K24" s="68">
        <v>5966.29</v>
      </c>
      <c r="L24" s="68">
        <v>5966.29</v>
      </c>
      <c r="M24" s="68">
        <v>5966.29</v>
      </c>
      <c r="N24" s="68">
        <v>5966.29</v>
      </c>
      <c r="O24" s="68">
        <f>SUM(B24:N24)/13</f>
        <v>5966.2899999999991</v>
      </c>
      <c r="R24" s="124">
        <f t="shared" si="10"/>
        <v>475.28715492707249</v>
      </c>
      <c r="S24" s="124">
        <f t="shared" si="10"/>
        <v>1133.7833763530878</v>
      </c>
      <c r="T24" s="124">
        <f t="shared" si="10"/>
        <v>474.86013639429592</v>
      </c>
      <c r="U24" s="124">
        <f t="shared" si="10"/>
        <v>5.9730834766578091</v>
      </c>
      <c r="V24" s="124">
        <f t="shared" si="10"/>
        <v>1.1154241674347989</v>
      </c>
      <c r="W24" s="124">
        <f t="shared" si="10"/>
        <v>3875.27082468145</v>
      </c>
      <c r="X24" s="125"/>
      <c r="Y24" s="125"/>
      <c r="Z24" s="124">
        <f t="shared" si="11"/>
        <v>475.28715492707261</v>
      </c>
      <c r="AA24" s="124">
        <f t="shared" si="11"/>
        <v>1133.7833763530878</v>
      </c>
      <c r="AB24" s="124">
        <f t="shared" si="11"/>
        <v>474.86013639429598</v>
      </c>
      <c r="AC24" s="124">
        <f t="shared" si="11"/>
        <v>5.97308347665781</v>
      </c>
      <c r="AD24" s="124">
        <f t="shared" si="11"/>
        <v>1.1154241674347991</v>
      </c>
      <c r="AE24" s="124">
        <f t="shared" si="11"/>
        <v>3875.2708246814504</v>
      </c>
    </row>
    <row r="25" spans="1:32" x14ac:dyDescent="0.25">
      <c r="A25" t="s">
        <v>434</v>
      </c>
      <c r="B25" s="68">
        <v>1084808.5500000003</v>
      </c>
      <c r="C25" s="68">
        <v>1107567.3599999996</v>
      </c>
      <c r="D25" s="68">
        <v>979732.93000000017</v>
      </c>
      <c r="E25" s="68">
        <v>1001902.41</v>
      </c>
      <c r="F25" s="68">
        <v>1024071.9100000004</v>
      </c>
      <c r="G25" s="68">
        <v>1046241.3600000002</v>
      </c>
      <c r="H25" s="68">
        <v>1068410.8700000001</v>
      </c>
      <c r="I25" s="68">
        <v>1090580.3500000001</v>
      </c>
      <c r="J25" s="68">
        <v>1112196.21</v>
      </c>
      <c r="K25" s="68">
        <v>1133812.0700000003</v>
      </c>
      <c r="L25" s="68">
        <v>1155427.9300000006</v>
      </c>
      <c r="M25" s="68">
        <v>1177043.7699999998</v>
      </c>
      <c r="N25" s="68">
        <v>1198659.6400000004</v>
      </c>
      <c r="O25" s="68">
        <f t="shared" ref="O25:O36" si="12">SUM(B25:N25)/13</f>
        <v>1090804.2584615387</v>
      </c>
      <c r="R25" s="124">
        <f t="shared" si="10"/>
        <v>86895.75139433716</v>
      </c>
      <c r="S25" s="124">
        <f t="shared" si="10"/>
        <v>207287.2312775359</v>
      </c>
      <c r="T25" s="124">
        <f t="shared" si="10"/>
        <v>86817.680493661072</v>
      </c>
      <c r="U25" s="124">
        <f t="shared" si="10"/>
        <v>1092.0462955177493</v>
      </c>
      <c r="V25" s="124">
        <f t="shared" si="10"/>
        <v>203.9306557054376</v>
      </c>
      <c r="W25" s="124">
        <f t="shared" si="10"/>
        <v>708507.61834478134</v>
      </c>
      <c r="X25" s="125"/>
      <c r="Y25" s="125"/>
      <c r="Z25" s="124">
        <f t="shared" si="11"/>
        <v>95487.73693895356</v>
      </c>
      <c r="AA25" s="124">
        <f t="shared" si="11"/>
        <v>227783.15732848676</v>
      </c>
      <c r="AB25" s="124">
        <f t="shared" si="11"/>
        <v>95401.946626921897</v>
      </c>
      <c r="AC25" s="124">
        <f t="shared" si="11"/>
        <v>1200.0244858732315</v>
      </c>
      <c r="AD25" s="124">
        <f t="shared" si="11"/>
        <v>224.09469385241022</v>
      </c>
      <c r="AE25" s="124">
        <f t="shared" si="11"/>
        <v>778562.67992591241</v>
      </c>
    </row>
    <row r="26" spans="1:32" x14ac:dyDescent="0.25">
      <c r="A26" t="s">
        <v>456</v>
      </c>
      <c r="B26" s="68">
        <v>109178.11</v>
      </c>
      <c r="C26" s="68">
        <v>112727.13</v>
      </c>
      <c r="D26" s="68">
        <v>116276.15</v>
      </c>
      <c r="E26" s="68">
        <v>119825.17</v>
      </c>
      <c r="F26" s="68">
        <v>123374.19</v>
      </c>
      <c r="G26" s="68">
        <v>126923.21</v>
      </c>
      <c r="H26" s="68">
        <v>130472.23</v>
      </c>
      <c r="I26" s="68">
        <v>134021.25</v>
      </c>
      <c r="J26" s="68">
        <v>137570.26999999999</v>
      </c>
      <c r="K26" s="68">
        <v>141119.29</v>
      </c>
      <c r="L26" s="68">
        <v>144668.31</v>
      </c>
      <c r="M26" s="68">
        <v>148217.32999999999</v>
      </c>
      <c r="N26" s="68">
        <v>151766.35</v>
      </c>
      <c r="O26" s="68">
        <f t="shared" si="12"/>
        <v>130472.23000000001</v>
      </c>
      <c r="R26" s="124">
        <f t="shared" si="10"/>
        <v>10393.691053182238</v>
      </c>
      <c r="S26" s="124">
        <f t="shared" si="10"/>
        <v>24793.840971477526</v>
      </c>
      <c r="T26" s="124">
        <f t="shared" si="10"/>
        <v>10384.352911686819</v>
      </c>
      <c r="U26" s="124">
        <f t="shared" si="10"/>
        <v>130.62079134197256</v>
      </c>
      <c r="V26" s="124">
        <f t="shared" si="10"/>
        <v>24.392357481971484</v>
      </c>
      <c r="W26" s="124">
        <f t="shared" si="10"/>
        <v>84745.331914829469</v>
      </c>
      <c r="X26" s="125"/>
      <c r="Y26" s="125"/>
      <c r="Z26" s="124">
        <f t="shared" si="11"/>
        <v>12090.025242682861</v>
      </c>
      <c r="AA26" s="124">
        <f t="shared" si="11"/>
        <v>28840.395743382313</v>
      </c>
      <c r="AB26" s="124">
        <f t="shared" si="11"/>
        <v>12079.163041197204</v>
      </c>
      <c r="AC26" s="124">
        <f t="shared" si="11"/>
        <v>151.93915775090821</v>
      </c>
      <c r="AD26" s="124">
        <f t="shared" si="11"/>
        <v>28.373386911023154</v>
      </c>
      <c r="AE26" s="124">
        <f t="shared" si="11"/>
        <v>98576.453428075692</v>
      </c>
    </row>
    <row r="27" spans="1:32" x14ac:dyDescent="0.25">
      <c r="A27" t="s">
        <v>435</v>
      </c>
      <c r="B27" s="68">
        <v>363991.47</v>
      </c>
      <c r="C27" s="68">
        <v>374382.50000000012</v>
      </c>
      <c r="D27" s="68">
        <v>384773.50000000006</v>
      </c>
      <c r="E27" s="68">
        <v>360909.99</v>
      </c>
      <c r="F27" s="68">
        <v>371615.07000000007</v>
      </c>
      <c r="G27" s="68">
        <v>369981.44000000006</v>
      </c>
      <c r="H27" s="68">
        <v>367032.34000000008</v>
      </c>
      <c r="I27" s="68">
        <v>377519.84999999992</v>
      </c>
      <c r="J27" s="68">
        <v>388007.35000000003</v>
      </c>
      <c r="K27" s="68">
        <v>398494.87</v>
      </c>
      <c r="L27" s="68">
        <v>408982.38</v>
      </c>
      <c r="M27" s="68">
        <v>419469.89999999997</v>
      </c>
      <c r="N27" s="68">
        <v>429957.38000000006</v>
      </c>
      <c r="O27" s="68">
        <f t="shared" si="12"/>
        <v>385778.31076923083</v>
      </c>
      <c r="R27" s="124">
        <f t="shared" si="10"/>
        <v>30731.908063148083</v>
      </c>
      <c r="S27" s="124">
        <f t="shared" si="10"/>
        <v>73310.05293201124</v>
      </c>
      <c r="T27" s="124">
        <f t="shared" si="10"/>
        <v>30704.297188007629</v>
      </c>
      <c r="U27" s="124">
        <f t="shared" si="10"/>
        <v>386.21757469191988</v>
      </c>
      <c r="V27" s="124">
        <f t="shared" si="10"/>
        <v>72.122952639608954</v>
      </c>
      <c r="W27" s="124">
        <f t="shared" si="10"/>
        <v>250573.71205873232</v>
      </c>
      <c r="X27" s="125"/>
      <c r="Y27" s="125"/>
      <c r="Z27" s="124">
        <f t="shared" si="11"/>
        <v>34251.305229899692</v>
      </c>
      <c r="AA27" s="124">
        <f t="shared" si="11"/>
        <v>81705.470230968946</v>
      </c>
      <c r="AB27" s="124">
        <f t="shared" si="11"/>
        <v>34220.53237615573</v>
      </c>
      <c r="AC27" s="124">
        <f t="shared" si="11"/>
        <v>430.44694812774497</v>
      </c>
      <c r="AD27" s="124">
        <f t="shared" si="11"/>
        <v>80.382424022122223</v>
      </c>
      <c r="AE27" s="124">
        <f t="shared" si="11"/>
        <v>279269.24279082578</v>
      </c>
    </row>
    <row r="28" spans="1:32" x14ac:dyDescent="0.25">
      <c r="A28" t="s">
        <v>457</v>
      </c>
      <c r="B28" s="68">
        <v>1198726.8099999998</v>
      </c>
      <c r="C28" s="68">
        <v>1264562.9299999985</v>
      </c>
      <c r="D28" s="68">
        <v>1303031.1599999999</v>
      </c>
      <c r="E28" s="68">
        <v>1348422.4000000008</v>
      </c>
      <c r="F28" s="68">
        <v>1383397.1599999997</v>
      </c>
      <c r="G28" s="68">
        <v>1448396.9300000002</v>
      </c>
      <c r="H28" s="68">
        <v>1502735.3899999994</v>
      </c>
      <c r="I28" s="68">
        <v>1567480.9099999995</v>
      </c>
      <c r="J28" s="68">
        <v>1629974.97</v>
      </c>
      <c r="K28" s="68">
        <v>1694129.8699999996</v>
      </c>
      <c r="L28" s="68">
        <v>1759259.6599999995</v>
      </c>
      <c r="M28" s="68">
        <v>1819652.1299999997</v>
      </c>
      <c r="N28" s="68">
        <v>1884816.2699999996</v>
      </c>
      <c r="O28" s="68">
        <f t="shared" si="12"/>
        <v>1523429.7376923074</v>
      </c>
      <c r="R28" s="124">
        <f t="shared" si="10"/>
        <v>121359.60299601147</v>
      </c>
      <c r="S28" s="124">
        <f t="shared" si="10"/>
        <v>289499.72455872636</v>
      </c>
      <c r="T28" s="124">
        <f t="shared" si="10"/>
        <v>121250.5682807399</v>
      </c>
      <c r="U28" s="124">
        <f t="shared" si="10"/>
        <v>1525.16438088981</v>
      </c>
      <c r="V28" s="124">
        <f t="shared" si="10"/>
        <v>284.81189261850437</v>
      </c>
      <c r="W28" s="124">
        <f t="shared" si="10"/>
        <v>989509.86558332131</v>
      </c>
      <c r="X28" s="125"/>
      <c r="Y28" s="125"/>
      <c r="Z28" s="124">
        <f t="shared" si="11"/>
        <v>150148.4109100558</v>
      </c>
      <c r="AA28" s="124">
        <f t="shared" si="11"/>
        <v>358174.5698592983</v>
      </c>
      <c r="AB28" s="124">
        <f t="shared" si="11"/>
        <v>150013.51108484299</v>
      </c>
      <c r="AC28" s="124">
        <f t="shared" si="11"/>
        <v>1886.9624035829306</v>
      </c>
      <c r="AD28" s="124">
        <f t="shared" si="11"/>
        <v>352.37469494984538</v>
      </c>
      <c r="AE28" s="124">
        <f t="shared" si="11"/>
        <v>1224240.4410472696</v>
      </c>
    </row>
    <row r="29" spans="1:32" x14ac:dyDescent="0.25">
      <c r="A29" t="s">
        <v>436</v>
      </c>
      <c r="B29" s="68">
        <v>311762.18999999994</v>
      </c>
      <c r="C29" s="68">
        <v>318574.70000000007</v>
      </c>
      <c r="D29" s="68">
        <v>265162.27999999997</v>
      </c>
      <c r="E29" s="68">
        <v>264661.89</v>
      </c>
      <c r="F29" s="68">
        <v>251436.98000000004</v>
      </c>
      <c r="G29" s="68">
        <v>256906.24999999997</v>
      </c>
      <c r="H29" s="68">
        <v>258429.03</v>
      </c>
      <c r="I29" s="68">
        <v>265334.85000000003</v>
      </c>
      <c r="J29" s="68">
        <v>272596.31</v>
      </c>
      <c r="K29" s="68">
        <v>206448.59999999995</v>
      </c>
      <c r="L29" s="68">
        <v>217038.00999999998</v>
      </c>
      <c r="M29" s="68">
        <v>218492.61</v>
      </c>
      <c r="N29" s="68">
        <v>231490.42000000004</v>
      </c>
      <c r="O29" s="68">
        <f t="shared" si="12"/>
        <v>256794.93230769227</v>
      </c>
      <c r="R29" s="124">
        <f t="shared" si="10"/>
        <v>20456.822041203704</v>
      </c>
      <c r="S29" s="124">
        <f t="shared" si="10"/>
        <v>48799.140736065121</v>
      </c>
      <c r="T29" s="124">
        <f t="shared" si="10"/>
        <v>20438.442747669782</v>
      </c>
      <c r="U29" s="124">
        <f t="shared" si="10"/>
        <v>257.08733015936832</v>
      </c>
      <c r="V29" s="124">
        <f t="shared" si="10"/>
        <v>48.008942503764189</v>
      </c>
      <c r="W29" s="124">
        <f t="shared" si="10"/>
        <v>166795.43051009052</v>
      </c>
      <c r="X29" s="125"/>
      <c r="Y29" s="125"/>
      <c r="Z29" s="124">
        <f t="shared" si="11"/>
        <v>18441.011602632982</v>
      </c>
      <c r="AA29" s="124">
        <f t="shared" si="11"/>
        <v>43990.484870999302</v>
      </c>
      <c r="AB29" s="124">
        <f t="shared" si="11"/>
        <v>18424.443400366537</v>
      </c>
      <c r="AC29" s="124">
        <f t="shared" si="11"/>
        <v>231.75400503605707</v>
      </c>
      <c r="AD29" s="124">
        <f t="shared" si="11"/>
        <v>43.278152586889341</v>
      </c>
      <c r="AE29" s="124">
        <f t="shared" si="11"/>
        <v>150359.44796837826</v>
      </c>
    </row>
    <row r="30" spans="1:32" x14ac:dyDescent="0.25">
      <c r="A30" t="s">
        <v>437</v>
      </c>
      <c r="B30" s="68">
        <v>62150.06</v>
      </c>
      <c r="C30" s="68">
        <v>63746.04</v>
      </c>
      <c r="D30" s="68">
        <v>65342.02</v>
      </c>
      <c r="E30" s="68">
        <v>66938</v>
      </c>
      <c r="F30" s="68">
        <v>68533.98</v>
      </c>
      <c r="G30" s="68">
        <v>70129.960000000006</v>
      </c>
      <c r="H30" s="68">
        <v>71725.94</v>
      </c>
      <c r="I30" s="68">
        <v>73321.919999999998</v>
      </c>
      <c r="J30" s="68">
        <v>74917.899999999994</v>
      </c>
      <c r="K30" s="68">
        <v>76513.88</v>
      </c>
      <c r="L30" s="68">
        <v>78109.86</v>
      </c>
      <c r="M30" s="68">
        <v>79705.84</v>
      </c>
      <c r="N30" s="68">
        <v>81301.820000000007</v>
      </c>
      <c r="O30" s="68">
        <f t="shared" si="12"/>
        <v>71725.94</v>
      </c>
      <c r="R30" s="124">
        <f t="shared" si="10"/>
        <v>5713.8385759106432</v>
      </c>
      <c r="S30" s="124">
        <f t="shared" si="10"/>
        <v>13630.192033122594</v>
      </c>
      <c r="T30" s="124">
        <f t="shared" si="10"/>
        <v>5708.7050162511523</v>
      </c>
      <c r="U30" s="124">
        <f t="shared" si="10"/>
        <v>71.807610267310096</v>
      </c>
      <c r="V30" s="124">
        <f t="shared" si="10"/>
        <v>13.409480080247249</v>
      </c>
      <c r="W30" s="124">
        <f t="shared" si="10"/>
        <v>46587.98728436805</v>
      </c>
      <c r="X30" s="125"/>
      <c r="Y30" s="125"/>
      <c r="Z30" s="124">
        <f t="shared" si="11"/>
        <v>6476.6732287892428</v>
      </c>
      <c r="AA30" s="124">
        <f t="shared" si="11"/>
        <v>15449.911416181751</v>
      </c>
      <c r="AB30" s="124">
        <f t="shared" si="11"/>
        <v>6470.8543054904312</v>
      </c>
      <c r="AC30" s="124">
        <f t="shared" si="11"/>
        <v>81.394393779753841</v>
      </c>
      <c r="AD30" s="124">
        <f t="shared" si="11"/>
        <v>15.199732980534622</v>
      </c>
      <c r="AE30" s="124">
        <f t="shared" si="11"/>
        <v>52807.786922778294</v>
      </c>
    </row>
    <row r="31" spans="1:32" x14ac:dyDescent="0.25">
      <c r="A31" t="s">
        <v>438</v>
      </c>
      <c r="B31" s="68">
        <v>467973.24999999994</v>
      </c>
      <c r="C31" s="68">
        <v>515339.49999999994</v>
      </c>
      <c r="D31" s="68">
        <v>563464.06999999995</v>
      </c>
      <c r="E31" s="68">
        <v>612287.91000000027</v>
      </c>
      <c r="F31" s="68">
        <v>659222.98</v>
      </c>
      <c r="G31" s="68">
        <v>713294.13</v>
      </c>
      <c r="H31" s="68">
        <v>769091.71999999986</v>
      </c>
      <c r="I31" s="68">
        <v>827185.26000000024</v>
      </c>
      <c r="J31" s="68">
        <v>887533.42</v>
      </c>
      <c r="K31" s="68">
        <v>898131.30999999982</v>
      </c>
      <c r="L31" s="68">
        <v>955400.69999999972</v>
      </c>
      <c r="M31" s="68">
        <v>962574.65000000014</v>
      </c>
      <c r="N31" s="68">
        <v>989717.41</v>
      </c>
      <c r="O31" s="68">
        <f t="shared" si="12"/>
        <v>755478.17769230774</v>
      </c>
      <c r="R31" s="124">
        <f t="shared" si="10"/>
        <v>60182.973620938028</v>
      </c>
      <c r="S31" s="124">
        <f t="shared" si="10"/>
        <v>143564.69415081444</v>
      </c>
      <c r="T31" s="124">
        <f t="shared" si="10"/>
        <v>60128.902634951271</v>
      </c>
      <c r="U31" s="124">
        <f t="shared" si="10"/>
        <v>756.33839792391529</v>
      </c>
      <c r="V31" s="124">
        <f t="shared" si="10"/>
        <v>141.23996945632908</v>
      </c>
      <c r="W31" s="124">
        <f t="shared" si="10"/>
        <v>490704.02891822369</v>
      </c>
      <c r="X31" s="125"/>
      <c r="Y31" s="125"/>
      <c r="Z31" s="124">
        <f t="shared" si="11"/>
        <v>78842.961368068107</v>
      </c>
      <c r="AA31" s="124">
        <f t="shared" si="11"/>
        <v>188077.54010368811</v>
      </c>
      <c r="AB31" s="124">
        <f t="shared" si="11"/>
        <v>78772.125442177523</v>
      </c>
      <c r="AC31" s="124">
        <f t="shared" si="11"/>
        <v>990.84434518462297</v>
      </c>
      <c r="AD31" s="124">
        <f t="shared" si="11"/>
        <v>185.03202459903488</v>
      </c>
      <c r="AE31" s="124">
        <f t="shared" si="11"/>
        <v>642848.9067162826</v>
      </c>
    </row>
    <row r="32" spans="1:32" x14ac:dyDescent="0.25">
      <c r="A32" t="s">
        <v>458</v>
      </c>
      <c r="B32" s="68">
        <v>475428.39</v>
      </c>
      <c r="C32" s="68">
        <v>490496.15999999986</v>
      </c>
      <c r="D32" s="68">
        <v>505563.94</v>
      </c>
      <c r="E32" s="68">
        <v>520631.73000000004</v>
      </c>
      <c r="F32" s="68">
        <v>535699.52999999991</v>
      </c>
      <c r="G32" s="68">
        <v>550767.30999999982</v>
      </c>
      <c r="H32" s="68">
        <v>565835.12000000011</v>
      </c>
      <c r="I32" s="68">
        <v>580902.89</v>
      </c>
      <c r="J32" s="68">
        <v>595970.66</v>
      </c>
      <c r="K32" s="68">
        <v>611038.43000000005</v>
      </c>
      <c r="L32" s="68">
        <v>626106.22000000009</v>
      </c>
      <c r="M32" s="68">
        <v>641174.01</v>
      </c>
      <c r="N32" s="68">
        <v>656241.77999999991</v>
      </c>
      <c r="O32" s="68">
        <f t="shared" si="12"/>
        <v>565835.09</v>
      </c>
      <c r="R32" s="124">
        <f t="shared" si="10"/>
        <v>45075.608139061973</v>
      </c>
      <c r="S32" s="124">
        <f t="shared" si="10"/>
        <v>107526.52298149324</v>
      </c>
      <c r="T32" s="124">
        <f t="shared" si="10"/>
        <v>45035.110263510272</v>
      </c>
      <c r="U32" s="124">
        <f t="shared" si="10"/>
        <v>566.47937438377699</v>
      </c>
      <c r="V32" s="124">
        <f t="shared" si="10"/>
        <v>105.78535977444017</v>
      </c>
      <c r="W32" s="124">
        <f t="shared" si="10"/>
        <v>367525.58388177626</v>
      </c>
      <c r="X32" s="125"/>
      <c r="Y32" s="125"/>
      <c r="Z32" s="124">
        <f t="shared" si="11"/>
        <v>52277.594377825728</v>
      </c>
      <c r="AA32" s="124">
        <f t="shared" si="11"/>
        <v>124706.64701721843</v>
      </c>
      <c r="AB32" s="124">
        <f t="shared" si="11"/>
        <v>52230.625926402427</v>
      </c>
      <c r="AC32" s="124">
        <f t="shared" si="11"/>
        <v>656.98900536355245</v>
      </c>
      <c r="AD32" s="124">
        <f t="shared" si="11"/>
        <v>122.68728826329772</v>
      </c>
      <c r="AE32" s="124">
        <f t="shared" si="11"/>
        <v>426247.23638492642</v>
      </c>
    </row>
    <row r="33" spans="1:31" x14ac:dyDescent="0.25">
      <c r="A33" t="s">
        <v>441</v>
      </c>
      <c r="B33" s="68">
        <v>184137.96000000002</v>
      </c>
      <c r="C33" s="68">
        <v>189285.59</v>
      </c>
      <c r="D33" s="68">
        <v>194433.19</v>
      </c>
      <c r="E33" s="68">
        <v>170862.07</v>
      </c>
      <c r="F33" s="68">
        <v>175218.48</v>
      </c>
      <c r="G33" s="68">
        <v>179775.31</v>
      </c>
      <c r="H33" s="68">
        <v>184332.15</v>
      </c>
      <c r="I33" s="68">
        <v>188888.98999999996</v>
      </c>
      <c r="J33" s="68">
        <v>193445.81000000003</v>
      </c>
      <c r="K33" s="68">
        <v>198002.67</v>
      </c>
      <c r="L33" s="68">
        <v>202559.49</v>
      </c>
      <c r="M33" s="68">
        <v>207116.35</v>
      </c>
      <c r="N33" s="68">
        <v>211673.18000000002</v>
      </c>
      <c r="O33" s="68">
        <f t="shared" si="12"/>
        <v>190748.55692307695</v>
      </c>
      <c r="R33" s="124">
        <f t="shared" si="10"/>
        <v>15195.429475673156</v>
      </c>
      <c r="S33" s="124">
        <f t="shared" si="10"/>
        <v>36248.24520811515</v>
      </c>
      <c r="T33" s="124">
        <f t="shared" si="10"/>
        <v>15181.777244737927</v>
      </c>
      <c r="U33" s="124">
        <f t="shared" si="10"/>
        <v>190.96575150613742</v>
      </c>
      <c r="V33" s="124">
        <f t="shared" si="10"/>
        <v>35.661282018693775</v>
      </c>
      <c r="W33" s="124">
        <f t="shared" si="10"/>
        <v>123896.47796102587</v>
      </c>
      <c r="X33" s="125"/>
      <c r="Y33" s="125"/>
      <c r="Z33" s="124">
        <f t="shared" si="11"/>
        <v>16862.328766547744</v>
      </c>
      <c r="AA33" s="124">
        <f t="shared" si="11"/>
        <v>40224.583904536143</v>
      </c>
      <c r="AB33" s="124">
        <f t="shared" si="11"/>
        <v>16847.178921208048</v>
      </c>
      <c r="AC33" s="124">
        <f t="shared" si="11"/>
        <v>211.91420026676789</v>
      </c>
      <c r="AD33" s="124">
        <f t="shared" si="11"/>
        <v>39.573232372173727</v>
      </c>
      <c r="AE33" s="124">
        <f t="shared" si="11"/>
        <v>137487.60097506913</v>
      </c>
    </row>
    <row r="34" spans="1:31" x14ac:dyDescent="0.25">
      <c r="A34" s="116" t="s">
        <v>459</v>
      </c>
      <c r="B34" s="117">
        <f t="shared" ref="B34:O34" si="13">SUM(B35:B36)</f>
        <v>203388.01</v>
      </c>
      <c r="C34" s="117">
        <f t="shared" si="13"/>
        <v>209120.79</v>
      </c>
      <c r="D34" s="117">
        <f t="shared" si="13"/>
        <v>214853.54999999996</v>
      </c>
      <c r="E34" s="117">
        <f t="shared" si="13"/>
        <v>220586.33</v>
      </c>
      <c r="F34" s="117">
        <f t="shared" si="13"/>
        <v>226319.09</v>
      </c>
      <c r="G34" s="117">
        <f t="shared" si="13"/>
        <v>232051.86</v>
      </c>
      <c r="H34" s="117">
        <f t="shared" si="13"/>
        <v>237784.63</v>
      </c>
      <c r="I34" s="117">
        <f t="shared" si="13"/>
        <v>243517.39</v>
      </c>
      <c r="J34" s="117">
        <f t="shared" si="13"/>
        <v>249250.17</v>
      </c>
      <c r="K34" s="117">
        <f t="shared" si="13"/>
        <v>254982.93</v>
      </c>
      <c r="L34" s="117">
        <f t="shared" si="13"/>
        <v>260715.70999999996</v>
      </c>
      <c r="M34" s="117">
        <f t="shared" si="13"/>
        <v>266448.46000000002</v>
      </c>
      <c r="N34" s="117">
        <f t="shared" si="13"/>
        <v>272181.23</v>
      </c>
      <c r="O34" s="117">
        <f t="shared" si="13"/>
        <v>237784.62692307692</v>
      </c>
      <c r="R34" s="126">
        <f t="shared" si="10"/>
        <v>18942.421306316759</v>
      </c>
      <c r="S34" s="126">
        <f t="shared" si="10"/>
        <v>45186.582810709086</v>
      </c>
      <c r="T34" s="126">
        <f t="shared" si="10"/>
        <v>18925.402615890125</v>
      </c>
      <c r="U34" s="126">
        <f t="shared" si="10"/>
        <v>238.05537881622797</v>
      </c>
      <c r="V34" s="126">
        <f t="shared" si="10"/>
        <v>44.454882265942054</v>
      </c>
      <c r="W34" s="126">
        <f t="shared" si="10"/>
        <v>154447.70992907876</v>
      </c>
      <c r="X34" s="125"/>
      <c r="Y34" s="125"/>
      <c r="Z34" s="126">
        <f t="shared" si="11"/>
        <v>21682.526734578973</v>
      </c>
      <c r="AA34" s="126">
        <f t="shared" si="11"/>
        <v>51723.022838202021</v>
      </c>
      <c r="AB34" s="126">
        <f t="shared" si="11"/>
        <v>21663.046214945509</v>
      </c>
      <c r="AC34" s="126">
        <f t="shared" si="11"/>
        <v>272.49114735780512</v>
      </c>
      <c r="AD34" s="126">
        <f t="shared" si="11"/>
        <v>50.885478557718372</v>
      </c>
      <c r="AE34" s="126">
        <f t="shared" si="11"/>
        <v>176789.25758635794</v>
      </c>
    </row>
    <row r="35" spans="1:31" x14ac:dyDescent="0.25">
      <c r="A35" t="s">
        <v>435</v>
      </c>
      <c r="B35" s="68">
        <v>5057.0599999999995</v>
      </c>
      <c r="C35" s="68">
        <v>5106.5400000000009</v>
      </c>
      <c r="D35" s="68">
        <v>5156.0200000000004</v>
      </c>
      <c r="E35" s="68">
        <v>5205.5</v>
      </c>
      <c r="F35" s="68">
        <v>5254.98</v>
      </c>
      <c r="G35" s="68">
        <v>5304.46</v>
      </c>
      <c r="H35" s="68">
        <v>5353.94</v>
      </c>
      <c r="I35" s="68">
        <v>5403.42</v>
      </c>
      <c r="J35" s="68">
        <v>5452.9000000000005</v>
      </c>
      <c r="K35" s="68">
        <v>5502.38</v>
      </c>
      <c r="L35" s="68">
        <v>5551.86</v>
      </c>
      <c r="M35" s="68">
        <v>5601.34</v>
      </c>
      <c r="N35" s="68">
        <v>5650.81</v>
      </c>
      <c r="O35" s="68">
        <f t="shared" si="12"/>
        <v>5353.9392307692306</v>
      </c>
      <c r="R35" s="124">
        <f t="shared" si="10"/>
        <v>426.50601037575228</v>
      </c>
      <c r="S35" s="124">
        <f t="shared" si="10"/>
        <v>1017.4174064369637</v>
      </c>
      <c r="T35" s="124">
        <f t="shared" si="10"/>
        <v>426.12281893267823</v>
      </c>
      <c r="U35" s="124">
        <f t="shared" si="10"/>
        <v>5.3600354582726819</v>
      </c>
      <c r="V35" s="124">
        <f t="shared" si="10"/>
        <v>1.0009424967571603</v>
      </c>
      <c r="W35" s="124">
        <f t="shared" si="10"/>
        <v>3477.532017068806</v>
      </c>
      <c r="X35" s="125"/>
      <c r="Y35" s="125"/>
      <c r="Z35" s="124">
        <f t="shared" si="11"/>
        <v>450.15535750582876</v>
      </c>
      <c r="AA35" s="124">
        <f t="shared" si="11"/>
        <v>1073.8322208491027</v>
      </c>
      <c r="AB35" s="124">
        <f t="shared" si="11"/>
        <v>449.75091846662696</v>
      </c>
      <c r="AC35" s="124">
        <f t="shared" si="11"/>
        <v>5.6572442574418478</v>
      </c>
      <c r="AD35" s="124">
        <f t="shared" si="11"/>
        <v>1.0564437933091146</v>
      </c>
      <c r="AE35" s="124">
        <f t="shared" si="11"/>
        <v>3670.3578151276906</v>
      </c>
    </row>
    <row r="36" spans="1:31" x14ac:dyDescent="0.25">
      <c r="A36" t="s">
        <v>441</v>
      </c>
      <c r="B36" s="68">
        <v>198330.95</v>
      </c>
      <c r="C36" s="68">
        <v>204014.25</v>
      </c>
      <c r="D36" s="68">
        <v>209697.52999999997</v>
      </c>
      <c r="E36" s="68">
        <v>215380.83</v>
      </c>
      <c r="F36" s="68">
        <v>221064.11</v>
      </c>
      <c r="G36" s="68">
        <v>226747.4</v>
      </c>
      <c r="H36" s="68">
        <v>232430.69</v>
      </c>
      <c r="I36" s="68">
        <v>238113.97</v>
      </c>
      <c r="J36" s="68">
        <v>243797.27000000002</v>
      </c>
      <c r="K36" s="68">
        <v>249480.55</v>
      </c>
      <c r="L36" s="68">
        <v>255163.84999999998</v>
      </c>
      <c r="M36" s="68">
        <v>260847.12000000002</v>
      </c>
      <c r="N36" s="68">
        <v>266530.42</v>
      </c>
      <c r="O36" s="68">
        <f t="shared" si="12"/>
        <v>232430.68769230769</v>
      </c>
      <c r="R36" s="124">
        <f t="shared" si="10"/>
        <v>18515.915295941006</v>
      </c>
      <c r="S36" s="124">
        <f t="shared" si="10"/>
        <v>44169.16540427212</v>
      </c>
      <c r="T36" s="124">
        <f t="shared" si="10"/>
        <v>18499.279796957446</v>
      </c>
      <c r="U36" s="124">
        <f t="shared" si="10"/>
        <v>232.69534335795527</v>
      </c>
      <c r="V36" s="124">
        <f t="shared" si="10"/>
        <v>43.453939769184892</v>
      </c>
      <c r="W36" s="124">
        <f t="shared" si="10"/>
        <v>150970.17791200997</v>
      </c>
      <c r="X36" s="125"/>
      <c r="Y36" s="125"/>
      <c r="Z36" s="124">
        <f t="shared" si="11"/>
        <v>21232.371377073141</v>
      </c>
      <c r="AA36" s="124">
        <f t="shared" si="11"/>
        <v>50649.190617352921</v>
      </c>
      <c r="AB36" s="124">
        <f t="shared" si="11"/>
        <v>21213.295296478882</v>
      </c>
      <c r="AC36" s="124">
        <f t="shared" si="11"/>
        <v>266.83390310036327</v>
      </c>
      <c r="AD36" s="124">
        <f t="shared" si="11"/>
        <v>49.829034764409258</v>
      </c>
      <c r="AE36" s="124">
        <f t="shared" si="11"/>
        <v>173118.89977123027</v>
      </c>
    </row>
    <row r="37" spans="1:31" ht="15.75" thickBot="1" x14ac:dyDescent="0.3">
      <c r="A37" s="116" t="s">
        <v>443</v>
      </c>
      <c r="B37" s="117">
        <f t="shared" ref="B37:O37" si="14">B34+B23</f>
        <v>4467511.0900000008</v>
      </c>
      <c r="C37" s="117">
        <f t="shared" si="14"/>
        <v>4651768.9899999984</v>
      </c>
      <c r="D37" s="117">
        <f t="shared" si="14"/>
        <v>4598599.08</v>
      </c>
      <c r="E37" s="117">
        <f t="shared" si="14"/>
        <v>4692994.1900000013</v>
      </c>
      <c r="F37" s="117">
        <f t="shared" si="14"/>
        <v>4824855.66</v>
      </c>
      <c r="G37" s="117">
        <f t="shared" si="14"/>
        <v>5000434.05</v>
      </c>
      <c r="H37" s="117">
        <f t="shared" si="14"/>
        <v>5161815.71</v>
      </c>
      <c r="I37" s="117">
        <f t="shared" si="14"/>
        <v>5354719.9499999993</v>
      </c>
      <c r="J37" s="117">
        <f t="shared" si="14"/>
        <v>5547429.3599999994</v>
      </c>
      <c r="K37" s="117">
        <f t="shared" si="14"/>
        <v>5618640.209999999</v>
      </c>
      <c r="L37" s="117">
        <f t="shared" si="14"/>
        <v>5814234.5599999996</v>
      </c>
      <c r="M37" s="117">
        <f t="shared" si="14"/>
        <v>5945861.3399999989</v>
      </c>
      <c r="N37" s="117">
        <f t="shared" si="14"/>
        <v>6113771.7699999996</v>
      </c>
      <c r="O37" s="117">
        <f t="shared" si="14"/>
        <v>5214818.15076923</v>
      </c>
      <c r="R37" s="129">
        <f t="shared" si="10"/>
        <v>415423.33382071019</v>
      </c>
      <c r="S37" s="129">
        <f t="shared" si="10"/>
        <v>990980.01103642362</v>
      </c>
      <c r="T37" s="129">
        <f t="shared" si="10"/>
        <v>415050.09953350021</v>
      </c>
      <c r="U37" s="129">
        <f t="shared" si="10"/>
        <v>5220.755968974845</v>
      </c>
      <c r="V37" s="129">
        <f t="shared" si="10"/>
        <v>974.93319871237361</v>
      </c>
      <c r="W37" s="129">
        <f t="shared" si="10"/>
        <v>3387169.0172109087</v>
      </c>
      <c r="X37" s="125"/>
      <c r="Y37" s="125"/>
      <c r="Z37" s="129">
        <f t="shared" si="11"/>
        <v>487035.86155496171</v>
      </c>
      <c r="AA37" s="129">
        <f t="shared" si="11"/>
        <v>1161809.566689315</v>
      </c>
      <c r="AB37" s="129">
        <f t="shared" si="11"/>
        <v>486598.28747610259</v>
      </c>
      <c r="AC37" s="129">
        <f t="shared" si="11"/>
        <v>6120.7331758000319</v>
      </c>
      <c r="AD37" s="129">
        <f t="shared" si="11"/>
        <v>1142.9965332624843</v>
      </c>
      <c r="AE37" s="129">
        <f t="shared" si="11"/>
        <v>3971064.3245705576</v>
      </c>
    </row>
    <row r="38" spans="1:31" ht="15.75" thickTop="1" x14ac:dyDescent="0.25"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</row>
    <row r="39" spans="1:31" ht="15.75" x14ac:dyDescent="0.25">
      <c r="A39" s="112" t="s">
        <v>460</v>
      </c>
      <c r="O39" s="119" t="s">
        <v>32</v>
      </c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</row>
    <row r="40" spans="1:31" x14ac:dyDescent="0.25">
      <c r="A40" s="116" t="s">
        <v>454</v>
      </c>
      <c r="B40" s="117"/>
      <c r="C40" s="117">
        <f t="shared" ref="C40:O40" si="15">SUM(C41:C50)</f>
        <v>178525.11999999997</v>
      </c>
      <c r="D40" s="117">
        <f t="shared" si="15"/>
        <v>177549.57999999996</v>
      </c>
      <c r="E40" s="117">
        <f t="shared" si="15"/>
        <v>176533.65</v>
      </c>
      <c r="F40" s="117">
        <f t="shared" si="15"/>
        <v>179378.47999999995</v>
      </c>
      <c r="G40" s="117">
        <f t="shared" si="15"/>
        <v>182073.93</v>
      </c>
      <c r="H40" s="117">
        <f t="shared" si="15"/>
        <v>183893.32999999996</v>
      </c>
      <c r="I40" s="117">
        <f t="shared" si="15"/>
        <v>187171.47999999995</v>
      </c>
      <c r="J40" s="117">
        <f t="shared" si="15"/>
        <v>186976.63</v>
      </c>
      <c r="K40" s="117">
        <f t="shared" si="15"/>
        <v>190375.07999999993</v>
      </c>
      <c r="L40" s="117">
        <f t="shared" si="15"/>
        <v>194534.86000000004</v>
      </c>
      <c r="M40" s="117">
        <f t="shared" si="15"/>
        <v>199636.56</v>
      </c>
      <c r="N40" s="117">
        <f t="shared" si="15"/>
        <v>199933.55999999994</v>
      </c>
      <c r="O40" s="117">
        <f t="shared" si="15"/>
        <v>2236582.2599999998</v>
      </c>
      <c r="R40" s="125"/>
      <c r="S40" s="125"/>
      <c r="T40" s="125"/>
      <c r="U40" s="125"/>
      <c r="V40" s="125"/>
      <c r="W40" s="125"/>
      <c r="X40" s="125"/>
      <c r="Y40" s="125"/>
      <c r="Z40" s="122">
        <f>$O40*Z$3</f>
        <v>178170.82627826708</v>
      </c>
      <c r="AA40" s="122">
        <f t="shared" ref="AA40:AE54" si="16">$O40*AA$3</f>
        <v>425021.20852895512</v>
      </c>
      <c r="AB40" s="122">
        <f t="shared" si="16"/>
        <v>178010.74990331725</v>
      </c>
      <c r="AC40" s="122">
        <f t="shared" si="16"/>
        <v>2239.1289296014747</v>
      </c>
      <c r="AD40" s="122">
        <f t="shared" si="16"/>
        <v>418.13889456595996</v>
      </c>
      <c r="AE40" s="122">
        <f t="shared" si="16"/>
        <v>1452722.2074652929</v>
      </c>
    </row>
    <row r="41" spans="1:31" x14ac:dyDescent="0.25">
      <c r="A41" t="s">
        <v>455</v>
      </c>
      <c r="B41" s="118"/>
      <c r="C41" s="118">
        <v>0</v>
      </c>
      <c r="D41" s="118">
        <v>0</v>
      </c>
      <c r="E41" s="118">
        <v>0</v>
      </c>
      <c r="F41" s="118">
        <v>0</v>
      </c>
      <c r="G41" s="118">
        <v>0</v>
      </c>
      <c r="H41" s="118">
        <v>0</v>
      </c>
      <c r="I41" s="118">
        <v>0</v>
      </c>
      <c r="J41" s="118">
        <v>0</v>
      </c>
      <c r="K41" s="118">
        <v>0</v>
      </c>
      <c r="L41" s="118">
        <v>0</v>
      </c>
      <c r="M41" s="118">
        <v>0</v>
      </c>
      <c r="N41" s="118">
        <v>0</v>
      </c>
      <c r="O41" s="118">
        <f>SUM(C41:N41)</f>
        <v>0</v>
      </c>
      <c r="P41" s="118"/>
      <c r="Q41" s="118"/>
      <c r="R41" s="124"/>
      <c r="S41" s="124"/>
      <c r="T41" s="124"/>
      <c r="U41" s="124"/>
      <c r="V41" s="124"/>
      <c r="W41" s="124"/>
      <c r="X41" s="125"/>
      <c r="Y41" s="125"/>
      <c r="Z41" s="124">
        <f t="shared" ref="Z41:Z54" si="17">$O41*Z$3</f>
        <v>0</v>
      </c>
      <c r="AA41" s="124">
        <f t="shared" si="16"/>
        <v>0</v>
      </c>
      <c r="AB41" s="124">
        <f t="shared" si="16"/>
        <v>0</v>
      </c>
      <c r="AC41" s="124">
        <f t="shared" si="16"/>
        <v>0</v>
      </c>
      <c r="AD41" s="124">
        <f t="shared" si="16"/>
        <v>0</v>
      </c>
      <c r="AE41" s="124">
        <f t="shared" si="16"/>
        <v>0</v>
      </c>
    </row>
    <row r="42" spans="1:31" x14ac:dyDescent="0.25">
      <c r="A42" t="s">
        <v>434</v>
      </c>
      <c r="B42" s="118"/>
      <c r="C42" s="118">
        <v>22758.81</v>
      </c>
      <c r="D42" s="118">
        <v>22758.82</v>
      </c>
      <c r="E42" s="118">
        <v>22169.480000000007</v>
      </c>
      <c r="F42" s="118">
        <v>22169.500000000004</v>
      </c>
      <c r="G42" s="118">
        <v>22169.450000000008</v>
      </c>
      <c r="H42" s="118">
        <v>22169.510000000006</v>
      </c>
      <c r="I42" s="118">
        <v>22169.480000000007</v>
      </c>
      <c r="J42" s="118">
        <v>21615.860000000004</v>
      </c>
      <c r="K42" s="118">
        <v>21615.860000000004</v>
      </c>
      <c r="L42" s="118">
        <v>21615.860000000004</v>
      </c>
      <c r="M42" s="118">
        <v>21615.840000000004</v>
      </c>
      <c r="N42" s="118">
        <v>21615.870000000003</v>
      </c>
      <c r="O42" s="118">
        <f t="shared" ref="O42:O53" si="18">SUM(C42:N42)</f>
        <v>264444.34000000008</v>
      </c>
      <c r="P42" s="118"/>
      <c r="Q42" s="118"/>
      <c r="R42" s="125"/>
      <c r="S42" s="125"/>
      <c r="T42" s="125"/>
      <c r="U42" s="125"/>
      <c r="V42" s="125"/>
      <c r="W42" s="125"/>
      <c r="X42" s="125"/>
      <c r="Y42" s="125"/>
      <c r="Z42" s="124">
        <f t="shared" si="17"/>
        <v>21066.189875981137</v>
      </c>
      <c r="AA42" s="124">
        <f t="shared" si="16"/>
        <v>50252.76958757687</v>
      </c>
      <c r="AB42" s="124">
        <f t="shared" si="16"/>
        <v>21047.263100033626</v>
      </c>
      <c r="AC42" s="124">
        <f t="shared" si="16"/>
        <v>264.74544779916505</v>
      </c>
      <c r="AD42" s="124">
        <f t="shared" si="16"/>
        <v>49.439032929566793</v>
      </c>
      <c r="AE42" s="124">
        <f t="shared" si="16"/>
        <v>171763.93295567972</v>
      </c>
    </row>
    <row r="43" spans="1:31" x14ac:dyDescent="0.25">
      <c r="A43" t="s">
        <v>456</v>
      </c>
      <c r="B43" s="118"/>
      <c r="C43" s="118">
        <v>3549.02</v>
      </c>
      <c r="D43" s="118">
        <v>3549.02</v>
      </c>
      <c r="E43" s="118">
        <v>3549.02</v>
      </c>
      <c r="F43" s="118">
        <v>3549.02</v>
      </c>
      <c r="G43" s="118">
        <v>3549.02</v>
      </c>
      <c r="H43" s="118">
        <v>3549.02</v>
      </c>
      <c r="I43" s="118">
        <v>3549.02</v>
      </c>
      <c r="J43" s="118">
        <v>3549.02</v>
      </c>
      <c r="K43" s="118">
        <v>3549.02</v>
      </c>
      <c r="L43" s="118">
        <v>3549.02</v>
      </c>
      <c r="M43" s="118">
        <v>3549.02</v>
      </c>
      <c r="N43" s="118">
        <v>3549.02</v>
      </c>
      <c r="O43" s="118">
        <f t="shared" si="18"/>
        <v>42588.239999999991</v>
      </c>
      <c r="P43" s="118"/>
      <c r="Q43" s="118"/>
      <c r="R43" s="125"/>
      <c r="S43" s="125"/>
      <c r="T43" s="125"/>
      <c r="U43" s="125"/>
      <c r="V43" s="125"/>
      <c r="W43" s="125"/>
      <c r="X43" s="125"/>
      <c r="Y43" s="125"/>
      <c r="Z43" s="124">
        <f t="shared" si="17"/>
        <v>3392.6683790012462</v>
      </c>
      <c r="AA43" s="124">
        <f t="shared" si="16"/>
        <v>8093.1095438095736</v>
      </c>
      <c r="AB43" s="124">
        <f t="shared" si="16"/>
        <v>3389.6202590207663</v>
      </c>
      <c r="AC43" s="124">
        <f t="shared" si="16"/>
        <v>42.63673281787127</v>
      </c>
      <c r="AD43" s="124">
        <f t="shared" si="16"/>
        <v>7.9620588581033438</v>
      </c>
      <c r="AE43" s="124">
        <f t="shared" si="16"/>
        <v>27662.24302649243</v>
      </c>
    </row>
    <row r="44" spans="1:31" x14ac:dyDescent="0.25">
      <c r="A44" t="s">
        <v>435</v>
      </c>
      <c r="B44" s="118"/>
      <c r="C44" s="118">
        <v>10391.029999999999</v>
      </c>
      <c r="D44" s="118">
        <v>10390.999999999996</v>
      </c>
      <c r="E44" s="118">
        <v>9812.9999999999982</v>
      </c>
      <c r="F44" s="118">
        <v>10705.079999999998</v>
      </c>
      <c r="G44" s="118">
        <v>10594.679999999998</v>
      </c>
      <c r="H44" s="118">
        <v>10487.499999999998</v>
      </c>
      <c r="I44" s="118">
        <v>10487.509999999998</v>
      </c>
      <c r="J44" s="118">
        <v>10487.5</v>
      </c>
      <c r="K44" s="118">
        <v>10487.519999999999</v>
      </c>
      <c r="L44" s="118">
        <v>10487.509999999997</v>
      </c>
      <c r="M44" s="118">
        <v>10487.519999999999</v>
      </c>
      <c r="N44" s="118">
        <v>10487.479999999998</v>
      </c>
      <c r="O44" s="118">
        <f t="shared" si="18"/>
        <v>125307.32999999999</v>
      </c>
      <c r="P44" s="118"/>
      <c r="Q44" s="118"/>
      <c r="R44" s="125"/>
      <c r="S44" s="125"/>
      <c r="T44" s="125"/>
      <c r="U44" s="125"/>
      <c r="V44" s="125"/>
      <c r="W44" s="125"/>
      <c r="X44" s="125"/>
      <c r="Y44" s="125"/>
      <c r="Z44" s="124">
        <f t="shared" si="17"/>
        <v>9982.2443037813791</v>
      </c>
      <c r="AA44" s="124">
        <f t="shared" si="16"/>
        <v>23812.346984338772</v>
      </c>
      <c r="AB44" s="124">
        <f t="shared" si="16"/>
        <v>9973.2758238377701</v>
      </c>
      <c r="AC44" s="124">
        <f t="shared" si="16"/>
        <v>125.45001036273923</v>
      </c>
      <c r="AD44" s="124">
        <f t="shared" si="16"/>
        <v>23.42675670118744</v>
      </c>
      <c r="AE44" s="124">
        <f t="shared" si="16"/>
        <v>81390.586120978129</v>
      </c>
    </row>
    <row r="45" spans="1:31" x14ac:dyDescent="0.25">
      <c r="A45" t="s">
        <v>457</v>
      </c>
      <c r="B45" s="118"/>
      <c r="C45" s="118">
        <v>65836.12</v>
      </c>
      <c r="D45" s="118">
        <v>65089.529999999955</v>
      </c>
      <c r="E45" s="118">
        <v>65225.27</v>
      </c>
      <c r="F45" s="118">
        <v>64627.369999999966</v>
      </c>
      <c r="G45" s="118">
        <v>64999.76999999999</v>
      </c>
      <c r="H45" s="118">
        <v>64745.45999999997</v>
      </c>
      <c r="I45" s="118">
        <v>64745.51999999996</v>
      </c>
      <c r="J45" s="118">
        <v>62494.06</v>
      </c>
      <c r="K45" s="118">
        <v>64154.899999999958</v>
      </c>
      <c r="L45" s="118">
        <v>65129.789999999994</v>
      </c>
      <c r="M45" s="118">
        <v>65164.829999999987</v>
      </c>
      <c r="N45" s="118">
        <v>65164.139999999978</v>
      </c>
      <c r="O45" s="118">
        <f t="shared" si="18"/>
        <v>777376.75999999978</v>
      </c>
      <c r="P45" s="118"/>
      <c r="Q45" s="118"/>
      <c r="R45" s="125"/>
      <c r="S45" s="125"/>
      <c r="T45" s="125"/>
      <c r="U45" s="125"/>
      <c r="V45" s="125"/>
      <c r="W45" s="125"/>
      <c r="X45" s="125"/>
      <c r="Y45" s="125"/>
      <c r="Z45" s="124">
        <f t="shared" si="17"/>
        <v>61927.460543625202</v>
      </c>
      <c r="AA45" s="124">
        <f t="shared" si="16"/>
        <v>147726.11583600927</v>
      </c>
      <c r="AB45" s="124">
        <f t="shared" si="16"/>
        <v>61871.822235150452</v>
      </c>
      <c r="AC45" s="124">
        <f t="shared" si="16"/>
        <v>778.26191490755275</v>
      </c>
      <c r="AD45" s="124">
        <f t="shared" si="16"/>
        <v>145.33400577346416</v>
      </c>
      <c r="AE45" s="124">
        <f t="shared" si="16"/>
        <v>504927.76546453376</v>
      </c>
    </row>
    <row r="46" spans="1:31" x14ac:dyDescent="0.25">
      <c r="A46" t="s">
        <v>436</v>
      </c>
      <c r="B46" s="118"/>
      <c r="C46" s="118">
        <v>6812.51</v>
      </c>
      <c r="D46" s="118">
        <v>5825.2800000000016</v>
      </c>
      <c r="E46" s="118">
        <v>5711.3300000000008</v>
      </c>
      <c r="F46" s="118">
        <v>5373.2500000000009</v>
      </c>
      <c r="G46" s="118">
        <v>5469.27</v>
      </c>
      <c r="H46" s="118">
        <v>5923.6200000000008</v>
      </c>
      <c r="I46" s="118">
        <v>6905.82</v>
      </c>
      <c r="J46" s="118">
        <v>7261.4600000000009</v>
      </c>
      <c r="K46" s="118">
        <v>8669.9000000000015</v>
      </c>
      <c r="L46" s="118">
        <v>10589.410000000002</v>
      </c>
      <c r="M46" s="118">
        <v>12104.600000000002</v>
      </c>
      <c r="N46" s="118">
        <v>12997.810000000001</v>
      </c>
      <c r="O46" s="118">
        <f t="shared" si="18"/>
        <v>93644.260000000009</v>
      </c>
      <c r="P46" s="118"/>
      <c r="Q46" s="118"/>
      <c r="R46" s="125"/>
      <c r="S46" s="125"/>
      <c r="T46" s="125"/>
      <c r="U46" s="125"/>
      <c r="V46" s="125"/>
      <c r="W46" s="125"/>
      <c r="X46" s="125"/>
      <c r="Y46" s="125"/>
      <c r="Z46" s="124">
        <f t="shared" si="17"/>
        <v>7459.897844498184</v>
      </c>
      <c r="AA46" s="124">
        <f t="shared" si="16"/>
        <v>17795.364502712142</v>
      </c>
      <c r="AB46" s="124">
        <f t="shared" si="16"/>
        <v>7453.1955496871451</v>
      </c>
      <c r="AC46" s="124">
        <f t="shared" si="16"/>
        <v>93.750887417448368</v>
      </c>
      <c r="AD46" s="124">
        <f t="shared" si="16"/>
        <v>17.507206445805998</v>
      </c>
      <c r="AE46" s="124">
        <f t="shared" si="16"/>
        <v>60824.544009239282</v>
      </c>
    </row>
    <row r="47" spans="1:31" x14ac:dyDescent="0.25">
      <c r="A47" t="s">
        <v>437</v>
      </c>
      <c r="B47" s="118"/>
      <c r="C47" s="118">
        <v>1595.98</v>
      </c>
      <c r="D47" s="118">
        <v>1595.98</v>
      </c>
      <c r="E47" s="118">
        <v>1595.98</v>
      </c>
      <c r="F47" s="118">
        <v>1595.98</v>
      </c>
      <c r="G47" s="118">
        <v>1595.98</v>
      </c>
      <c r="H47" s="118">
        <v>1595.98</v>
      </c>
      <c r="I47" s="118">
        <v>1595.98</v>
      </c>
      <c r="J47" s="118">
        <v>1595.98</v>
      </c>
      <c r="K47" s="118">
        <v>1595.98</v>
      </c>
      <c r="L47" s="118">
        <v>1595.98</v>
      </c>
      <c r="M47" s="118">
        <v>1595.98</v>
      </c>
      <c r="N47" s="118">
        <v>1595.98</v>
      </c>
      <c r="O47" s="118">
        <f t="shared" si="18"/>
        <v>19151.759999999998</v>
      </c>
      <c r="P47" s="118"/>
      <c r="Q47" s="118"/>
      <c r="R47" s="125"/>
      <c r="S47" s="125"/>
      <c r="T47" s="125"/>
      <c r="U47" s="125"/>
      <c r="V47" s="125"/>
      <c r="W47" s="125"/>
      <c r="X47" s="125"/>
      <c r="Y47" s="125"/>
      <c r="Z47" s="124">
        <f t="shared" si="17"/>
        <v>1525.6693057571977</v>
      </c>
      <c r="AA47" s="124">
        <f t="shared" si="16"/>
        <v>3639.43876611831</v>
      </c>
      <c r="AB47" s="124">
        <f t="shared" si="16"/>
        <v>1524.2985784785556</v>
      </c>
      <c r="AC47" s="124">
        <f t="shared" si="16"/>
        <v>19.17356702488749</v>
      </c>
      <c r="AD47" s="124">
        <f t="shared" si="16"/>
        <v>3.5805058005747434</v>
      </c>
      <c r="AE47" s="124">
        <f t="shared" si="16"/>
        <v>12439.599276820472</v>
      </c>
    </row>
    <row r="48" spans="1:31" x14ac:dyDescent="0.25">
      <c r="A48" t="s">
        <v>438</v>
      </c>
      <c r="B48" s="118"/>
      <c r="C48" s="118">
        <v>47366.249999999993</v>
      </c>
      <c r="D48" s="118">
        <v>48124.569999999992</v>
      </c>
      <c r="E48" s="118">
        <v>48823.839999999989</v>
      </c>
      <c r="F48" s="118">
        <v>51934.069999999992</v>
      </c>
      <c r="G48" s="118">
        <v>54071.149999999994</v>
      </c>
      <c r="H48" s="118">
        <v>55797.590000000004</v>
      </c>
      <c r="I48" s="118">
        <v>58093.539999999994</v>
      </c>
      <c r="J48" s="118">
        <v>60348.159999999996</v>
      </c>
      <c r="K48" s="118">
        <v>60677.27</v>
      </c>
      <c r="L48" s="118">
        <v>61942.680000000037</v>
      </c>
      <c r="M48" s="118">
        <v>65494.120000000017</v>
      </c>
      <c r="N48" s="118">
        <v>64898.66</v>
      </c>
      <c r="O48" s="118">
        <f t="shared" si="18"/>
        <v>677571.9</v>
      </c>
      <c r="P48" s="118"/>
      <c r="Q48" s="118"/>
      <c r="R48" s="125"/>
      <c r="S48" s="125"/>
      <c r="T48" s="125"/>
      <c r="U48" s="125"/>
      <c r="V48" s="125"/>
      <c r="W48" s="125"/>
      <c r="X48" s="125"/>
      <c r="Y48" s="125"/>
      <c r="Z48" s="124">
        <f t="shared" si="17"/>
        <v>53976.796402711057</v>
      </c>
      <c r="AA48" s="124">
        <f t="shared" si="16"/>
        <v>128760.04292516402</v>
      </c>
      <c r="AB48" s="124">
        <f t="shared" si="16"/>
        <v>53928.301314710196</v>
      </c>
      <c r="AC48" s="124">
        <f t="shared" si="16"/>
        <v>678.34341276365024</v>
      </c>
      <c r="AD48" s="124">
        <f t="shared" si="16"/>
        <v>126.67504805075097</v>
      </c>
      <c r="AE48" s="124">
        <f t="shared" si="16"/>
        <v>440101.7408966003</v>
      </c>
    </row>
    <row r="49" spans="1:31" x14ac:dyDescent="0.25">
      <c r="A49" t="s">
        <v>458</v>
      </c>
      <c r="B49" s="118"/>
      <c r="C49" s="118">
        <v>15067.77</v>
      </c>
      <c r="D49" s="118">
        <v>15067.78</v>
      </c>
      <c r="E49" s="118">
        <v>15067.79</v>
      </c>
      <c r="F49" s="118">
        <v>15067.800000000001</v>
      </c>
      <c r="G49" s="118">
        <v>15067.78</v>
      </c>
      <c r="H49" s="118">
        <v>15067.810000000001</v>
      </c>
      <c r="I49" s="118">
        <v>15067.77</v>
      </c>
      <c r="J49" s="118">
        <v>15067.77</v>
      </c>
      <c r="K49" s="118">
        <v>15067.77</v>
      </c>
      <c r="L49" s="118">
        <v>15067.79</v>
      </c>
      <c r="M49" s="118">
        <v>15067.79</v>
      </c>
      <c r="N49" s="118">
        <v>15067.77</v>
      </c>
      <c r="O49" s="118">
        <f t="shared" si="18"/>
        <v>180813.39</v>
      </c>
      <c r="P49" s="118"/>
      <c r="Q49" s="118"/>
      <c r="R49" s="125"/>
      <c r="S49" s="125"/>
      <c r="T49" s="125"/>
      <c r="U49" s="125"/>
      <c r="V49" s="125"/>
      <c r="W49" s="125"/>
      <c r="X49" s="125"/>
      <c r="Y49" s="125"/>
      <c r="Z49" s="124">
        <f t="shared" si="17"/>
        <v>14403.973274148459</v>
      </c>
      <c r="AA49" s="124">
        <f t="shared" si="16"/>
        <v>34360.249971765981</v>
      </c>
      <c r="AB49" s="124">
        <f t="shared" si="16"/>
        <v>14391.032121689532</v>
      </c>
      <c r="AC49" s="124">
        <f t="shared" si="16"/>
        <v>181.0192719709375</v>
      </c>
      <c r="AD49" s="124">
        <f t="shared" si="16"/>
        <v>33.803858847259129</v>
      </c>
      <c r="AE49" s="124">
        <f t="shared" si="16"/>
        <v>117443.31150157783</v>
      </c>
    </row>
    <row r="50" spans="1:31" x14ac:dyDescent="0.25">
      <c r="A50" t="s">
        <v>441</v>
      </c>
      <c r="B50" s="118"/>
      <c r="C50" s="118">
        <v>5147.6299999999992</v>
      </c>
      <c r="D50" s="118">
        <v>5147.6000000000004</v>
      </c>
      <c r="E50" s="118">
        <v>4577.9399999999996</v>
      </c>
      <c r="F50" s="118">
        <v>4356.41</v>
      </c>
      <c r="G50" s="118">
        <v>4556.83</v>
      </c>
      <c r="H50" s="118">
        <v>4556.8399999999992</v>
      </c>
      <c r="I50" s="118">
        <v>4556.8399999999992</v>
      </c>
      <c r="J50" s="118">
        <v>4556.8200000000006</v>
      </c>
      <c r="K50" s="118">
        <v>4556.8599999999997</v>
      </c>
      <c r="L50" s="118">
        <v>4556.8200000000006</v>
      </c>
      <c r="M50" s="118">
        <v>4556.8599999999997</v>
      </c>
      <c r="N50" s="118">
        <v>4556.83</v>
      </c>
      <c r="O50" s="118">
        <f t="shared" si="18"/>
        <v>55684.28</v>
      </c>
      <c r="P50" s="118"/>
      <c r="Q50" s="118"/>
      <c r="R50" s="125"/>
      <c r="S50" s="125"/>
      <c r="T50" s="125"/>
      <c r="U50" s="125"/>
      <c r="V50" s="125"/>
      <c r="W50" s="125"/>
      <c r="X50" s="125"/>
      <c r="Y50" s="125"/>
      <c r="Z50" s="124">
        <f t="shared" si="17"/>
        <v>4435.9263487632161</v>
      </c>
      <c r="AA50" s="124">
        <f t="shared" si="16"/>
        <v>10581.770411460175</v>
      </c>
      <c r="AB50" s="124">
        <f t="shared" si="16"/>
        <v>4431.9409207092122</v>
      </c>
      <c r="AC50" s="124">
        <f t="shared" si="16"/>
        <v>55.747684537222796</v>
      </c>
      <c r="AD50" s="124">
        <f t="shared" si="16"/>
        <v>10.410421159247411</v>
      </c>
      <c r="AE50" s="124">
        <f t="shared" si="16"/>
        <v>36168.484213370924</v>
      </c>
    </row>
    <row r="51" spans="1:31" x14ac:dyDescent="0.25">
      <c r="A51" s="116" t="s">
        <v>461</v>
      </c>
      <c r="B51" s="120"/>
      <c r="C51" s="117">
        <f t="shared" ref="C51:P51" si="19">SUM(C52:C53)</f>
        <v>5732.78</v>
      </c>
      <c r="D51" s="117">
        <f t="shared" si="19"/>
        <v>5732.7599999999993</v>
      </c>
      <c r="E51" s="117">
        <f t="shared" si="19"/>
        <v>5732.78</v>
      </c>
      <c r="F51" s="117">
        <f t="shared" si="19"/>
        <v>5732.7599999999993</v>
      </c>
      <c r="G51" s="117">
        <f t="shared" si="19"/>
        <v>5732.7699999999995</v>
      </c>
      <c r="H51" s="117">
        <f t="shared" si="19"/>
        <v>5732.7699999999995</v>
      </c>
      <c r="I51" s="117">
        <f t="shared" si="19"/>
        <v>5732.7599999999993</v>
      </c>
      <c r="J51" s="117">
        <f t="shared" si="19"/>
        <v>5732.78</v>
      </c>
      <c r="K51" s="117">
        <f t="shared" si="19"/>
        <v>5732.7599999999993</v>
      </c>
      <c r="L51" s="117">
        <f t="shared" si="19"/>
        <v>5732.78</v>
      </c>
      <c r="M51" s="117">
        <f t="shared" si="19"/>
        <v>5732.7499999999991</v>
      </c>
      <c r="N51" s="117">
        <f t="shared" si="19"/>
        <v>5732.77</v>
      </c>
      <c r="O51" s="117">
        <f t="shared" si="19"/>
        <v>68793.22</v>
      </c>
      <c r="P51" s="117">
        <f t="shared" si="19"/>
        <v>0</v>
      </c>
      <c r="Q51" s="118"/>
      <c r="R51" s="125"/>
      <c r="S51" s="125"/>
      <c r="T51" s="125"/>
      <c r="U51" s="125"/>
      <c r="V51" s="125"/>
      <c r="W51" s="125"/>
      <c r="X51" s="125"/>
      <c r="Y51" s="125"/>
      <c r="Z51" s="126">
        <f t="shared" si="17"/>
        <v>5480.2119595380364</v>
      </c>
      <c r="AA51" s="126">
        <f t="shared" si="16"/>
        <v>13072.882686192052</v>
      </c>
      <c r="AB51" s="126">
        <f t="shared" si="16"/>
        <v>5475.2883001333839</v>
      </c>
      <c r="AC51" s="126">
        <f t="shared" si="16"/>
        <v>68.871550945074006</v>
      </c>
      <c r="AD51" s="126">
        <f t="shared" si="16"/>
        <v>12.861195172152037</v>
      </c>
      <c r="AE51" s="126">
        <f t="shared" si="16"/>
        <v>44683.104308019298</v>
      </c>
    </row>
    <row r="52" spans="1:31" x14ac:dyDescent="0.25">
      <c r="A52" t="s">
        <v>435</v>
      </c>
      <c r="B52" s="118"/>
      <c r="C52" s="118">
        <v>49.480000000000004</v>
      </c>
      <c r="D52" s="118">
        <v>49.480000000000004</v>
      </c>
      <c r="E52" s="118">
        <v>49.480000000000004</v>
      </c>
      <c r="F52" s="118">
        <v>49.480000000000004</v>
      </c>
      <c r="G52" s="118">
        <v>49.480000000000004</v>
      </c>
      <c r="H52" s="118">
        <v>49.480000000000004</v>
      </c>
      <c r="I52" s="118">
        <v>49.480000000000004</v>
      </c>
      <c r="J52" s="118">
        <v>49.480000000000004</v>
      </c>
      <c r="K52" s="118">
        <v>49.480000000000004</v>
      </c>
      <c r="L52" s="118">
        <v>49.480000000000004</v>
      </c>
      <c r="M52" s="118">
        <v>49.480000000000004</v>
      </c>
      <c r="N52" s="118">
        <v>49.47</v>
      </c>
      <c r="O52" s="118">
        <f t="shared" si="18"/>
        <v>593.75000000000011</v>
      </c>
      <c r="P52" s="118"/>
      <c r="Q52" s="118"/>
      <c r="R52" s="125"/>
      <c r="S52" s="125"/>
      <c r="T52" s="125"/>
      <c r="U52" s="125"/>
      <c r="V52" s="125"/>
      <c r="W52" s="125"/>
      <c r="X52" s="125"/>
      <c r="Y52" s="125"/>
      <c r="Z52" s="124">
        <f t="shared" si="17"/>
        <v>47.29936832402538</v>
      </c>
      <c r="AA52" s="124">
        <f t="shared" si="16"/>
        <v>112.83123678360356</v>
      </c>
      <c r="AB52" s="124">
        <f t="shared" si="16"/>
        <v>47.2568725261617</v>
      </c>
      <c r="AC52" s="124">
        <f t="shared" si="16"/>
        <v>0.59442606951146792</v>
      </c>
      <c r="AD52" s="124">
        <f t="shared" si="16"/>
        <v>0.11100417502575505</v>
      </c>
      <c r="AE52" s="124">
        <f t="shared" si="16"/>
        <v>385.65709212167224</v>
      </c>
    </row>
    <row r="53" spans="1:31" x14ac:dyDescent="0.25">
      <c r="A53" t="s">
        <v>441</v>
      </c>
      <c r="B53" s="118"/>
      <c r="C53" s="118">
        <v>5683.3</v>
      </c>
      <c r="D53" s="118">
        <v>5683.28</v>
      </c>
      <c r="E53" s="118">
        <v>5683.3</v>
      </c>
      <c r="F53" s="118">
        <v>5683.28</v>
      </c>
      <c r="G53" s="118">
        <v>5683.29</v>
      </c>
      <c r="H53" s="118">
        <v>5683.29</v>
      </c>
      <c r="I53" s="118">
        <v>5683.28</v>
      </c>
      <c r="J53" s="118">
        <v>5683.3</v>
      </c>
      <c r="K53" s="118">
        <v>5683.28</v>
      </c>
      <c r="L53" s="118">
        <v>5683.3</v>
      </c>
      <c r="M53" s="118">
        <v>5683.2699999999995</v>
      </c>
      <c r="N53" s="118">
        <v>5683.3</v>
      </c>
      <c r="O53" s="118">
        <f t="shared" si="18"/>
        <v>68199.47</v>
      </c>
      <c r="P53" s="118"/>
      <c r="Q53" s="118"/>
      <c r="R53" s="125"/>
      <c r="S53" s="125"/>
      <c r="T53" s="125"/>
      <c r="U53" s="125"/>
      <c r="V53" s="125"/>
      <c r="W53" s="125"/>
      <c r="X53" s="125"/>
      <c r="Y53" s="125"/>
      <c r="Z53" s="124">
        <f t="shared" si="17"/>
        <v>5432.9125912140107</v>
      </c>
      <c r="AA53" s="124">
        <f t="shared" si="16"/>
        <v>12960.051449408447</v>
      </c>
      <c r="AB53" s="124">
        <f t="shared" si="16"/>
        <v>5428.0314276072231</v>
      </c>
      <c r="AC53" s="124">
        <f t="shared" si="16"/>
        <v>68.277124875562549</v>
      </c>
      <c r="AD53" s="124">
        <f t="shared" si="16"/>
        <v>12.750190997126282</v>
      </c>
      <c r="AE53" s="124">
        <f t="shared" si="16"/>
        <v>44297.447215897628</v>
      </c>
    </row>
    <row r="54" spans="1:31" ht="15.75" thickBot="1" x14ac:dyDescent="0.3">
      <c r="B54" s="117"/>
      <c r="C54" s="117">
        <f t="shared" ref="C54:O54" si="20">C51+C40</f>
        <v>184257.89999999997</v>
      </c>
      <c r="D54" s="117">
        <f t="shared" si="20"/>
        <v>183282.33999999997</v>
      </c>
      <c r="E54" s="117">
        <f t="shared" si="20"/>
        <v>182266.43</v>
      </c>
      <c r="F54" s="117">
        <f t="shared" si="20"/>
        <v>185111.23999999996</v>
      </c>
      <c r="G54" s="117">
        <f t="shared" si="20"/>
        <v>187806.69999999998</v>
      </c>
      <c r="H54" s="117">
        <f t="shared" si="20"/>
        <v>189626.09999999995</v>
      </c>
      <c r="I54" s="117">
        <f t="shared" si="20"/>
        <v>192904.23999999996</v>
      </c>
      <c r="J54" s="117">
        <f t="shared" si="20"/>
        <v>192709.41</v>
      </c>
      <c r="K54" s="117">
        <f t="shared" si="20"/>
        <v>196107.83999999994</v>
      </c>
      <c r="L54" s="117">
        <f t="shared" si="20"/>
        <v>200267.64000000004</v>
      </c>
      <c r="M54" s="117">
        <f t="shared" si="20"/>
        <v>205369.31</v>
      </c>
      <c r="N54" s="117">
        <f t="shared" si="20"/>
        <v>205666.32999999993</v>
      </c>
      <c r="O54" s="117">
        <f t="shared" si="20"/>
        <v>2305375.48</v>
      </c>
      <c r="P54" s="118"/>
      <c r="Q54" s="118"/>
      <c r="R54" s="125"/>
      <c r="S54" s="125"/>
      <c r="T54" s="125"/>
      <c r="U54" s="125"/>
      <c r="V54" s="125"/>
      <c r="W54" s="125"/>
      <c r="X54" s="125"/>
      <c r="Y54" s="125"/>
      <c r="Z54" s="129">
        <f t="shared" si="17"/>
        <v>183651.03823780513</v>
      </c>
      <c r="AA54" s="129">
        <f t="shared" si="16"/>
        <v>438094.09121514717</v>
      </c>
      <c r="AB54" s="129">
        <f t="shared" si="16"/>
        <v>183486.03820345065</v>
      </c>
      <c r="AC54" s="129">
        <f t="shared" si="16"/>
        <v>2308.0004805465487</v>
      </c>
      <c r="AD54" s="129">
        <f t="shared" si="16"/>
        <v>431.00008973811202</v>
      </c>
      <c r="AE54" s="129">
        <f t="shared" si="16"/>
        <v>1497405.3117733123</v>
      </c>
    </row>
    <row r="55" spans="1:31" ht="16.5" thickTop="1" x14ac:dyDescent="0.25">
      <c r="A55" s="112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25"/>
      <c r="S55" s="125"/>
      <c r="T55" s="125"/>
      <c r="U55" s="125"/>
      <c r="V55" s="125"/>
      <c r="W55" s="125"/>
      <c r="X55" s="125"/>
      <c r="Y55" s="125"/>
      <c r="Z55" s="130" t="s">
        <v>462</v>
      </c>
      <c r="AA55" s="124"/>
      <c r="AB55" s="124"/>
      <c r="AC55" s="124"/>
      <c r="AD55" s="124"/>
      <c r="AE55" s="124"/>
    </row>
    <row r="56" spans="1:31" x14ac:dyDescent="0.25">
      <c r="A56" s="116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18"/>
      <c r="Q56" s="118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</row>
    <row r="57" spans="1:31" x14ac:dyDescent="0.25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</row>
    <row r="58" spans="1:31" x14ac:dyDescent="0.25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</row>
    <row r="59" spans="1:31" x14ac:dyDescent="0.25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</row>
    <row r="60" spans="1:31" x14ac:dyDescent="0.25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</row>
    <row r="61" spans="1:31" x14ac:dyDescent="0.25"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</row>
    <row r="62" spans="1:31" x14ac:dyDescent="0.25"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</row>
    <row r="63" spans="1:31" x14ac:dyDescent="0.25"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</row>
    <row r="64" spans="1:31" x14ac:dyDescent="0.25"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</row>
    <row r="65" spans="1:31" x14ac:dyDescent="0.25"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</row>
    <row r="66" spans="1:31" x14ac:dyDescent="0.25"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</row>
    <row r="67" spans="1:31" x14ac:dyDescent="0.25">
      <c r="A67" s="116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</row>
    <row r="68" spans="1:31" x14ac:dyDescent="0.25"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</row>
    <row r="69" spans="1:31" x14ac:dyDescent="0.25"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</row>
    <row r="70" spans="1:31" x14ac:dyDescent="0.25">
      <c r="A70" s="116"/>
      <c r="B70" s="116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workbookViewId="0">
      <pane xSplit="1" ySplit="5" topLeftCell="H30" activePane="bottomRight" state="frozen"/>
      <selection pane="topRight" activeCell="B1" sqref="B1"/>
      <selection pane="bottomLeft" activeCell="A6" sqref="A6"/>
      <selection pane="bottomRight" activeCell="C31" sqref="C31"/>
    </sheetView>
  </sheetViews>
  <sheetFormatPr defaultRowHeight="15" x14ac:dyDescent="0.25"/>
  <cols>
    <col min="1" max="1" width="61.7109375" bestFit="1" customWidth="1"/>
    <col min="2" max="14" width="11.28515625" bestFit="1" customWidth="1"/>
    <col min="15" max="15" width="11.5703125" bestFit="1" customWidth="1"/>
    <col min="16" max="16" width="4.7109375" bestFit="1" customWidth="1"/>
    <col min="17" max="17" width="12.7109375" bestFit="1" customWidth="1"/>
    <col min="18" max="18" width="13.28515625" bestFit="1" customWidth="1"/>
    <col min="19" max="19" width="12.140625" customWidth="1"/>
    <col min="20" max="20" width="11.42578125" customWidth="1"/>
    <col min="21" max="21" width="8.85546875" customWidth="1"/>
    <col min="22" max="22" width="8.42578125" bestFit="1" customWidth="1"/>
    <col min="23" max="23" width="12.140625" customWidth="1"/>
    <col min="25" max="25" width="8.42578125" bestFit="1" customWidth="1"/>
    <col min="26" max="28" width="11.42578125" bestFit="1" customWidth="1"/>
    <col min="29" max="29" width="9.28515625" bestFit="1" customWidth="1"/>
    <col min="30" max="30" width="8.42578125" bestFit="1" customWidth="1"/>
    <col min="31" max="31" width="11.85546875" bestFit="1" customWidth="1"/>
  </cols>
  <sheetData>
    <row r="1" spans="1:31" ht="15.75" x14ac:dyDescent="0.25">
      <c r="A1" s="112" t="s">
        <v>450</v>
      </c>
      <c r="Q1" s="4"/>
      <c r="R1" s="113" t="s">
        <v>2</v>
      </c>
      <c r="S1" s="4"/>
      <c r="T1" s="4"/>
      <c r="U1" s="4"/>
      <c r="V1" s="4"/>
      <c r="W1" s="4"/>
      <c r="X1" s="4"/>
      <c r="Y1" s="4" t="s">
        <v>1</v>
      </c>
      <c r="Z1" s="4" t="s">
        <v>3</v>
      </c>
      <c r="AA1" s="4"/>
      <c r="AB1" s="4"/>
      <c r="AC1" s="4"/>
      <c r="AD1" s="4"/>
      <c r="AE1" s="4"/>
    </row>
    <row r="2" spans="1:31" x14ac:dyDescent="0.25">
      <c r="Q2" s="4" t="s">
        <v>5</v>
      </c>
      <c r="R2" s="4" t="s">
        <v>6</v>
      </c>
      <c r="S2" s="4" t="s">
        <v>7</v>
      </c>
      <c r="T2" s="4" t="s">
        <v>8</v>
      </c>
      <c r="U2" s="4" t="s">
        <v>9</v>
      </c>
      <c r="V2" s="4" t="s">
        <v>10</v>
      </c>
      <c r="W2" s="4" t="s">
        <v>11</v>
      </c>
      <c r="X2" s="4"/>
      <c r="Y2" s="4" t="s">
        <v>5</v>
      </c>
      <c r="Z2" s="4" t="s">
        <v>6</v>
      </c>
      <c r="AA2" s="4" t="s">
        <v>7</v>
      </c>
      <c r="AB2" s="4" t="s">
        <v>8</v>
      </c>
      <c r="AC2" s="4" t="s">
        <v>9</v>
      </c>
      <c r="AD2" s="4" t="s">
        <v>10</v>
      </c>
      <c r="AE2" s="4" t="s">
        <v>11</v>
      </c>
    </row>
    <row r="3" spans="1:31" x14ac:dyDescent="0.25">
      <c r="Q3" s="4" t="s">
        <v>451</v>
      </c>
      <c r="R3" s="104">
        <v>7.9662094019411156E-2</v>
      </c>
      <c r="S3" s="104">
        <v>0.19003155668817437</v>
      </c>
      <c r="T3" s="104">
        <v>7.9590522149324952E-2</v>
      </c>
      <c r="U3" s="104">
        <v>1.0011386433877352E-3</v>
      </c>
      <c r="V3" s="104">
        <v>1.869544000433769E-4</v>
      </c>
      <c r="W3" s="104">
        <v>0.64952773409965836</v>
      </c>
      <c r="X3" s="4"/>
      <c r="Y3" s="4" t="s">
        <v>452</v>
      </c>
      <c r="Z3" s="104">
        <f>R3</f>
        <v>7.9662094019411156E-2</v>
      </c>
      <c r="AA3" s="104">
        <f t="shared" ref="AA3:AE3" si="0">S3</f>
        <v>0.19003155668817437</v>
      </c>
      <c r="AB3" s="104">
        <f t="shared" si="0"/>
        <v>7.9590522149324952E-2</v>
      </c>
      <c r="AC3" s="104">
        <f t="shared" si="0"/>
        <v>1.0011386433877352E-3</v>
      </c>
      <c r="AD3" s="104">
        <f t="shared" si="0"/>
        <v>1.869544000433769E-4</v>
      </c>
      <c r="AE3" s="104">
        <f t="shared" si="0"/>
        <v>0.64952773409965836</v>
      </c>
    </row>
    <row r="4" spans="1:31" x14ac:dyDescent="0.25"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26.25" x14ac:dyDescent="0.25">
      <c r="A5" s="112" t="s">
        <v>453</v>
      </c>
      <c r="B5" s="141">
        <v>44916</v>
      </c>
      <c r="C5" s="114">
        <f>B5+30</f>
        <v>44946</v>
      </c>
      <c r="D5" s="114">
        <f t="shared" ref="D5:N5" si="1">C5+30</f>
        <v>44976</v>
      </c>
      <c r="E5" s="114">
        <f t="shared" si="1"/>
        <v>45006</v>
      </c>
      <c r="F5" s="114">
        <f t="shared" si="1"/>
        <v>45036</v>
      </c>
      <c r="G5" s="114">
        <f t="shared" si="1"/>
        <v>45066</v>
      </c>
      <c r="H5" s="114">
        <f t="shared" si="1"/>
        <v>45096</v>
      </c>
      <c r="I5" s="114">
        <f t="shared" si="1"/>
        <v>45126</v>
      </c>
      <c r="J5" s="114">
        <f t="shared" si="1"/>
        <v>45156</v>
      </c>
      <c r="K5" s="114">
        <f t="shared" si="1"/>
        <v>45186</v>
      </c>
      <c r="L5" s="114">
        <f t="shared" si="1"/>
        <v>45216</v>
      </c>
      <c r="M5" s="114">
        <f t="shared" si="1"/>
        <v>45246</v>
      </c>
      <c r="N5" s="114">
        <f t="shared" si="1"/>
        <v>45276</v>
      </c>
      <c r="O5" s="115" t="s">
        <v>12</v>
      </c>
      <c r="Q5" s="4"/>
      <c r="R5" s="6"/>
      <c r="S5" s="6"/>
      <c r="T5" s="6"/>
      <c r="U5" s="6"/>
      <c r="V5" s="6"/>
      <c r="W5" s="6"/>
      <c r="X5" s="4"/>
      <c r="Y5" s="4"/>
      <c r="Z5" s="6"/>
      <c r="AA5" s="6"/>
      <c r="AB5" s="6"/>
      <c r="AC5" s="6"/>
      <c r="AD5" s="6"/>
      <c r="AE5" s="6"/>
    </row>
    <row r="6" spans="1:31" x14ac:dyDescent="0.25">
      <c r="A6" s="116" t="s">
        <v>454</v>
      </c>
      <c r="B6" s="117">
        <f>SUM(B7:B16)</f>
        <v>15392407.290000001</v>
      </c>
      <c r="C6" s="117">
        <f t="shared" ref="C6:O6" si="2">SUM(C7:C16)</f>
        <v>15553935.290000001</v>
      </c>
      <c r="D6" s="117">
        <f t="shared" si="2"/>
        <v>15553935.290000001</v>
      </c>
      <c r="E6" s="117">
        <f t="shared" si="2"/>
        <v>15603935.290000001</v>
      </c>
      <c r="F6" s="117">
        <f t="shared" si="2"/>
        <v>15603935.290000001</v>
      </c>
      <c r="G6" s="117">
        <f t="shared" si="2"/>
        <v>15603935.290000001</v>
      </c>
      <c r="H6" s="117">
        <f t="shared" si="2"/>
        <v>15814881.290000001</v>
      </c>
      <c r="I6" s="117">
        <f t="shared" si="2"/>
        <v>15814881.290000001</v>
      </c>
      <c r="J6" s="117">
        <f t="shared" si="2"/>
        <v>15814881.290000001</v>
      </c>
      <c r="K6" s="117">
        <f t="shared" si="2"/>
        <v>15814881.290000001</v>
      </c>
      <c r="L6" s="117">
        <f t="shared" si="2"/>
        <v>15814881.290000001</v>
      </c>
      <c r="M6" s="117">
        <f t="shared" si="2"/>
        <v>15814881.290000001</v>
      </c>
      <c r="N6" s="117">
        <f t="shared" si="2"/>
        <v>17673214.289999999</v>
      </c>
      <c r="O6" s="117">
        <f t="shared" si="2"/>
        <v>15836506.597692307</v>
      </c>
      <c r="Q6" s="4"/>
      <c r="R6" s="122">
        <f>$O6*R$3</f>
        <v>1261569.2775243896</v>
      </c>
      <c r="S6" s="122">
        <f t="shared" ref="S6:W18" si="3">$O6*S$3</f>
        <v>3009436.0012620129</v>
      </c>
      <c r="T6" s="122">
        <f t="shared" si="3"/>
        <v>1260435.8291315604</v>
      </c>
      <c r="U6" s="122">
        <f t="shared" si="3"/>
        <v>15854.538731214594</v>
      </c>
      <c r="V6" s="122">
        <f t="shared" si="3"/>
        <v>2960.7045897545449</v>
      </c>
      <c r="W6" s="122">
        <f t="shared" si="3"/>
        <v>10286250.246453375</v>
      </c>
      <c r="X6" s="123"/>
      <c r="Y6" s="123"/>
      <c r="Z6" s="122">
        <f>$N6*Z$3</f>
        <v>1407885.2583951808</v>
      </c>
      <c r="AA6" s="122">
        <f t="shared" ref="AA6:AE18" si="4">$N6*AA$3</f>
        <v>3358468.4232123881</v>
      </c>
      <c r="AB6" s="122">
        <f t="shared" si="4"/>
        <v>1406620.3533980113</v>
      </c>
      <c r="AC6" s="122">
        <f t="shared" si="4"/>
        <v>17693.337778591333</v>
      </c>
      <c r="AD6" s="122">
        <f t="shared" si="4"/>
        <v>3304.0851744249849</v>
      </c>
      <c r="AE6" s="122">
        <f t="shared" si="4"/>
        <v>11479242.832041401</v>
      </c>
    </row>
    <row r="7" spans="1:31" x14ac:dyDescent="0.25">
      <c r="A7" t="s">
        <v>455</v>
      </c>
      <c r="B7" s="68">
        <f>'Corporate and Skipjack Alloc 21'!N7</f>
        <v>5966.29</v>
      </c>
      <c r="C7" s="68">
        <f>B7</f>
        <v>5966.29</v>
      </c>
      <c r="D7" s="68">
        <f t="shared" ref="D7:N7" si="5">C7</f>
        <v>5966.29</v>
      </c>
      <c r="E7" s="68">
        <f t="shared" si="5"/>
        <v>5966.29</v>
      </c>
      <c r="F7" s="68">
        <f t="shared" si="5"/>
        <v>5966.29</v>
      </c>
      <c r="G7" s="68">
        <f t="shared" si="5"/>
        <v>5966.29</v>
      </c>
      <c r="H7" s="68">
        <f t="shared" si="5"/>
        <v>5966.29</v>
      </c>
      <c r="I7" s="68">
        <f t="shared" si="5"/>
        <v>5966.29</v>
      </c>
      <c r="J7" s="68">
        <f t="shared" si="5"/>
        <v>5966.29</v>
      </c>
      <c r="K7" s="68">
        <f t="shared" si="5"/>
        <v>5966.29</v>
      </c>
      <c r="L7" s="68">
        <f t="shared" si="5"/>
        <v>5966.29</v>
      </c>
      <c r="M7" s="68">
        <f t="shared" si="5"/>
        <v>5966.29</v>
      </c>
      <c r="N7" s="68">
        <f t="shared" si="5"/>
        <v>5966.29</v>
      </c>
      <c r="O7" s="68">
        <f>SUM(B7:N7)/13</f>
        <v>5966.2899999999991</v>
      </c>
      <c r="R7" s="124">
        <f t="shared" ref="R7:W20" si="6">$O7*R$3</f>
        <v>475.28715492707249</v>
      </c>
      <c r="S7" s="124">
        <f t="shared" si="3"/>
        <v>1133.7833763530878</v>
      </c>
      <c r="T7" s="124">
        <f t="shared" si="3"/>
        <v>474.86013639429592</v>
      </c>
      <c r="U7" s="124">
        <f t="shared" si="3"/>
        <v>5.9730834766578091</v>
      </c>
      <c r="V7" s="124">
        <f t="shared" si="3"/>
        <v>1.1154241674347989</v>
      </c>
      <c r="W7" s="124">
        <f t="shared" si="3"/>
        <v>3875.27082468145</v>
      </c>
      <c r="X7" s="125"/>
      <c r="Y7" s="125"/>
      <c r="Z7" s="124">
        <f t="shared" ref="Z7:AE20" si="7">$N7*Z$3</f>
        <v>475.28715492707261</v>
      </c>
      <c r="AA7" s="124">
        <f t="shared" si="4"/>
        <v>1133.7833763530878</v>
      </c>
      <c r="AB7" s="124">
        <f t="shared" si="4"/>
        <v>474.86013639429598</v>
      </c>
      <c r="AC7" s="124">
        <f t="shared" si="4"/>
        <v>5.97308347665781</v>
      </c>
      <c r="AD7" s="124">
        <f t="shared" si="4"/>
        <v>1.1154241674347991</v>
      </c>
      <c r="AE7" s="124">
        <f t="shared" si="4"/>
        <v>3875.2708246814504</v>
      </c>
    </row>
    <row r="8" spans="1:31" x14ac:dyDescent="0.25">
      <c r="A8" t="s">
        <v>434</v>
      </c>
      <c r="B8" s="68">
        <f>'Corporate and Skipjack Alloc 21'!N8</f>
        <v>5047142.1800000006</v>
      </c>
      <c r="C8" s="68">
        <f t="shared" ref="C8:N19" si="8">B8</f>
        <v>5047142.1800000006</v>
      </c>
      <c r="D8" s="68">
        <f t="shared" si="8"/>
        <v>5047142.1800000006</v>
      </c>
      <c r="E8" s="68">
        <f t="shared" si="8"/>
        <v>5047142.1800000006</v>
      </c>
      <c r="F8" s="68">
        <f t="shared" si="8"/>
        <v>5047142.1800000006</v>
      </c>
      <c r="G8" s="68">
        <f t="shared" si="8"/>
        <v>5047142.1800000006</v>
      </c>
      <c r="H8" s="68">
        <f t="shared" si="8"/>
        <v>5047142.1800000006</v>
      </c>
      <c r="I8" s="68">
        <f t="shared" si="8"/>
        <v>5047142.1800000006</v>
      </c>
      <c r="J8" s="68">
        <f t="shared" si="8"/>
        <v>5047142.1800000006</v>
      </c>
      <c r="K8" s="68">
        <f t="shared" si="8"/>
        <v>5047142.1800000006</v>
      </c>
      <c r="L8" s="68">
        <f t="shared" si="8"/>
        <v>5047142.1800000006</v>
      </c>
      <c r="M8" s="68">
        <f t="shared" si="8"/>
        <v>5047142.1800000006</v>
      </c>
      <c r="N8" s="68">
        <f t="shared" si="8"/>
        <v>5047142.1800000006</v>
      </c>
      <c r="O8" s="68">
        <f t="shared" ref="O8:O19" si="9">SUM(B8:N8)/13</f>
        <v>5047142.1800000006</v>
      </c>
      <c r="R8" s="124">
        <f t="shared" si="6"/>
        <v>402065.91487249581</v>
      </c>
      <c r="S8" s="124">
        <f t="shared" si="3"/>
        <v>959116.28529194603</v>
      </c>
      <c r="T8" s="124">
        <f t="shared" si="3"/>
        <v>401704.6814680823</v>
      </c>
      <c r="U8" s="124">
        <f t="shared" si="3"/>
        <v>5052.8890750702167</v>
      </c>
      <c r="V8" s="124">
        <f t="shared" si="3"/>
        <v>943.58543819552153</v>
      </c>
      <c r="W8" s="124">
        <f t="shared" si="3"/>
        <v>3278258.8238542103</v>
      </c>
      <c r="X8" s="125"/>
      <c r="Y8" s="125"/>
      <c r="Z8" s="124">
        <f t="shared" si="7"/>
        <v>402065.91487249581</v>
      </c>
      <c r="AA8" s="124">
        <f t="shared" si="4"/>
        <v>959116.28529194603</v>
      </c>
      <c r="AB8" s="124">
        <f t="shared" si="4"/>
        <v>401704.6814680823</v>
      </c>
      <c r="AC8" s="124">
        <f t="shared" si="4"/>
        <v>5052.8890750702167</v>
      </c>
      <c r="AD8" s="124">
        <f t="shared" si="4"/>
        <v>943.58543819552153</v>
      </c>
      <c r="AE8" s="124">
        <f t="shared" si="4"/>
        <v>3278258.8238542103</v>
      </c>
    </row>
    <row r="9" spans="1:31" x14ac:dyDescent="0.25">
      <c r="A9" t="s">
        <v>456</v>
      </c>
      <c r="B9" s="68">
        <f>'Corporate and Skipjack Alloc 21'!N9</f>
        <v>421491.92</v>
      </c>
      <c r="C9" s="68">
        <f t="shared" si="8"/>
        <v>421491.92</v>
      </c>
      <c r="D9" s="68">
        <f t="shared" si="8"/>
        <v>421491.92</v>
      </c>
      <c r="E9" s="68">
        <f t="shared" si="8"/>
        <v>421491.92</v>
      </c>
      <c r="F9" s="68">
        <f t="shared" si="8"/>
        <v>421491.92</v>
      </c>
      <c r="G9" s="68">
        <f t="shared" si="8"/>
        <v>421491.92</v>
      </c>
      <c r="H9" s="68">
        <f t="shared" si="8"/>
        <v>421491.92</v>
      </c>
      <c r="I9" s="68">
        <f t="shared" si="8"/>
        <v>421491.92</v>
      </c>
      <c r="J9" s="68">
        <f t="shared" si="8"/>
        <v>421491.92</v>
      </c>
      <c r="K9" s="68">
        <f t="shared" si="8"/>
        <v>421491.92</v>
      </c>
      <c r="L9" s="68">
        <f t="shared" si="8"/>
        <v>421491.92</v>
      </c>
      <c r="M9" s="68">
        <f t="shared" si="8"/>
        <v>421491.92</v>
      </c>
      <c r="N9" s="68">
        <f t="shared" si="8"/>
        <v>421491.92</v>
      </c>
      <c r="O9" s="68">
        <f t="shared" si="9"/>
        <v>421491.92</v>
      </c>
      <c r="R9" s="124">
        <f t="shared" si="6"/>
        <v>33576.928959462122</v>
      </c>
      <c r="S9" s="124">
        <f t="shared" si="3"/>
        <v>80096.76568908745</v>
      </c>
      <c r="T9" s="124">
        <f t="shared" si="3"/>
        <v>33546.761994521497</v>
      </c>
      <c r="U9" s="124">
        <f t="shared" si="3"/>
        <v>421.97184898769177</v>
      </c>
      <c r="V9" s="124">
        <f t="shared" si="3"/>
        <v>78.799769026731013</v>
      </c>
      <c r="W9" s="124">
        <f t="shared" si="3"/>
        <v>273770.69173891447</v>
      </c>
      <c r="X9" s="125"/>
      <c r="Y9" s="125"/>
      <c r="Z9" s="124">
        <f t="shared" si="7"/>
        <v>33576.928959462122</v>
      </c>
      <c r="AA9" s="124">
        <f t="shared" si="4"/>
        <v>80096.76568908745</v>
      </c>
      <c r="AB9" s="124">
        <f t="shared" si="4"/>
        <v>33546.761994521497</v>
      </c>
      <c r="AC9" s="124">
        <f t="shared" si="4"/>
        <v>421.97184898769177</v>
      </c>
      <c r="AD9" s="124">
        <f t="shared" si="4"/>
        <v>78.799769026731013</v>
      </c>
      <c r="AE9" s="124">
        <f t="shared" si="4"/>
        <v>273770.69173891447</v>
      </c>
    </row>
    <row r="10" spans="1:31" x14ac:dyDescent="0.25">
      <c r="A10" t="s">
        <v>435</v>
      </c>
      <c r="B10" s="68">
        <f>'Corporate and Skipjack Alloc 21'!N10</f>
        <v>1182442.1100000001</v>
      </c>
      <c r="C10" s="68">
        <f t="shared" si="8"/>
        <v>1182442.1100000001</v>
      </c>
      <c r="D10" s="68">
        <f t="shared" si="8"/>
        <v>1182442.1100000001</v>
      </c>
      <c r="E10" s="68">
        <f t="shared" si="8"/>
        <v>1182442.1100000001</v>
      </c>
      <c r="F10" s="68">
        <f t="shared" si="8"/>
        <v>1182442.1100000001</v>
      </c>
      <c r="G10" s="68">
        <f t="shared" si="8"/>
        <v>1182442.1100000001</v>
      </c>
      <c r="H10" s="68">
        <f t="shared" si="8"/>
        <v>1182442.1100000001</v>
      </c>
      <c r="I10" s="68">
        <f t="shared" si="8"/>
        <v>1182442.1100000001</v>
      </c>
      <c r="J10" s="68">
        <f t="shared" si="8"/>
        <v>1182442.1100000001</v>
      </c>
      <c r="K10" s="68">
        <f t="shared" si="8"/>
        <v>1182442.1100000001</v>
      </c>
      <c r="L10" s="68">
        <f t="shared" si="8"/>
        <v>1182442.1100000001</v>
      </c>
      <c r="M10" s="68">
        <f t="shared" si="8"/>
        <v>1182442.1100000001</v>
      </c>
      <c r="N10" s="68">
        <f t="shared" si="8"/>
        <v>1182442.1100000001</v>
      </c>
      <c r="O10" s="68">
        <f t="shared" si="9"/>
        <v>1182442.1099999999</v>
      </c>
      <c r="R10" s="124">
        <f t="shared" si="6"/>
        <v>94195.814539330895</v>
      </c>
      <c r="S10" s="124">
        <f t="shared" si="3"/>
        <v>224701.3148569495</v>
      </c>
      <c r="T10" s="124">
        <f t="shared" si="3"/>
        <v>94111.184946249516</v>
      </c>
      <c r="U10" s="124">
        <f t="shared" si="3"/>
        <v>1183.788489889931</v>
      </c>
      <c r="V10" s="124">
        <f t="shared" si="3"/>
        <v>221.06275526107464</v>
      </c>
      <c r="W10" s="124">
        <f t="shared" si="3"/>
        <v>768028.94441231887</v>
      </c>
      <c r="X10" s="125"/>
      <c r="Y10" s="125"/>
      <c r="Z10" s="124">
        <f t="shared" si="7"/>
        <v>94195.81453933091</v>
      </c>
      <c r="AA10" s="124">
        <f t="shared" si="4"/>
        <v>224701.31485694952</v>
      </c>
      <c r="AB10" s="124">
        <f t="shared" si="4"/>
        <v>94111.184946249545</v>
      </c>
      <c r="AC10" s="124">
        <f t="shared" si="4"/>
        <v>1183.7884898899313</v>
      </c>
      <c r="AD10" s="124">
        <f t="shared" si="4"/>
        <v>221.0627552610747</v>
      </c>
      <c r="AE10" s="124">
        <f t="shared" si="4"/>
        <v>768028.94441231911</v>
      </c>
    </row>
    <row r="11" spans="1:31" x14ac:dyDescent="0.25">
      <c r="A11" t="s">
        <v>457</v>
      </c>
      <c r="B11" s="68">
        <f>'Corporate and Skipjack Alloc 21'!N11</f>
        <v>3850066.0300000017</v>
      </c>
      <c r="C11" s="68">
        <f>B11+161528</f>
        <v>4011594.0300000017</v>
      </c>
      <c r="D11" s="68">
        <f t="shared" si="8"/>
        <v>4011594.0300000017</v>
      </c>
      <c r="E11" s="68">
        <f>D11+50000</f>
        <v>4061594.0300000017</v>
      </c>
      <c r="F11" s="68">
        <f t="shared" si="8"/>
        <v>4061594.0300000017</v>
      </c>
      <c r="G11" s="68">
        <f t="shared" si="8"/>
        <v>4061594.0300000017</v>
      </c>
      <c r="H11" s="68">
        <f>G11+210946</f>
        <v>4272540.0300000012</v>
      </c>
      <c r="I11" s="68">
        <f t="shared" si="8"/>
        <v>4272540.0300000012</v>
      </c>
      <c r="J11" s="68">
        <f t="shared" si="8"/>
        <v>4272540.0300000012</v>
      </c>
      <c r="K11" s="68">
        <f t="shared" si="8"/>
        <v>4272540.0300000012</v>
      </c>
      <c r="L11" s="68">
        <f t="shared" si="8"/>
        <v>4272540.0300000012</v>
      </c>
      <c r="M11" s="68">
        <f t="shared" si="8"/>
        <v>4272540.0300000012</v>
      </c>
      <c r="N11" s="68">
        <f>M11+1858333</f>
        <v>6130873.0300000012</v>
      </c>
      <c r="O11" s="68">
        <f t="shared" si="9"/>
        <v>4294165.3376923092</v>
      </c>
      <c r="R11" s="124">
        <f t="shared" si="6"/>
        <v>342082.20286614116</v>
      </c>
      <c r="S11" s="124">
        <f t="shared" si="3"/>
        <v>816026.92379806947</v>
      </c>
      <c r="T11" s="124">
        <f t="shared" si="3"/>
        <v>341774.8614224632</v>
      </c>
      <c r="U11" s="124">
        <f t="shared" si="3"/>
        <v>4299.0548606599141</v>
      </c>
      <c r="V11" s="124">
        <f t="shared" si="3"/>
        <v>802.81310439533058</v>
      </c>
      <c r="W11" s="124">
        <f t="shared" si="3"/>
        <v>2789179.4816405796</v>
      </c>
      <c r="X11" s="125"/>
      <c r="Y11" s="125"/>
      <c r="Z11" s="124">
        <f t="shared" si="7"/>
        <v>488398.18373693223</v>
      </c>
      <c r="AA11" s="124">
        <f t="shared" si="4"/>
        <v>1165059.3457484446</v>
      </c>
      <c r="AB11" s="124">
        <f t="shared" si="4"/>
        <v>487959.3856889141</v>
      </c>
      <c r="AC11" s="124">
        <f t="shared" si="4"/>
        <v>6137.8539080366545</v>
      </c>
      <c r="AD11" s="124">
        <f t="shared" si="4"/>
        <v>1146.1936890657705</v>
      </c>
      <c r="AE11" s="124">
        <f t="shared" si="4"/>
        <v>3982172.0672286074</v>
      </c>
    </row>
    <row r="12" spans="1:31" x14ac:dyDescent="0.25">
      <c r="A12" t="s">
        <v>436</v>
      </c>
      <c r="B12" s="68">
        <f>'Corporate and Skipjack Alloc 21'!N12</f>
        <v>871991.45999999973</v>
      </c>
      <c r="C12" s="68">
        <f t="shared" si="8"/>
        <v>871991.45999999973</v>
      </c>
      <c r="D12" s="68">
        <f t="shared" si="8"/>
        <v>871991.45999999973</v>
      </c>
      <c r="E12" s="68">
        <f t="shared" si="8"/>
        <v>871991.45999999973</v>
      </c>
      <c r="F12" s="68">
        <f t="shared" si="8"/>
        <v>871991.45999999973</v>
      </c>
      <c r="G12" s="68">
        <f t="shared" si="8"/>
        <v>871991.45999999973</v>
      </c>
      <c r="H12" s="68">
        <f t="shared" si="8"/>
        <v>871991.45999999973</v>
      </c>
      <c r="I12" s="68">
        <f t="shared" si="8"/>
        <v>871991.45999999973</v>
      </c>
      <c r="J12" s="68">
        <f t="shared" si="8"/>
        <v>871991.45999999973</v>
      </c>
      <c r="K12" s="68">
        <f t="shared" si="8"/>
        <v>871991.45999999973</v>
      </c>
      <c r="L12" s="68">
        <f t="shared" si="8"/>
        <v>871991.45999999973</v>
      </c>
      <c r="M12" s="68">
        <f t="shared" si="8"/>
        <v>871991.45999999973</v>
      </c>
      <c r="N12" s="68">
        <f t="shared" si="8"/>
        <v>871991.45999999973</v>
      </c>
      <c r="O12" s="68">
        <f t="shared" si="9"/>
        <v>871991.45999999961</v>
      </c>
      <c r="R12" s="124">
        <f t="shared" si="6"/>
        <v>69464.665670643575</v>
      </c>
      <c r="S12" s="124">
        <f t="shared" si="3"/>
        <v>165705.89456259386</v>
      </c>
      <c r="T12" s="124">
        <f t="shared" si="3"/>
        <v>69402.25561115217</v>
      </c>
      <c r="U12" s="124">
        <f t="shared" si="3"/>
        <v>872.98434731009013</v>
      </c>
      <c r="V12" s="124">
        <f t="shared" si="3"/>
        <v>163.02264024724821</v>
      </c>
      <c r="W12" s="124">
        <f t="shared" si="3"/>
        <v>566382.63716805261</v>
      </c>
      <c r="X12" s="125"/>
      <c r="Y12" s="125"/>
      <c r="Z12" s="124">
        <f t="shared" si="7"/>
        <v>69464.665670643575</v>
      </c>
      <c r="AA12" s="124">
        <f t="shared" si="4"/>
        <v>165705.89456259389</v>
      </c>
      <c r="AB12" s="124">
        <f t="shared" si="4"/>
        <v>69402.255611152184</v>
      </c>
      <c r="AC12" s="124">
        <f t="shared" si="4"/>
        <v>872.98434731009024</v>
      </c>
      <c r="AD12" s="124">
        <f t="shared" si="4"/>
        <v>163.02264024724823</v>
      </c>
      <c r="AE12" s="124">
        <f t="shared" si="4"/>
        <v>566382.63716805272</v>
      </c>
    </row>
    <row r="13" spans="1:31" x14ac:dyDescent="0.25">
      <c r="A13" t="s">
        <v>437</v>
      </c>
      <c r="B13" s="68">
        <f>'Corporate and Skipjack Alloc 21'!N13</f>
        <v>133969.25</v>
      </c>
      <c r="C13" s="68">
        <f t="shared" si="8"/>
        <v>133969.25</v>
      </c>
      <c r="D13" s="68">
        <f t="shared" si="8"/>
        <v>133969.25</v>
      </c>
      <c r="E13" s="68">
        <f t="shared" si="8"/>
        <v>133969.25</v>
      </c>
      <c r="F13" s="68">
        <f t="shared" si="8"/>
        <v>133969.25</v>
      </c>
      <c r="G13" s="68">
        <f t="shared" si="8"/>
        <v>133969.25</v>
      </c>
      <c r="H13" s="68">
        <f t="shared" si="8"/>
        <v>133969.25</v>
      </c>
      <c r="I13" s="68">
        <f t="shared" si="8"/>
        <v>133969.25</v>
      </c>
      <c r="J13" s="68">
        <f t="shared" si="8"/>
        <v>133969.25</v>
      </c>
      <c r="K13" s="68">
        <f t="shared" si="8"/>
        <v>133969.25</v>
      </c>
      <c r="L13" s="68">
        <f t="shared" si="8"/>
        <v>133969.25</v>
      </c>
      <c r="M13" s="68">
        <f t="shared" si="8"/>
        <v>133969.25</v>
      </c>
      <c r="N13" s="68">
        <f t="shared" si="8"/>
        <v>133969.25</v>
      </c>
      <c r="O13" s="68">
        <f t="shared" si="9"/>
        <v>133969.25</v>
      </c>
      <c r="R13" s="124">
        <f t="shared" si="6"/>
        <v>10672.270989209997</v>
      </c>
      <c r="S13" s="124">
        <f t="shared" si="3"/>
        <v>25458.385125847202</v>
      </c>
      <c r="T13" s="124">
        <f t="shared" si="3"/>
        <v>10662.682559453451</v>
      </c>
      <c r="U13" s="124">
        <f t="shared" si="3"/>
        <v>134.12179320067233</v>
      </c>
      <c r="V13" s="124">
        <f t="shared" si="3"/>
        <v>25.04614075801117</v>
      </c>
      <c r="W13" s="124">
        <f t="shared" si="3"/>
        <v>87016.743391530661</v>
      </c>
      <c r="X13" s="125"/>
      <c r="Y13" s="125"/>
      <c r="Z13" s="124">
        <f t="shared" si="7"/>
        <v>10672.270989209997</v>
      </c>
      <c r="AA13" s="124">
        <f t="shared" si="4"/>
        <v>25458.385125847202</v>
      </c>
      <c r="AB13" s="124">
        <f t="shared" si="4"/>
        <v>10662.682559453451</v>
      </c>
      <c r="AC13" s="124">
        <f t="shared" si="4"/>
        <v>134.12179320067233</v>
      </c>
      <c r="AD13" s="124">
        <f t="shared" si="4"/>
        <v>25.04614075801117</v>
      </c>
      <c r="AE13" s="124">
        <f t="shared" si="4"/>
        <v>87016.743391530661</v>
      </c>
    </row>
    <row r="14" spans="1:31" x14ac:dyDescent="0.25">
      <c r="A14" t="s">
        <v>438</v>
      </c>
      <c r="B14" s="68">
        <f>'Corporate and Skipjack Alloc 21'!N14</f>
        <v>2265779.04</v>
      </c>
      <c r="C14" s="68">
        <f t="shared" si="8"/>
        <v>2265779.04</v>
      </c>
      <c r="D14" s="68">
        <f t="shared" si="8"/>
        <v>2265779.04</v>
      </c>
      <c r="E14" s="68">
        <f t="shared" si="8"/>
        <v>2265779.04</v>
      </c>
      <c r="F14" s="68">
        <f t="shared" si="8"/>
        <v>2265779.04</v>
      </c>
      <c r="G14" s="68">
        <f t="shared" si="8"/>
        <v>2265779.04</v>
      </c>
      <c r="H14" s="68">
        <f t="shared" si="8"/>
        <v>2265779.04</v>
      </c>
      <c r="I14" s="68">
        <f t="shared" si="8"/>
        <v>2265779.04</v>
      </c>
      <c r="J14" s="68">
        <f t="shared" si="8"/>
        <v>2265779.04</v>
      </c>
      <c r="K14" s="68">
        <f t="shared" si="8"/>
        <v>2265779.04</v>
      </c>
      <c r="L14" s="68">
        <f t="shared" si="8"/>
        <v>2265779.04</v>
      </c>
      <c r="M14" s="68">
        <f t="shared" si="8"/>
        <v>2265779.04</v>
      </c>
      <c r="N14" s="68">
        <f t="shared" si="8"/>
        <v>2265779.04</v>
      </c>
      <c r="O14" s="68">
        <f t="shared" si="9"/>
        <v>2265779.0399999996</v>
      </c>
      <c r="R14" s="124">
        <f t="shared" si="6"/>
        <v>180496.70291169113</v>
      </c>
      <c r="S14" s="124">
        <f t="shared" si="3"/>
        <v>430569.51808263722</v>
      </c>
      <c r="T14" s="124">
        <f t="shared" si="3"/>
        <v>180334.53686859619</v>
      </c>
      <c r="U14" s="124">
        <f t="shared" si="3"/>
        <v>2268.3589543219646</v>
      </c>
      <c r="V14" s="124">
        <f t="shared" si="3"/>
        <v>423.59736105405841</v>
      </c>
      <c r="W14" s="124">
        <f t="shared" si="3"/>
        <v>1471686.3258216989</v>
      </c>
      <c r="X14" s="125"/>
      <c r="Y14" s="125"/>
      <c r="Z14" s="124">
        <f t="shared" si="7"/>
        <v>180496.70291169116</v>
      </c>
      <c r="AA14" s="124">
        <f t="shared" si="4"/>
        <v>430569.51808263728</v>
      </c>
      <c r="AB14" s="124">
        <f t="shared" si="4"/>
        <v>180334.53686859622</v>
      </c>
      <c r="AC14" s="124">
        <f t="shared" si="4"/>
        <v>2268.358954321965</v>
      </c>
      <c r="AD14" s="124">
        <f t="shared" si="4"/>
        <v>423.59736105405847</v>
      </c>
      <c r="AE14" s="124">
        <f t="shared" si="4"/>
        <v>1471686.3258216991</v>
      </c>
    </row>
    <row r="15" spans="1:31" x14ac:dyDescent="0.25">
      <c r="A15" t="s">
        <v>458</v>
      </c>
      <c r="B15" s="68">
        <f>'Corporate and Skipjack Alloc 21'!N15</f>
        <v>1244509.3299999998</v>
      </c>
      <c r="C15" s="68">
        <f t="shared" si="8"/>
        <v>1244509.3299999998</v>
      </c>
      <c r="D15" s="68">
        <f t="shared" si="8"/>
        <v>1244509.3299999998</v>
      </c>
      <c r="E15" s="68">
        <f t="shared" si="8"/>
        <v>1244509.3299999998</v>
      </c>
      <c r="F15" s="68">
        <f t="shared" si="8"/>
        <v>1244509.3299999998</v>
      </c>
      <c r="G15" s="68">
        <f t="shared" si="8"/>
        <v>1244509.3299999998</v>
      </c>
      <c r="H15" s="68">
        <f t="shared" si="8"/>
        <v>1244509.3299999998</v>
      </c>
      <c r="I15" s="68">
        <f t="shared" si="8"/>
        <v>1244509.3299999998</v>
      </c>
      <c r="J15" s="68">
        <f t="shared" si="8"/>
        <v>1244509.3299999998</v>
      </c>
      <c r="K15" s="68">
        <f t="shared" si="8"/>
        <v>1244509.3299999998</v>
      </c>
      <c r="L15" s="68">
        <f t="shared" si="8"/>
        <v>1244509.3299999998</v>
      </c>
      <c r="M15" s="68">
        <f t="shared" si="8"/>
        <v>1244509.3299999998</v>
      </c>
      <c r="N15" s="68">
        <f t="shared" si="8"/>
        <v>1244509.3299999998</v>
      </c>
      <c r="O15" s="68">
        <f t="shared" si="9"/>
        <v>1244509.3299999998</v>
      </c>
      <c r="R15" s="124">
        <f t="shared" si="6"/>
        <v>99140.219254494368</v>
      </c>
      <c r="S15" s="124">
        <f t="shared" si="3"/>
        <v>236496.04529285687</v>
      </c>
      <c r="T15" s="124">
        <f t="shared" si="3"/>
        <v>99051.147394406536</v>
      </c>
      <c r="U15" s="124">
        <f t="shared" si="3"/>
        <v>1245.926382319579</v>
      </c>
      <c r="V15" s="124">
        <f t="shared" si="3"/>
        <v>232.66649513853491</v>
      </c>
      <c r="W15" s="124">
        <f t="shared" si="3"/>
        <v>808343.32518078387</v>
      </c>
      <c r="X15" s="125"/>
      <c r="Y15" s="125"/>
      <c r="Z15" s="124">
        <f t="shared" si="7"/>
        <v>99140.219254494368</v>
      </c>
      <c r="AA15" s="124">
        <f t="shared" si="4"/>
        <v>236496.04529285687</v>
      </c>
      <c r="AB15" s="124">
        <f t="shared" si="4"/>
        <v>99051.147394406536</v>
      </c>
      <c r="AC15" s="124">
        <f t="shared" si="4"/>
        <v>1245.926382319579</v>
      </c>
      <c r="AD15" s="124">
        <f t="shared" si="4"/>
        <v>232.66649513853491</v>
      </c>
      <c r="AE15" s="124">
        <f t="shared" si="4"/>
        <v>808343.32518078387</v>
      </c>
    </row>
    <row r="16" spans="1:31" x14ac:dyDescent="0.25">
      <c r="A16" t="s">
        <v>441</v>
      </c>
      <c r="B16" s="68">
        <f>'Corporate and Skipjack Alloc 21'!N16</f>
        <v>369049.68000000005</v>
      </c>
      <c r="C16" s="68">
        <f t="shared" si="8"/>
        <v>369049.68000000005</v>
      </c>
      <c r="D16" s="68">
        <f t="shared" si="8"/>
        <v>369049.68000000005</v>
      </c>
      <c r="E16" s="68">
        <f t="shared" si="8"/>
        <v>369049.68000000005</v>
      </c>
      <c r="F16" s="68">
        <f t="shared" si="8"/>
        <v>369049.68000000005</v>
      </c>
      <c r="G16" s="68">
        <f t="shared" si="8"/>
        <v>369049.68000000005</v>
      </c>
      <c r="H16" s="68">
        <f t="shared" si="8"/>
        <v>369049.68000000005</v>
      </c>
      <c r="I16" s="68">
        <f t="shared" si="8"/>
        <v>369049.68000000005</v>
      </c>
      <c r="J16" s="68">
        <f t="shared" si="8"/>
        <v>369049.68000000005</v>
      </c>
      <c r="K16" s="68">
        <f t="shared" si="8"/>
        <v>369049.68000000005</v>
      </c>
      <c r="L16" s="68">
        <f t="shared" si="8"/>
        <v>369049.68000000005</v>
      </c>
      <c r="M16" s="68">
        <f t="shared" si="8"/>
        <v>369049.68000000005</v>
      </c>
      <c r="N16" s="68">
        <f t="shared" si="8"/>
        <v>369049.68000000005</v>
      </c>
      <c r="O16" s="68">
        <f t="shared" si="9"/>
        <v>369049.68000000005</v>
      </c>
      <c r="R16" s="124">
        <f t="shared" si="6"/>
        <v>29399.270305993607</v>
      </c>
      <c r="S16" s="124">
        <f t="shared" si="3"/>
        <v>70131.085185672622</v>
      </c>
      <c r="T16" s="124">
        <f t="shared" si="3"/>
        <v>29372.856730241288</v>
      </c>
      <c r="U16" s="124">
        <f t="shared" si="3"/>
        <v>369.46989597787785</v>
      </c>
      <c r="V16" s="124">
        <f t="shared" si="3"/>
        <v>68.995461510600236</v>
      </c>
      <c r="W16" s="124">
        <f t="shared" si="3"/>
        <v>239708.00242060403</v>
      </c>
      <c r="X16" s="125"/>
      <c r="Y16" s="125"/>
      <c r="Z16" s="124">
        <f t="shared" si="7"/>
        <v>29399.270305993607</v>
      </c>
      <c r="AA16" s="124">
        <f t="shared" si="4"/>
        <v>70131.085185672622</v>
      </c>
      <c r="AB16" s="124">
        <f t="shared" si="4"/>
        <v>29372.856730241288</v>
      </c>
      <c r="AC16" s="124">
        <f t="shared" si="4"/>
        <v>369.46989597787785</v>
      </c>
      <c r="AD16" s="124">
        <f t="shared" si="4"/>
        <v>68.995461510600236</v>
      </c>
      <c r="AE16" s="124">
        <f t="shared" si="4"/>
        <v>239708.00242060403</v>
      </c>
    </row>
    <row r="17" spans="1:32" x14ac:dyDescent="0.25">
      <c r="A17" s="116" t="s">
        <v>459</v>
      </c>
      <c r="B17" s="117">
        <f t="shared" ref="B17:O17" si="10">SUM(B18:B19)</f>
        <v>475306.17</v>
      </c>
      <c r="C17" s="68">
        <f t="shared" si="8"/>
        <v>475306.17</v>
      </c>
      <c r="D17" s="68">
        <f t="shared" si="8"/>
        <v>475306.17</v>
      </c>
      <c r="E17" s="68">
        <f t="shared" si="8"/>
        <v>475306.17</v>
      </c>
      <c r="F17" s="68">
        <f t="shared" si="8"/>
        <v>475306.17</v>
      </c>
      <c r="G17" s="68">
        <f t="shared" si="8"/>
        <v>475306.17</v>
      </c>
      <c r="H17" s="68">
        <f t="shared" si="8"/>
        <v>475306.17</v>
      </c>
      <c r="I17" s="68">
        <f t="shared" si="8"/>
        <v>475306.17</v>
      </c>
      <c r="J17" s="68">
        <f t="shared" si="8"/>
        <v>475306.17</v>
      </c>
      <c r="K17" s="68">
        <f t="shared" si="8"/>
        <v>475306.17</v>
      </c>
      <c r="L17" s="68">
        <f t="shared" si="8"/>
        <v>475306.17</v>
      </c>
      <c r="M17" s="68">
        <f t="shared" si="8"/>
        <v>475306.17</v>
      </c>
      <c r="N17" s="68">
        <f t="shared" si="8"/>
        <v>475306.17</v>
      </c>
      <c r="O17" s="117">
        <f t="shared" si="10"/>
        <v>475306.17</v>
      </c>
      <c r="R17" s="126">
        <f t="shared" si="6"/>
        <v>37863.884802546221</v>
      </c>
      <c r="S17" s="126">
        <f t="shared" si="3"/>
        <v>90323.171388594041</v>
      </c>
      <c r="T17" s="126">
        <f t="shared" si="3"/>
        <v>37829.866251095809</v>
      </c>
      <c r="U17" s="126">
        <f t="shared" si="3"/>
        <v>475.84737422762021</v>
      </c>
      <c r="V17" s="126">
        <f t="shared" si="3"/>
        <v>88.860579849265307</v>
      </c>
      <c r="W17" s="126">
        <f t="shared" si="3"/>
        <v>308724.53960368701</v>
      </c>
      <c r="X17" s="125"/>
      <c r="Y17" s="125"/>
      <c r="Z17" s="126">
        <f t="shared" si="7"/>
        <v>37863.884802546221</v>
      </c>
      <c r="AA17" s="126">
        <f t="shared" si="4"/>
        <v>90323.171388594041</v>
      </c>
      <c r="AB17" s="126">
        <f t="shared" si="4"/>
        <v>37829.866251095809</v>
      </c>
      <c r="AC17" s="126">
        <f t="shared" si="4"/>
        <v>475.84737422762021</v>
      </c>
      <c r="AD17" s="126">
        <f t="shared" si="4"/>
        <v>88.860579849265307</v>
      </c>
      <c r="AE17" s="126">
        <f t="shared" si="4"/>
        <v>308724.53960368701</v>
      </c>
    </row>
    <row r="18" spans="1:32" x14ac:dyDescent="0.25">
      <c r="A18" t="s">
        <v>435</v>
      </c>
      <c r="B18" s="68">
        <f>'Corporate and Skipjack Alloc 21'!N18</f>
        <v>5656.13</v>
      </c>
      <c r="C18" s="68">
        <f t="shared" si="8"/>
        <v>5656.13</v>
      </c>
      <c r="D18" s="68">
        <f t="shared" si="8"/>
        <v>5656.13</v>
      </c>
      <c r="E18" s="68">
        <f t="shared" si="8"/>
        <v>5656.13</v>
      </c>
      <c r="F18" s="68">
        <f t="shared" si="8"/>
        <v>5656.13</v>
      </c>
      <c r="G18" s="68">
        <f t="shared" si="8"/>
        <v>5656.13</v>
      </c>
      <c r="H18" s="68">
        <f t="shared" si="8"/>
        <v>5656.13</v>
      </c>
      <c r="I18" s="68">
        <f t="shared" si="8"/>
        <v>5656.13</v>
      </c>
      <c r="J18" s="68">
        <f t="shared" si="8"/>
        <v>5656.13</v>
      </c>
      <c r="K18" s="68">
        <f t="shared" si="8"/>
        <v>5656.13</v>
      </c>
      <c r="L18" s="68">
        <f t="shared" si="8"/>
        <v>5656.13</v>
      </c>
      <c r="M18" s="68">
        <f t="shared" si="8"/>
        <v>5656.13</v>
      </c>
      <c r="N18" s="68">
        <f t="shared" si="8"/>
        <v>5656.13</v>
      </c>
      <c r="O18" s="68">
        <f t="shared" si="9"/>
        <v>5656.1299999999992</v>
      </c>
      <c r="R18" s="127">
        <f t="shared" si="6"/>
        <v>450.57915984601198</v>
      </c>
      <c r="S18" s="127">
        <f t="shared" si="3"/>
        <v>1074.8431887306836</v>
      </c>
      <c r="T18" s="127">
        <f t="shared" si="3"/>
        <v>450.1743400444613</v>
      </c>
      <c r="U18" s="127">
        <f t="shared" si="3"/>
        <v>5.66257031502467</v>
      </c>
      <c r="V18" s="127">
        <f t="shared" si="3"/>
        <v>1.0574383907173452</v>
      </c>
      <c r="W18" s="127">
        <f t="shared" si="3"/>
        <v>3673.8133026731002</v>
      </c>
      <c r="X18" s="128"/>
      <c r="Y18" s="128"/>
      <c r="Z18" s="127">
        <f t="shared" si="7"/>
        <v>450.57915984601203</v>
      </c>
      <c r="AA18" s="127">
        <f t="shared" si="4"/>
        <v>1074.8431887306838</v>
      </c>
      <c r="AB18" s="127">
        <f t="shared" si="4"/>
        <v>450.17434004446136</v>
      </c>
      <c r="AC18" s="127">
        <f t="shared" si="4"/>
        <v>5.6625703150246709</v>
      </c>
      <c r="AD18" s="127">
        <f t="shared" si="4"/>
        <v>1.0574383907173455</v>
      </c>
      <c r="AE18" s="127">
        <f t="shared" si="4"/>
        <v>3673.8133026731007</v>
      </c>
      <c r="AF18" s="89"/>
    </row>
    <row r="19" spans="1:32" x14ac:dyDescent="0.25">
      <c r="A19" t="s">
        <v>441</v>
      </c>
      <c r="B19" s="68">
        <f>'Corporate and Skipjack Alloc 21'!N19</f>
        <v>469650.04</v>
      </c>
      <c r="C19" s="68">
        <f t="shared" si="8"/>
        <v>469650.04</v>
      </c>
      <c r="D19" s="68">
        <f t="shared" si="8"/>
        <v>469650.04</v>
      </c>
      <c r="E19" s="68">
        <f t="shared" si="8"/>
        <v>469650.04</v>
      </c>
      <c r="F19" s="68">
        <f t="shared" si="8"/>
        <v>469650.04</v>
      </c>
      <c r="G19" s="68">
        <f t="shared" si="8"/>
        <v>469650.04</v>
      </c>
      <c r="H19" s="68">
        <f t="shared" si="8"/>
        <v>469650.04</v>
      </c>
      <c r="I19" s="68">
        <f t="shared" si="8"/>
        <v>469650.04</v>
      </c>
      <c r="J19" s="68">
        <f t="shared" si="8"/>
        <v>469650.04</v>
      </c>
      <c r="K19" s="68">
        <f t="shared" si="8"/>
        <v>469650.04</v>
      </c>
      <c r="L19" s="68">
        <f t="shared" si="8"/>
        <v>469650.04</v>
      </c>
      <c r="M19" s="68">
        <f t="shared" si="8"/>
        <v>469650.04</v>
      </c>
      <c r="N19" s="68">
        <f t="shared" si="8"/>
        <v>469650.04</v>
      </c>
      <c r="O19" s="68">
        <f t="shared" si="9"/>
        <v>469650.04</v>
      </c>
      <c r="R19" s="124">
        <f t="shared" si="6"/>
        <v>37413.305642700208</v>
      </c>
      <c r="S19" s="124">
        <f t="shared" si="6"/>
        <v>89248.328199863361</v>
      </c>
      <c r="T19" s="124">
        <f t="shared" si="6"/>
        <v>37379.691911051348</v>
      </c>
      <c r="U19" s="124">
        <f t="shared" si="6"/>
        <v>470.18480391259556</v>
      </c>
      <c r="V19" s="124">
        <f t="shared" si="6"/>
        <v>87.803141458547955</v>
      </c>
      <c r="W19" s="124">
        <f t="shared" si="6"/>
        <v>305050.7263010139</v>
      </c>
      <c r="X19" s="125"/>
      <c r="Y19" s="125"/>
      <c r="Z19" s="124">
        <f t="shared" si="7"/>
        <v>37413.305642700208</v>
      </c>
      <c r="AA19" s="124">
        <f t="shared" si="7"/>
        <v>89248.328199863361</v>
      </c>
      <c r="AB19" s="124">
        <f t="shared" si="7"/>
        <v>37379.691911051348</v>
      </c>
      <c r="AC19" s="124">
        <f t="shared" si="7"/>
        <v>470.18480391259556</v>
      </c>
      <c r="AD19" s="124">
        <f t="shared" si="7"/>
        <v>87.803141458547955</v>
      </c>
      <c r="AE19" s="124">
        <f t="shared" si="7"/>
        <v>305050.7263010139</v>
      </c>
    </row>
    <row r="20" spans="1:32" ht="15.75" thickBot="1" x14ac:dyDescent="0.3">
      <c r="A20" s="116" t="s">
        <v>443</v>
      </c>
      <c r="B20" s="117">
        <f t="shared" ref="B20:O20" si="11">B17+B6</f>
        <v>15867713.460000001</v>
      </c>
      <c r="C20" s="117">
        <f t="shared" si="11"/>
        <v>16029241.460000001</v>
      </c>
      <c r="D20" s="117">
        <f t="shared" si="11"/>
        <v>16029241.460000001</v>
      </c>
      <c r="E20" s="117">
        <f t="shared" si="11"/>
        <v>16079241.460000001</v>
      </c>
      <c r="F20" s="117">
        <f t="shared" si="11"/>
        <v>16079241.460000001</v>
      </c>
      <c r="G20" s="117">
        <f t="shared" si="11"/>
        <v>16079241.460000001</v>
      </c>
      <c r="H20" s="117">
        <f t="shared" si="11"/>
        <v>16290187.460000001</v>
      </c>
      <c r="I20" s="117">
        <f t="shared" si="11"/>
        <v>16290187.460000001</v>
      </c>
      <c r="J20" s="117">
        <f t="shared" si="11"/>
        <v>16290187.460000001</v>
      </c>
      <c r="K20" s="117">
        <f t="shared" si="11"/>
        <v>16290187.460000001</v>
      </c>
      <c r="L20" s="117">
        <f t="shared" si="11"/>
        <v>16290187.460000001</v>
      </c>
      <c r="M20" s="117">
        <f t="shared" si="11"/>
        <v>16290187.460000001</v>
      </c>
      <c r="N20" s="117">
        <f t="shared" si="11"/>
        <v>18148520.460000001</v>
      </c>
      <c r="O20" s="117">
        <f t="shared" si="11"/>
        <v>16311812.767692307</v>
      </c>
      <c r="R20" s="129">
        <f t="shared" si="6"/>
        <v>1299433.1623269359</v>
      </c>
      <c r="S20" s="129">
        <f t="shared" si="6"/>
        <v>3099759.1726506073</v>
      </c>
      <c r="T20" s="129">
        <f t="shared" si="6"/>
        <v>1298265.6953826561</v>
      </c>
      <c r="U20" s="129">
        <f t="shared" si="6"/>
        <v>16330.386105442214</v>
      </c>
      <c r="V20" s="129">
        <f t="shared" si="6"/>
        <v>3049.5651696038103</v>
      </c>
      <c r="W20" s="129">
        <f t="shared" si="6"/>
        <v>10594974.786057061</v>
      </c>
      <c r="X20" s="125"/>
      <c r="Y20" s="125"/>
      <c r="Z20" s="129">
        <f t="shared" si="7"/>
        <v>1445749.1431977272</v>
      </c>
      <c r="AA20" s="129">
        <f t="shared" si="7"/>
        <v>3448791.5946009825</v>
      </c>
      <c r="AB20" s="129">
        <f t="shared" si="7"/>
        <v>1444450.2196491072</v>
      </c>
      <c r="AC20" s="129">
        <f t="shared" si="7"/>
        <v>18169.185152818958</v>
      </c>
      <c r="AD20" s="129">
        <f t="shared" si="7"/>
        <v>3392.9457542742507</v>
      </c>
      <c r="AE20" s="129">
        <f t="shared" si="7"/>
        <v>11787967.371645089</v>
      </c>
    </row>
    <row r="21" spans="1:32" ht="15.75" thickTop="1" x14ac:dyDescent="0.25"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</row>
    <row r="22" spans="1:32" ht="15.75" x14ac:dyDescent="0.25">
      <c r="A22" s="112" t="s">
        <v>74</v>
      </c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</row>
    <row r="23" spans="1:32" x14ac:dyDescent="0.25">
      <c r="A23" s="116" t="s">
        <v>454</v>
      </c>
      <c r="B23" s="117">
        <f>SUM(B24:B33)</f>
        <v>5841590.54</v>
      </c>
      <c r="C23" s="117">
        <f t="shared" ref="C23:O23" si="12">SUM(C24:C33)</f>
        <v>6041973.6862666663</v>
      </c>
      <c r="D23" s="117">
        <f t="shared" ref="D23:N23" si="13">SUM(D24:D33)</f>
        <v>6242356.8325333335</v>
      </c>
      <c r="E23" s="117">
        <f t="shared" si="13"/>
        <v>6442879.1454666657</v>
      </c>
      <c r="F23" s="117">
        <f t="shared" si="13"/>
        <v>6643401.4584000008</v>
      </c>
      <c r="G23" s="117">
        <f t="shared" si="13"/>
        <v>6843923.7713333331</v>
      </c>
      <c r="H23" s="117">
        <f t="shared" si="13"/>
        <v>7045033.2173000015</v>
      </c>
      <c r="I23" s="117">
        <f t="shared" si="13"/>
        <v>7246142.6632666662</v>
      </c>
      <c r="J23" s="117">
        <f t="shared" si="13"/>
        <v>7447252.1092333347</v>
      </c>
      <c r="K23" s="117">
        <f t="shared" si="13"/>
        <v>7648361.5551999994</v>
      </c>
      <c r="L23" s="117">
        <f t="shared" si="13"/>
        <v>7849471.001166665</v>
      </c>
      <c r="M23" s="117">
        <f t="shared" si="13"/>
        <v>8050580.4471333325</v>
      </c>
      <c r="N23" s="117">
        <f t="shared" si="13"/>
        <v>8256862.253283333</v>
      </c>
      <c r="O23" s="117">
        <f t="shared" si="12"/>
        <v>7046140.6677371804</v>
      </c>
      <c r="R23" s="122">
        <f t="shared" ref="R23:W37" si="14">$O23*R$3</f>
        <v>561310.32034727582</v>
      </c>
      <c r="S23" s="122">
        <f t="shared" si="14"/>
        <v>1338989.0797339487</v>
      </c>
      <c r="T23" s="122">
        <f t="shared" si="14"/>
        <v>560806.0148827954</v>
      </c>
      <c r="U23" s="122">
        <f t="shared" si="14"/>
        <v>7054.1637092175515</v>
      </c>
      <c r="V23" s="122">
        <f t="shared" si="14"/>
        <v>1317.3070011580437</v>
      </c>
      <c r="W23" s="122">
        <f t="shared" si="14"/>
        <v>4576663.7820627848</v>
      </c>
      <c r="X23" s="125"/>
      <c r="Y23" s="125"/>
      <c r="Z23" s="122">
        <f t="shared" ref="Z23:AE37" si="15">$N23*Z$3</f>
        <v>657758.93712638388</v>
      </c>
      <c r="AA23" s="122">
        <f t="shared" si="15"/>
        <v>1569064.3873512589</v>
      </c>
      <c r="AB23" s="122">
        <f t="shared" si="15"/>
        <v>657167.97805387224</v>
      </c>
      <c r="AC23" s="122">
        <f t="shared" si="15"/>
        <v>8266.2638748914742</v>
      </c>
      <c r="AD23" s="122">
        <f t="shared" si="15"/>
        <v>1543.6567288033907</v>
      </c>
      <c r="AE23" s="122">
        <f t="shared" si="15"/>
        <v>5363061.0301481225</v>
      </c>
    </row>
    <row r="24" spans="1:32" x14ac:dyDescent="0.25">
      <c r="A24" t="s">
        <v>455</v>
      </c>
      <c r="B24" s="68">
        <f>'Corporate and Skipjack Alloc 21'!N24</f>
        <v>5966.29</v>
      </c>
      <c r="C24" s="68">
        <f>B24+C41</f>
        <v>5966.29</v>
      </c>
      <c r="D24" s="68">
        <f t="shared" ref="D24:N24" si="16">C24+D41</f>
        <v>5966.29</v>
      </c>
      <c r="E24" s="68">
        <f t="shared" si="16"/>
        <v>5966.29</v>
      </c>
      <c r="F24" s="68">
        <f t="shared" si="16"/>
        <v>5966.29</v>
      </c>
      <c r="G24" s="68">
        <f t="shared" si="16"/>
        <v>5966.29</v>
      </c>
      <c r="H24" s="68">
        <f t="shared" si="16"/>
        <v>5966.29</v>
      </c>
      <c r="I24" s="68">
        <f t="shared" si="16"/>
        <v>5966.29</v>
      </c>
      <c r="J24" s="68">
        <f t="shared" si="16"/>
        <v>5966.29</v>
      </c>
      <c r="K24" s="68">
        <f t="shared" si="16"/>
        <v>5966.29</v>
      </c>
      <c r="L24" s="68">
        <f t="shared" si="16"/>
        <v>5966.29</v>
      </c>
      <c r="M24" s="68">
        <f t="shared" si="16"/>
        <v>5966.29</v>
      </c>
      <c r="N24" s="68">
        <f t="shared" si="16"/>
        <v>5966.29</v>
      </c>
      <c r="O24" s="68">
        <f>SUM(B24:N24)/13</f>
        <v>5966.2899999999991</v>
      </c>
      <c r="R24" s="124">
        <f t="shared" si="14"/>
        <v>475.28715492707249</v>
      </c>
      <c r="S24" s="124">
        <f t="shared" si="14"/>
        <v>1133.7833763530878</v>
      </c>
      <c r="T24" s="124">
        <f t="shared" si="14"/>
        <v>474.86013639429592</v>
      </c>
      <c r="U24" s="124">
        <f t="shared" si="14"/>
        <v>5.9730834766578091</v>
      </c>
      <c r="V24" s="124">
        <f t="shared" si="14"/>
        <v>1.1154241674347989</v>
      </c>
      <c r="W24" s="124">
        <f t="shared" si="14"/>
        <v>3875.27082468145</v>
      </c>
      <c r="X24" s="125"/>
      <c r="Y24" s="125"/>
      <c r="Z24" s="124">
        <f t="shared" si="15"/>
        <v>475.28715492707261</v>
      </c>
      <c r="AA24" s="124">
        <f t="shared" si="15"/>
        <v>1133.7833763530878</v>
      </c>
      <c r="AB24" s="124">
        <f t="shared" si="15"/>
        <v>474.86013639429598</v>
      </c>
      <c r="AC24" s="124">
        <f t="shared" si="15"/>
        <v>5.97308347665781</v>
      </c>
      <c r="AD24" s="124">
        <f t="shared" si="15"/>
        <v>1.1154241674347991</v>
      </c>
      <c r="AE24" s="124">
        <f t="shared" si="15"/>
        <v>3875.2708246814504</v>
      </c>
    </row>
    <row r="25" spans="1:32" x14ac:dyDescent="0.25">
      <c r="A25" t="s">
        <v>434</v>
      </c>
      <c r="B25" s="68">
        <f>'Corporate and Skipjack Alloc 21'!N25</f>
        <v>1198659.6400000004</v>
      </c>
      <c r="C25" s="68">
        <f t="shared" ref="C25:N36" si="17">B25+C42</f>
        <v>1220275.5100000005</v>
      </c>
      <c r="D25" s="68">
        <f t="shared" si="17"/>
        <v>1241891.3800000006</v>
      </c>
      <c r="E25" s="68">
        <f t="shared" si="17"/>
        <v>1263507.2500000007</v>
      </c>
      <c r="F25" s="68">
        <f t="shared" si="17"/>
        <v>1285123.1200000008</v>
      </c>
      <c r="G25" s="68">
        <f t="shared" si="17"/>
        <v>1306738.9900000009</v>
      </c>
      <c r="H25" s="68">
        <f t="shared" si="17"/>
        <v>1328354.860000001</v>
      </c>
      <c r="I25" s="68">
        <f t="shared" si="17"/>
        <v>1349970.7300000011</v>
      </c>
      <c r="J25" s="68">
        <f t="shared" si="17"/>
        <v>1371586.6000000013</v>
      </c>
      <c r="K25" s="68">
        <f t="shared" si="17"/>
        <v>1393202.4700000014</v>
      </c>
      <c r="L25" s="68">
        <f t="shared" si="17"/>
        <v>1414818.3400000015</v>
      </c>
      <c r="M25" s="68">
        <f t="shared" si="17"/>
        <v>1436434.2100000016</v>
      </c>
      <c r="N25" s="68">
        <f t="shared" si="17"/>
        <v>1458050.0800000017</v>
      </c>
      <c r="O25" s="68">
        <f t="shared" ref="O25:O36" si="18">SUM(B25:N25)/13</f>
        <v>1328354.8600000008</v>
      </c>
      <c r="R25" s="124">
        <f t="shared" si="14"/>
        <v>105819.52974846181</v>
      </c>
      <c r="S25" s="124">
        <f t="shared" si="14"/>
        <v>252429.34188010209</v>
      </c>
      <c r="T25" s="124">
        <f t="shared" si="14"/>
        <v>105724.45690699351</v>
      </c>
      <c r="U25" s="124">
        <f t="shared" si="14"/>
        <v>1329.8673824779057</v>
      </c>
      <c r="V25" s="124">
        <f t="shared" si="14"/>
        <v>248.34178589600407</v>
      </c>
      <c r="W25" s="124">
        <f t="shared" si="14"/>
        <v>862803.32229606947</v>
      </c>
      <c r="X25" s="125"/>
      <c r="Y25" s="125"/>
      <c r="Z25" s="124">
        <f t="shared" si="15"/>
        <v>116151.3225579701</v>
      </c>
      <c r="AA25" s="124">
        <f t="shared" si="15"/>
        <v>277075.5264317175</v>
      </c>
      <c r="AB25" s="124">
        <f t="shared" si="15"/>
        <v>116046.96718706515</v>
      </c>
      <c r="AC25" s="124">
        <f t="shared" si="15"/>
        <v>1459.7102790825804</v>
      </c>
      <c r="AD25" s="124">
        <f t="shared" si="15"/>
        <v>272.58887793959798</v>
      </c>
      <c r="AE25" s="124">
        <f t="shared" si="15"/>
        <v>947043.96466622676</v>
      </c>
    </row>
    <row r="26" spans="1:32" x14ac:dyDescent="0.25">
      <c r="A26" t="s">
        <v>456</v>
      </c>
      <c r="B26" s="68">
        <f>'Corporate and Skipjack Alloc 21'!N26</f>
        <v>151766.35</v>
      </c>
      <c r="C26" s="68">
        <f t="shared" si="17"/>
        <v>155315.37</v>
      </c>
      <c r="D26" s="68">
        <f t="shared" si="17"/>
        <v>158864.38999999998</v>
      </c>
      <c r="E26" s="68">
        <f t="shared" si="17"/>
        <v>162413.40999999997</v>
      </c>
      <c r="F26" s="68">
        <f t="shared" si="17"/>
        <v>165962.42999999996</v>
      </c>
      <c r="G26" s="68">
        <f t="shared" si="17"/>
        <v>169511.44999999995</v>
      </c>
      <c r="H26" s="68">
        <f t="shared" si="17"/>
        <v>173060.46999999994</v>
      </c>
      <c r="I26" s="68">
        <f t="shared" si="17"/>
        <v>176609.48999999993</v>
      </c>
      <c r="J26" s="68">
        <f t="shared" si="17"/>
        <v>180158.50999999992</v>
      </c>
      <c r="K26" s="68">
        <f t="shared" si="17"/>
        <v>183707.52999999991</v>
      </c>
      <c r="L26" s="68">
        <f t="shared" si="17"/>
        <v>187256.5499999999</v>
      </c>
      <c r="M26" s="68">
        <f t="shared" si="17"/>
        <v>190805.56999999989</v>
      </c>
      <c r="N26" s="68">
        <f t="shared" si="17"/>
        <v>194354.58999999988</v>
      </c>
      <c r="O26" s="68">
        <f t="shared" si="18"/>
        <v>173060.46999999994</v>
      </c>
      <c r="R26" s="124">
        <f t="shared" si="14"/>
        <v>13786.359432183479</v>
      </c>
      <c r="S26" s="124">
        <f t="shared" si="14"/>
        <v>32886.950515287092</v>
      </c>
      <c r="T26" s="124">
        <f t="shared" si="14"/>
        <v>13773.973170707583</v>
      </c>
      <c r="U26" s="124">
        <f t="shared" si="14"/>
        <v>173.2575241598438</v>
      </c>
      <c r="V26" s="124">
        <f t="shared" si="14"/>
        <v>32.354416340074813</v>
      </c>
      <c r="W26" s="124">
        <f t="shared" si="14"/>
        <v>112407.57494132187</v>
      </c>
      <c r="X26" s="125"/>
      <c r="Y26" s="125"/>
      <c r="Z26" s="124">
        <f t="shared" si="15"/>
        <v>15482.693621684099</v>
      </c>
      <c r="AA26" s="124">
        <f t="shared" si="15"/>
        <v>36933.505287191867</v>
      </c>
      <c r="AB26" s="124">
        <f t="shared" si="15"/>
        <v>15468.78330021796</v>
      </c>
      <c r="AC26" s="124">
        <f t="shared" si="15"/>
        <v>194.57589056877936</v>
      </c>
      <c r="AD26" s="124">
        <f t="shared" si="15"/>
        <v>36.33544576912648</v>
      </c>
      <c r="AE26" s="124">
        <f t="shared" si="15"/>
        <v>126238.69645456804</v>
      </c>
    </row>
    <row r="27" spans="1:32" x14ac:dyDescent="0.25">
      <c r="A27" t="s">
        <v>435</v>
      </c>
      <c r="B27" s="68">
        <f>'Corporate and Skipjack Alloc 21'!N27</f>
        <v>429957.38000000006</v>
      </c>
      <c r="C27" s="68">
        <f t="shared" si="17"/>
        <v>440444.86000000004</v>
      </c>
      <c r="D27" s="68">
        <f t="shared" si="17"/>
        <v>450932.34</v>
      </c>
      <c r="E27" s="68">
        <f t="shared" si="17"/>
        <v>461419.82</v>
      </c>
      <c r="F27" s="68">
        <f t="shared" si="17"/>
        <v>471907.3</v>
      </c>
      <c r="G27" s="68">
        <f t="shared" si="17"/>
        <v>482394.77999999997</v>
      </c>
      <c r="H27" s="68">
        <f t="shared" si="17"/>
        <v>492882.25999999995</v>
      </c>
      <c r="I27" s="68">
        <f t="shared" si="17"/>
        <v>503369.73999999993</v>
      </c>
      <c r="J27" s="68">
        <f t="shared" si="17"/>
        <v>513857.21999999991</v>
      </c>
      <c r="K27" s="68">
        <f t="shared" si="17"/>
        <v>524344.69999999995</v>
      </c>
      <c r="L27" s="68">
        <f t="shared" si="17"/>
        <v>534832.17999999993</v>
      </c>
      <c r="M27" s="68">
        <f t="shared" si="17"/>
        <v>545319.65999999992</v>
      </c>
      <c r="N27" s="68">
        <f t="shared" si="17"/>
        <v>555807.1399999999</v>
      </c>
      <c r="O27" s="68">
        <f t="shared" si="18"/>
        <v>492882.25999999989</v>
      </c>
      <c r="R27" s="124">
        <f t="shared" si="14"/>
        <v>39264.032936619849</v>
      </c>
      <c r="S27" s="124">
        <f t="shared" si="14"/>
        <v>93663.183131785481</v>
      </c>
      <c r="T27" s="124">
        <f t="shared" si="14"/>
        <v>39228.756431539332</v>
      </c>
      <c r="U27" s="124">
        <f t="shared" si="14"/>
        <v>493.44347712628087</v>
      </c>
      <c r="V27" s="124">
        <f t="shared" si="14"/>
        <v>92.146507210323676</v>
      </c>
      <c r="W27" s="124">
        <f t="shared" si="14"/>
        <v>320140.69751571858</v>
      </c>
      <c r="X27" s="125"/>
      <c r="Y27" s="125"/>
      <c r="Z27" s="124">
        <f t="shared" si="15"/>
        <v>44276.760643340014</v>
      </c>
      <c r="AA27" s="124">
        <f t="shared" si="15"/>
        <v>105620.89603260205</v>
      </c>
      <c r="AB27" s="124">
        <f t="shared" si="15"/>
        <v>44236.980486922948</v>
      </c>
      <c r="AC27" s="124">
        <f t="shared" si="15"/>
        <v>556.44000612481693</v>
      </c>
      <c r="AD27" s="124">
        <f t="shared" si="15"/>
        <v>103.91059039852517</v>
      </c>
      <c r="AE27" s="124">
        <f t="shared" si="15"/>
        <v>361012.1522406115</v>
      </c>
    </row>
    <row r="28" spans="1:32" x14ac:dyDescent="0.25">
      <c r="A28" t="s">
        <v>457</v>
      </c>
      <c r="B28" s="68">
        <f>'Corporate and Skipjack Alloc 21'!N28</f>
        <v>1884816.2699999996</v>
      </c>
      <c r="C28" s="68">
        <f t="shared" si="17"/>
        <v>1950429.9962666661</v>
      </c>
      <c r="D28" s="68">
        <f t="shared" si="17"/>
        <v>2016043.7225333326</v>
      </c>
      <c r="E28" s="68">
        <f t="shared" si="17"/>
        <v>2081796.6154666659</v>
      </c>
      <c r="F28" s="68">
        <f t="shared" si="17"/>
        <v>2147549.5083999992</v>
      </c>
      <c r="G28" s="68">
        <f t="shared" si="17"/>
        <v>2213302.4013333325</v>
      </c>
      <c r="H28" s="68">
        <f t="shared" si="17"/>
        <v>2279642.4272999992</v>
      </c>
      <c r="I28" s="68">
        <f t="shared" si="17"/>
        <v>2345982.4532666658</v>
      </c>
      <c r="J28" s="68">
        <f t="shared" si="17"/>
        <v>2412322.4792333324</v>
      </c>
      <c r="K28" s="68">
        <f t="shared" si="17"/>
        <v>2478662.5051999991</v>
      </c>
      <c r="L28" s="68">
        <f t="shared" si="17"/>
        <v>2545002.5311666657</v>
      </c>
      <c r="M28" s="68">
        <f t="shared" si="17"/>
        <v>2611342.5571333324</v>
      </c>
      <c r="N28" s="68">
        <f t="shared" si="17"/>
        <v>2682854.9432833325</v>
      </c>
      <c r="O28" s="68">
        <f t="shared" si="18"/>
        <v>2280749.8777371785</v>
      </c>
      <c r="R28" s="124">
        <f t="shared" si="14"/>
        <v>181689.31119505962</v>
      </c>
      <c r="S28" s="124">
        <f t="shared" si="14"/>
        <v>433414.44968275941</v>
      </c>
      <c r="T28" s="124">
        <f t="shared" si="14"/>
        <v>181526.07366111109</v>
      </c>
      <c r="U28" s="124">
        <f t="shared" si="14"/>
        <v>2283.3468385045417</v>
      </c>
      <c r="V28" s="124">
        <f t="shared" si="14"/>
        <v>426.3962250413594</v>
      </c>
      <c r="W28" s="124">
        <f t="shared" si="14"/>
        <v>1481410.3001347024</v>
      </c>
      <c r="X28" s="125"/>
      <c r="Y28" s="125"/>
      <c r="Z28" s="124">
        <f t="shared" si="15"/>
        <v>213721.8427322788</v>
      </c>
      <c r="AA28" s="124">
        <f t="shared" si="15"/>
        <v>509827.10124069545</v>
      </c>
      <c r="AB28" s="124">
        <f t="shared" si="15"/>
        <v>213529.82578681802</v>
      </c>
      <c r="AC28" s="124">
        <f t="shared" si="15"/>
        <v>2685.9097583247549</v>
      </c>
      <c r="AD28" s="124">
        <f t="shared" si="15"/>
        <v>501.57153632494339</v>
      </c>
      <c r="AE28" s="124">
        <f t="shared" si="15"/>
        <v>1742588.6922288905</v>
      </c>
    </row>
    <row r="29" spans="1:32" x14ac:dyDescent="0.25">
      <c r="A29" t="s">
        <v>436</v>
      </c>
      <c r="B29" s="68">
        <f>'Corporate and Skipjack Alloc 21'!N29</f>
        <v>231490.42000000004</v>
      </c>
      <c r="C29" s="68">
        <f t="shared" si="17"/>
        <v>244488.23000000004</v>
      </c>
      <c r="D29" s="68">
        <f t="shared" si="17"/>
        <v>257486.04000000004</v>
      </c>
      <c r="E29" s="68">
        <f t="shared" si="17"/>
        <v>270483.85000000003</v>
      </c>
      <c r="F29" s="68">
        <f t="shared" si="17"/>
        <v>283481.66000000003</v>
      </c>
      <c r="G29" s="68">
        <f t="shared" si="17"/>
        <v>296479.47000000003</v>
      </c>
      <c r="H29" s="68">
        <f t="shared" si="17"/>
        <v>309477.28000000003</v>
      </c>
      <c r="I29" s="68">
        <f t="shared" si="17"/>
        <v>322475.09000000003</v>
      </c>
      <c r="J29" s="68">
        <f t="shared" si="17"/>
        <v>335472.90000000002</v>
      </c>
      <c r="K29" s="68">
        <f t="shared" si="17"/>
        <v>348470.71</v>
      </c>
      <c r="L29" s="68">
        <f t="shared" si="17"/>
        <v>361468.52</v>
      </c>
      <c r="M29" s="68">
        <f t="shared" si="17"/>
        <v>374466.33</v>
      </c>
      <c r="N29" s="68">
        <f t="shared" si="17"/>
        <v>387464.14</v>
      </c>
      <c r="O29" s="68">
        <f t="shared" si="18"/>
        <v>309477.28000000003</v>
      </c>
      <c r="R29" s="124">
        <f t="shared" si="14"/>
        <v>24653.608176231635</v>
      </c>
      <c r="S29" s="124">
        <f t="shared" si="14"/>
        <v>58810.449278022017</v>
      </c>
      <c r="T29" s="124">
        <f t="shared" si="14"/>
        <v>24631.458308552843</v>
      </c>
      <c r="U29" s="124">
        <f t="shared" si="14"/>
        <v>309.82966425852629</v>
      </c>
      <c r="V29" s="124">
        <f t="shared" si="14"/>
        <v>57.858139209456169</v>
      </c>
      <c r="W29" s="124">
        <f t="shared" si="14"/>
        <v>201014.07643372554</v>
      </c>
      <c r="X29" s="125"/>
      <c r="Y29" s="125"/>
      <c r="Z29" s="124">
        <f t="shared" si="15"/>
        <v>30866.204749830289</v>
      </c>
      <c r="AA29" s="124">
        <f t="shared" si="15"/>
        <v>73630.413685044739</v>
      </c>
      <c r="AB29" s="124">
        <f t="shared" si="15"/>
        <v>30838.473216739145</v>
      </c>
      <c r="AC29" s="124">
        <f t="shared" si="15"/>
        <v>387.90532348099549</v>
      </c>
      <c r="AD29" s="124">
        <f t="shared" si="15"/>
        <v>72.43812583202299</v>
      </c>
      <c r="AE29" s="124">
        <f t="shared" si="15"/>
        <v>251668.70489907282</v>
      </c>
    </row>
    <row r="30" spans="1:32" x14ac:dyDescent="0.25">
      <c r="A30" t="s">
        <v>437</v>
      </c>
      <c r="B30" s="68">
        <f>'Corporate and Skipjack Alloc 21'!N30</f>
        <v>81301.820000000007</v>
      </c>
      <c r="C30" s="68">
        <f t="shared" si="17"/>
        <v>82897.8</v>
      </c>
      <c r="D30" s="68">
        <f t="shared" si="17"/>
        <v>84493.78</v>
      </c>
      <c r="E30" s="68">
        <f t="shared" si="17"/>
        <v>86089.76</v>
      </c>
      <c r="F30" s="68">
        <f t="shared" si="17"/>
        <v>87685.739999999991</v>
      </c>
      <c r="G30" s="68">
        <f t="shared" si="17"/>
        <v>89281.719999999987</v>
      </c>
      <c r="H30" s="68">
        <f t="shared" si="17"/>
        <v>90877.699999999983</v>
      </c>
      <c r="I30" s="68">
        <f t="shared" si="17"/>
        <v>92473.679999999978</v>
      </c>
      <c r="J30" s="68">
        <f t="shared" si="17"/>
        <v>94069.659999999974</v>
      </c>
      <c r="K30" s="68">
        <f t="shared" si="17"/>
        <v>95665.63999999997</v>
      </c>
      <c r="L30" s="68">
        <f t="shared" si="17"/>
        <v>97261.619999999966</v>
      </c>
      <c r="M30" s="68">
        <f t="shared" si="17"/>
        <v>98857.599999999962</v>
      </c>
      <c r="N30" s="68">
        <f t="shared" si="17"/>
        <v>100453.57999999996</v>
      </c>
      <c r="O30" s="68">
        <f t="shared" si="18"/>
        <v>90877.699999999968</v>
      </c>
      <c r="R30" s="124">
        <f t="shared" si="14"/>
        <v>7239.5078816678388</v>
      </c>
      <c r="S30" s="124">
        <f t="shared" si="14"/>
        <v>17269.630799240898</v>
      </c>
      <c r="T30" s="124">
        <f t="shared" si="14"/>
        <v>7233.0035947297056</v>
      </c>
      <c r="U30" s="124">
        <f t="shared" si="14"/>
        <v>90.981177292197543</v>
      </c>
      <c r="V30" s="124">
        <f t="shared" si="14"/>
        <v>16.989985880821987</v>
      </c>
      <c r="W30" s="124">
        <f t="shared" si="14"/>
        <v>59027.586561188502</v>
      </c>
      <c r="X30" s="125"/>
      <c r="Y30" s="125"/>
      <c r="Z30" s="124">
        <f t="shared" si="15"/>
        <v>8002.3425345464366</v>
      </c>
      <c r="AA30" s="124">
        <f t="shared" si="15"/>
        <v>19089.350182300052</v>
      </c>
      <c r="AB30" s="124">
        <f t="shared" si="15"/>
        <v>7995.1528839689827</v>
      </c>
      <c r="AC30" s="124">
        <f t="shared" si="15"/>
        <v>100.56796080464129</v>
      </c>
      <c r="AD30" s="124">
        <f t="shared" si="15"/>
        <v>18.780238781109357</v>
      </c>
      <c r="AE30" s="124">
        <f t="shared" si="15"/>
        <v>65247.386199598732</v>
      </c>
    </row>
    <row r="31" spans="1:32" x14ac:dyDescent="0.25">
      <c r="A31" t="s">
        <v>438</v>
      </c>
      <c r="B31" s="68">
        <f>'Corporate and Skipjack Alloc 21'!N31</f>
        <v>989717.41</v>
      </c>
      <c r="C31" s="68">
        <f t="shared" si="17"/>
        <v>1054616.07</v>
      </c>
      <c r="D31" s="68">
        <f t="shared" si="17"/>
        <v>1119514.73</v>
      </c>
      <c r="E31" s="68">
        <f t="shared" si="17"/>
        <v>1184413.3899999999</v>
      </c>
      <c r="F31" s="68">
        <f t="shared" si="17"/>
        <v>1249312.0499999998</v>
      </c>
      <c r="G31" s="68">
        <f t="shared" si="17"/>
        <v>1314210.7099999997</v>
      </c>
      <c r="H31" s="68">
        <f t="shared" si="17"/>
        <v>1379109.3699999996</v>
      </c>
      <c r="I31" s="68">
        <f t="shared" si="17"/>
        <v>1444008.0299999996</v>
      </c>
      <c r="J31" s="68">
        <f t="shared" si="17"/>
        <v>1508906.6899999995</v>
      </c>
      <c r="K31" s="68">
        <f t="shared" si="17"/>
        <v>1573805.3499999994</v>
      </c>
      <c r="L31" s="68">
        <f t="shared" si="17"/>
        <v>1638704.0099999993</v>
      </c>
      <c r="M31" s="68">
        <f t="shared" si="17"/>
        <v>1703602.6699999992</v>
      </c>
      <c r="N31" s="68">
        <f t="shared" si="17"/>
        <v>1768501.3299999991</v>
      </c>
      <c r="O31" s="68">
        <f t="shared" si="18"/>
        <v>1379109.3699999996</v>
      </c>
      <c r="R31" s="124">
        <f t="shared" si="14"/>
        <v>109862.74029599086</v>
      </c>
      <c r="S31" s="124">
        <f t="shared" si="14"/>
        <v>262074.30042434737</v>
      </c>
      <c r="T31" s="124">
        <f t="shared" si="14"/>
        <v>109764.03485932655</v>
      </c>
      <c r="U31" s="124">
        <f t="shared" si="14"/>
        <v>1380.6796837651139</v>
      </c>
      <c r="V31" s="124">
        <f t="shared" si="14"/>
        <v>257.83056486254941</v>
      </c>
      <c r="W31" s="124">
        <f t="shared" si="14"/>
        <v>895769.78417170711</v>
      </c>
      <c r="X31" s="125"/>
      <c r="Y31" s="125"/>
      <c r="Z31" s="124">
        <f t="shared" si="15"/>
        <v>140882.51922391361</v>
      </c>
      <c r="AA31" s="124">
        <f t="shared" si="15"/>
        <v>336071.0607450066</v>
      </c>
      <c r="AB31" s="124">
        <f t="shared" si="15"/>
        <v>140755.94427647558</v>
      </c>
      <c r="AC31" s="124">
        <f t="shared" si="15"/>
        <v>1770.5150223456044</v>
      </c>
      <c r="AD31" s="124">
        <f t="shared" si="15"/>
        <v>330.62910512606396</v>
      </c>
      <c r="AE31" s="124">
        <f t="shared" si="15"/>
        <v>1148690.6616271315</v>
      </c>
    </row>
    <row r="32" spans="1:32" x14ac:dyDescent="0.25">
      <c r="A32" t="s">
        <v>458</v>
      </c>
      <c r="B32" s="68">
        <f>'Corporate and Skipjack Alloc 21'!N32</f>
        <v>656241.77999999991</v>
      </c>
      <c r="C32" s="68">
        <f t="shared" si="17"/>
        <v>671309.54999999993</v>
      </c>
      <c r="D32" s="68">
        <f t="shared" si="17"/>
        <v>686377.32</v>
      </c>
      <c r="E32" s="68">
        <f t="shared" si="17"/>
        <v>701445.09</v>
      </c>
      <c r="F32" s="68">
        <f t="shared" si="17"/>
        <v>716512.86</v>
      </c>
      <c r="G32" s="68">
        <f t="shared" si="17"/>
        <v>731580.63</v>
      </c>
      <c r="H32" s="68">
        <f t="shared" si="17"/>
        <v>746648.4</v>
      </c>
      <c r="I32" s="68">
        <f t="shared" si="17"/>
        <v>761716.17</v>
      </c>
      <c r="J32" s="68">
        <f t="shared" si="17"/>
        <v>776783.94000000006</v>
      </c>
      <c r="K32" s="68">
        <f t="shared" si="17"/>
        <v>791851.71000000008</v>
      </c>
      <c r="L32" s="68">
        <f t="shared" si="17"/>
        <v>806919.4800000001</v>
      </c>
      <c r="M32" s="68">
        <f t="shared" si="17"/>
        <v>821987.25000000012</v>
      </c>
      <c r="N32" s="68">
        <f t="shared" si="17"/>
        <v>837055.02000000014</v>
      </c>
      <c r="O32" s="68">
        <f t="shared" si="18"/>
        <v>746648.40000000014</v>
      </c>
      <c r="R32" s="124">
        <f t="shared" si="14"/>
        <v>59479.575040242918</v>
      </c>
      <c r="S32" s="124">
        <f t="shared" si="14"/>
        <v>141886.75775073472</v>
      </c>
      <c r="T32" s="124">
        <f t="shared" si="14"/>
        <v>59426.136017958044</v>
      </c>
      <c r="U32" s="124">
        <f t="shared" si="14"/>
        <v>747.49856626362316</v>
      </c>
      <c r="V32" s="124">
        <f t="shared" si="14"/>
        <v>139.58920366534733</v>
      </c>
      <c r="W32" s="124">
        <f t="shared" si="14"/>
        <v>484968.84342113545</v>
      </c>
      <c r="X32" s="125"/>
      <c r="Y32" s="125"/>
      <c r="Z32" s="124">
        <f t="shared" si="15"/>
        <v>66681.555702660102</v>
      </c>
      <c r="AA32" s="124">
        <f t="shared" si="15"/>
        <v>159066.86848425097</v>
      </c>
      <c r="AB32" s="124">
        <f t="shared" si="15"/>
        <v>66621.646109513647</v>
      </c>
      <c r="AC32" s="124">
        <f t="shared" si="15"/>
        <v>838.00812716369364</v>
      </c>
      <c r="AD32" s="124">
        <f t="shared" si="15"/>
        <v>156.49111906739688</v>
      </c>
      <c r="AE32" s="124">
        <f t="shared" si="15"/>
        <v>543690.4504573443</v>
      </c>
    </row>
    <row r="33" spans="1:31" x14ac:dyDescent="0.25">
      <c r="A33" t="s">
        <v>441</v>
      </c>
      <c r="B33" s="68">
        <f>'Corporate and Skipjack Alloc 21'!N33</f>
        <v>211673.18000000002</v>
      </c>
      <c r="C33" s="68">
        <f t="shared" si="17"/>
        <v>216230.01</v>
      </c>
      <c r="D33" s="68">
        <f t="shared" si="17"/>
        <v>220786.84</v>
      </c>
      <c r="E33" s="68">
        <f t="shared" si="17"/>
        <v>225343.66999999998</v>
      </c>
      <c r="F33" s="68">
        <f t="shared" si="17"/>
        <v>229900.49999999997</v>
      </c>
      <c r="G33" s="68">
        <f t="shared" si="17"/>
        <v>234457.32999999996</v>
      </c>
      <c r="H33" s="68">
        <f t="shared" si="17"/>
        <v>239014.15999999995</v>
      </c>
      <c r="I33" s="68">
        <f t="shared" si="17"/>
        <v>243570.98999999993</v>
      </c>
      <c r="J33" s="68">
        <f t="shared" si="17"/>
        <v>248127.81999999992</v>
      </c>
      <c r="K33" s="68">
        <f t="shared" si="17"/>
        <v>252684.64999999991</v>
      </c>
      <c r="L33" s="68">
        <f t="shared" si="17"/>
        <v>257241.47999999989</v>
      </c>
      <c r="M33" s="68">
        <f t="shared" si="17"/>
        <v>261798.30999999988</v>
      </c>
      <c r="N33" s="68">
        <f t="shared" si="17"/>
        <v>266355.1399999999</v>
      </c>
      <c r="O33" s="68">
        <f t="shared" si="18"/>
        <v>239014.15999999995</v>
      </c>
      <c r="R33" s="124">
        <f t="shared" si="14"/>
        <v>19040.368485890576</v>
      </c>
      <c r="S33" s="124">
        <f t="shared" si="14"/>
        <v>45420.232895316367</v>
      </c>
      <c r="T33" s="124">
        <f t="shared" si="14"/>
        <v>19023.261795482293</v>
      </c>
      <c r="U33" s="124">
        <f t="shared" si="14"/>
        <v>239.28631189285903</v>
      </c>
      <c r="V33" s="124">
        <f t="shared" si="14"/>
        <v>44.684748884671684</v>
      </c>
      <c r="W33" s="124">
        <f t="shared" si="14"/>
        <v>155246.32576253318</v>
      </c>
      <c r="X33" s="125"/>
      <c r="Y33" s="125"/>
      <c r="Z33" s="124">
        <f t="shared" si="15"/>
        <v>21218.408205233412</v>
      </c>
      <c r="AA33" s="124">
        <f t="shared" si="15"/>
        <v>50615.881886096598</v>
      </c>
      <c r="AB33" s="124">
        <f t="shared" si="15"/>
        <v>21199.344669756541</v>
      </c>
      <c r="AC33" s="124">
        <f t="shared" si="15"/>
        <v>266.6584235189502</v>
      </c>
      <c r="AD33" s="124">
        <f t="shared" si="15"/>
        <v>49.796265397169641</v>
      </c>
      <c r="AE33" s="124">
        <f t="shared" si="15"/>
        <v>173005.05054999722</v>
      </c>
    </row>
    <row r="34" spans="1:31" x14ac:dyDescent="0.25">
      <c r="A34" s="116" t="s">
        <v>459</v>
      </c>
      <c r="B34" s="117">
        <f t="shared" ref="B34:O34" si="19">SUM(B35:B36)</f>
        <v>272181.23</v>
      </c>
      <c r="C34" s="117">
        <f t="shared" si="19"/>
        <v>277914</v>
      </c>
      <c r="D34" s="117">
        <f t="shared" ref="D34:N34" si="20">SUM(D35:D36)</f>
        <v>283646.76999999996</v>
      </c>
      <c r="E34" s="117">
        <f t="shared" si="20"/>
        <v>289379.53999999992</v>
      </c>
      <c r="F34" s="117">
        <f t="shared" si="20"/>
        <v>295112.30999999994</v>
      </c>
      <c r="G34" s="117">
        <f t="shared" si="20"/>
        <v>300845.0799999999</v>
      </c>
      <c r="H34" s="117">
        <f t="shared" si="20"/>
        <v>306577.84999999992</v>
      </c>
      <c r="I34" s="117">
        <f t="shared" si="20"/>
        <v>312310.61999999988</v>
      </c>
      <c r="J34" s="117">
        <f t="shared" si="20"/>
        <v>318043.3899999999</v>
      </c>
      <c r="K34" s="117">
        <f t="shared" si="20"/>
        <v>323776.15999999986</v>
      </c>
      <c r="L34" s="117">
        <f t="shared" si="20"/>
        <v>329508.92999999988</v>
      </c>
      <c r="M34" s="117">
        <f t="shared" si="20"/>
        <v>335241.69999999984</v>
      </c>
      <c r="N34" s="117">
        <f t="shared" si="20"/>
        <v>340974.46999999986</v>
      </c>
      <c r="O34" s="117">
        <f t="shared" si="19"/>
        <v>306577.84999999992</v>
      </c>
      <c r="R34" s="126">
        <f t="shared" si="14"/>
        <v>24422.633510968924</v>
      </c>
      <c r="S34" s="126">
        <f t="shared" si="14"/>
        <v>58259.466081613602</v>
      </c>
      <c r="T34" s="126">
        <f t="shared" si="14"/>
        <v>24400.691160917417</v>
      </c>
      <c r="U34" s="126">
        <f t="shared" si="14"/>
        <v>306.9269328417285</v>
      </c>
      <c r="V34" s="126">
        <f t="shared" si="14"/>
        <v>57.316078013338384</v>
      </c>
      <c r="W34" s="126">
        <f t="shared" si="14"/>
        <v>199130.81623564489</v>
      </c>
      <c r="X34" s="125"/>
      <c r="Y34" s="125"/>
      <c r="Z34" s="126">
        <f t="shared" si="15"/>
        <v>27162.740287358876</v>
      </c>
      <c r="AA34" s="126">
        <f t="shared" si="15"/>
        <v>64795.909325025183</v>
      </c>
      <c r="AB34" s="126">
        <f t="shared" si="15"/>
        <v>27138.336106889325</v>
      </c>
      <c r="AC34" s="126">
        <f t="shared" si="15"/>
        <v>341.36271832565188</v>
      </c>
      <c r="AD34" s="126">
        <f t="shared" si="15"/>
        <v>63.746677468958389</v>
      </c>
      <c r="AE34" s="126">
        <f t="shared" si="15"/>
        <v>221472.37488493184</v>
      </c>
    </row>
    <row r="35" spans="1:31" x14ac:dyDescent="0.25">
      <c r="A35" t="s">
        <v>435</v>
      </c>
      <c r="B35" s="68">
        <f>'Corporate and Skipjack Alloc 21'!N35</f>
        <v>5650.81</v>
      </c>
      <c r="C35" s="68">
        <f t="shared" si="17"/>
        <v>5700.2800000000007</v>
      </c>
      <c r="D35" s="68">
        <f t="shared" si="17"/>
        <v>5749.7500000000009</v>
      </c>
      <c r="E35" s="68">
        <f t="shared" si="17"/>
        <v>5799.2200000000012</v>
      </c>
      <c r="F35" s="68">
        <f t="shared" si="17"/>
        <v>5848.6900000000014</v>
      </c>
      <c r="G35" s="68">
        <f t="shared" si="17"/>
        <v>5898.1600000000017</v>
      </c>
      <c r="H35" s="68">
        <f t="shared" si="17"/>
        <v>5947.6300000000019</v>
      </c>
      <c r="I35" s="68">
        <f t="shared" si="17"/>
        <v>5997.1000000000022</v>
      </c>
      <c r="J35" s="68">
        <f t="shared" si="17"/>
        <v>6046.5700000000024</v>
      </c>
      <c r="K35" s="68">
        <f t="shared" si="17"/>
        <v>6096.0400000000027</v>
      </c>
      <c r="L35" s="68">
        <f t="shared" si="17"/>
        <v>6145.5100000000029</v>
      </c>
      <c r="M35" s="68">
        <f t="shared" si="17"/>
        <v>6194.9800000000032</v>
      </c>
      <c r="N35" s="68">
        <f t="shared" si="17"/>
        <v>6244.4500000000035</v>
      </c>
      <c r="O35" s="68">
        <f t="shared" si="18"/>
        <v>5947.630000000001</v>
      </c>
      <c r="R35" s="124">
        <f t="shared" si="14"/>
        <v>473.80066025267047</v>
      </c>
      <c r="S35" s="124">
        <f t="shared" si="14"/>
        <v>1130.2373875052867</v>
      </c>
      <c r="T35" s="124">
        <f t="shared" si="14"/>
        <v>473.37497725098967</v>
      </c>
      <c r="U35" s="124">
        <f t="shared" si="14"/>
        <v>5.9544022295721968</v>
      </c>
      <c r="V35" s="124">
        <f t="shared" si="14"/>
        <v>1.1119355983299899</v>
      </c>
      <c r="W35" s="124">
        <f t="shared" si="14"/>
        <v>3863.1506371631517</v>
      </c>
      <c r="X35" s="125"/>
      <c r="Y35" s="125"/>
      <c r="Z35" s="124">
        <f t="shared" si="15"/>
        <v>497.44596299951229</v>
      </c>
      <c r="AA35" s="124">
        <f t="shared" si="15"/>
        <v>1186.642554161471</v>
      </c>
      <c r="AB35" s="124">
        <f t="shared" si="15"/>
        <v>496.99903603535245</v>
      </c>
      <c r="AC35" s="124">
        <f t="shared" si="15"/>
        <v>6.2515602017025467</v>
      </c>
      <c r="AD35" s="124">
        <f t="shared" si="15"/>
        <v>1.1674274033508656</v>
      </c>
      <c r="AE35" s="124">
        <f t="shared" si="15"/>
        <v>4055.9434591986137</v>
      </c>
    </row>
    <row r="36" spans="1:31" x14ac:dyDescent="0.25">
      <c r="A36" t="s">
        <v>441</v>
      </c>
      <c r="B36" s="68">
        <f>'Corporate and Skipjack Alloc 21'!N36</f>
        <v>266530.42</v>
      </c>
      <c r="C36" s="68">
        <f t="shared" si="17"/>
        <v>272213.71999999997</v>
      </c>
      <c r="D36" s="68">
        <f t="shared" si="17"/>
        <v>277897.01999999996</v>
      </c>
      <c r="E36" s="68">
        <f t="shared" si="17"/>
        <v>283580.31999999995</v>
      </c>
      <c r="F36" s="68">
        <f t="shared" si="17"/>
        <v>289263.61999999994</v>
      </c>
      <c r="G36" s="68">
        <f t="shared" si="17"/>
        <v>294946.91999999993</v>
      </c>
      <c r="H36" s="68">
        <f t="shared" si="17"/>
        <v>300630.21999999991</v>
      </c>
      <c r="I36" s="68">
        <f t="shared" si="17"/>
        <v>306313.5199999999</v>
      </c>
      <c r="J36" s="68">
        <f t="shared" si="17"/>
        <v>311996.81999999989</v>
      </c>
      <c r="K36" s="68">
        <f t="shared" si="17"/>
        <v>317680.11999999988</v>
      </c>
      <c r="L36" s="68">
        <f t="shared" si="17"/>
        <v>323363.41999999987</v>
      </c>
      <c r="M36" s="68">
        <f t="shared" si="17"/>
        <v>329046.71999999986</v>
      </c>
      <c r="N36" s="68">
        <f t="shared" si="17"/>
        <v>334730.01999999984</v>
      </c>
      <c r="O36" s="68">
        <f t="shared" si="18"/>
        <v>300630.21999999991</v>
      </c>
      <c r="R36" s="124">
        <f t="shared" si="14"/>
        <v>23948.832850716251</v>
      </c>
      <c r="S36" s="124">
        <f t="shared" si="14"/>
        <v>57129.228694108315</v>
      </c>
      <c r="T36" s="124">
        <f t="shared" si="14"/>
        <v>23927.316183666426</v>
      </c>
      <c r="U36" s="124">
        <f t="shared" si="14"/>
        <v>300.97253061215628</v>
      </c>
      <c r="V36" s="124">
        <f t="shared" si="14"/>
        <v>56.204142415008391</v>
      </c>
      <c r="W36" s="124">
        <f t="shared" si="14"/>
        <v>195267.66559848175</v>
      </c>
      <c r="X36" s="125"/>
      <c r="Y36" s="125"/>
      <c r="Z36" s="124">
        <f t="shared" si="15"/>
        <v>26665.294324359365</v>
      </c>
      <c r="AA36" s="124">
        <f t="shared" si="15"/>
        <v>63609.266770863709</v>
      </c>
      <c r="AB36" s="124">
        <f t="shared" si="15"/>
        <v>26641.337070853973</v>
      </c>
      <c r="AC36" s="124">
        <f t="shared" si="15"/>
        <v>335.11115812394928</v>
      </c>
      <c r="AD36" s="124">
        <f t="shared" si="15"/>
        <v>62.579250065607518</v>
      </c>
      <c r="AE36" s="124">
        <f t="shared" si="15"/>
        <v>217416.43142573323</v>
      </c>
    </row>
    <row r="37" spans="1:31" ht="15.75" thickBot="1" x14ac:dyDescent="0.3">
      <c r="A37" s="116" t="s">
        <v>443</v>
      </c>
      <c r="B37" s="117">
        <f t="shared" ref="B37:O37" si="21">B34+B23</f>
        <v>6113771.7699999996</v>
      </c>
      <c r="C37" s="117">
        <f t="shared" si="21"/>
        <v>6319887.6862666663</v>
      </c>
      <c r="D37" s="117">
        <f t="shared" ref="D37:N37" si="22">D34+D23</f>
        <v>6526003.602533333</v>
      </c>
      <c r="E37" s="117">
        <f t="shared" si="22"/>
        <v>6732258.6854666658</v>
      </c>
      <c r="F37" s="117">
        <f t="shared" si="22"/>
        <v>6938513.7684000004</v>
      </c>
      <c r="G37" s="117">
        <f t="shared" si="22"/>
        <v>7144768.8513333332</v>
      </c>
      <c r="H37" s="117">
        <f t="shared" si="22"/>
        <v>7351611.0673000012</v>
      </c>
      <c r="I37" s="117">
        <f t="shared" si="22"/>
        <v>7558453.2832666663</v>
      </c>
      <c r="J37" s="117">
        <f t="shared" si="22"/>
        <v>7765295.4992333343</v>
      </c>
      <c r="K37" s="117">
        <f t="shared" si="22"/>
        <v>7972137.7151999995</v>
      </c>
      <c r="L37" s="117">
        <f t="shared" si="22"/>
        <v>8178979.9311666647</v>
      </c>
      <c r="M37" s="117">
        <f t="shared" si="22"/>
        <v>8385822.1471333327</v>
      </c>
      <c r="N37" s="117">
        <f t="shared" si="22"/>
        <v>8597836.7232833337</v>
      </c>
      <c r="O37" s="117">
        <f t="shared" si="21"/>
        <v>7352718.51773718</v>
      </c>
      <c r="R37" s="129">
        <f t="shared" si="14"/>
        <v>585732.9538582447</v>
      </c>
      <c r="S37" s="129">
        <f t="shared" si="14"/>
        <v>1397248.5458155624</v>
      </c>
      <c r="T37" s="129">
        <f t="shared" si="14"/>
        <v>585206.70604371279</v>
      </c>
      <c r="U37" s="129">
        <f t="shared" si="14"/>
        <v>7361.0906420592792</v>
      </c>
      <c r="V37" s="129">
        <f t="shared" si="14"/>
        <v>1374.623079171382</v>
      </c>
      <c r="W37" s="129">
        <f t="shared" si="14"/>
        <v>4775794.5982984295</v>
      </c>
      <c r="X37" s="125"/>
      <c r="Y37" s="125"/>
      <c r="Z37" s="129">
        <f t="shared" si="15"/>
        <v>684921.67741374287</v>
      </c>
      <c r="AA37" s="129">
        <f t="shared" si="15"/>
        <v>1633860.2966762842</v>
      </c>
      <c r="AB37" s="129">
        <f t="shared" si="15"/>
        <v>684306.31416076166</v>
      </c>
      <c r="AC37" s="129">
        <f t="shared" si="15"/>
        <v>8607.6265932171264</v>
      </c>
      <c r="AD37" s="129">
        <f t="shared" si="15"/>
        <v>1607.4034062723492</v>
      </c>
      <c r="AE37" s="129">
        <f t="shared" si="15"/>
        <v>5584533.4050330548</v>
      </c>
    </row>
    <row r="38" spans="1:31" ht="15.75" thickTop="1" x14ac:dyDescent="0.25"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</row>
    <row r="39" spans="1:31" ht="15.75" x14ac:dyDescent="0.25">
      <c r="A39" s="112" t="s">
        <v>460</v>
      </c>
      <c r="O39" s="119" t="s">
        <v>32</v>
      </c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</row>
    <row r="40" spans="1:31" x14ac:dyDescent="0.25">
      <c r="A40" s="116" t="s">
        <v>454</v>
      </c>
      <c r="B40" s="117"/>
      <c r="C40" s="117">
        <f t="shared" ref="C40:O40" si="23">SUM(C41:C50)</f>
        <v>200383.14626666665</v>
      </c>
      <c r="D40" s="117">
        <f t="shared" si="23"/>
        <v>200383.14626666665</v>
      </c>
      <c r="E40" s="117">
        <f t="shared" si="23"/>
        <v>200522.31293333328</v>
      </c>
      <c r="F40" s="117">
        <f t="shared" si="23"/>
        <v>200522.31293333328</v>
      </c>
      <c r="G40" s="117">
        <f t="shared" si="23"/>
        <v>200522.31293333328</v>
      </c>
      <c r="H40" s="117">
        <f t="shared" si="23"/>
        <v>201109.44596666662</v>
      </c>
      <c r="I40" s="117">
        <f t="shared" si="23"/>
        <v>201109.44596666662</v>
      </c>
      <c r="J40" s="117">
        <f t="shared" si="23"/>
        <v>201109.44596666662</v>
      </c>
      <c r="K40" s="117">
        <f t="shared" si="23"/>
        <v>201109.44596666662</v>
      </c>
      <c r="L40" s="117">
        <f t="shared" si="23"/>
        <v>201109.44596666662</v>
      </c>
      <c r="M40" s="117">
        <f t="shared" si="23"/>
        <v>201109.44596666662</v>
      </c>
      <c r="N40" s="117">
        <f t="shared" si="23"/>
        <v>206281.80614999996</v>
      </c>
      <c r="O40" s="117">
        <f t="shared" si="23"/>
        <v>2415271.713283333</v>
      </c>
      <c r="R40" s="125"/>
      <c r="S40" s="125"/>
      <c r="T40" s="125"/>
      <c r="U40" s="125"/>
      <c r="V40" s="125"/>
      <c r="W40" s="125"/>
      <c r="X40" s="125"/>
      <c r="Y40" s="125"/>
      <c r="Z40" s="122">
        <f>$O40*Z$3</f>
        <v>192405.60230600115</v>
      </c>
      <c r="AA40" s="122">
        <f t="shared" ref="AA40:AE54" si="24">$O40*AA$3</f>
        <v>458977.84350014571</v>
      </c>
      <c r="AB40" s="122">
        <f t="shared" si="24"/>
        <v>192232.73679271515</v>
      </c>
      <c r="AC40" s="122">
        <f t="shared" si="24"/>
        <v>2418.0218464492468</v>
      </c>
      <c r="AD40" s="122">
        <f t="shared" si="24"/>
        <v>451.54567409862454</v>
      </c>
      <c r="AE40" s="122">
        <f t="shared" si="24"/>
        <v>1568785.963163923</v>
      </c>
    </row>
    <row r="41" spans="1:31" x14ac:dyDescent="0.25">
      <c r="A41" t="s">
        <v>455</v>
      </c>
      <c r="B41" s="118"/>
      <c r="C41" s="118">
        <f>'Corporate and Skipjack Alloc 21'!N41</f>
        <v>0</v>
      </c>
      <c r="D41" s="125">
        <f>C41</f>
        <v>0</v>
      </c>
      <c r="E41" s="125">
        <f t="shared" ref="E41:N41" si="25">D41</f>
        <v>0</v>
      </c>
      <c r="F41" s="125">
        <f t="shared" si="25"/>
        <v>0</v>
      </c>
      <c r="G41" s="125">
        <f t="shared" si="25"/>
        <v>0</v>
      </c>
      <c r="H41" s="125">
        <f t="shared" si="25"/>
        <v>0</v>
      </c>
      <c r="I41" s="125">
        <f t="shared" si="25"/>
        <v>0</v>
      </c>
      <c r="J41" s="125">
        <f t="shared" si="25"/>
        <v>0</v>
      </c>
      <c r="K41" s="125">
        <f t="shared" si="25"/>
        <v>0</v>
      </c>
      <c r="L41" s="125">
        <f t="shared" si="25"/>
        <v>0</v>
      </c>
      <c r="M41" s="125">
        <f t="shared" si="25"/>
        <v>0</v>
      </c>
      <c r="N41" s="125">
        <f t="shared" si="25"/>
        <v>0</v>
      </c>
      <c r="O41" s="118">
        <f>SUM(C41:N41)</f>
        <v>0</v>
      </c>
      <c r="P41" s="118"/>
      <c r="Q41" s="118"/>
      <c r="R41" s="124"/>
      <c r="S41" s="124"/>
      <c r="T41" s="124"/>
      <c r="U41" s="124"/>
      <c r="V41" s="124"/>
      <c r="W41" s="124"/>
      <c r="X41" s="125"/>
      <c r="Y41" s="125"/>
      <c r="Z41" s="124">
        <f t="shared" ref="Z41:Z54" si="26">$O41*Z$3</f>
        <v>0</v>
      </c>
      <c r="AA41" s="124">
        <f t="shared" si="24"/>
        <v>0</v>
      </c>
      <c r="AB41" s="124">
        <f t="shared" si="24"/>
        <v>0</v>
      </c>
      <c r="AC41" s="124">
        <f t="shared" si="24"/>
        <v>0</v>
      </c>
      <c r="AD41" s="124">
        <f t="shared" si="24"/>
        <v>0</v>
      </c>
      <c r="AE41" s="124">
        <f t="shared" si="24"/>
        <v>0</v>
      </c>
    </row>
    <row r="42" spans="1:31" x14ac:dyDescent="0.25">
      <c r="A42" t="s">
        <v>434</v>
      </c>
      <c r="B42" s="118"/>
      <c r="C42" s="125">
        <f>'Corporate and Skipjack Alloc 21'!N42</f>
        <v>21615.870000000003</v>
      </c>
      <c r="D42" s="125">
        <f t="shared" ref="D42:N50" si="27">C42</f>
        <v>21615.870000000003</v>
      </c>
      <c r="E42" s="125">
        <f t="shared" si="27"/>
        <v>21615.870000000003</v>
      </c>
      <c r="F42" s="125">
        <f t="shared" si="27"/>
        <v>21615.870000000003</v>
      </c>
      <c r="G42" s="125">
        <f t="shared" si="27"/>
        <v>21615.870000000003</v>
      </c>
      <c r="H42" s="125">
        <f t="shared" si="27"/>
        <v>21615.870000000003</v>
      </c>
      <c r="I42" s="125">
        <f t="shared" si="27"/>
        <v>21615.870000000003</v>
      </c>
      <c r="J42" s="125">
        <f t="shared" si="27"/>
        <v>21615.870000000003</v>
      </c>
      <c r="K42" s="125">
        <f t="shared" si="27"/>
        <v>21615.870000000003</v>
      </c>
      <c r="L42" s="125">
        <f t="shared" si="27"/>
        <v>21615.870000000003</v>
      </c>
      <c r="M42" s="125">
        <f t="shared" si="27"/>
        <v>21615.870000000003</v>
      </c>
      <c r="N42" s="125">
        <f t="shared" si="27"/>
        <v>21615.870000000003</v>
      </c>
      <c r="O42" s="68">
        <f t="shared" ref="O42:O53" si="28">SUM(C42:N42)</f>
        <v>259390.43999999997</v>
      </c>
      <c r="P42" s="68"/>
      <c r="Q42" s="68"/>
      <c r="R42" s="125"/>
      <c r="S42" s="125"/>
      <c r="T42" s="125"/>
      <c r="U42" s="125"/>
      <c r="V42" s="125"/>
      <c r="W42" s="125"/>
      <c r="X42" s="125"/>
      <c r="Y42" s="125"/>
      <c r="Z42" s="124">
        <f t="shared" si="26"/>
        <v>20663.585619016427</v>
      </c>
      <c r="AA42" s="124">
        <f t="shared" si="24"/>
        <v>49292.369103230485</v>
      </c>
      <c r="AB42" s="124">
        <f t="shared" si="24"/>
        <v>20645.020560143144</v>
      </c>
      <c r="AC42" s="124">
        <f t="shared" si="24"/>
        <v>259.68579320934771</v>
      </c>
      <c r="AD42" s="124">
        <f t="shared" si="24"/>
        <v>48.494184087187548</v>
      </c>
      <c r="AE42" s="124">
        <f t="shared" si="24"/>
        <v>168481.28474031336</v>
      </c>
    </row>
    <row r="43" spans="1:31" x14ac:dyDescent="0.25">
      <c r="A43" t="s">
        <v>456</v>
      </c>
      <c r="B43" s="118"/>
      <c r="C43" s="125">
        <f>'Corporate and Skipjack Alloc 21'!N43</f>
        <v>3549.02</v>
      </c>
      <c r="D43" s="125">
        <f t="shared" si="27"/>
        <v>3549.02</v>
      </c>
      <c r="E43" s="125">
        <f t="shared" si="27"/>
        <v>3549.02</v>
      </c>
      <c r="F43" s="125">
        <f t="shared" si="27"/>
        <v>3549.02</v>
      </c>
      <c r="G43" s="125">
        <f t="shared" si="27"/>
        <v>3549.02</v>
      </c>
      <c r="H43" s="125">
        <f t="shared" si="27"/>
        <v>3549.02</v>
      </c>
      <c r="I43" s="125">
        <f t="shared" si="27"/>
        <v>3549.02</v>
      </c>
      <c r="J43" s="125">
        <f t="shared" si="27"/>
        <v>3549.02</v>
      </c>
      <c r="K43" s="125">
        <f t="shared" si="27"/>
        <v>3549.02</v>
      </c>
      <c r="L43" s="125">
        <f t="shared" si="27"/>
        <v>3549.02</v>
      </c>
      <c r="M43" s="125">
        <f t="shared" si="27"/>
        <v>3549.02</v>
      </c>
      <c r="N43" s="125">
        <f t="shared" si="27"/>
        <v>3549.02</v>
      </c>
      <c r="O43" s="68">
        <f t="shared" si="28"/>
        <v>42588.239999999991</v>
      </c>
      <c r="P43" s="68"/>
      <c r="Q43" s="68"/>
      <c r="R43" s="125"/>
      <c r="S43" s="125"/>
      <c r="T43" s="125"/>
      <c r="U43" s="125"/>
      <c r="V43" s="125"/>
      <c r="W43" s="125"/>
      <c r="X43" s="125"/>
      <c r="Y43" s="125"/>
      <c r="Z43" s="124">
        <f t="shared" si="26"/>
        <v>3392.6683790012462</v>
      </c>
      <c r="AA43" s="124">
        <f t="shared" si="24"/>
        <v>8093.1095438095736</v>
      </c>
      <c r="AB43" s="124">
        <f t="shared" si="24"/>
        <v>3389.6202590207663</v>
      </c>
      <c r="AC43" s="124">
        <f t="shared" si="24"/>
        <v>42.63673281787127</v>
      </c>
      <c r="AD43" s="124">
        <f t="shared" si="24"/>
        <v>7.9620588581033438</v>
      </c>
      <c r="AE43" s="124">
        <f t="shared" si="24"/>
        <v>27662.24302649243</v>
      </c>
    </row>
    <row r="44" spans="1:31" x14ac:dyDescent="0.25">
      <c r="A44" t="s">
        <v>435</v>
      </c>
      <c r="B44" s="118"/>
      <c r="C44" s="125">
        <f>'Corporate and Skipjack Alloc 21'!N44</f>
        <v>10487.479999999998</v>
      </c>
      <c r="D44" s="125">
        <f t="shared" si="27"/>
        <v>10487.479999999998</v>
      </c>
      <c r="E44" s="125">
        <f t="shared" si="27"/>
        <v>10487.479999999998</v>
      </c>
      <c r="F44" s="125">
        <f t="shared" si="27"/>
        <v>10487.479999999998</v>
      </c>
      <c r="G44" s="125">
        <f t="shared" si="27"/>
        <v>10487.479999999998</v>
      </c>
      <c r="H44" s="125">
        <f t="shared" si="27"/>
        <v>10487.479999999998</v>
      </c>
      <c r="I44" s="125">
        <f t="shared" si="27"/>
        <v>10487.479999999998</v>
      </c>
      <c r="J44" s="125">
        <f t="shared" si="27"/>
        <v>10487.479999999998</v>
      </c>
      <c r="K44" s="125">
        <f t="shared" si="27"/>
        <v>10487.479999999998</v>
      </c>
      <c r="L44" s="125">
        <f t="shared" si="27"/>
        <v>10487.479999999998</v>
      </c>
      <c r="M44" s="125">
        <f t="shared" si="27"/>
        <v>10487.479999999998</v>
      </c>
      <c r="N44" s="125">
        <f t="shared" si="27"/>
        <v>10487.479999999998</v>
      </c>
      <c r="O44" s="68">
        <f t="shared" si="28"/>
        <v>125849.75999999997</v>
      </c>
      <c r="P44" s="68"/>
      <c r="Q44" s="68"/>
      <c r="R44" s="125"/>
      <c r="S44" s="125"/>
      <c r="T44" s="125"/>
      <c r="U44" s="125"/>
      <c r="V44" s="125"/>
      <c r="W44" s="125"/>
      <c r="X44" s="125"/>
      <c r="Y44" s="125"/>
      <c r="Z44" s="124">
        <f t="shared" si="26"/>
        <v>10025.455413440326</v>
      </c>
      <c r="AA44" s="124">
        <f t="shared" si="24"/>
        <v>23915.425801633133</v>
      </c>
      <c r="AB44" s="124">
        <f t="shared" si="24"/>
        <v>10016.448110767227</v>
      </c>
      <c r="AC44" s="124">
        <f t="shared" si="24"/>
        <v>125.99305799707203</v>
      </c>
      <c r="AD44" s="124">
        <f t="shared" si="24"/>
        <v>23.528166376402964</v>
      </c>
      <c r="AE44" s="124">
        <f t="shared" si="24"/>
        <v>81742.909449785802</v>
      </c>
    </row>
    <row r="45" spans="1:31" x14ac:dyDescent="0.25">
      <c r="A45" t="s">
        <v>457</v>
      </c>
      <c r="B45" s="144"/>
      <c r="C45" s="125">
        <f>'Corporate and Skipjack Alloc 21'!N45+(161528*0.0334/12)</f>
        <v>65613.72626666665</v>
      </c>
      <c r="D45" s="125">
        <f t="shared" si="27"/>
        <v>65613.72626666665</v>
      </c>
      <c r="E45" s="125">
        <f>D45+(50000*0.0334/12)</f>
        <v>65752.892933333322</v>
      </c>
      <c r="F45" s="125">
        <f t="shared" si="27"/>
        <v>65752.892933333322</v>
      </c>
      <c r="G45" s="125">
        <f t="shared" si="27"/>
        <v>65752.892933333322</v>
      </c>
      <c r="H45" s="125">
        <f>G45+(210946*0.0334/12)</f>
        <v>66340.025966666653</v>
      </c>
      <c r="I45" s="125">
        <f t="shared" si="27"/>
        <v>66340.025966666653</v>
      </c>
      <c r="J45" s="125">
        <f t="shared" si="27"/>
        <v>66340.025966666653</v>
      </c>
      <c r="K45" s="125">
        <f t="shared" si="27"/>
        <v>66340.025966666653</v>
      </c>
      <c r="L45" s="125">
        <f t="shared" si="27"/>
        <v>66340.025966666653</v>
      </c>
      <c r="M45" s="125">
        <f t="shared" si="27"/>
        <v>66340.025966666653</v>
      </c>
      <c r="N45" s="125">
        <f>M45+(1858333*0.0334/12)</f>
        <v>71512.386149999991</v>
      </c>
      <c r="O45" s="68">
        <f t="shared" si="28"/>
        <v>798038.67328333308</v>
      </c>
      <c r="P45" s="68"/>
      <c r="Q45" s="68"/>
      <c r="R45" s="125"/>
      <c r="S45" s="125"/>
      <c r="T45" s="125"/>
      <c r="U45" s="125"/>
      <c r="V45" s="125"/>
      <c r="W45" s="125"/>
      <c r="X45" s="125"/>
      <c r="Y45" s="125"/>
      <c r="Z45" s="124">
        <f t="shared" si="26"/>
        <v>63573.431822223021</v>
      </c>
      <c r="AA45" s="124">
        <f t="shared" si="24"/>
        <v>151652.53138139719</v>
      </c>
      <c r="AB45" s="124">
        <f t="shared" si="24"/>
        <v>63516.314701975018</v>
      </c>
      <c r="AC45" s="124">
        <f t="shared" si="24"/>
        <v>798.94735474182414</v>
      </c>
      <c r="AD45" s="124">
        <f t="shared" si="24"/>
        <v>149.19684137509802</v>
      </c>
      <c r="AE45" s="124">
        <f t="shared" si="24"/>
        <v>518348.25118162087</v>
      </c>
    </row>
    <row r="46" spans="1:31" x14ac:dyDescent="0.25">
      <c r="A46" t="s">
        <v>436</v>
      </c>
      <c r="B46" s="118"/>
      <c r="C46" s="125">
        <f>'Corporate and Skipjack Alloc 21'!N46</f>
        <v>12997.810000000001</v>
      </c>
      <c r="D46" s="125">
        <f t="shared" si="27"/>
        <v>12997.810000000001</v>
      </c>
      <c r="E46" s="125">
        <f t="shared" si="27"/>
        <v>12997.810000000001</v>
      </c>
      <c r="F46" s="125">
        <f t="shared" si="27"/>
        <v>12997.810000000001</v>
      </c>
      <c r="G46" s="125">
        <f t="shared" si="27"/>
        <v>12997.810000000001</v>
      </c>
      <c r="H46" s="125">
        <f t="shared" si="27"/>
        <v>12997.810000000001</v>
      </c>
      <c r="I46" s="125">
        <f t="shared" si="27"/>
        <v>12997.810000000001</v>
      </c>
      <c r="J46" s="125">
        <f t="shared" si="27"/>
        <v>12997.810000000001</v>
      </c>
      <c r="K46" s="125">
        <f t="shared" si="27"/>
        <v>12997.810000000001</v>
      </c>
      <c r="L46" s="125">
        <f t="shared" si="27"/>
        <v>12997.810000000001</v>
      </c>
      <c r="M46" s="125">
        <f t="shared" si="27"/>
        <v>12997.810000000001</v>
      </c>
      <c r="N46" s="125">
        <f t="shared" si="27"/>
        <v>12997.810000000001</v>
      </c>
      <c r="O46" s="68">
        <f t="shared" si="28"/>
        <v>155973.72</v>
      </c>
      <c r="P46" s="68"/>
      <c r="Q46" s="68"/>
      <c r="R46" s="125"/>
      <c r="S46" s="125"/>
      <c r="T46" s="125"/>
      <c r="U46" s="125"/>
      <c r="V46" s="125"/>
      <c r="W46" s="125"/>
      <c r="X46" s="125"/>
      <c r="Y46" s="125"/>
      <c r="Z46" s="124">
        <f t="shared" si="26"/>
        <v>12425.193147197311</v>
      </c>
      <c r="AA46" s="124">
        <f t="shared" si="24"/>
        <v>29639.928814045437</v>
      </c>
      <c r="AB46" s="124">
        <f t="shared" si="24"/>
        <v>12414.029816372607</v>
      </c>
      <c r="AC46" s="124">
        <f t="shared" si="24"/>
        <v>156.15131844493845</v>
      </c>
      <c r="AD46" s="124">
        <f t="shared" si="24"/>
        <v>29.159973245133656</v>
      </c>
      <c r="AE46" s="124">
        <f t="shared" si="24"/>
        <v>101309.25693069457</v>
      </c>
    </row>
    <row r="47" spans="1:31" x14ac:dyDescent="0.25">
      <c r="A47" t="s">
        <v>437</v>
      </c>
      <c r="B47" s="118"/>
      <c r="C47" s="125">
        <f>'Corporate and Skipjack Alloc 21'!N47</f>
        <v>1595.98</v>
      </c>
      <c r="D47" s="125">
        <f t="shared" si="27"/>
        <v>1595.98</v>
      </c>
      <c r="E47" s="125">
        <f t="shared" si="27"/>
        <v>1595.98</v>
      </c>
      <c r="F47" s="125">
        <f t="shared" si="27"/>
        <v>1595.98</v>
      </c>
      <c r="G47" s="125">
        <f t="shared" si="27"/>
        <v>1595.98</v>
      </c>
      <c r="H47" s="125">
        <f t="shared" si="27"/>
        <v>1595.98</v>
      </c>
      <c r="I47" s="125">
        <f t="shared" si="27"/>
        <v>1595.98</v>
      </c>
      <c r="J47" s="125">
        <f t="shared" si="27"/>
        <v>1595.98</v>
      </c>
      <c r="K47" s="125">
        <f t="shared" si="27"/>
        <v>1595.98</v>
      </c>
      <c r="L47" s="125">
        <f t="shared" si="27"/>
        <v>1595.98</v>
      </c>
      <c r="M47" s="125">
        <f t="shared" si="27"/>
        <v>1595.98</v>
      </c>
      <c r="N47" s="125">
        <f t="shared" si="27"/>
        <v>1595.98</v>
      </c>
      <c r="O47" s="68">
        <f t="shared" si="28"/>
        <v>19151.759999999998</v>
      </c>
      <c r="P47" s="68"/>
      <c r="Q47" s="68"/>
      <c r="R47" s="125"/>
      <c r="S47" s="125"/>
      <c r="T47" s="125"/>
      <c r="U47" s="125"/>
      <c r="V47" s="125"/>
      <c r="W47" s="125"/>
      <c r="X47" s="125"/>
      <c r="Y47" s="125"/>
      <c r="Z47" s="124">
        <f t="shared" si="26"/>
        <v>1525.6693057571977</v>
      </c>
      <c r="AA47" s="124">
        <f t="shared" si="24"/>
        <v>3639.43876611831</v>
      </c>
      <c r="AB47" s="124">
        <f t="shared" si="24"/>
        <v>1524.2985784785556</v>
      </c>
      <c r="AC47" s="124">
        <f t="shared" si="24"/>
        <v>19.17356702488749</v>
      </c>
      <c r="AD47" s="124">
        <f t="shared" si="24"/>
        <v>3.5805058005747434</v>
      </c>
      <c r="AE47" s="124">
        <f t="shared" si="24"/>
        <v>12439.599276820472</v>
      </c>
    </row>
    <row r="48" spans="1:31" x14ac:dyDescent="0.25">
      <c r="A48" t="s">
        <v>438</v>
      </c>
      <c r="B48" s="118"/>
      <c r="C48" s="125">
        <f>'Corporate and Skipjack Alloc 21'!N48</f>
        <v>64898.66</v>
      </c>
      <c r="D48" s="125">
        <f t="shared" si="27"/>
        <v>64898.66</v>
      </c>
      <c r="E48" s="125">
        <f t="shared" si="27"/>
        <v>64898.66</v>
      </c>
      <c r="F48" s="125">
        <f t="shared" si="27"/>
        <v>64898.66</v>
      </c>
      <c r="G48" s="125">
        <f t="shared" si="27"/>
        <v>64898.66</v>
      </c>
      <c r="H48" s="125">
        <f t="shared" si="27"/>
        <v>64898.66</v>
      </c>
      <c r="I48" s="125">
        <f t="shared" si="27"/>
        <v>64898.66</v>
      </c>
      <c r="J48" s="125">
        <f t="shared" si="27"/>
        <v>64898.66</v>
      </c>
      <c r="K48" s="125">
        <f t="shared" si="27"/>
        <v>64898.66</v>
      </c>
      <c r="L48" s="125">
        <f t="shared" si="27"/>
        <v>64898.66</v>
      </c>
      <c r="M48" s="125">
        <f t="shared" si="27"/>
        <v>64898.66</v>
      </c>
      <c r="N48" s="125">
        <f t="shared" si="27"/>
        <v>64898.66</v>
      </c>
      <c r="O48" s="68">
        <f t="shared" si="28"/>
        <v>778783.92000000027</v>
      </c>
      <c r="P48" s="68"/>
      <c r="Q48" s="68"/>
      <c r="R48" s="125"/>
      <c r="S48" s="125"/>
      <c r="T48" s="125"/>
      <c r="U48" s="125"/>
      <c r="V48" s="125"/>
      <c r="W48" s="125"/>
      <c r="X48" s="125"/>
      <c r="Y48" s="125"/>
      <c r="Z48" s="124">
        <f t="shared" si="26"/>
        <v>62039.557855845596</v>
      </c>
      <c r="AA48" s="124">
        <f t="shared" si="24"/>
        <v>147993.5206413187</v>
      </c>
      <c r="AB48" s="124">
        <f t="shared" si="24"/>
        <v>61983.81883429813</v>
      </c>
      <c r="AC48" s="124">
        <f t="shared" si="24"/>
        <v>779.67067716098279</v>
      </c>
      <c r="AD48" s="124">
        <f t="shared" si="24"/>
        <v>145.59708052702928</v>
      </c>
      <c r="AE48" s="124">
        <f t="shared" si="24"/>
        <v>505841.75491084979</v>
      </c>
    </row>
    <row r="49" spans="1:31" x14ac:dyDescent="0.25">
      <c r="A49" t="s">
        <v>458</v>
      </c>
      <c r="B49" s="118"/>
      <c r="C49" s="125">
        <f>'Corporate and Skipjack Alloc 21'!N49</f>
        <v>15067.77</v>
      </c>
      <c r="D49" s="125">
        <f t="shared" si="27"/>
        <v>15067.77</v>
      </c>
      <c r="E49" s="125">
        <f t="shared" si="27"/>
        <v>15067.77</v>
      </c>
      <c r="F49" s="125">
        <f t="shared" si="27"/>
        <v>15067.77</v>
      </c>
      <c r="G49" s="125">
        <f t="shared" si="27"/>
        <v>15067.77</v>
      </c>
      <c r="H49" s="125">
        <f t="shared" si="27"/>
        <v>15067.77</v>
      </c>
      <c r="I49" s="125">
        <f t="shared" si="27"/>
        <v>15067.77</v>
      </c>
      <c r="J49" s="125">
        <f t="shared" si="27"/>
        <v>15067.77</v>
      </c>
      <c r="K49" s="125">
        <f t="shared" si="27"/>
        <v>15067.77</v>
      </c>
      <c r="L49" s="125">
        <f t="shared" si="27"/>
        <v>15067.77</v>
      </c>
      <c r="M49" s="125">
        <f t="shared" si="27"/>
        <v>15067.77</v>
      </c>
      <c r="N49" s="125">
        <f t="shared" si="27"/>
        <v>15067.77</v>
      </c>
      <c r="O49" s="68">
        <f t="shared" si="28"/>
        <v>180813.24</v>
      </c>
      <c r="P49" s="68"/>
      <c r="Q49" s="68"/>
      <c r="R49" s="125"/>
      <c r="S49" s="125"/>
      <c r="T49" s="125"/>
      <c r="U49" s="125"/>
      <c r="V49" s="125"/>
      <c r="W49" s="125"/>
      <c r="X49" s="125"/>
      <c r="Y49" s="125"/>
      <c r="Z49" s="124">
        <f t="shared" si="26"/>
        <v>14403.961324834354</v>
      </c>
      <c r="AA49" s="124">
        <f t="shared" si="24"/>
        <v>34360.221467032476</v>
      </c>
      <c r="AB49" s="124">
        <f t="shared" si="24"/>
        <v>14391.020183111208</v>
      </c>
      <c r="AC49" s="124">
        <f t="shared" si="24"/>
        <v>181.01912180014097</v>
      </c>
      <c r="AD49" s="124">
        <f t="shared" si="24"/>
        <v>33.803830804099114</v>
      </c>
      <c r="AE49" s="124">
        <f t="shared" si="24"/>
        <v>117443.2140724177</v>
      </c>
    </row>
    <row r="50" spans="1:31" x14ac:dyDescent="0.25">
      <c r="A50" t="s">
        <v>441</v>
      </c>
      <c r="B50" s="118"/>
      <c r="C50" s="125">
        <f>'Corporate and Skipjack Alloc 21'!N50</f>
        <v>4556.83</v>
      </c>
      <c r="D50" s="125">
        <f t="shared" si="27"/>
        <v>4556.83</v>
      </c>
      <c r="E50" s="125">
        <f t="shared" si="27"/>
        <v>4556.83</v>
      </c>
      <c r="F50" s="125">
        <f t="shared" si="27"/>
        <v>4556.83</v>
      </c>
      <c r="G50" s="125">
        <f t="shared" si="27"/>
        <v>4556.83</v>
      </c>
      <c r="H50" s="125">
        <f t="shared" si="27"/>
        <v>4556.83</v>
      </c>
      <c r="I50" s="125">
        <f t="shared" si="27"/>
        <v>4556.83</v>
      </c>
      <c r="J50" s="125">
        <f t="shared" si="27"/>
        <v>4556.83</v>
      </c>
      <c r="K50" s="125">
        <f t="shared" si="27"/>
        <v>4556.83</v>
      </c>
      <c r="L50" s="125">
        <f t="shared" si="27"/>
        <v>4556.83</v>
      </c>
      <c r="M50" s="125">
        <f t="shared" si="27"/>
        <v>4556.83</v>
      </c>
      <c r="N50" s="125">
        <f t="shared" si="27"/>
        <v>4556.83</v>
      </c>
      <c r="O50" s="68">
        <f t="shared" si="28"/>
        <v>54681.960000000014</v>
      </c>
      <c r="P50" s="68"/>
      <c r="Q50" s="68"/>
      <c r="R50" s="125"/>
      <c r="S50" s="125"/>
      <c r="T50" s="125"/>
      <c r="U50" s="125"/>
      <c r="V50" s="125"/>
      <c r="W50" s="125"/>
      <c r="X50" s="125"/>
      <c r="Y50" s="125"/>
      <c r="Z50" s="124">
        <f t="shared" si="26"/>
        <v>4356.0794386856815</v>
      </c>
      <c r="AA50" s="124">
        <f t="shared" si="24"/>
        <v>10391.297981560487</v>
      </c>
      <c r="AB50" s="124">
        <f t="shared" si="24"/>
        <v>4352.1657485485021</v>
      </c>
      <c r="AC50" s="124">
        <f t="shared" si="24"/>
        <v>54.744223252182415</v>
      </c>
      <c r="AD50" s="124">
        <f t="shared" si="24"/>
        <v>10.223033024995937</v>
      </c>
      <c r="AE50" s="124">
        <f t="shared" si="24"/>
        <v>35517.449574928163</v>
      </c>
    </row>
    <row r="51" spans="1:31" x14ac:dyDescent="0.25">
      <c r="A51" s="116" t="s">
        <v>461</v>
      </c>
      <c r="B51" s="120"/>
      <c r="C51" s="143">
        <f t="shared" ref="C51:P51" si="29">SUM(C52:C53)</f>
        <v>5732.77</v>
      </c>
      <c r="D51" s="143">
        <f t="shared" si="29"/>
        <v>5732.77</v>
      </c>
      <c r="E51" s="143">
        <f t="shared" ref="E51:N51" si="30">SUM(E52:E53)</f>
        <v>5732.77</v>
      </c>
      <c r="F51" s="143">
        <f t="shared" si="30"/>
        <v>5732.77</v>
      </c>
      <c r="G51" s="143">
        <f t="shared" si="30"/>
        <v>5732.77</v>
      </c>
      <c r="H51" s="143">
        <f t="shared" si="30"/>
        <v>5732.77</v>
      </c>
      <c r="I51" s="143">
        <f t="shared" si="30"/>
        <v>5732.77</v>
      </c>
      <c r="J51" s="143">
        <f t="shared" si="30"/>
        <v>5732.77</v>
      </c>
      <c r="K51" s="143">
        <f t="shared" si="30"/>
        <v>5732.77</v>
      </c>
      <c r="L51" s="143">
        <f t="shared" si="30"/>
        <v>5732.77</v>
      </c>
      <c r="M51" s="143">
        <f t="shared" si="30"/>
        <v>5732.77</v>
      </c>
      <c r="N51" s="143">
        <f t="shared" si="30"/>
        <v>5732.77</v>
      </c>
      <c r="O51" s="117">
        <f t="shared" si="29"/>
        <v>68793.24000000002</v>
      </c>
      <c r="P51" s="117">
        <f t="shared" si="29"/>
        <v>0</v>
      </c>
      <c r="Q51" s="68"/>
      <c r="R51" s="125"/>
      <c r="S51" s="125"/>
      <c r="T51" s="125"/>
      <c r="U51" s="125"/>
      <c r="V51" s="125"/>
      <c r="W51" s="125"/>
      <c r="X51" s="125"/>
      <c r="Y51" s="125"/>
      <c r="Z51" s="126">
        <f t="shared" si="26"/>
        <v>5480.2135527799182</v>
      </c>
      <c r="AA51" s="126">
        <f t="shared" si="24"/>
        <v>13072.886486823189</v>
      </c>
      <c r="AB51" s="126">
        <f t="shared" si="24"/>
        <v>5475.2898919438285</v>
      </c>
      <c r="AC51" s="126">
        <f t="shared" si="24"/>
        <v>68.871570967846893</v>
      </c>
      <c r="AD51" s="126">
        <f t="shared" si="24"/>
        <v>12.861198911240042</v>
      </c>
      <c r="AE51" s="126">
        <f t="shared" si="24"/>
        <v>44683.117298573998</v>
      </c>
    </row>
    <row r="52" spans="1:31" x14ac:dyDescent="0.25">
      <c r="A52" t="s">
        <v>435</v>
      </c>
      <c r="B52" s="118"/>
      <c r="C52" s="125">
        <f>'Corporate and Skipjack Alloc 21'!N52</f>
        <v>49.47</v>
      </c>
      <c r="D52" s="68">
        <f>C52</f>
        <v>49.47</v>
      </c>
      <c r="E52" s="68">
        <f t="shared" ref="E52:N52" si="31">D52</f>
        <v>49.47</v>
      </c>
      <c r="F52" s="68">
        <f t="shared" si="31"/>
        <v>49.47</v>
      </c>
      <c r="G52" s="68">
        <f t="shared" si="31"/>
        <v>49.47</v>
      </c>
      <c r="H52" s="68">
        <f t="shared" si="31"/>
        <v>49.47</v>
      </c>
      <c r="I52" s="68">
        <f t="shared" si="31"/>
        <v>49.47</v>
      </c>
      <c r="J52" s="68">
        <f t="shared" si="31"/>
        <v>49.47</v>
      </c>
      <c r="K52" s="68">
        <f t="shared" si="31"/>
        <v>49.47</v>
      </c>
      <c r="L52" s="68">
        <f t="shared" si="31"/>
        <v>49.47</v>
      </c>
      <c r="M52" s="68">
        <f t="shared" si="31"/>
        <v>49.47</v>
      </c>
      <c r="N52" s="68">
        <f t="shared" si="31"/>
        <v>49.47</v>
      </c>
      <c r="O52" s="68">
        <f t="shared" si="28"/>
        <v>593.6400000000001</v>
      </c>
      <c r="P52" s="68"/>
      <c r="Q52" s="68"/>
      <c r="R52" s="125"/>
      <c r="S52" s="125"/>
      <c r="T52" s="125"/>
      <c r="U52" s="125"/>
      <c r="V52" s="125"/>
      <c r="W52" s="125"/>
      <c r="X52" s="125"/>
      <c r="Y52" s="125"/>
      <c r="Z52" s="124">
        <f t="shared" si="26"/>
        <v>47.290605493683245</v>
      </c>
      <c r="AA52" s="124">
        <f t="shared" si="24"/>
        <v>112.81033331236785</v>
      </c>
      <c r="AB52" s="124">
        <f t="shared" si="24"/>
        <v>47.24811756872527</v>
      </c>
      <c r="AC52" s="124">
        <f t="shared" si="24"/>
        <v>0.59431594426069523</v>
      </c>
      <c r="AD52" s="124">
        <f t="shared" si="24"/>
        <v>0.11098361004175028</v>
      </c>
      <c r="AE52" s="124">
        <f t="shared" si="24"/>
        <v>385.58564407092126</v>
      </c>
    </row>
    <row r="53" spans="1:31" x14ac:dyDescent="0.25">
      <c r="A53" t="s">
        <v>441</v>
      </c>
      <c r="B53" s="118"/>
      <c r="C53" s="125">
        <f>'Corporate and Skipjack Alloc 21'!N53</f>
        <v>5683.3</v>
      </c>
      <c r="D53" s="68">
        <f>C53</f>
        <v>5683.3</v>
      </c>
      <c r="E53" s="68">
        <f t="shared" ref="E53:N53" si="32">D53</f>
        <v>5683.3</v>
      </c>
      <c r="F53" s="68">
        <f t="shared" si="32"/>
        <v>5683.3</v>
      </c>
      <c r="G53" s="68">
        <f t="shared" si="32"/>
        <v>5683.3</v>
      </c>
      <c r="H53" s="68">
        <f t="shared" si="32"/>
        <v>5683.3</v>
      </c>
      <c r="I53" s="68">
        <f t="shared" si="32"/>
        <v>5683.3</v>
      </c>
      <c r="J53" s="68">
        <f t="shared" si="32"/>
        <v>5683.3</v>
      </c>
      <c r="K53" s="68">
        <f t="shared" si="32"/>
        <v>5683.3</v>
      </c>
      <c r="L53" s="68">
        <f t="shared" si="32"/>
        <v>5683.3</v>
      </c>
      <c r="M53" s="68">
        <f t="shared" si="32"/>
        <v>5683.3</v>
      </c>
      <c r="N53" s="68">
        <f t="shared" si="32"/>
        <v>5683.3</v>
      </c>
      <c r="O53" s="68">
        <f t="shared" si="28"/>
        <v>68199.60000000002</v>
      </c>
      <c r="P53" s="68"/>
      <c r="Q53" s="68"/>
      <c r="R53" s="125"/>
      <c r="S53" s="125"/>
      <c r="T53" s="125"/>
      <c r="U53" s="125"/>
      <c r="V53" s="125"/>
      <c r="W53" s="125"/>
      <c r="X53" s="125"/>
      <c r="Y53" s="125"/>
      <c r="Z53" s="124">
        <f t="shared" si="26"/>
        <v>5432.9229472862344</v>
      </c>
      <c r="AA53" s="124">
        <f t="shared" si="24"/>
        <v>12960.076153510821</v>
      </c>
      <c r="AB53" s="124">
        <f t="shared" si="24"/>
        <v>5428.0417743751041</v>
      </c>
      <c r="AC53" s="124">
        <f t="shared" si="24"/>
        <v>68.277255023586207</v>
      </c>
      <c r="AD53" s="124">
        <f t="shared" si="24"/>
        <v>12.75021530119829</v>
      </c>
      <c r="AE53" s="124">
        <f t="shared" si="24"/>
        <v>44297.531654503073</v>
      </c>
    </row>
    <row r="54" spans="1:31" ht="15.75" thickBot="1" x14ac:dyDescent="0.3">
      <c r="B54" s="117"/>
      <c r="C54" s="143">
        <f t="shared" ref="C54:O54" si="33">C51+C40</f>
        <v>206115.91626666664</v>
      </c>
      <c r="D54" s="143">
        <f t="shared" si="33"/>
        <v>206115.91626666664</v>
      </c>
      <c r="E54" s="143">
        <f t="shared" ref="E54:N54" si="34">E51+E40</f>
        <v>206255.08293333327</v>
      </c>
      <c r="F54" s="143">
        <f t="shared" si="34"/>
        <v>206255.08293333327</v>
      </c>
      <c r="G54" s="143">
        <f t="shared" si="34"/>
        <v>206255.08293333327</v>
      </c>
      <c r="H54" s="143">
        <f t="shared" si="34"/>
        <v>206842.21596666661</v>
      </c>
      <c r="I54" s="143">
        <f t="shared" si="34"/>
        <v>206842.21596666661</v>
      </c>
      <c r="J54" s="143">
        <f t="shared" si="34"/>
        <v>206842.21596666661</v>
      </c>
      <c r="K54" s="143">
        <f t="shared" si="34"/>
        <v>206842.21596666661</v>
      </c>
      <c r="L54" s="143">
        <f t="shared" si="34"/>
        <v>206842.21596666661</v>
      </c>
      <c r="M54" s="143">
        <f t="shared" si="34"/>
        <v>206842.21596666661</v>
      </c>
      <c r="N54" s="143">
        <f t="shared" si="34"/>
        <v>212014.57614999995</v>
      </c>
      <c r="O54" s="117">
        <f t="shared" si="33"/>
        <v>2484064.9532833332</v>
      </c>
      <c r="P54" s="118"/>
      <c r="Q54" s="118"/>
      <c r="R54" s="125"/>
      <c r="S54" s="125"/>
      <c r="T54" s="125"/>
      <c r="U54" s="125"/>
      <c r="V54" s="125"/>
      <c r="W54" s="125"/>
      <c r="X54" s="125"/>
      <c r="Y54" s="125"/>
      <c r="Z54" s="129">
        <f t="shared" si="26"/>
        <v>197885.81585878108</v>
      </c>
      <c r="AA54" s="129">
        <f t="shared" si="24"/>
        <v>472050.72998696897</v>
      </c>
      <c r="AB54" s="129">
        <f t="shared" si="24"/>
        <v>197708.02668465898</v>
      </c>
      <c r="AC54" s="129">
        <f t="shared" si="24"/>
        <v>2486.893417417094</v>
      </c>
      <c r="AD54" s="129">
        <f t="shared" si="24"/>
        <v>464.40687300986463</v>
      </c>
      <c r="AE54" s="129">
        <f t="shared" si="24"/>
        <v>1613469.0804624972</v>
      </c>
    </row>
    <row r="55" spans="1:31" ht="16.5" thickTop="1" x14ac:dyDescent="0.25">
      <c r="A55" s="112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25"/>
      <c r="S55" s="125"/>
      <c r="T55" s="125"/>
      <c r="U55" s="125"/>
      <c r="V55" s="125"/>
      <c r="W55" s="125"/>
      <c r="X55" s="125"/>
      <c r="Y55" s="125"/>
      <c r="Z55" s="130" t="s">
        <v>462</v>
      </c>
      <c r="AA55" s="124"/>
      <c r="AB55" s="124"/>
      <c r="AC55" s="124"/>
      <c r="AD55" s="124"/>
      <c r="AE55" s="124"/>
    </row>
    <row r="56" spans="1:31" x14ac:dyDescent="0.25">
      <c r="A56" s="116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18"/>
      <c r="Q56" s="118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</row>
    <row r="57" spans="1:31" x14ac:dyDescent="0.25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</row>
    <row r="58" spans="1:31" x14ac:dyDescent="0.25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</row>
    <row r="59" spans="1:31" x14ac:dyDescent="0.25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</row>
    <row r="60" spans="1:31" x14ac:dyDescent="0.25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</row>
    <row r="61" spans="1:31" x14ac:dyDescent="0.25"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</row>
    <row r="62" spans="1:31" x14ac:dyDescent="0.25"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</row>
    <row r="63" spans="1:31" x14ac:dyDescent="0.25"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</row>
    <row r="64" spans="1:31" x14ac:dyDescent="0.25"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</row>
    <row r="65" spans="1:31" x14ac:dyDescent="0.25"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</row>
    <row r="66" spans="1:31" x14ac:dyDescent="0.25"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</row>
    <row r="67" spans="1:31" x14ac:dyDescent="0.25">
      <c r="A67" s="116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</row>
    <row r="68" spans="1:31" x14ac:dyDescent="0.25"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</row>
    <row r="69" spans="1:31" x14ac:dyDescent="0.25"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</row>
    <row r="70" spans="1:31" x14ac:dyDescent="0.25">
      <c r="A70" s="116"/>
      <c r="B70" s="116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</row>
  </sheetData>
  <pageMargins left="0.7" right="0.7" top="0.75" bottom="0.75" header="0.3" footer="0.3"/>
  <pageSetup orientation="portrait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0"/>
  <sheetViews>
    <sheetView workbookViewId="0">
      <pane xSplit="1" ySplit="5" topLeftCell="G45" activePane="bottomRight" state="frozen"/>
      <selection pane="topRight" activeCell="B1" sqref="B1"/>
      <selection pane="bottomLeft" activeCell="A6" sqref="A6"/>
      <selection pane="bottomRight" activeCell="B38" sqref="B38"/>
    </sheetView>
  </sheetViews>
  <sheetFormatPr defaultRowHeight="15" x14ac:dyDescent="0.25"/>
  <cols>
    <col min="1" max="1" width="61.7109375" bestFit="1" customWidth="1"/>
    <col min="2" max="14" width="11.28515625" bestFit="1" customWidth="1"/>
    <col min="15" max="15" width="11.5703125" bestFit="1" customWidth="1"/>
    <col min="16" max="16" width="4.7109375" bestFit="1" customWidth="1"/>
    <col min="17" max="17" width="12.7109375" bestFit="1" customWidth="1"/>
    <col min="18" max="18" width="13.28515625" bestFit="1" customWidth="1"/>
    <col min="19" max="19" width="12.140625" customWidth="1"/>
    <col min="20" max="20" width="11.42578125" customWidth="1"/>
    <col min="21" max="21" width="8.85546875" customWidth="1"/>
    <col min="22" max="22" width="8.42578125" bestFit="1" customWidth="1"/>
    <col min="23" max="23" width="12.140625" customWidth="1"/>
    <col min="25" max="25" width="8.42578125" bestFit="1" customWidth="1"/>
    <col min="26" max="28" width="11.42578125" bestFit="1" customWidth="1"/>
    <col min="29" max="29" width="9.28515625" bestFit="1" customWidth="1"/>
    <col min="30" max="30" width="8.42578125" bestFit="1" customWidth="1"/>
    <col min="31" max="31" width="11.85546875" bestFit="1" customWidth="1"/>
  </cols>
  <sheetData>
    <row r="1" spans="1:31" ht="15.75" x14ac:dyDescent="0.25">
      <c r="A1" s="112" t="s">
        <v>450</v>
      </c>
      <c r="Q1" s="4"/>
      <c r="R1" s="113" t="s">
        <v>2</v>
      </c>
      <c r="S1" s="4"/>
      <c r="T1" s="4"/>
      <c r="U1" s="4"/>
      <c r="V1" s="4"/>
      <c r="W1" s="4"/>
      <c r="X1" s="4"/>
      <c r="Y1" s="4" t="s">
        <v>1</v>
      </c>
      <c r="Z1" s="4" t="s">
        <v>3</v>
      </c>
      <c r="AA1" s="4"/>
      <c r="AB1" s="4"/>
      <c r="AC1" s="4"/>
      <c r="AD1" s="4"/>
      <c r="AE1" s="4"/>
    </row>
    <row r="2" spans="1:31" x14ac:dyDescent="0.25">
      <c r="Q2" s="4" t="s">
        <v>5</v>
      </c>
      <c r="R2" s="4" t="s">
        <v>6</v>
      </c>
      <c r="S2" s="4" t="s">
        <v>7</v>
      </c>
      <c r="T2" s="4" t="s">
        <v>8</v>
      </c>
      <c r="U2" s="4" t="s">
        <v>9</v>
      </c>
      <c r="V2" s="4" t="s">
        <v>10</v>
      </c>
      <c r="W2" s="4" t="s">
        <v>11</v>
      </c>
      <c r="X2" s="4"/>
      <c r="Y2" s="4" t="s">
        <v>5</v>
      </c>
      <c r="Z2" s="4" t="s">
        <v>6</v>
      </c>
      <c r="AA2" s="4" t="s">
        <v>7</v>
      </c>
      <c r="AB2" s="4" t="s">
        <v>8</v>
      </c>
      <c r="AC2" s="4" t="s">
        <v>9</v>
      </c>
      <c r="AD2" s="4" t="s">
        <v>10</v>
      </c>
      <c r="AE2" s="4" t="s">
        <v>11</v>
      </c>
    </row>
    <row r="3" spans="1:31" x14ac:dyDescent="0.25">
      <c r="Q3" s="4" t="s">
        <v>451</v>
      </c>
      <c r="R3" s="104">
        <v>7.9662094019411156E-2</v>
      </c>
      <c r="S3" s="104">
        <v>0.19003155668817437</v>
      </c>
      <c r="T3" s="104">
        <v>7.9590522149324952E-2</v>
      </c>
      <c r="U3" s="104">
        <v>1.0011386433877352E-3</v>
      </c>
      <c r="V3" s="104">
        <v>1.869544000433769E-4</v>
      </c>
      <c r="W3" s="104">
        <v>0.64952773409965836</v>
      </c>
      <c r="X3" s="4"/>
      <c r="Y3" s="4" t="s">
        <v>452</v>
      </c>
      <c r="Z3" s="104">
        <f>R3</f>
        <v>7.9662094019411156E-2</v>
      </c>
      <c r="AA3" s="104">
        <f t="shared" ref="AA3:AE3" si="0">S3</f>
        <v>0.19003155668817437</v>
      </c>
      <c r="AB3" s="104">
        <f t="shared" si="0"/>
        <v>7.9590522149324952E-2</v>
      </c>
      <c r="AC3" s="104">
        <f t="shared" si="0"/>
        <v>1.0011386433877352E-3</v>
      </c>
      <c r="AD3" s="104">
        <f t="shared" si="0"/>
        <v>1.869544000433769E-4</v>
      </c>
      <c r="AE3" s="104">
        <f t="shared" si="0"/>
        <v>0.64952773409965836</v>
      </c>
    </row>
    <row r="4" spans="1:31" x14ac:dyDescent="0.25"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</row>
    <row r="5" spans="1:31" ht="26.25" x14ac:dyDescent="0.25">
      <c r="A5" s="112" t="s">
        <v>453</v>
      </c>
      <c r="B5" s="114">
        <v>44915</v>
      </c>
      <c r="C5" s="114">
        <v>44582</v>
      </c>
      <c r="D5" s="114">
        <v>44613</v>
      </c>
      <c r="E5" s="114">
        <v>44641</v>
      </c>
      <c r="F5" s="114">
        <v>44672</v>
      </c>
      <c r="G5" s="114">
        <v>44702</v>
      </c>
      <c r="H5" s="114">
        <v>44733</v>
      </c>
      <c r="I5" s="114">
        <v>44763</v>
      </c>
      <c r="J5" s="114">
        <v>44794</v>
      </c>
      <c r="K5" s="114">
        <v>44825</v>
      </c>
      <c r="L5" s="114">
        <v>44855</v>
      </c>
      <c r="M5" s="114">
        <v>44886</v>
      </c>
      <c r="N5" s="114">
        <v>44916</v>
      </c>
      <c r="O5" s="115" t="s">
        <v>12</v>
      </c>
      <c r="Q5" s="4"/>
      <c r="R5" s="6"/>
      <c r="S5" s="6"/>
      <c r="T5" s="6"/>
      <c r="U5" s="6"/>
      <c r="V5" s="6"/>
      <c r="W5" s="6"/>
      <c r="X5" s="4"/>
      <c r="Y5" s="4"/>
      <c r="Z5" s="6"/>
      <c r="AA5" s="6"/>
      <c r="AB5" s="6"/>
      <c r="AC5" s="6"/>
      <c r="AD5" s="6"/>
      <c r="AE5" s="6"/>
    </row>
    <row r="6" spans="1:31" x14ac:dyDescent="0.25">
      <c r="A6" s="116" t="s">
        <v>454</v>
      </c>
      <c r="B6" s="117">
        <f>'CU and Skipjack 22'!N6</f>
        <v>17673214.289999999</v>
      </c>
      <c r="C6" s="117">
        <f t="shared" ref="C6:O6" si="1">SUM(C7:C16)</f>
        <v>17673214.289999999</v>
      </c>
      <c r="D6" s="117">
        <f t="shared" si="1"/>
        <v>18873214.289999999</v>
      </c>
      <c r="E6" s="117">
        <f t="shared" si="1"/>
        <v>18873214.289999999</v>
      </c>
      <c r="F6" s="117">
        <f t="shared" si="1"/>
        <v>18873214.289999999</v>
      </c>
      <c r="G6" s="117">
        <f t="shared" si="1"/>
        <v>18873214.289999999</v>
      </c>
      <c r="H6" s="117">
        <f t="shared" si="1"/>
        <v>19873214.289999999</v>
      </c>
      <c r="I6" s="117">
        <f t="shared" si="1"/>
        <v>19873214.289999999</v>
      </c>
      <c r="J6" s="117">
        <f t="shared" si="1"/>
        <v>19873214.289999999</v>
      </c>
      <c r="K6" s="117">
        <f t="shared" si="1"/>
        <v>19873214.289999999</v>
      </c>
      <c r="L6" s="117">
        <f t="shared" si="1"/>
        <v>19873214.289999999</v>
      </c>
      <c r="M6" s="117">
        <f t="shared" si="1"/>
        <v>19873214.289999999</v>
      </c>
      <c r="N6" s="117">
        <f t="shared" si="1"/>
        <v>20458214.289999999</v>
      </c>
      <c r="O6" s="117">
        <f t="shared" si="1"/>
        <v>19272060.443846151</v>
      </c>
      <c r="Q6" s="4"/>
      <c r="R6" s="122">
        <f>$O6*R$3</f>
        <v>1535252.6910254469</v>
      </c>
      <c r="S6" s="122">
        <f t="shared" ref="S6:W18" si="2">$O6*S$3</f>
        <v>3662299.6467326726</v>
      </c>
      <c r="T6" s="122">
        <f t="shared" si="2"/>
        <v>1533873.3536190663</v>
      </c>
      <c r="U6" s="122">
        <f t="shared" si="2"/>
        <v>19294.00444803857</v>
      </c>
      <c r="V6" s="122">
        <f t="shared" si="2"/>
        <v>3602.9964978789531</v>
      </c>
      <c r="W6" s="122">
        <f t="shared" si="2"/>
        <v>12517737.751523048</v>
      </c>
      <c r="X6" s="123"/>
      <c r="Y6" s="123"/>
      <c r="Z6" s="122">
        <f>$N6*Z$3</f>
        <v>1629744.1902392409</v>
      </c>
      <c r="AA6" s="122">
        <f t="shared" ref="AA6:AE18" si="3">$N6*AA$3</f>
        <v>3887706.3085889537</v>
      </c>
      <c r="AB6" s="122">
        <f t="shared" si="3"/>
        <v>1628279.9575838812</v>
      </c>
      <c r="AC6" s="122">
        <f t="shared" si="3"/>
        <v>20481.508900426175</v>
      </c>
      <c r="AD6" s="122">
        <f t="shared" si="3"/>
        <v>3824.7531785457895</v>
      </c>
      <c r="AE6" s="122">
        <f t="shared" si="3"/>
        <v>13288177.57150895</v>
      </c>
    </row>
    <row r="7" spans="1:31" x14ac:dyDescent="0.25">
      <c r="A7" t="s">
        <v>455</v>
      </c>
      <c r="B7" s="142">
        <f>'CU and Skipjack 22'!N7</f>
        <v>5966.29</v>
      </c>
      <c r="C7" s="68">
        <f>B7</f>
        <v>5966.29</v>
      </c>
      <c r="D7" s="68">
        <f t="shared" ref="D7:N7" si="4">C7</f>
        <v>5966.29</v>
      </c>
      <c r="E7" s="68">
        <f t="shared" si="4"/>
        <v>5966.29</v>
      </c>
      <c r="F7" s="68">
        <f t="shared" si="4"/>
        <v>5966.29</v>
      </c>
      <c r="G7" s="68">
        <f t="shared" si="4"/>
        <v>5966.29</v>
      </c>
      <c r="H7" s="68">
        <f t="shared" si="4"/>
        <v>5966.29</v>
      </c>
      <c r="I7" s="68">
        <f t="shared" si="4"/>
        <v>5966.29</v>
      </c>
      <c r="J7" s="68">
        <f t="shared" si="4"/>
        <v>5966.29</v>
      </c>
      <c r="K7" s="68">
        <f t="shared" si="4"/>
        <v>5966.29</v>
      </c>
      <c r="L7" s="68">
        <f t="shared" si="4"/>
        <v>5966.29</v>
      </c>
      <c r="M7" s="68">
        <f t="shared" si="4"/>
        <v>5966.29</v>
      </c>
      <c r="N7" s="68">
        <f t="shared" si="4"/>
        <v>5966.29</v>
      </c>
      <c r="O7" s="68">
        <f>SUM(B7:N7)/13</f>
        <v>5966.2899999999991</v>
      </c>
      <c r="R7" s="124">
        <f t="shared" ref="R7:W20" si="5">$O7*R$3</f>
        <v>475.28715492707249</v>
      </c>
      <c r="S7" s="124">
        <f t="shared" si="2"/>
        <v>1133.7833763530878</v>
      </c>
      <c r="T7" s="124">
        <f t="shared" si="2"/>
        <v>474.86013639429592</v>
      </c>
      <c r="U7" s="124">
        <f t="shared" si="2"/>
        <v>5.9730834766578091</v>
      </c>
      <c r="V7" s="124">
        <f t="shared" si="2"/>
        <v>1.1154241674347989</v>
      </c>
      <c r="W7" s="124">
        <f t="shared" si="2"/>
        <v>3875.27082468145</v>
      </c>
      <c r="X7" s="125"/>
      <c r="Y7" s="125"/>
      <c r="Z7" s="124">
        <f t="shared" ref="Z7:AE20" si="6">$N7*Z$3</f>
        <v>475.28715492707261</v>
      </c>
      <c r="AA7" s="124">
        <f t="shared" si="3"/>
        <v>1133.7833763530878</v>
      </c>
      <c r="AB7" s="124">
        <f t="shared" si="3"/>
        <v>474.86013639429598</v>
      </c>
      <c r="AC7" s="124">
        <f t="shared" si="3"/>
        <v>5.97308347665781</v>
      </c>
      <c r="AD7" s="124">
        <f t="shared" si="3"/>
        <v>1.1154241674347991</v>
      </c>
      <c r="AE7" s="124">
        <f t="shared" si="3"/>
        <v>3875.2708246814504</v>
      </c>
    </row>
    <row r="8" spans="1:31" x14ac:dyDescent="0.25">
      <c r="A8" t="s">
        <v>434</v>
      </c>
      <c r="B8" s="142">
        <f>'CU and Skipjack 22'!N8</f>
        <v>5047142.1800000006</v>
      </c>
      <c r="C8" s="68">
        <f t="shared" ref="C8:N16" si="7">B8</f>
        <v>5047142.1800000006</v>
      </c>
      <c r="D8" s="68">
        <f t="shared" si="7"/>
        <v>5047142.1800000006</v>
      </c>
      <c r="E8" s="68">
        <f t="shared" si="7"/>
        <v>5047142.1800000006</v>
      </c>
      <c r="F8" s="68">
        <f t="shared" si="7"/>
        <v>5047142.1800000006</v>
      </c>
      <c r="G8" s="68">
        <f t="shared" si="7"/>
        <v>5047142.1800000006</v>
      </c>
      <c r="H8" s="68">
        <f t="shared" si="7"/>
        <v>5047142.1800000006</v>
      </c>
      <c r="I8" s="68">
        <f t="shared" si="7"/>
        <v>5047142.1800000006</v>
      </c>
      <c r="J8" s="68">
        <f t="shared" si="7"/>
        <v>5047142.1800000006</v>
      </c>
      <c r="K8" s="68">
        <f t="shared" si="7"/>
        <v>5047142.1800000006</v>
      </c>
      <c r="L8" s="68">
        <f t="shared" si="7"/>
        <v>5047142.1800000006</v>
      </c>
      <c r="M8" s="68">
        <f t="shared" si="7"/>
        <v>5047142.1800000006</v>
      </c>
      <c r="N8" s="68">
        <f t="shared" si="7"/>
        <v>5047142.1800000006</v>
      </c>
      <c r="O8" s="68">
        <f t="shared" ref="O8:O19" si="8">SUM(B8:N8)/13</f>
        <v>5047142.1800000006</v>
      </c>
      <c r="R8" s="124">
        <f t="shared" si="5"/>
        <v>402065.91487249581</v>
      </c>
      <c r="S8" s="124">
        <f t="shared" si="2"/>
        <v>959116.28529194603</v>
      </c>
      <c r="T8" s="124">
        <f t="shared" si="2"/>
        <v>401704.6814680823</v>
      </c>
      <c r="U8" s="124">
        <f t="shared" si="2"/>
        <v>5052.8890750702167</v>
      </c>
      <c r="V8" s="124">
        <f t="shared" si="2"/>
        <v>943.58543819552153</v>
      </c>
      <c r="W8" s="124">
        <f t="shared" si="2"/>
        <v>3278258.8238542103</v>
      </c>
      <c r="X8" s="125"/>
      <c r="Y8" s="125"/>
      <c r="Z8" s="124">
        <f t="shared" si="6"/>
        <v>402065.91487249581</v>
      </c>
      <c r="AA8" s="124">
        <f t="shared" si="3"/>
        <v>959116.28529194603</v>
      </c>
      <c r="AB8" s="124">
        <f t="shared" si="3"/>
        <v>401704.6814680823</v>
      </c>
      <c r="AC8" s="124">
        <f t="shared" si="3"/>
        <v>5052.8890750702167</v>
      </c>
      <c r="AD8" s="124">
        <f t="shared" si="3"/>
        <v>943.58543819552153</v>
      </c>
      <c r="AE8" s="124">
        <f t="shared" si="3"/>
        <v>3278258.8238542103</v>
      </c>
    </row>
    <row r="9" spans="1:31" x14ac:dyDescent="0.25">
      <c r="A9" t="s">
        <v>456</v>
      </c>
      <c r="B9" s="142">
        <f>'CU and Skipjack 22'!N9</f>
        <v>421491.92</v>
      </c>
      <c r="C9" s="68">
        <f t="shared" si="7"/>
        <v>421491.92</v>
      </c>
      <c r="D9" s="68">
        <f t="shared" si="7"/>
        <v>421491.92</v>
      </c>
      <c r="E9" s="68">
        <f t="shared" si="7"/>
        <v>421491.92</v>
      </c>
      <c r="F9" s="68">
        <f t="shared" si="7"/>
        <v>421491.92</v>
      </c>
      <c r="G9" s="68">
        <f t="shared" si="7"/>
        <v>421491.92</v>
      </c>
      <c r="H9" s="68">
        <f t="shared" si="7"/>
        <v>421491.92</v>
      </c>
      <c r="I9" s="68">
        <f t="shared" si="7"/>
        <v>421491.92</v>
      </c>
      <c r="J9" s="68">
        <f t="shared" si="7"/>
        <v>421491.92</v>
      </c>
      <c r="K9" s="68">
        <f t="shared" si="7"/>
        <v>421491.92</v>
      </c>
      <c r="L9" s="68">
        <f t="shared" si="7"/>
        <v>421491.92</v>
      </c>
      <c r="M9" s="68">
        <f t="shared" si="7"/>
        <v>421491.92</v>
      </c>
      <c r="N9" s="68">
        <f t="shared" si="7"/>
        <v>421491.92</v>
      </c>
      <c r="O9" s="68">
        <f t="shared" si="8"/>
        <v>421491.92</v>
      </c>
      <c r="R9" s="124">
        <f t="shared" si="5"/>
        <v>33576.928959462122</v>
      </c>
      <c r="S9" s="124">
        <f t="shared" si="2"/>
        <v>80096.76568908745</v>
      </c>
      <c r="T9" s="124">
        <f t="shared" si="2"/>
        <v>33546.761994521497</v>
      </c>
      <c r="U9" s="124">
        <f t="shared" si="2"/>
        <v>421.97184898769177</v>
      </c>
      <c r="V9" s="124">
        <f t="shared" si="2"/>
        <v>78.799769026731013</v>
      </c>
      <c r="W9" s="124">
        <f t="shared" si="2"/>
        <v>273770.69173891447</v>
      </c>
      <c r="X9" s="125"/>
      <c r="Y9" s="125"/>
      <c r="Z9" s="124">
        <f t="shared" si="6"/>
        <v>33576.928959462122</v>
      </c>
      <c r="AA9" s="124">
        <f t="shared" si="3"/>
        <v>80096.76568908745</v>
      </c>
      <c r="AB9" s="124">
        <f t="shared" si="3"/>
        <v>33546.761994521497</v>
      </c>
      <c r="AC9" s="124">
        <f t="shared" si="3"/>
        <v>421.97184898769177</v>
      </c>
      <c r="AD9" s="124">
        <f t="shared" si="3"/>
        <v>78.799769026731013</v>
      </c>
      <c r="AE9" s="124">
        <f t="shared" si="3"/>
        <v>273770.69173891447</v>
      </c>
    </row>
    <row r="10" spans="1:31" x14ac:dyDescent="0.25">
      <c r="A10" t="s">
        <v>435</v>
      </c>
      <c r="B10" s="142">
        <f>'CU and Skipjack 22'!N10</f>
        <v>1182442.1100000001</v>
      </c>
      <c r="C10" s="68">
        <f t="shared" si="7"/>
        <v>1182442.1100000001</v>
      </c>
      <c r="D10" s="68">
        <f t="shared" si="7"/>
        <v>1182442.1100000001</v>
      </c>
      <c r="E10" s="68">
        <f t="shared" si="7"/>
        <v>1182442.1100000001</v>
      </c>
      <c r="F10" s="68">
        <f t="shared" si="7"/>
        <v>1182442.1100000001</v>
      </c>
      <c r="G10" s="68">
        <f t="shared" si="7"/>
        <v>1182442.1100000001</v>
      </c>
      <c r="H10" s="68">
        <f t="shared" si="7"/>
        <v>1182442.1100000001</v>
      </c>
      <c r="I10" s="68">
        <f t="shared" si="7"/>
        <v>1182442.1100000001</v>
      </c>
      <c r="J10" s="68">
        <f t="shared" si="7"/>
        <v>1182442.1100000001</v>
      </c>
      <c r="K10" s="68">
        <f t="shared" si="7"/>
        <v>1182442.1100000001</v>
      </c>
      <c r="L10" s="68">
        <f t="shared" si="7"/>
        <v>1182442.1100000001</v>
      </c>
      <c r="M10" s="68">
        <f t="shared" si="7"/>
        <v>1182442.1100000001</v>
      </c>
      <c r="N10" s="68">
        <f t="shared" si="7"/>
        <v>1182442.1100000001</v>
      </c>
      <c r="O10" s="68">
        <f t="shared" si="8"/>
        <v>1182442.1099999999</v>
      </c>
      <c r="R10" s="124">
        <f t="shared" si="5"/>
        <v>94195.814539330895</v>
      </c>
      <c r="S10" s="124">
        <f t="shared" si="2"/>
        <v>224701.3148569495</v>
      </c>
      <c r="T10" s="124">
        <f t="shared" si="2"/>
        <v>94111.184946249516</v>
      </c>
      <c r="U10" s="124">
        <f t="shared" si="2"/>
        <v>1183.788489889931</v>
      </c>
      <c r="V10" s="124">
        <f t="shared" si="2"/>
        <v>221.06275526107464</v>
      </c>
      <c r="W10" s="124">
        <f t="shared" si="2"/>
        <v>768028.94441231887</v>
      </c>
      <c r="X10" s="125"/>
      <c r="Y10" s="125"/>
      <c r="Z10" s="124">
        <f t="shared" si="6"/>
        <v>94195.81453933091</v>
      </c>
      <c r="AA10" s="124">
        <f t="shared" si="3"/>
        <v>224701.31485694952</v>
      </c>
      <c r="AB10" s="124">
        <f t="shared" si="3"/>
        <v>94111.184946249545</v>
      </c>
      <c r="AC10" s="124">
        <f t="shared" si="3"/>
        <v>1183.7884898899313</v>
      </c>
      <c r="AD10" s="124">
        <f t="shared" si="3"/>
        <v>221.0627552610747</v>
      </c>
      <c r="AE10" s="124">
        <f t="shared" si="3"/>
        <v>768028.94441231911</v>
      </c>
    </row>
    <row r="11" spans="1:31" x14ac:dyDescent="0.25">
      <c r="A11" t="s">
        <v>457</v>
      </c>
      <c r="B11" s="142">
        <f>'CU and Skipjack 22'!N11</f>
        <v>6130873.0300000012</v>
      </c>
      <c r="C11" s="68">
        <f t="shared" si="7"/>
        <v>6130873.0300000012</v>
      </c>
      <c r="D11" s="68">
        <f>C11+1200000</f>
        <v>7330873.0300000012</v>
      </c>
      <c r="E11" s="68">
        <f t="shared" si="7"/>
        <v>7330873.0300000012</v>
      </c>
      <c r="F11" s="68">
        <f t="shared" si="7"/>
        <v>7330873.0300000012</v>
      </c>
      <c r="G11" s="68">
        <f t="shared" si="7"/>
        <v>7330873.0300000012</v>
      </c>
      <c r="H11" s="68">
        <f>G11+1000000</f>
        <v>8330873.0300000012</v>
      </c>
      <c r="I11" s="68">
        <f t="shared" si="7"/>
        <v>8330873.0300000012</v>
      </c>
      <c r="J11" s="68">
        <f t="shared" si="7"/>
        <v>8330873.0300000012</v>
      </c>
      <c r="K11" s="68">
        <f t="shared" si="7"/>
        <v>8330873.0300000012</v>
      </c>
      <c r="L11" s="68">
        <f t="shared" si="7"/>
        <v>8330873.0300000012</v>
      </c>
      <c r="M11" s="68">
        <f t="shared" si="7"/>
        <v>8330873.0300000012</v>
      </c>
      <c r="N11" s="68">
        <f>M11+585000</f>
        <v>8915873.0300000012</v>
      </c>
      <c r="O11" s="68">
        <f t="shared" si="8"/>
        <v>7729719.1838461552</v>
      </c>
      <c r="R11" s="124">
        <f t="shared" si="5"/>
        <v>615765.61636719853</v>
      </c>
      <c r="S11" s="124">
        <f t="shared" si="2"/>
        <v>1468890.5692687295</v>
      </c>
      <c r="T11" s="124">
        <f t="shared" si="2"/>
        <v>615212.38590996945</v>
      </c>
      <c r="U11" s="124">
        <f t="shared" si="2"/>
        <v>7738.5205774838914</v>
      </c>
      <c r="V11" s="124">
        <f t="shared" si="2"/>
        <v>1445.1050125197389</v>
      </c>
      <c r="W11" s="124">
        <f t="shared" si="2"/>
        <v>5020666.9867102541</v>
      </c>
      <c r="X11" s="125"/>
      <c r="Y11" s="125"/>
      <c r="Z11" s="124">
        <f t="shared" si="6"/>
        <v>710257.11558099231</v>
      </c>
      <c r="AA11" s="124">
        <f t="shared" si="3"/>
        <v>1694297.2311250102</v>
      </c>
      <c r="AB11" s="124">
        <f t="shared" si="3"/>
        <v>709618.98987478402</v>
      </c>
      <c r="AC11" s="124">
        <f t="shared" si="3"/>
        <v>8926.0250298714964</v>
      </c>
      <c r="AD11" s="124">
        <f t="shared" si="3"/>
        <v>1666.8616931865752</v>
      </c>
      <c r="AE11" s="124">
        <f t="shared" si="3"/>
        <v>5791106.806696156</v>
      </c>
    </row>
    <row r="12" spans="1:31" x14ac:dyDescent="0.25">
      <c r="A12" t="s">
        <v>436</v>
      </c>
      <c r="B12" s="142">
        <f>'CU and Skipjack 22'!N12</f>
        <v>871991.45999999973</v>
      </c>
      <c r="C12" s="68">
        <f t="shared" si="7"/>
        <v>871991.45999999973</v>
      </c>
      <c r="D12" s="68">
        <f t="shared" si="7"/>
        <v>871991.45999999973</v>
      </c>
      <c r="E12" s="68">
        <f t="shared" si="7"/>
        <v>871991.45999999973</v>
      </c>
      <c r="F12" s="68">
        <f t="shared" si="7"/>
        <v>871991.45999999973</v>
      </c>
      <c r="G12" s="68">
        <f t="shared" si="7"/>
        <v>871991.45999999973</v>
      </c>
      <c r="H12" s="68">
        <f t="shared" si="7"/>
        <v>871991.45999999973</v>
      </c>
      <c r="I12" s="68">
        <f t="shared" si="7"/>
        <v>871991.45999999973</v>
      </c>
      <c r="J12" s="68">
        <f t="shared" si="7"/>
        <v>871991.45999999973</v>
      </c>
      <c r="K12" s="68">
        <f t="shared" si="7"/>
        <v>871991.45999999973</v>
      </c>
      <c r="L12" s="68">
        <f t="shared" si="7"/>
        <v>871991.45999999973</v>
      </c>
      <c r="M12" s="68">
        <f t="shared" si="7"/>
        <v>871991.45999999973</v>
      </c>
      <c r="N12" s="68">
        <f t="shared" si="7"/>
        <v>871991.45999999973</v>
      </c>
      <c r="O12" s="68">
        <f t="shared" si="8"/>
        <v>871991.45999999961</v>
      </c>
      <c r="R12" s="124">
        <f t="shared" si="5"/>
        <v>69464.665670643575</v>
      </c>
      <c r="S12" s="124">
        <f t="shared" si="2"/>
        <v>165705.89456259386</v>
      </c>
      <c r="T12" s="124">
        <f t="shared" si="2"/>
        <v>69402.25561115217</v>
      </c>
      <c r="U12" s="124">
        <f t="shared" si="2"/>
        <v>872.98434731009013</v>
      </c>
      <c r="V12" s="124">
        <f t="shared" si="2"/>
        <v>163.02264024724821</v>
      </c>
      <c r="W12" s="124">
        <f t="shared" si="2"/>
        <v>566382.63716805261</v>
      </c>
      <c r="X12" s="125"/>
      <c r="Y12" s="125"/>
      <c r="Z12" s="124">
        <f t="shared" si="6"/>
        <v>69464.665670643575</v>
      </c>
      <c r="AA12" s="124">
        <f t="shared" si="3"/>
        <v>165705.89456259389</v>
      </c>
      <c r="AB12" s="124">
        <f t="shared" si="3"/>
        <v>69402.255611152184</v>
      </c>
      <c r="AC12" s="124">
        <f t="shared" si="3"/>
        <v>872.98434731009024</v>
      </c>
      <c r="AD12" s="124">
        <f t="shared" si="3"/>
        <v>163.02264024724823</v>
      </c>
      <c r="AE12" s="124">
        <f t="shared" si="3"/>
        <v>566382.63716805272</v>
      </c>
    </row>
    <row r="13" spans="1:31" x14ac:dyDescent="0.25">
      <c r="A13" t="s">
        <v>437</v>
      </c>
      <c r="B13" s="142">
        <f>'CU and Skipjack 22'!N13</f>
        <v>133969.25</v>
      </c>
      <c r="C13" s="68">
        <f t="shared" si="7"/>
        <v>133969.25</v>
      </c>
      <c r="D13" s="68">
        <f t="shared" si="7"/>
        <v>133969.25</v>
      </c>
      <c r="E13" s="68">
        <f t="shared" si="7"/>
        <v>133969.25</v>
      </c>
      <c r="F13" s="68">
        <f t="shared" si="7"/>
        <v>133969.25</v>
      </c>
      <c r="G13" s="68">
        <f t="shared" si="7"/>
        <v>133969.25</v>
      </c>
      <c r="H13" s="68">
        <f t="shared" si="7"/>
        <v>133969.25</v>
      </c>
      <c r="I13" s="68">
        <f t="shared" si="7"/>
        <v>133969.25</v>
      </c>
      <c r="J13" s="68">
        <f t="shared" si="7"/>
        <v>133969.25</v>
      </c>
      <c r="K13" s="68">
        <f t="shared" si="7"/>
        <v>133969.25</v>
      </c>
      <c r="L13" s="68">
        <f t="shared" si="7"/>
        <v>133969.25</v>
      </c>
      <c r="M13" s="68">
        <f t="shared" si="7"/>
        <v>133969.25</v>
      </c>
      <c r="N13" s="68">
        <f t="shared" si="7"/>
        <v>133969.25</v>
      </c>
      <c r="O13" s="68">
        <f t="shared" si="8"/>
        <v>133969.25</v>
      </c>
      <c r="R13" s="124">
        <f t="shared" si="5"/>
        <v>10672.270989209997</v>
      </c>
      <c r="S13" s="124">
        <f t="shared" si="2"/>
        <v>25458.385125847202</v>
      </c>
      <c r="T13" s="124">
        <f t="shared" si="2"/>
        <v>10662.682559453451</v>
      </c>
      <c r="U13" s="124">
        <f t="shared" si="2"/>
        <v>134.12179320067233</v>
      </c>
      <c r="V13" s="124">
        <f t="shared" si="2"/>
        <v>25.04614075801117</v>
      </c>
      <c r="W13" s="124">
        <f t="shared" si="2"/>
        <v>87016.743391530661</v>
      </c>
      <c r="X13" s="125"/>
      <c r="Y13" s="125"/>
      <c r="Z13" s="124">
        <f t="shared" si="6"/>
        <v>10672.270989209997</v>
      </c>
      <c r="AA13" s="124">
        <f t="shared" si="3"/>
        <v>25458.385125847202</v>
      </c>
      <c r="AB13" s="124">
        <f t="shared" si="3"/>
        <v>10662.682559453451</v>
      </c>
      <c r="AC13" s="124">
        <f t="shared" si="3"/>
        <v>134.12179320067233</v>
      </c>
      <c r="AD13" s="124">
        <f t="shared" si="3"/>
        <v>25.04614075801117</v>
      </c>
      <c r="AE13" s="124">
        <f t="shared" si="3"/>
        <v>87016.743391530661</v>
      </c>
    </row>
    <row r="14" spans="1:31" x14ac:dyDescent="0.25">
      <c r="A14" t="s">
        <v>438</v>
      </c>
      <c r="B14" s="142">
        <f>'CU and Skipjack 22'!N14</f>
        <v>2265779.04</v>
      </c>
      <c r="C14" s="68">
        <f t="shared" si="7"/>
        <v>2265779.04</v>
      </c>
      <c r="D14" s="68">
        <f t="shared" si="7"/>
        <v>2265779.04</v>
      </c>
      <c r="E14" s="68">
        <f t="shared" si="7"/>
        <v>2265779.04</v>
      </c>
      <c r="F14" s="68">
        <f t="shared" si="7"/>
        <v>2265779.04</v>
      </c>
      <c r="G14" s="68">
        <f t="shared" si="7"/>
        <v>2265779.04</v>
      </c>
      <c r="H14" s="68">
        <f t="shared" si="7"/>
        <v>2265779.04</v>
      </c>
      <c r="I14" s="68">
        <f t="shared" si="7"/>
        <v>2265779.04</v>
      </c>
      <c r="J14" s="68">
        <f t="shared" si="7"/>
        <v>2265779.04</v>
      </c>
      <c r="K14" s="68">
        <f t="shared" si="7"/>
        <v>2265779.04</v>
      </c>
      <c r="L14" s="68">
        <f t="shared" si="7"/>
        <v>2265779.04</v>
      </c>
      <c r="M14" s="68">
        <f t="shared" si="7"/>
        <v>2265779.04</v>
      </c>
      <c r="N14" s="68">
        <f t="shared" si="7"/>
        <v>2265779.04</v>
      </c>
      <c r="O14" s="68">
        <f t="shared" si="8"/>
        <v>2265779.0399999996</v>
      </c>
      <c r="R14" s="124">
        <f t="shared" si="5"/>
        <v>180496.70291169113</v>
      </c>
      <c r="S14" s="124">
        <f t="shared" si="2"/>
        <v>430569.51808263722</v>
      </c>
      <c r="T14" s="124">
        <f t="shared" si="2"/>
        <v>180334.53686859619</v>
      </c>
      <c r="U14" s="124">
        <f t="shared" si="2"/>
        <v>2268.3589543219646</v>
      </c>
      <c r="V14" s="124">
        <f t="shared" si="2"/>
        <v>423.59736105405841</v>
      </c>
      <c r="W14" s="124">
        <f t="shared" si="2"/>
        <v>1471686.3258216989</v>
      </c>
      <c r="X14" s="125"/>
      <c r="Y14" s="125"/>
      <c r="Z14" s="124">
        <f t="shared" si="6"/>
        <v>180496.70291169116</v>
      </c>
      <c r="AA14" s="124">
        <f t="shared" si="3"/>
        <v>430569.51808263728</v>
      </c>
      <c r="AB14" s="124">
        <f t="shared" si="3"/>
        <v>180334.53686859622</v>
      </c>
      <c r="AC14" s="124">
        <f t="shared" si="3"/>
        <v>2268.358954321965</v>
      </c>
      <c r="AD14" s="124">
        <f t="shared" si="3"/>
        <v>423.59736105405847</v>
      </c>
      <c r="AE14" s="124">
        <f t="shared" si="3"/>
        <v>1471686.3258216991</v>
      </c>
    </row>
    <row r="15" spans="1:31" x14ac:dyDescent="0.25">
      <c r="A15" t="s">
        <v>458</v>
      </c>
      <c r="B15" s="142">
        <f>'CU and Skipjack 22'!N15</f>
        <v>1244509.3299999998</v>
      </c>
      <c r="C15" s="68">
        <f t="shared" si="7"/>
        <v>1244509.3299999998</v>
      </c>
      <c r="D15" s="68">
        <f t="shared" si="7"/>
        <v>1244509.3299999998</v>
      </c>
      <c r="E15" s="68">
        <f t="shared" si="7"/>
        <v>1244509.3299999998</v>
      </c>
      <c r="F15" s="68">
        <f t="shared" si="7"/>
        <v>1244509.3299999998</v>
      </c>
      <c r="G15" s="68">
        <f t="shared" si="7"/>
        <v>1244509.3299999998</v>
      </c>
      <c r="H15" s="68">
        <f t="shared" si="7"/>
        <v>1244509.3299999998</v>
      </c>
      <c r="I15" s="68">
        <f t="shared" si="7"/>
        <v>1244509.3299999998</v>
      </c>
      <c r="J15" s="68">
        <f t="shared" si="7"/>
        <v>1244509.3299999998</v>
      </c>
      <c r="K15" s="68">
        <f t="shared" si="7"/>
        <v>1244509.3299999998</v>
      </c>
      <c r="L15" s="68">
        <f t="shared" si="7"/>
        <v>1244509.3299999998</v>
      </c>
      <c r="M15" s="68">
        <f t="shared" si="7"/>
        <v>1244509.3299999998</v>
      </c>
      <c r="N15" s="68">
        <f t="shared" si="7"/>
        <v>1244509.3299999998</v>
      </c>
      <c r="O15" s="68">
        <f t="shared" si="8"/>
        <v>1244509.3299999998</v>
      </c>
      <c r="R15" s="124">
        <f t="shared" si="5"/>
        <v>99140.219254494368</v>
      </c>
      <c r="S15" s="124">
        <f t="shared" si="2"/>
        <v>236496.04529285687</v>
      </c>
      <c r="T15" s="124">
        <f t="shared" si="2"/>
        <v>99051.147394406536</v>
      </c>
      <c r="U15" s="124">
        <f t="shared" si="2"/>
        <v>1245.926382319579</v>
      </c>
      <c r="V15" s="124">
        <f t="shared" si="2"/>
        <v>232.66649513853491</v>
      </c>
      <c r="W15" s="124">
        <f t="shared" si="2"/>
        <v>808343.32518078387</v>
      </c>
      <c r="X15" s="125"/>
      <c r="Y15" s="125"/>
      <c r="Z15" s="124">
        <f t="shared" si="6"/>
        <v>99140.219254494368</v>
      </c>
      <c r="AA15" s="124">
        <f t="shared" si="3"/>
        <v>236496.04529285687</v>
      </c>
      <c r="AB15" s="124">
        <f t="shared" si="3"/>
        <v>99051.147394406536</v>
      </c>
      <c r="AC15" s="124">
        <f t="shared" si="3"/>
        <v>1245.926382319579</v>
      </c>
      <c r="AD15" s="124">
        <f t="shared" si="3"/>
        <v>232.66649513853491</v>
      </c>
      <c r="AE15" s="124">
        <f t="shared" si="3"/>
        <v>808343.32518078387</v>
      </c>
    </row>
    <row r="16" spans="1:31" x14ac:dyDescent="0.25">
      <c r="A16" t="s">
        <v>441</v>
      </c>
      <c r="B16" s="142">
        <f>'CU and Skipjack 22'!N16</f>
        <v>369049.68000000005</v>
      </c>
      <c r="C16" s="68">
        <f t="shared" si="7"/>
        <v>369049.68000000005</v>
      </c>
      <c r="D16" s="68">
        <f t="shared" si="7"/>
        <v>369049.68000000005</v>
      </c>
      <c r="E16" s="68">
        <f t="shared" si="7"/>
        <v>369049.68000000005</v>
      </c>
      <c r="F16" s="68">
        <f t="shared" si="7"/>
        <v>369049.68000000005</v>
      </c>
      <c r="G16" s="68">
        <f t="shared" si="7"/>
        <v>369049.68000000005</v>
      </c>
      <c r="H16" s="68">
        <f t="shared" si="7"/>
        <v>369049.68000000005</v>
      </c>
      <c r="I16" s="68">
        <f t="shared" si="7"/>
        <v>369049.68000000005</v>
      </c>
      <c r="J16" s="68">
        <f t="shared" si="7"/>
        <v>369049.68000000005</v>
      </c>
      <c r="K16" s="68">
        <f t="shared" si="7"/>
        <v>369049.68000000005</v>
      </c>
      <c r="L16" s="68">
        <f t="shared" si="7"/>
        <v>369049.68000000005</v>
      </c>
      <c r="M16" s="68">
        <f t="shared" si="7"/>
        <v>369049.68000000005</v>
      </c>
      <c r="N16" s="68">
        <f t="shared" si="7"/>
        <v>369049.68000000005</v>
      </c>
      <c r="O16" s="68">
        <f t="shared" si="8"/>
        <v>369049.68000000005</v>
      </c>
      <c r="R16" s="124">
        <f t="shared" si="5"/>
        <v>29399.270305993607</v>
      </c>
      <c r="S16" s="124">
        <f t="shared" si="2"/>
        <v>70131.085185672622</v>
      </c>
      <c r="T16" s="124">
        <f t="shared" si="2"/>
        <v>29372.856730241288</v>
      </c>
      <c r="U16" s="124">
        <f t="shared" si="2"/>
        <v>369.46989597787785</v>
      </c>
      <c r="V16" s="124">
        <f t="shared" si="2"/>
        <v>68.995461510600236</v>
      </c>
      <c r="W16" s="124">
        <f t="shared" si="2"/>
        <v>239708.00242060403</v>
      </c>
      <c r="X16" s="125"/>
      <c r="Y16" s="125"/>
      <c r="Z16" s="124">
        <f t="shared" si="6"/>
        <v>29399.270305993607</v>
      </c>
      <c r="AA16" s="124">
        <f t="shared" si="3"/>
        <v>70131.085185672622</v>
      </c>
      <c r="AB16" s="124">
        <f t="shared" si="3"/>
        <v>29372.856730241288</v>
      </c>
      <c r="AC16" s="124">
        <f t="shared" si="3"/>
        <v>369.46989597787785</v>
      </c>
      <c r="AD16" s="124">
        <f t="shared" si="3"/>
        <v>68.995461510600236</v>
      </c>
      <c r="AE16" s="124">
        <f t="shared" si="3"/>
        <v>239708.00242060403</v>
      </c>
    </row>
    <row r="17" spans="1:32" x14ac:dyDescent="0.25">
      <c r="A17" s="116" t="s">
        <v>459</v>
      </c>
      <c r="B17" s="117">
        <f t="shared" ref="B17:O17" si="9">SUM(B18:B19)</f>
        <v>475306.17</v>
      </c>
      <c r="C17" s="117">
        <f t="shared" si="9"/>
        <v>475306.17</v>
      </c>
      <c r="D17" s="117">
        <f t="shared" si="9"/>
        <v>475306.17</v>
      </c>
      <c r="E17" s="117">
        <f t="shared" si="9"/>
        <v>475306.17</v>
      </c>
      <c r="F17" s="117">
        <f t="shared" si="9"/>
        <v>475306.17</v>
      </c>
      <c r="G17" s="117">
        <f t="shared" si="9"/>
        <v>475306.17</v>
      </c>
      <c r="H17" s="117">
        <f t="shared" si="9"/>
        <v>475306.17</v>
      </c>
      <c r="I17" s="117">
        <f t="shared" si="9"/>
        <v>475306.17</v>
      </c>
      <c r="J17" s="117">
        <f t="shared" si="9"/>
        <v>475306.17</v>
      </c>
      <c r="K17" s="117">
        <f t="shared" si="9"/>
        <v>475306.17</v>
      </c>
      <c r="L17" s="117">
        <f t="shared" si="9"/>
        <v>475306.17</v>
      </c>
      <c r="M17" s="117">
        <f t="shared" si="9"/>
        <v>475306.17</v>
      </c>
      <c r="N17" s="117">
        <f t="shared" si="9"/>
        <v>475306.17</v>
      </c>
      <c r="O17" s="117">
        <f t="shared" si="9"/>
        <v>475306.17</v>
      </c>
      <c r="R17" s="126">
        <f t="shared" si="5"/>
        <v>37863.884802546221</v>
      </c>
      <c r="S17" s="126">
        <f t="shared" si="2"/>
        <v>90323.171388594041</v>
      </c>
      <c r="T17" s="126">
        <f t="shared" si="2"/>
        <v>37829.866251095809</v>
      </c>
      <c r="U17" s="126">
        <f t="shared" si="2"/>
        <v>475.84737422762021</v>
      </c>
      <c r="V17" s="126">
        <f t="shared" si="2"/>
        <v>88.860579849265307</v>
      </c>
      <c r="W17" s="126">
        <f t="shared" si="2"/>
        <v>308724.53960368701</v>
      </c>
      <c r="X17" s="125"/>
      <c r="Y17" s="125"/>
      <c r="Z17" s="126">
        <f t="shared" si="6"/>
        <v>37863.884802546221</v>
      </c>
      <c r="AA17" s="126">
        <f t="shared" si="3"/>
        <v>90323.171388594041</v>
      </c>
      <c r="AB17" s="126">
        <f t="shared" si="3"/>
        <v>37829.866251095809</v>
      </c>
      <c r="AC17" s="126">
        <f t="shared" si="3"/>
        <v>475.84737422762021</v>
      </c>
      <c r="AD17" s="126">
        <f t="shared" si="3"/>
        <v>88.860579849265307</v>
      </c>
      <c r="AE17" s="126">
        <f t="shared" si="3"/>
        <v>308724.53960368701</v>
      </c>
    </row>
    <row r="18" spans="1:32" x14ac:dyDescent="0.25">
      <c r="A18" t="s">
        <v>435</v>
      </c>
      <c r="B18" s="142">
        <f>'CU and Skipjack 22'!N18</f>
        <v>5656.13</v>
      </c>
      <c r="C18" s="68">
        <f>B18</f>
        <v>5656.13</v>
      </c>
      <c r="D18" s="68">
        <v>5656.13</v>
      </c>
      <c r="E18" s="68">
        <v>5656.13</v>
      </c>
      <c r="F18" s="68">
        <v>5656.13</v>
      </c>
      <c r="G18" s="68">
        <v>5656.13</v>
      </c>
      <c r="H18" s="68">
        <v>5656.13</v>
      </c>
      <c r="I18" s="68">
        <v>5656.13</v>
      </c>
      <c r="J18" s="68">
        <v>5656.13</v>
      </c>
      <c r="K18" s="68">
        <v>5656.13</v>
      </c>
      <c r="L18" s="68">
        <v>5656.13</v>
      </c>
      <c r="M18" s="68">
        <v>5656.13</v>
      </c>
      <c r="N18" s="68">
        <v>5656.13</v>
      </c>
      <c r="O18" s="68">
        <f t="shared" si="8"/>
        <v>5656.1299999999992</v>
      </c>
      <c r="R18" s="127">
        <f t="shared" si="5"/>
        <v>450.57915984601198</v>
      </c>
      <c r="S18" s="127">
        <f t="shared" si="2"/>
        <v>1074.8431887306836</v>
      </c>
      <c r="T18" s="127">
        <f t="shared" si="2"/>
        <v>450.1743400444613</v>
      </c>
      <c r="U18" s="127">
        <f t="shared" si="2"/>
        <v>5.66257031502467</v>
      </c>
      <c r="V18" s="127">
        <f t="shared" si="2"/>
        <v>1.0574383907173452</v>
      </c>
      <c r="W18" s="127">
        <f t="shared" si="2"/>
        <v>3673.8133026731002</v>
      </c>
      <c r="X18" s="128"/>
      <c r="Y18" s="128"/>
      <c r="Z18" s="127">
        <f t="shared" si="6"/>
        <v>450.57915984601203</v>
      </c>
      <c r="AA18" s="127">
        <f t="shared" si="3"/>
        <v>1074.8431887306838</v>
      </c>
      <c r="AB18" s="127">
        <f t="shared" si="3"/>
        <v>450.17434004446136</v>
      </c>
      <c r="AC18" s="127">
        <f t="shared" si="3"/>
        <v>5.6625703150246709</v>
      </c>
      <c r="AD18" s="127">
        <f t="shared" si="3"/>
        <v>1.0574383907173455</v>
      </c>
      <c r="AE18" s="127">
        <f t="shared" si="3"/>
        <v>3673.8133026731007</v>
      </c>
      <c r="AF18" s="89"/>
    </row>
    <row r="19" spans="1:32" x14ac:dyDescent="0.25">
      <c r="A19" t="s">
        <v>441</v>
      </c>
      <c r="B19" s="142">
        <f>'CU and Skipjack 22'!N19</f>
        <v>469650.04</v>
      </c>
      <c r="C19" s="68">
        <f>B19</f>
        <v>469650.04</v>
      </c>
      <c r="D19" s="68">
        <v>469650.04</v>
      </c>
      <c r="E19" s="68">
        <v>469650.04</v>
      </c>
      <c r="F19" s="68">
        <v>469650.04</v>
      </c>
      <c r="G19" s="68">
        <v>469650.04</v>
      </c>
      <c r="H19" s="68">
        <v>469650.04</v>
      </c>
      <c r="I19" s="68">
        <v>469650.04</v>
      </c>
      <c r="J19" s="68">
        <v>469650.04</v>
      </c>
      <c r="K19" s="68">
        <v>469650.04</v>
      </c>
      <c r="L19" s="68">
        <v>469650.04</v>
      </c>
      <c r="M19" s="68">
        <v>469650.04</v>
      </c>
      <c r="N19" s="68">
        <v>469650.04</v>
      </c>
      <c r="O19" s="68">
        <f t="shared" si="8"/>
        <v>469650.04</v>
      </c>
      <c r="R19" s="124">
        <f t="shared" si="5"/>
        <v>37413.305642700208</v>
      </c>
      <c r="S19" s="124">
        <f t="shared" si="5"/>
        <v>89248.328199863361</v>
      </c>
      <c r="T19" s="124">
        <f t="shared" si="5"/>
        <v>37379.691911051348</v>
      </c>
      <c r="U19" s="124">
        <f t="shared" si="5"/>
        <v>470.18480391259556</v>
      </c>
      <c r="V19" s="124">
        <f t="shared" si="5"/>
        <v>87.803141458547955</v>
      </c>
      <c r="W19" s="124">
        <f t="shared" si="5"/>
        <v>305050.7263010139</v>
      </c>
      <c r="X19" s="125"/>
      <c r="Y19" s="125"/>
      <c r="Z19" s="124">
        <f t="shared" si="6"/>
        <v>37413.305642700208</v>
      </c>
      <c r="AA19" s="124">
        <f t="shared" si="6"/>
        <v>89248.328199863361</v>
      </c>
      <c r="AB19" s="124">
        <f t="shared" si="6"/>
        <v>37379.691911051348</v>
      </c>
      <c r="AC19" s="124">
        <f t="shared" si="6"/>
        <v>470.18480391259556</v>
      </c>
      <c r="AD19" s="124">
        <f t="shared" si="6"/>
        <v>87.803141458547955</v>
      </c>
      <c r="AE19" s="124">
        <f t="shared" si="6"/>
        <v>305050.7263010139</v>
      </c>
    </row>
    <row r="20" spans="1:32" ht="15.75" thickBot="1" x14ac:dyDescent="0.3">
      <c r="A20" s="116" t="s">
        <v>443</v>
      </c>
      <c r="B20" s="117">
        <f t="shared" ref="B20:O20" si="10">B17+B6</f>
        <v>18148520.460000001</v>
      </c>
      <c r="C20" s="117">
        <f t="shared" si="10"/>
        <v>18148520.460000001</v>
      </c>
      <c r="D20" s="117">
        <f t="shared" si="10"/>
        <v>19348520.460000001</v>
      </c>
      <c r="E20" s="117">
        <f t="shared" si="10"/>
        <v>19348520.460000001</v>
      </c>
      <c r="F20" s="117">
        <f t="shared" si="10"/>
        <v>19348520.460000001</v>
      </c>
      <c r="G20" s="117">
        <f t="shared" si="10"/>
        <v>19348520.460000001</v>
      </c>
      <c r="H20" s="117">
        <f t="shared" si="10"/>
        <v>20348520.460000001</v>
      </c>
      <c r="I20" s="117">
        <f t="shared" si="10"/>
        <v>20348520.460000001</v>
      </c>
      <c r="J20" s="117">
        <f t="shared" si="10"/>
        <v>20348520.460000001</v>
      </c>
      <c r="K20" s="117">
        <f t="shared" si="10"/>
        <v>20348520.460000001</v>
      </c>
      <c r="L20" s="117">
        <f t="shared" si="10"/>
        <v>20348520.460000001</v>
      </c>
      <c r="M20" s="117">
        <f t="shared" si="10"/>
        <v>20348520.460000001</v>
      </c>
      <c r="N20" s="117">
        <f t="shared" si="10"/>
        <v>20933520.460000001</v>
      </c>
      <c r="O20" s="117">
        <f t="shared" si="10"/>
        <v>19747366.613846153</v>
      </c>
      <c r="R20" s="129">
        <f t="shared" si="5"/>
        <v>1573116.5758279932</v>
      </c>
      <c r="S20" s="129">
        <f t="shared" si="5"/>
        <v>3752622.818121267</v>
      </c>
      <c r="T20" s="129">
        <f t="shared" si="5"/>
        <v>1571703.2198701624</v>
      </c>
      <c r="U20" s="129">
        <f t="shared" si="5"/>
        <v>19769.851822266191</v>
      </c>
      <c r="V20" s="129">
        <f t="shared" si="5"/>
        <v>3691.8570777282189</v>
      </c>
      <c r="W20" s="129">
        <f t="shared" si="5"/>
        <v>12826462.291126736</v>
      </c>
      <c r="X20" s="125"/>
      <c r="Y20" s="125"/>
      <c r="Z20" s="129">
        <f t="shared" si="6"/>
        <v>1667608.0750417872</v>
      </c>
      <c r="AA20" s="129">
        <f t="shared" si="6"/>
        <v>3978029.4799775481</v>
      </c>
      <c r="AB20" s="129">
        <f t="shared" si="6"/>
        <v>1666109.8238349771</v>
      </c>
      <c r="AC20" s="129">
        <f t="shared" si="6"/>
        <v>20957.356274653797</v>
      </c>
      <c r="AD20" s="129">
        <f t="shared" si="6"/>
        <v>3913.6137583950554</v>
      </c>
      <c r="AE20" s="129">
        <f t="shared" si="6"/>
        <v>13596902.111112639</v>
      </c>
    </row>
    <row r="21" spans="1:32" ht="15.75" thickTop="1" x14ac:dyDescent="0.25">
      <c r="B21" s="118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</row>
    <row r="22" spans="1:32" ht="15.75" x14ac:dyDescent="0.25">
      <c r="A22" s="112" t="s">
        <v>74</v>
      </c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</row>
    <row r="23" spans="1:32" x14ac:dyDescent="0.25">
      <c r="A23" s="116" t="s">
        <v>454</v>
      </c>
      <c r="B23" s="117">
        <f>SUM(B24:B33)</f>
        <v>8256862.253283333</v>
      </c>
      <c r="C23" s="117">
        <f t="shared" ref="C23:O23" si="11">SUM(C24:C33)</f>
        <v>8457245.3995500002</v>
      </c>
      <c r="D23" s="117">
        <f t="shared" si="11"/>
        <v>8660968.5458166674</v>
      </c>
      <c r="E23" s="117">
        <f t="shared" si="11"/>
        <v>8864691.6920833346</v>
      </c>
      <c r="F23" s="117">
        <f t="shared" si="11"/>
        <v>9068414.8383500017</v>
      </c>
      <c r="G23" s="117">
        <f t="shared" si="11"/>
        <v>9272137.984616667</v>
      </c>
      <c r="H23" s="117">
        <f t="shared" si="11"/>
        <v>9478644.4642166663</v>
      </c>
      <c r="I23" s="117">
        <f t="shared" si="11"/>
        <v>9685150.9438166656</v>
      </c>
      <c r="J23" s="117">
        <f t="shared" si="11"/>
        <v>9891657.4234166667</v>
      </c>
      <c r="K23" s="117">
        <f t="shared" si="11"/>
        <v>10098163.903016668</v>
      </c>
      <c r="L23" s="117">
        <f t="shared" si="11"/>
        <v>10304670.382616667</v>
      </c>
      <c r="M23" s="117">
        <f t="shared" si="11"/>
        <v>10511176.862216668</v>
      </c>
      <c r="N23" s="117">
        <f t="shared" si="11"/>
        <v>10719311.591816667</v>
      </c>
      <c r="O23" s="117">
        <f t="shared" si="11"/>
        <v>9482238.1757551264</v>
      </c>
      <c r="R23" s="122">
        <f t="shared" ref="R23:W37" si="12">$O23*R$3</f>
        <v>755374.94907145458</v>
      </c>
      <c r="S23" s="122">
        <f t="shared" si="12"/>
        <v>1801924.4814267815</v>
      </c>
      <c r="T23" s="122">
        <f t="shared" si="12"/>
        <v>754696.28755261307</v>
      </c>
      <c r="U23" s="122">
        <f t="shared" si="12"/>
        <v>9493.0350635548803</v>
      </c>
      <c r="V23" s="122">
        <f t="shared" si="12"/>
        <v>1772.7461492167042</v>
      </c>
      <c r="W23" s="122">
        <f t="shared" si="12"/>
        <v>6158976.6764915055</v>
      </c>
      <c r="X23" s="125"/>
      <c r="Y23" s="125"/>
      <c r="Z23" s="122">
        <f t="shared" ref="Z23:AE37" si="13">$N23*Z$3</f>
        <v>853922.8078506632</v>
      </c>
      <c r="AA23" s="122">
        <f t="shared" si="13"/>
        <v>2037007.4684185137</v>
      </c>
      <c r="AB23" s="122">
        <f t="shared" si="13"/>
        <v>853155.60667400016</v>
      </c>
      <c r="AC23" s="122">
        <f t="shared" si="13"/>
        <v>10731.517065081762</v>
      </c>
      <c r="AD23" s="122">
        <f t="shared" si="13"/>
        <v>2004.0224675261004</v>
      </c>
      <c r="AE23" s="122">
        <f t="shared" si="13"/>
        <v>6962490.1693408815</v>
      </c>
    </row>
    <row r="24" spans="1:32" x14ac:dyDescent="0.25">
      <c r="A24" t="s">
        <v>455</v>
      </c>
      <c r="B24" s="68">
        <f>'CU and Skipjack 22'!N24</f>
        <v>5966.29</v>
      </c>
      <c r="C24" s="68">
        <f>B24+C41</f>
        <v>5966.29</v>
      </c>
      <c r="D24" s="68">
        <f t="shared" ref="D24:N24" si="14">C24+D41</f>
        <v>5966.29</v>
      </c>
      <c r="E24" s="68">
        <f t="shared" si="14"/>
        <v>5966.29</v>
      </c>
      <c r="F24" s="68">
        <f t="shared" si="14"/>
        <v>5966.29</v>
      </c>
      <c r="G24" s="68">
        <f t="shared" si="14"/>
        <v>5966.29</v>
      </c>
      <c r="H24" s="68">
        <f t="shared" si="14"/>
        <v>5966.29</v>
      </c>
      <c r="I24" s="68">
        <f t="shared" si="14"/>
        <v>5966.29</v>
      </c>
      <c r="J24" s="68">
        <f t="shared" si="14"/>
        <v>5966.29</v>
      </c>
      <c r="K24" s="68">
        <f t="shared" si="14"/>
        <v>5966.29</v>
      </c>
      <c r="L24" s="68">
        <f t="shared" si="14"/>
        <v>5966.29</v>
      </c>
      <c r="M24" s="68">
        <f t="shared" si="14"/>
        <v>5966.29</v>
      </c>
      <c r="N24" s="68">
        <f t="shared" si="14"/>
        <v>5966.29</v>
      </c>
      <c r="O24" s="68">
        <f>SUM(B24:N24)/13</f>
        <v>5966.2899999999991</v>
      </c>
      <c r="R24" s="124">
        <f t="shared" si="12"/>
        <v>475.28715492707249</v>
      </c>
      <c r="S24" s="124">
        <f t="shared" si="12"/>
        <v>1133.7833763530878</v>
      </c>
      <c r="T24" s="124">
        <f t="shared" si="12"/>
        <v>474.86013639429592</v>
      </c>
      <c r="U24" s="124">
        <f t="shared" si="12"/>
        <v>5.9730834766578091</v>
      </c>
      <c r="V24" s="124">
        <f t="shared" si="12"/>
        <v>1.1154241674347989</v>
      </c>
      <c r="W24" s="124">
        <f t="shared" si="12"/>
        <v>3875.27082468145</v>
      </c>
      <c r="X24" s="125"/>
      <c r="Y24" s="125"/>
      <c r="Z24" s="124">
        <f t="shared" si="13"/>
        <v>475.28715492707261</v>
      </c>
      <c r="AA24" s="124">
        <f t="shared" si="13"/>
        <v>1133.7833763530878</v>
      </c>
      <c r="AB24" s="124">
        <f t="shared" si="13"/>
        <v>474.86013639429598</v>
      </c>
      <c r="AC24" s="124">
        <f t="shared" si="13"/>
        <v>5.97308347665781</v>
      </c>
      <c r="AD24" s="124">
        <f t="shared" si="13"/>
        <v>1.1154241674347991</v>
      </c>
      <c r="AE24" s="124">
        <f t="shared" si="13"/>
        <v>3875.2708246814504</v>
      </c>
    </row>
    <row r="25" spans="1:32" x14ac:dyDescent="0.25">
      <c r="A25" t="s">
        <v>434</v>
      </c>
      <c r="B25" s="68">
        <f>'CU and Skipjack 22'!N25</f>
        <v>1458050.0800000017</v>
      </c>
      <c r="C25" s="68">
        <f t="shared" ref="C25:N33" si="15">B25+C42</f>
        <v>1479665.9500000018</v>
      </c>
      <c r="D25" s="68">
        <f t="shared" si="15"/>
        <v>1501281.8200000019</v>
      </c>
      <c r="E25" s="68">
        <f t="shared" si="15"/>
        <v>1522897.690000002</v>
      </c>
      <c r="F25" s="68">
        <f t="shared" si="15"/>
        <v>1544513.5600000022</v>
      </c>
      <c r="G25" s="68">
        <f t="shared" si="15"/>
        <v>1566129.4300000023</v>
      </c>
      <c r="H25" s="68">
        <f t="shared" si="15"/>
        <v>1587745.3000000024</v>
      </c>
      <c r="I25" s="68">
        <f t="shared" si="15"/>
        <v>1609361.1700000025</v>
      </c>
      <c r="J25" s="68">
        <f t="shared" si="15"/>
        <v>1630977.0400000026</v>
      </c>
      <c r="K25" s="68">
        <f t="shared" si="15"/>
        <v>1652592.9100000027</v>
      </c>
      <c r="L25" s="68">
        <f t="shared" si="15"/>
        <v>1674208.7800000028</v>
      </c>
      <c r="M25" s="68">
        <f t="shared" si="15"/>
        <v>1695824.6500000029</v>
      </c>
      <c r="N25" s="68">
        <f t="shared" si="15"/>
        <v>1717440.520000003</v>
      </c>
      <c r="O25" s="68">
        <f t="shared" ref="O25:O36" si="16">SUM(B25:N25)/13</f>
        <v>1587745.3000000021</v>
      </c>
      <c r="R25" s="124">
        <f t="shared" si="12"/>
        <v>126483.11536747834</v>
      </c>
      <c r="S25" s="124">
        <f t="shared" si="12"/>
        <v>301721.71098333283</v>
      </c>
      <c r="T25" s="124">
        <f t="shared" si="12"/>
        <v>126369.47746713676</v>
      </c>
      <c r="U25" s="124">
        <f t="shared" si="12"/>
        <v>1589.5531756872547</v>
      </c>
      <c r="V25" s="124">
        <f t="shared" si="12"/>
        <v>296.83596998319189</v>
      </c>
      <c r="W25" s="124">
        <f t="shared" si="12"/>
        <v>1031284.6070363837</v>
      </c>
      <c r="X25" s="125"/>
      <c r="Y25" s="125"/>
      <c r="Z25" s="124">
        <f t="shared" si="13"/>
        <v>136814.90817698662</v>
      </c>
      <c r="AA25" s="124">
        <f t="shared" si="13"/>
        <v>326367.89553494827</v>
      </c>
      <c r="AB25" s="124">
        <f t="shared" si="13"/>
        <v>136691.98774720842</v>
      </c>
      <c r="AC25" s="124">
        <f t="shared" si="13"/>
        <v>1719.3960722919296</v>
      </c>
      <c r="AD25" s="124">
        <f t="shared" si="13"/>
        <v>321.0830620267858</v>
      </c>
      <c r="AE25" s="124">
        <f t="shared" si="13"/>
        <v>1115525.249406541</v>
      </c>
    </row>
    <row r="26" spans="1:32" x14ac:dyDescent="0.25">
      <c r="A26" t="s">
        <v>456</v>
      </c>
      <c r="B26" s="68">
        <f>'CU and Skipjack 22'!N26</f>
        <v>194354.58999999988</v>
      </c>
      <c r="C26" s="68">
        <f t="shared" si="15"/>
        <v>197903.60999999987</v>
      </c>
      <c r="D26" s="68">
        <f t="shared" si="15"/>
        <v>201452.62999999986</v>
      </c>
      <c r="E26" s="68">
        <f t="shared" si="15"/>
        <v>205001.64999999985</v>
      </c>
      <c r="F26" s="68">
        <f t="shared" si="15"/>
        <v>208550.66999999984</v>
      </c>
      <c r="G26" s="68">
        <f t="shared" si="15"/>
        <v>212099.68999999983</v>
      </c>
      <c r="H26" s="68">
        <f t="shared" si="15"/>
        <v>215648.70999999982</v>
      </c>
      <c r="I26" s="68">
        <f t="shared" si="15"/>
        <v>219197.72999999981</v>
      </c>
      <c r="J26" s="68">
        <f t="shared" si="15"/>
        <v>222746.7499999998</v>
      </c>
      <c r="K26" s="68">
        <f t="shared" si="15"/>
        <v>226295.76999999979</v>
      </c>
      <c r="L26" s="68">
        <f t="shared" si="15"/>
        <v>229844.78999999978</v>
      </c>
      <c r="M26" s="68">
        <f t="shared" si="15"/>
        <v>233393.80999999976</v>
      </c>
      <c r="N26" s="68">
        <f t="shared" si="15"/>
        <v>236942.82999999975</v>
      </c>
      <c r="O26" s="68">
        <f t="shared" si="16"/>
        <v>215648.70999999976</v>
      </c>
      <c r="R26" s="124">
        <f t="shared" si="12"/>
        <v>17179.027811184711</v>
      </c>
      <c r="S26" s="124">
        <f t="shared" si="12"/>
        <v>40980.060059096628</v>
      </c>
      <c r="T26" s="124">
        <f t="shared" si="12"/>
        <v>17163.593429728335</v>
      </c>
      <c r="U26" s="124">
        <f t="shared" si="12"/>
        <v>215.89425697771489</v>
      </c>
      <c r="V26" s="124">
        <f t="shared" si="12"/>
        <v>40.316475198178125</v>
      </c>
      <c r="W26" s="124">
        <f t="shared" si="12"/>
        <v>140069.81796781419</v>
      </c>
      <c r="X26" s="125"/>
      <c r="Y26" s="125"/>
      <c r="Z26" s="124">
        <f t="shared" si="13"/>
        <v>18875.362000685334</v>
      </c>
      <c r="AA26" s="124">
        <f t="shared" si="13"/>
        <v>45026.614831001418</v>
      </c>
      <c r="AB26" s="124">
        <f t="shared" si="13"/>
        <v>18858.403559238715</v>
      </c>
      <c r="AC26" s="124">
        <f t="shared" si="13"/>
        <v>237.21262338665051</v>
      </c>
      <c r="AD26" s="124">
        <f t="shared" si="13"/>
        <v>44.297504627229799</v>
      </c>
      <c r="AE26" s="124">
        <f t="shared" si="13"/>
        <v>153900.9394810604</v>
      </c>
    </row>
    <row r="27" spans="1:32" x14ac:dyDescent="0.25">
      <c r="A27" t="s">
        <v>435</v>
      </c>
      <c r="B27" s="68">
        <f>'CU and Skipjack 22'!N27</f>
        <v>555807.1399999999</v>
      </c>
      <c r="C27" s="68">
        <f t="shared" si="15"/>
        <v>566294.61999999988</v>
      </c>
      <c r="D27" s="68">
        <f t="shared" si="15"/>
        <v>576782.09999999986</v>
      </c>
      <c r="E27" s="68">
        <f t="shared" si="15"/>
        <v>587269.57999999984</v>
      </c>
      <c r="F27" s="68">
        <f t="shared" si="15"/>
        <v>597757.05999999982</v>
      </c>
      <c r="G27" s="68">
        <f t="shared" si="15"/>
        <v>608244.5399999998</v>
      </c>
      <c r="H27" s="68">
        <f t="shared" si="15"/>
        <v>618732.01999999979</v>
      </c>
      <c r="I27" s="68">
        <f t="shared" si="15"/>
        <v>629219.49999999977</v>
      </c>
      <c r="J27" s="68">
        <f t="shared" si="15"/>
        <v>639706.97999999975</v>
      </c>
      <c r="K27" s="68">
        <f t="shared" si="15"/>
        <v>650194.45999999973</v>
      </c>
      <c r="L27" s="68">
        <f t="shared" si="15"/>
        <v>660681.93999999971</v>
      </c>
      <c r="M27" s="68">
        <f t="shared" si="15"/>
        <v>671169.41999999969</v>
      </c>
      <c r="N27" s="68">
        <f t="shared" si="15"/>
        <v>681656.89999999967</v>
      </c>
      <c r="O27" s="68">
        <f t="shared" si="16"/>
        <v>618732.01999999979</v>
      </c>
      <c r="R27" s="124">
        <f t="shared" si="12"/>
        <v>49289.488350060165</v>
      </c>
      <c r="S27" s="124">
        <f t="shared" si="12"/>
        <v>117578.6089334186</v>
      </c>
      <c r="T27" s="124">
        <f t="shared" si="12"/>
        <v>49245.20454230655</v>
      </c>
      <c r="U27" s="124">
        <f t="shared" si="12"/>
        <v>619.43653512335277</v>
      </c>
      <c r="V27" s="124">
        <f t="shared" si="12"/>
        <v>115.67467358672664</v>
      </c>
      <c r="W27" s="124">
        <f t="shared" si="12"/>
        <v>401883.60696550435</v>
      </c>
      <c r="X27" s="125"/>
      <c r="Y27" s="125"/>
      <c r="Z27" s="124">
        <f t="shared" si="13"/>
        <v>54302.216056780322</v>
      </c>
      <c r="AA27" s="124">
        <f t="shared" si="13"/>
        <v>129536.32183423515</v>
      </c>
      <c r="AB27" s="124">
        <f t="shared" si="13"/>
        <v>54253.428597690159</v>
      </c>
      <c r="AC27" s="124">
        <f t="shared" si="13"/>
        <v>682.43306412188872</v>
      </c>
      <c r="AD27" s="124">
        <f t="shared" si="13"/>
        <v>127.43875677492809</v>
      </c>
      <c r="AE27" s="124">
        <f t="shared" si="13"/>
        <v>442755.06169039721</v>
      </c>
    </row>
    <row r="28" spans="1:32" x14ac:dyDescent="0.25">
      <c r="A28" t="s">
        <v>457</v>
      </c>
      <c r="B28" s="68">
        <f>'CU and Skipjack 22'!N28</f>
        <v>2682854.9432833325</v>
      </c>
      <c r="C28" s="68">
        <f t="shared" si="15"/>
        <v>2748468.6695499993</v>
      </c>
      <c r="D28" s="68">
        <f t="shared" si="15"/>
        <v>2817422.3958166661</v>
      </c>
      <c r="E28" s="68">
        <f t="shared" si="15"/>
        <v>2886376.1220833329</v>
      </c>
      <c r="F28" s="68">
        <f t="shared" si="15"/>
        <v>2955329.8483499996</v>
      </c>
      <c r="G28" s="68">
        <f t="shared" si="15"/>
        <v>3024283.5746166664</v>
      </c>
      <c r="H28" s="68">
        <f t="shared" si="15"/>
        <v>3096020.6342166662</v>
      </c>
      <c r="I28" s="68">
        <f t="shared" si="15"/>
        <v>3167757.693816666</v>
      </c>
      <c r="J28" s="68">
        <f t="shared" si="15"/>
        <v>3239494.7534166658</v>
      </c>
      <c r="K28" s="68">
        <f t="shared" si="15"/>
        <v>3311231.8130166656</v>
      </c>
      <c r="L28" s="68">
        <f t="shared" si="15"/>
        <v>3382968.8726166654</v>
      </c>
      <c r="M28" s="68">
        <f t="shared" si="15"/>
        <v>3454705.9322166652</v>
      </c>
      <c r="N28" s="68">
        <f t="shared" si="15"/>
        <v>3528071.241816665</v>
      </c>
      <c r="O28" s="68">
        <f t="shared" si="16"/>
        <v>3099614.3457551273</v>
      </c>
      <c r="R28" s="124">
        <f t="shared" si="12"/>
        <v>246921.76943546053</v>
      </c>
      <c r="S28" s="124">
        <f t="shared" si="12"/>
        <v>589024.53925684397</v>
      </c>
      <c r="T28" s="124">
        <f t="shared" si="12"/>
        <v>246699.92424018882</v>
      </c>
      <c r="U28" s="124">
        <f t="shared" si="12"/>
        <v>3103.1437011344506</v>
      </c>
      <c r="V28" s="124">
        <f t="shared" si="12"/>
        <v>579.48654037649396</v>
      </c>
      <c r="W28" s="124">
        <f t="shared" si="12"/>
        <v>2013285.4825811228</v>
      </c>
      <c r="X28" s="125"/>
      <c r="Y28" s="125"/>
      <c r="Z28" s="124">
        <f t="shared" si="13"/>
        <v>281053.54297277983</v>
      </c>
      <c r="AA28" s="124">
        <f t="shared" si="13"/>
        <v>670444.87018920132</v>
      </c>
      <c r="AB28" s="124">
        <f t="shared" si="13"/>
        <v>280801.03231620567</v>
      </c>
      <c r="AC28" s="124">
        <f t="shared" si="13"/>
        <v>3532.0884568076181</v>
      </c>
      <c r="AD28" s="124">
        <f t="shared" si="13"/>
        <v>659.58844232412628</v>
      </c>
      <c r="AE28" s="124">
        <f t="shared" si="13"/>
        <v>2291580.1194393463</v>
      </c>
    </row>
    <row r="29" spans="1:32" x14ac:dyDescent="0.25">
      <c r="A29" t="s">
        <v>436</v>
      </c>
      <c r="B29" s="68">
        <f>'CU and Skipjack 22'!N29</f>
        <v>387464.14</v>
      </c>
      <c r="C29" s="68">
        <f t="shared" si="15"/>
        <v>400461.95</v>
      </c>
      <c r="D29" s="68">
        <f t="shared" si="15"/>
        <v>413459.76</v>
      </c>
      <c r="E29" s="68">
        <f t="shared" si="15"/>
        <v>426457.57</v>
      </c>
      <c r="F29" s="68">
        <f t="shared" si="15"/>
        <v>439455.38</v>
      </c>
      <c r="G29" s="68">
        <f t="shared" si="15"/>
        <v>452453.19</v>
      </c>
      <c r="H29" s="68">
        <f t="shared" si="15"/>
        <v>465451</v>
      </c>
      <c r="I29" s="68">
        <f t="shared" si="15"/>
        <v>478448.81</v>
      </c>
      <c r="J29" s="68">
        <f t="shared" si="15"/>
        <v>491446.62</v>
      </c>
      <c r="K29" s="68">
        <f t="shared" si="15"/>
        <v>504444.43</v>
      </c>
      <c r="L29" s="68">
        <f t="shared" si="15"/>
        <v>517442.24</v>
      </c>
      <c r="M29" s="68">
        <f t="shared" si="15"/>
        <v>530440.05000000005</v>
      </c>
      <c r="N29" s="68">
        <f t="shared" si="15"/>
        <v>543437.8600000001</v>
      </c>
      <c r="O29" s="68">
        <f t="shared" si="16"/>
        <v>465451.00000000006</v>
      </c>
      <c r="R29" s="124">
        <f t="shared" si="12"/>
        <v>37078.801323428946</v>
      </c>
      <c r="S29" s="124">
        <f t="shared" si="12"/>
        <v>88450.378092067462</v>
      </c>
      <c r="T29" s="124">
        <f t="shared" si="12"/>
        <v>37045.488124925454</v>
      </c>
      <c r="U29" s="124">
        <f t="shared" si="12"/>
        <v>465.9809827034648</v>
      </c>
      <c r="V29" s="124">
        <f t="shared" si="12"/>
        <v>87.018112454589826</v>
      </c>
      <c r="W29" s="124">
        <f t="shared" si="12"/>
        <v>302323.3333644201</v>
      </c>
      <c r="X29" s="125"/>
      <c r="Y29" s="125"/>
      <c r="Z29" s="124">
        <f t="shared" si="13"/>
        <v>43291.397897027608</v>
      </c>
      <c r="AA29" s="124">
        <f t="shared" si="13"/>
        <v>103270.34249909018</v>
      </c>
      <c r="AB29" s="124">
        <f t="shared" si="13"/>
        <v>43252.50303311176</v>
      </c>
      <c r="AC29" s="124">
        <f t="shared" si="13"/>
        <v>544.05664192593406</v>
      </c>
      <c r="AD29" s="124">
        <f t="shared" si="13"/>
        <v>101.59809907715666</v>
      </c>
      <c r="AE29" s="124">
        <f t="shared" si="13"/>
        <v>352977.96182976745</v>
      </c>
    </row>
    <row r="30" spans="1:32" x14ac:dyDescent="0.25">
      <c r="A30" t="s">
        <v>437</v>
      </c>
      <c r="B30" s="68">
        <f>'CU and Skipjack 22'!N30</f>
        <v>100453.57999999996</v>
      </c>
      <c r="C30" s="68">
        <f t="shared" si="15"/>
        <v>102049.55999999995</v>
      </c>
      <c r="D30" s="68">
        <f t="shared" si="15"/>
        <v>103645.53999999995</v>
      </c>
      <c r="E30" s="68">
        <f t="shared" si="15"/>
        <v>105241.51999999995</v>
      </c>
      <c r="F30" s="68">
        <f t="shared" si="15"/>
        <v>106837.49999999994</v>
      </c>
      <c r="G30" s="68">
        <f t="shared" si="15"/>
        <v>108433.47999999994</v>
      </c>
      <c r="H30" s="68">
        <f t="shared" si="15"/>
        <v>110029.45999999993</v>
      </c>
      <c r="I30" s="68">
        <f t="shared" si="15"/>
        <v>111625.43999999993</v>
      </c>
      <c r="J30" s="68">
        <f t="shared" si="15"/>
        <v>113221.41999999993</v>
      </c>
      <c r="K30" s="68">
        <f t="shared" si="15"/>
        <v>114817.39999999992</v>
      </c>
      <c r="L30" s="68">
        <f t="shared" si="15"/>
        <v>116413.37999999992</v>
      </c>
      <c r="M30" s="68">
        <f t="shared" si="15"/>
        <v>118009.35999999991</v>
      </c>
      <c r="N30" s="68">
        <f t="shared" si="15"/>
        <v>119605.33999999991</v>
      </c>
      <c r="O30" s="68">
        <f t="shared" si="16"/>
        <v>110029.45999999993</v>
      </c>
      <c r="R30" s="124">
        <f t="shared" si="12"/>
        <v>8765.1771874250335</v>
      </c>
      <c r="S30" s="124">
        <f t="shared" si="12"/>
        <v>20909.069565359201</v>
      </c>
      <c r="T30" s="124">
        <f t="shared" si="12"/>
        <v>8757.302173208258</v>
      </c>
      <c r="U30" s="124">
        <f t="shared" si="12"/>
        <v>110.154744317085</v>
      </c>
      <c r="V30" s="124">
        <f t="shared" si="12"/>
        <v>20.570491681396724</v>
      </c>
      <c r="W30" s="124">
        <f t="shared" si="12"/>
        <v>71467.185838008954</v>
      </c>
      <c r="X30" s="125"/>
      <c r="Y30" s="125"/>
      <c r="Z30" s="124">
        <f t="shared" si="13"/>
        <v>9528.0118403036304</v>
      </c>
      <c r="AA30" s="124">
        <f t="shared" si="13"/>
        <v>22728.788948418351</v>
      </c>
      <c r="AB30" s="124">
        <f t="shared" si="13"/>
        <v>9519.4514624475341</v>
      </c>
      <c r="AC30" s="124">
        <f t="shared" si="13"/>
        <v>119.74152782952872</v>
      </c>
      <c r="AD30" s="124">
        <f t="shared" si="13"/>
        <v>22.360744581684092</v>
      </c>
      <c r="AE30" s="124">
        <f t="shared" si="13"/>
        <v>77686.98547641917</v>
      </c>
    </row>
    <row r="31" spans="1:32" x14ac:dyDescent="0.25">
      <c r="A31" t="s">
        <v>438</v>
      </c>
      <c r="B31" s="68">
        <f>'CU and Skipjack 22'!N31</f>
        <v>1768501.3299999991</v>
      </c>
      <c r="C31" s="68">
        <f t="shared" si="15"/>
        <v>1833399.9899999991</v>
      </c>
      <c r="D31" s="68">
        <f t="shared" si="15"/>
        <v>1898298.649999999</v>
      </c>
      <c r="E31" s="68">
        <f t="shared" si="15"/>
        <v>1963197.3099999989</v>
      </c>
      <c r="F31" s="68">
        <f t="shared" si="15"/>
        <v>2028095.9699999988</v>
      </c>
      <c r="G31" s="68">
        <f t="shared" si="15"/>
        <v>2092994.6299999987</v>
      </c>
      <c r="H31" s="68">
        <f t="shared" si="15"/>
        <v>2157893.2899999986</v>
      </c>
      <c r="I31" s="68">
        <f t="shared" si="15"/>
        <v>2222791.9499999988</v>
      </c>
      <c r="J31" s="68">
        <f t="shared" si="15"/>
        <v>2287690.6099999989</v>
      </c>
      <c r="K31" s="68">
        <f t="shared" si="15"/>
        <v>2352589.2699999991</v>
      </c>
      <c r="L31" s="68">
        <f t="shared" si="15"/>
        <v>2417487.9299999992</v>
      </c>
      <c r="M31" s="68">
        <f t="shared" si="15"/>
        <v>2482386.5899999994</v>
      </c>
      <c r="N31" s="68">
        <f t="shared" si="15"/>
        <v>2547285.2499999995</v>
      </c>
      <c r="O31" s="68">
        <f t="shared" si="16"/>
        <v>2157893.2899999991</v>
      </c>
      <c r="R31" s="124">
        <f t="shared" si="12"/>
        <v>171902.29815183638</v>
      </c>
      <c r="S31" s="124">
        <f t="shared" si="12"/>
        <v>410067.82106566592</v>
      </c>
      <c r="T31" s="124">
        <f t="shared" si="12"/>
        <v>171747.85369362461</v>
      </c>
      <c r="U31" s="124">
        <f t="shared" si="12"/>
        <v>2160.3503609260956</v>
      </c>
      <c r="V31" s="124">
        <f t="shared" si="12"/>
        <v>403.42764538957857</v>
      </c>
      <c r="W31" s="124">
        <f t="shared" si="12"/>
        <v>1401611.5390825565</v>
      </c>
      <c r="X31" s="125"/>
      <c r="Y31" s="125"/>
      <c r="Z31" s="124">
        <f t="shared" si="13"/>
        <v>202922.07707975921</v>
      </c>
      <c r="AA31" s="124">
        <f t="shared" si="13"/>
        <v>484064.58138632536</v>
      </c>
      <c r="AB31" s="124">
        <f t="shared" si="13"/>
        <v>202739.76311077373</v>
      </c>
      <c r="AC31" s="124">
        <f t="shared" si="13"/>
        <v>2550.1856995065873</v>
      </c>
      <c r="AD31" s="124">
        <f t="shared" si="13"/>
        <v>476.22618565309324</v>
      </c>
      <c r="AE31" s="124">
        <f t="shared" si="13"/>
        <v>1654532.4165379815</v>
      </c>
    </row>
    <row r="32" spans="1:32" x14ac:dyDescent="0.25">
      <c r="A32" t="s">
        <v>458</v>
      </c>
      <c r="B32" s="68">
        <f>'CU and Skipjack 22'!N32</f>
        <v>837055.02000000014</v>
      </c>
      <c r="C32" s="68">
        <f t="shared" si="15"/>
        <v>852122.79000000015</v>
      </c>
      <c r="D32" s="68">
        <f t="shared" si="15"/>
        <v>867190.56000000017</v>
      </c>
      <c r="E32" s="68">
        <f t="shared" si="15"/>
        <v>882258.33000000019</v>
      </c>
      <c r="F32" s="68">
        <f t="shared" si="15"/>
        <v>897326.10000000021</v>
      </c>
      <c r="G32" s="68">
        <f t="shared" si="15"/>
        <v>912393.87000000023</v>
      </c>
      <c r="H32" s="68">
        <f t="shared" si="15"/>
        <v>927461.64000000025</v>
      </c>
      <c r="I32" s="68">
        <f t="shared" si="15"/>
        <v>942529.41000000027</v>
      </c>
      <c r="J32" s="68">
        <f t="shared" si="15"/>
        <v>957597.18000000028</v>
      </c>
      <c r="K32" s="68">
        <f t="shared" si="15"/>
        <v>972664.9500000003</v>
      </c>
      <c r="L32" s="68">
        <f t="shared" si="15"/>
        <v>987732.72000000032</v>
      </c>
      <c r="M32" s="68">
        <f t="shared" si="15"/>
        <v>1002800.4900000003</v>
      </c>
      <c r="N32" s="68">
        <f t="shared" si="15"/>
        <v>1017868.2600000004</v>
      </c>
      <c r="O32" s="68">
        <f t="shared" si="16"/>
        <v>927461.64000000036</v>
      </c>
      <c r="R32" s="124">
        <f t="shared" si="12"/>
        <v>73883.536365077292</v>
      </c>
      <c r="S32" s="124">
        <f t="shared" si="12"/>
        <v>176246.97921776725</v>
      </c>
      <c r="T32" s="124">
        <f t="shared" si="12"/>
        <v>73817.156201069272</v>
      </c>
      <c r="U32" s="124">
        <f t="shared" si="12"/>
        <v>928.51768806376435</v>
      </c>
      <c r="V32" s="124">
        <f t="shared" si="12"/>
        <v>173.39303446944646</v>
      </c>
      <c r="W32" s="124">
        <f t="shared" si="12"/>
        <v>602412.05749355326</v>
      </c>
      <c r="X32" s="125"/>
      <c r="Y32" s="125"/>
      <c r="Z32" s="124">
        <f t="shared" si="13"/>
        <v>81085.517027494468</v>
      </c>
      <c r="AA32" s="124">
        <f t="shared" si="13"/>
        <v>193427.08995128347</v>
      </c>
      <c r="AB32" s="124">
        <f t="shared" si="13"/>
        <v>81012.666292624883</v>
      </c>
      <c r="AC32" s="124">
        <f t="shared" si="13"/>
        <v>1019.0272489638348</v>
      </c>
      <c r="AD32" s="124">
        <f t="shared" si="13"/>
        <v>190.29494987149604</v>
      </c>
      <c r="AE32" s="124">
        <f t="shared" si="13"/>
        <v>661133.66452976211</v>
      </c>
    </row>
    <row r="33" spans="1:31" x14ac:dyDescent="0.25">
      <c r="A33" t="s">
        <v>441</v>
      </c>
      <c r="B33" s="68">
        <f>'CU and Skipjack 22'!N33</f>
        <v>266355.1399999999</v>
      </c>
      <c r="C33" s="68">
        <f t="shared" si="15"/>
        <v>270911.96999999991</v>
      </c>
      <c r="D33" s="68">
        <f t="shared" si="15"/>
        <v>275468.79999999993</v>
      </c>
      <c r="E33" s="68">
        <f t="shared" si="15"/>
        <v>280025.62999999995</v>
      </c>
      <c r="F33" s="68">
        <f t="shared" si="15"/>
        <v>284582.45999999996</v>
      </c>
      <c r="G33" s="68">
        <f t="shared" si="15"/>
        <v>289139.28999999998</v>
      </c>
      <c r="H33" s="68">
        <f t="shared" si="15"/>
        <v>293696.12</v>
      </c>
      <c r="I33" s="68">
        <f t="shared" si="15"/>
        <v>298252.95</v>
      </c>
      <c r="J33" s="68">
        <f t="shared" si="15"/>
        <v>302809.78000000003</v>
      </c>
      <c r="K33" s="68">
        <f t="shared" si="15"/>
        <v>307366.61000000004</v>
      </c>
      <c r="L33" s="68">
        <f t="shared" si="15"/>
        <v>311923.44000000006</v>
      </c>
      <c r="M33" s="68">
        <f t="shared" si="15"/>
        <v>316480.27000000008</v>
      </c>
      <c r="N33" s="68">
        <f t="shared" si="15"/>
        <v>321037.10000000009</v>
      </c>
      <c r="O33" s="68">
        <f t="shared" si="16"/>
        <v>293696.12</v>
      </c>
      <c r="R33" s="124">
        <f t="shared" si="12"/>
        <v>23396.44792457626</v>
      </c>
      <c r="S33" s="124">
        <f t="shared" si="12"/>
        <v>55811.530876876859</v>
      </c>
      <c r="T33" s="124">
        <f t="shared" si="12"/>
        <v>23375.427544030797</v>
      </c>
      <c r="U33" s="124">
        <f t="shared" si="12"/>
        <v>294.03053514504148</v>
      </c>
      <c r="V33" s="124">
        <f t="shared" si="12"/>
        <v>54.907781909667627</v>
      </c>
      <c r="W33" s="124">
        <f t="shared" si="12"/>
        <v>190763.77533746135</v>
      </c>
      <c r="X33" s="125"/>
      <c r="Y33" s="125"/>
      <c r="Z33" s="124">
        <f t="shared" si="13"/>
        <v>25574.48764391911</v>
      </c>
      <c r="AA33" s="124">
        <f t="shared" si="13"/>
        <v>61007.17986765712</v>
      </c>
      <c r="AB33" s="124">
        <f t="shared" si="13"/>
        <v>25551.510418305057</v>
      </c>
      <c r="AC33" s="124">
        <f t="shared" si="13"/>
        <v>321.40264677113277</v>
      </c>
      <c r="AD33" s="124">
        <f t="shared" si="13"/>
        <v>60.019298422165612</v>
      </c>
      <c r="AE33" s="124">
        <f t="shared" si="13"/>
        <v>208522.50012492549</v>
      </c>
    </row>
    <row r="34" spans="1:31" x14ac:dyDescent="0.25">
      <c r="A34" s="116" t="s">
        <v>459</v>
      </c>
      <c r="B34" s="117">
        <f t="shared" ref="B34:O34" si="17">SUM(B35:B36)</f>
        <v>340974.46999999986</v>
      </c>
      <c r="C34" s="117">
        <f t="shared" si="17"/>
        <v>346707.23999999982</v>
      </c>
      <c r="D34" s="117">
        <f t="shared" si="17"/>
        <v>352440.00999999983</v>
      </c>
      <c r="E34" s="117">
        <f t="shared" si="17"/>
        <v>358172.7799999998</v>
      </c>
      <c r="F34" s="117">
        <f t="shared" si="17"/>
        <v>363905.54999999981</v>
      </c>
      <c r="G34" s="117">
        <f t="shared" si="17"/>
        <v>369638.31999999977</v>
      </c>
      <c r="H34" s="117">
        <f t="shared" si="17"/>
        <v>375371.08999999979</v>
      </c>
      <c r="I34" s="117">
        <f t="shared" si="17"/>
        <v>381103.85999999975</v>
      </c>
      <c r="J34" s="117">
        <f t="shared" si="17"/>
        <v>386836.62999999977</v>
      </c>
      <c r="K34" s="117">
        <f t="shared" si="17"/>
        <v>392569.39999999973</v>
      </c>
      <c r="L34" s="117">
        <f t="shared" si="17"/>
        <v>398302.16999999975</v>
      </c>
      <c r="M34" s="117">
        <f t="shared" si="17"/>
        <v>404034.93999999971</v>
      </c>
      <c r="N34" s="117">
        <f t="shared" si="17"/>
        <v>409767.70999999973</v>
      </c>
      <c r="O34" s="117">
        <f t="shared" si="17"/>
        <v>375371.08999999979</v>
      </c>
      <c r="R34" s="126">
        <f t="shared" si="12"/>
        <v>29902.847063748832</v>
      </c>
      <c r="S34" s="126">
        <f t="shared" si="12"/>
        <v>71332.352568436763</v>
      </c>
      <c r="T34" s="126">
        <f t="shared" si="12"/>
        <v>29875.981052861232</v>
      </c>
      <c r="U34" s="126">
        <f t="shared" si="12"/>
        <v>375.79850380957527</v>
      </c>
      <c r="V34" s="126">
        <f t="shared" si="12"/>
        <v>70.177276924578393</v>
      </c>
      <c r="W34" s="126">
        <f t="shared" si="12"/>
        <v>243813.93353421878</v>
      </c>
      <c r="X34" s="125"/>
      <c r="Y34" s="125"/>
      <c r="Z34" s="126">
        <f t="shared" si="13"/>
        <v>32642.953840138784</v>
      </c>
      <c r="AA34" s="126">
        <f t="shared" si="13"/>
        <v>77868.795811848351</v>
      </c>
      <c r="AB34" s="126">
        <f t="shared" si="13"/>
        <v>32613.625998833144</v>
      </c>
      <c r="AC34" s="126">
        <f t="shared" si="13"/>
        <v>410.23428929349859</v>
      </c>
      <c r="AD34" s="126">
        <f t="shared" si="13"/>
        <v>76.607876380198405</v>
      </c>
      <c r="AE34" s="126">
        <f t="shared" si="13"/>
        <v>266155.49218350573</v>
      </c>
    </row>
    <row r="35" spans="1:31" x14ac:dyDescent="0.25">
      <c r="A35" t="s">
        <v>435</v>
      </c>
      <c r="B35" s="68">
        <f>'CU and Skipjack 22'!N35</f>
        <v>6244.4500000000035</v>
      </c>
      <c r="C35" s="68">
        <f t="shared" ref="C35:N35" si="18">B35+C52</f>
        <v>6293.9200000000037</v>
      </c>
      <c r="D35" s="68">
        <f t="shared" si="18"/>
        <v>6343.390000000004</v>
      </c>
      <c r="E35" s="68">
        <f t="shared" si="18"/>
        <v>6392.8600000000042</v>
      </c>
      <c r="F35" s="68">
        <f t="shared" si="18"/>
        <v>6442.3300000000045</v>
      </c>
      <c r="G35" s="68">
        <f t="shared" si="18"/>
        <v>6491.8000000000047</v>
      </c>
      <c r="H35" s="68">
        <f t="shared" si="18"/>
        <v>6541.270000000005</v>
      </c>
      <c r="I35" s="68">
        <f t="shared" si="18"/>
        <v>6590.7400000000052</v>
      </c>
      <c r="J35" s="68">
        <f t="shared" si="18"/>
        <v>6640.2100000000055</v>
      </c>
      <c r="K35" s="68">
        <f t="shared" si="18"/>
        <v>6689.6800000000057</v>
      </c>
      <c r="L35" s="68">
        <f t="shared" si="18"/>
        <v>6739.150000000006</v>
      </c>
      <c r="M35" s="68">
        <f t="shared" si="18"/>
        <v>6788.6200000000063</v>
      </c>
      <c r="N35" s="68">
        <f t="shared" si="18"/>
        <v>6838.0900000000065</v>
      </c>
      <c r="O35" s="68">
        <f t="shared" si="16"/>
        <v>6541.270000000005</v>
      </c>
      <c r="R35" s="124">
        <f t="shared" si="12"/>
        <v>521.091265746354</v>
      </c>
      <c r="S35" s="124">
        <f t="shared" si="12"/>
        <v>1243.0477208176553</v>
      </c>
      <c r="T35" s="124">
        <f t="shared" si="12"/>
        <v>520.62309481971522</v>
      </c>
      <c r="U35" s="124">
        <f t="shared" si="12"/>
        <v>6.5487181738328957</v>
      </c>
      <c r="V35" s="124">
        <f t="shared" si="12"/>
        <v>1.2229192083717408</v>
      </c>
      <c r="W35" s="124">
        <f t="shared" si="12"/>
        <v>4248.7362812340752</v>
      </c>
      <c r="X35" s="125"/>
      <c r="Y35" s="125"/>
      <c r="Z35" s="124">
        <f t="shared" si="13"/>
        <v>544.7365684931957</v>
      </c>
      <c r="AA35" s="124">
        <f t="shared" si="13"/>
        <v>1299.4528874738396</v>
      </c>
      <c r="AB35" s="124">
        <f t="shared" si="13"/>
        <v>544.24715360407799</v>
      </c>
      <c r="AC35" s="124">
        <f t="shared" si="13"/>
        <v>6.8458761459632447</v>
      </c>
      <c r="AD35" s="124">
        <f t="shared" si="13"/>
        <v>1.2784110133926163</v>
      </c>
      <c r="AE35" s="124">
        <f t="shared" si="13"/>
        <v>4441.5291032695368</v>
      </c>
    </row>
    <row r="36" spans="1:31" x14ac:dyDescent="0.25">
      <c r="A36" t="s">
        <v>441</v>
      </c>
      <c r="B36" s="68">
        <f>'CU and Skipjack 22'!N36</f>
        <v>334730.01999999984</v>
      </c>
      <c r="C36" s="68">
        <f t="shared" ref="C36:N36" si="19">B36+C53</f>
        <v>340413.31999999983</v>
      </c>
      <c r="D36" s="68">
        <f t="shared" si="19"/>
        <v>346096.61999999982</v>
      </c>
      <c r="E36" s="68">
        <f t="shared" si="19"/>
        <v>351779.91999999981</v>
      </c>
      <c r="F36" s="68">
        <f t="shared" si="19"/>
        <v>357463.2199999998</v>
      </c>
      <c r="G36" s="68">
        <f t="shared" si="19"/>
        <v>363146.51999999979</v>
      </c>
      <c r="H36" s="68">
        <f t="shared" si="19"/>
        <v>368829.81999999977</v>
      </c>
      <c r="I36" s="68">
        <f t="shared" si="19"/>
        <v>374513.11999999976</v>
      </c>
      <c r="J36" s="68">
        <f t="shared" si="19"/>
        <v>380196.41999999975</v>
      </c>
      <c r="K36" s="68">
        <f t="shared" si="19"/>
        <v>385879.71999999974</v>
      </c>
      <c r="L36" s="68">
        <f t="shared" si="19"/>
        <v>391563.01999999973</v>
      </c>
      <c r="M36" s="68">
        <f t="shared" si="19"/>
        <v>397246.31999999972</v>
      </c>
      <c r="N36" s="68">
        <f t="shared" si="19"/>
        <v>402929.6199999997</v>
      </c>
      <c r="O36" s="68">
        <f t="shared" si="16"/>
        <v>368829.81999999977</v>
      </c>
      <c r="R36" s="124">
        <f t="shared" si="12"/>
        <v>29381.755798002476</v>
      </c>
      <c r="S36" s="124">
        <f t="shared" si="12"/>
        <v>70089.304847619103</v>
      </c>
      <c r="T36" s="124">
        <f t="shared" si="12"/>
        <v>29355.357958041517</v>
      </c>
      <c r="U36" s="124">
        <f t="shared" si="12"/>
        <v>369.24978563574234</v>
      </c>
      <c r="V36" s="124">
        <f t="shared" si="12"/>
        <v>68.954357716206644</v>
      </c>
      <c r="W36" s="124">
        <f t="shared" si="12"/>
        <v>239565.19725298471</v>
      </c>
      <c r="X36" s="125"/>
      <c r="Y36" s="125"/>
      <c r="Z36" s="124">
        <f t="shared" si="13"/>
        <v>32098.217271645586</v>
      </c>
      <c r="AA36" s="124">
        <f t="shared" si="13"/>
        <v>76569.342924374505</v>
      </c>
      <c r="AB36" s="124">
        <f t="shared" si="13"/>
        <v>32069.378845229061</v>
      </c>
      <c r="AC36" s="124">
        <f t="shared" si="13"/>
        <v>403.38841314753535</v>
      </c>
      <c r="AD36" s="124">
        <f t="shared" si="13"/>
        <v>75.329465366805778</v>
      </c>
      <c r="AE36" s="124">
        <f t="shared" si="13"/>
        <v>261713.96308023619</v>
      </c>
    </row>
    <row r="37" spans="1:31" ht="15.75" thickBot="1" x14ac:dyDescent="0.3">
      <c r="A37" s="116" t="s">
        <v>443</v>
      </c>
      <c r="B37" s="117">
        <f t="shared" ref="B37:O37" si="20">B34+B23</f>
        <v>8597836.7232833337</v>
      </c>
      <c r="C37" s="117">
        <f t="shared" si="20"/>
        <v>8803952.6395500004</v>
      </c>
      <c r="D37" s="117">
        <f t="shared" si="20"/>
        <v>9013408.5558166672</v>
      </c>
      <c r="E37" s="117">
        <f t="shared" si="20"/>
        <v>9222864.4720833339</v>
      </c>
      <c r="F37" s="117">
        <f t="shared" si="20"/>
        <v>9432320.3883500025</v>
      </c>
      <c r="G37" s="117">
        <f t="shared" si="20"/>
        <v>9641776.3046166673</v>
      </c>
      <c r="H37" s="117">
        <f t="shared" si="20"/>
        <v>9854015.5542166661</v>
      </c>
      <c r="I37" s="117">
        <f t="shared" si="20"/>
        <v>10066254.803816665</v>
      </c>
      <c r="J37" s="117">
        <f t="shared" si="20"/>
        <v>10278494.053416666</v>
      </c>
      <c r="K37" s="117">
        <f t="shared" si="20"/>
        <v>10490733.303016668</v>
      </c>
      <c r="L37" s="117">
        <f t="shared" si="20"/>
        <v>10702972.552616667</v>
      </c>
      <c r="M37" s="117">
        <f t="shared" si="20"/>
        <v>10915211.802216668</v>
      </c>
      <c r="N37" s="117">
        <f t="shared" si="20"/>
        <v>11129079.301816666</v>
      </c>
      <c r="O37" s="117">
        <f t="shared" si="20"/>
        <v>9857609.2657551263</v>
      </c>
      <c r="R37" s="129">
        <f t="shared" si="12"/>
        <v>785277.79613520345</v>
      </c>
      <c r="S37" s="129">
        <f t="shared" si="12"/>
        <v>1873256.8339952182</v>
      </c>
      <c r="T37" s="129">
        <f t="shared" si="12"/>
        <v>784572.26860547427</v>
      </c>
      <c r="U37" s="129">
        <f t="shared" si="12"/>
        <v>9868.833567364456</v>
      </c>
      <c r="V37" s="129">
        <f t="shared" si="12"/>
        <v>1842.9234261412826</v>
      </c>
      <c r="W37" s="129">
        <f t="shared" si="12"/>
        <v>6402790.6100257244</v>
      </c>
      <c r="X37" s="125"/>
      <c r="Y37" s="125"/>
      <c r="Z37" s="129">
        <f t="shared" si="13"/>
        <v>886565.76169080194</v>
      </c>
      <c r="AA37" s="129">
        <f t="shared" si="13"/>
        <v>2114876.2642303617</v>
      </c>
      <c r="AB37" s="129">
        <f t="shared" si="13"/>
        <v>885769.23267283326</v>
      </c>
      <c r="AC37" s="129">
        <f t="shared" si="13"/>
        <v>11141.751354375261</v>
      </c>
      <c r="AD37" s="129">
        <f t="shared" si="13"/>
        <v>2080.6303439062985</v>
      </c>
      <c r="AE37" s="129">
        <f t="shared" si="13"/>
        <v>7228645.6615243871</v>
      </c>
    </row>
    <row r="38" spans="1:31" ht="15.75" thickTop="1" x14ac:dyDescent="0.25"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</row>
    <row r="39" spans="1:31" ht="15.75" x14ac:dyDescent="0.25">
      <c r="A39" s="112" t="s">
        <v>460</v>
      </c>
      <c r="O39" s="119" t="s">
        <v>32</v>
      </c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</row>
    <row r="40" spans="1:31" x14ac:dyDescent="0.25">
      <c r="A40" s="116" t="s">
        <v>454</v>
      </c>
      <c r="B40" s="117"/>
      <c r="C40" s="117">
        <f t="shared" ref="C40:O40" si="21">SUM(C41:C50)</f>
        <v>200383.14626666665</v>
      </c>
      <c r="D40" s="117">
        <f t="shared" si="21"/>
        <v>203723.14626666665</v>
      </c>
      <c r="E40" s="117">
        <f t="shared" si="21"/>
        <v>203723.14626666665</v>
      </c>
      <c r="F40" s="117">
        <f t="shared" si="21"/>
        <v>203723.14626666665</v>
      </c>
      <c r="G40" s="117">
        <f t="shared" si="21"/>
        <v>203723.14626666665</v>
      </c>
      <c r="H40" s="117">
        <f t="shared" si="21"/>
        <v>206506.47959999996</v>
      </c>
      <c r="I40" s="117">
        <f t="shared" si="21"/>
        <v>206506.47959999996</v>
      </c>
      <c r="J40" s="117">
        <f t="shared" si="21"/>
        <v>206506.47959999996</v>
      </c>
      <c r="K40" s="117">
        <f t="shared" si="21"/>
        <v>206506.47959999996</v>
      </c>
      <c r="L40" s="117">
        <f t="shared" si="21"/>
        <v>206506.47959999996</v>
      </c>
      <c r="M40" s="117">
        <f t="shared" si="21"/>
        <v>206506.47959999996</v>
      </c>
      <c r="N40" s="117">
        <f t="shared" si="21"/>
        <v>208134.72959999996</v>
      </c>
      <c r="O40" s="117">
        <f t="shared" si="21"/>
        <v>2462449.3385333335</v>
      </c>
      <c r="R40" s="125"/>
      <c r="S40" s="125"/>
      <c r="T40" s="125"/>
      <c r="U40" s="125"/>
      <c r="V40" s="125"/>
      <c r="W40" s="125"/>
      <c r="X40" s="125"/>
      <c r="Y40" s="125"/>
      <c r="Z40" s="122">
        <f>$O40*Z$3</f>
        <v>196163.87072427923</v>
      </c>
      <c r="AA40" s="122">
        <f t="shared" ref="AA40:AE54" si="22">$O40*AA$3</f>
        <v>467943.08106725465</v>
      </c>
      <c r="AB40" s="122">
        <f t="shared" si="22"/>
        <v>195987.62862012786</v>
      </c>
      <c r="AC40" s="122">
        <f t="shared" si="22"/>
        <v>2465.2531901902871</v>
      </c>
      <c r="AD40" s="122">
        <f t="shared" si="22"/>
        <v>460.36573872270964</v>
      </c>
      <c r="AE40" s="122">
        <f t="shared" si="22"/>
        <v>1599429.1391927586</v>
      </c>
    </row>
    <row r="41" spans="1:31" x14ac:dyDescent="0.25">
      <c r="A41" t="s">
        <v>455</v>
      </c>
      <c r="B41" s="118"/>
      <c r="C41" s="118">
        <f>'CU and Skipjack 22'!C41</f>
        <v>0</v>
      </c>
      <c r="D41" s="118">
        <f>C41</f>
        <v>0</v>
      </c>
      <c r="E41" s="118">
        <f t="shared" ref="E41:N41" si="23">D41</f>
        <v>0</v>
      </c>
      <c r="F41" s="118">
        <f t="shared" si="23"/>
        <v>0</v>
      </c>
      <c r="G41" s="118">
        <f t="shared" si="23"/>
        <v>0</v>
      </c>
      <c r="H41" s="118">
        <f t="shared" si="23"/>
        <v>0</v>
      </c>
      <c r="I41" s="118">
        <f t="shared" si="23"/>
        <v>0</v>
      </c>
      <c r="J41" s="118">
        <f t="shared" si="23"/>
        <v>0</v>
      </c>
      <c r="K41" s="118">
        <f t="shared" si="23"/>
        <v>0</v>
      </c>
      <c r="L41" s="118">
        <f t="shared" si="23"/>
        <v>0</v>
      </c>
      <c r="M41" s="118">
        <f t="shared" si="23"/>
        <v>0</v>
      </c>
      <c r="N41" s="118">
        <f t="shared" si="23"/>
        <v>0</v>
      </c>
      <c r="O41" s="118">
        <f>SUM(C41:N41)</f>
        <v>0</v>
      </c>
      <c r="P41" s="118"/>
      <c r="Q41" s="118"/>
      <c r="R41" s="124"/>
      <c r="S41" s="124"/>
      <c r="T41" s="124"/>
      <c r="U41" s="124"/>
      <c r="V41" s="124"/>
      <c r="W41" s="124"/>
      <c r="X41" s="125"/>
      <c r="Y41" s="125"/>
      <c r="Z41" s="124">
        <f t="shared" ref="Z41:Z54" si="24">$O41*Z$3</f>
        <v>0</v>
      </c>
      <c r="AA41" s="124">
        <f t="shared" si="22"/>
        <v>0</v>
      </c>
      <c r="AB41" s="124">
        <f t="shared" si="22"/>
        <v>0</v>
      </c>
      <c r="AC41" s="124">
        <f t="shared" si="22"/>
        <v>0</v>
      </c>
      <c r="AD41" s="124">
        <f t="shared" si="22"/>
        <v>0</v>
      </c>
      <c r="AE41" s="124">
        <f t="shared" si="22"/>
        <v>0</v>
      </c>
    </row>
    <row r="42" spans="1:31" x14ac:dyDescent="0.25">
      <c r="A42" t="s">
        <v>434</v>
      </c>
      <c r="B42" s="118"/>
      <c r="C42" s="118">
        <f>'CU and Skipjack 22'!C42</f>
        <v>21615.870000000003</v>
      </c>
      <c r="D42" s="118">
        <f t="shared" ref="D42:N50" si="25">C42</f>
        <v>21615.870000000003</v>
      </c>
      <c r="E42" s="118">
        <f t="shared" si="25"/>
        <v>21615.870000000003</v>
      </c>
      <c r="F42" s="118">
        <f t="shared" si="25"/>
        <v>21615.870000000003</v>
      </c>
      <c r="G42" s="118">
        <f t="shared" si="25"/>
        <v>21615.870000000003</v>
      </c>
      <c r="H42" s="118">
        <f t="shared" si="25"/>
        <v>21615.870000000003</v>
      </c>
      <c r="I42" s="118">
        <f t="shared" si="25"/>
        <v>21615.870000000003</v>
      </c>
      <c r="J42" s="118">
        <f t="shared" si="25"/>
        <v>21615.870000000003</v>
      </c>
      <c r="K42" s="118">
        <f t="shared" si="25"/>
        <v>21615.870000000003</v>
      </c>
      <c r="L42" s="118">
        <f t="shared" si="25"/>
        <v>21615.870000000003</v>
      </c>
      <c r="M42" s="118">
        <f t="shared" si="25"/>
        <v>21615.870000000003</v>
      </c>
      <c r="N42" s="118">
        <f t="shared" si="25"/>
        <v>21615.870000000003</v>
      </c>
      <c r="O42" s="118">
        <f t="shared" ref="O42:O53" si="26">SUM(C42:N42)</f>
        <v>259390.43999999997</v>
      </c>
      <c r="P42" s="118"/>
      <c r="Q42" s="118"/>
      <c r="R42" s="125"/>
      <c r="S42" s="125"/>
      <c r="T42" s="125"/>
      <c r="U42" s="125"/>
      <c r="V42" s="125"/>
      <c r="W42" s="125"/>
      <c r="X42" s="125"/>
      <c r="Y42" s="125"/>
      <c r="Z42" s="124">
        <f t="shared" si="24"/>
        <v>20663.585619016427</v>
      </c>
      <c r="AA42" s="124">
        <f t="shared" si="22"/>
        <v>49292.369103230485</v>
      </c>
      <c r="AB42" s="124">
        <f t="shared" si="22"/>
        <v>20645.020560143144</v>
      </c>
      <c r="AC42" s="124">
        <f t="shared" si="22"/>
        <v>259.68579320934771</v>
      </c>
      <c r="AD42" s="124">
        <f t="shared" si="22"/>
        <v>48.494184087187548</v>
      </c>
      <c r="AE42" s="124">
        <f t="shared" si="22"/>
        <v>168481.28474031336</v>
      </c>
    </row>
    <row r="43" spans="1:31" x14ac:dyDescent="0.25">
      <c r="A43" t="s">
        <v>456</v>
      </c>
      <c r="B43" s="118"/>
      <c r="C43" s="118">
        <f>'CU and Skipjack 22'!C43</f>
        <v>3549.02</v>
      </c>
      <c r="D43" s="118">
        <f t="shared" si="25"/>
        <v>3549.02</v>
      </c>
      <c r="E43" s="118">
        <f t="shared" si="25"/>
        <v>3549.02</v>
      </c>
      <c r="F43" s="118">
        <f t="shared" si="25"/>
        <v>3549.02</v>
      </c>
      <c r="G43" s="118">
        <f t="shared" si="25"/>
        <v>3549.02</v>
      </c>
      <c r="H43" s="118">
        <f t="shared" si="25"/>
        <v>3549.02</v>
      </c>
      <c r="I43" s="118">
        <f t="shared" si="25"/>
        <v>3549.02</v>
      </c>
      <c r="J43" s="118">
        <f t="shared" si="25"/>
        <v>3549.02</v>
      </c>
      <c r="K43" s="118">
        <f t="shared" si="25"/>
        <v>3549.02</v>
      </c>
      <c r="L43" s="118">
        <f t="shared" si="25"/>
        <v>3549.02</v>
      </c>
      <c r="M43" s="118">
        <f t="shared" si="25"/>
        <v>3549.02</v>
      </c>
      <c r="N43" s="118">
        <f t="shared" si="25"/>
        <v>3549.02</v>
      </c>
      <c r="O43" s="118">
        <f t="shared" si="26"/>
        <v>42588.239999999991</v>
      </c>
      <c r="P43" s="118"/>
      <c r="Q43" s="118"/>
      <c r="R43" s="125"/>
      <c r="S43" s="125"/>
      <c r="T43" s="125"/>
      <c r="U43" s="125"/>
      <c r="V43" s="125"/>
      <c r="W43" s="125"/>
      <c r="X43" s="125"/>
      <c r="Y43" s="125"/>
      <c r="Z43" s="124">
        <f t="shared" si="24"/>
        <v>3392.6683790012462</v>
      </c>
      <c r="AA43" s="124">
        <f t="shared" si="22"/>
        <v>8093.1095438095736</v>
      </c>
      <c r="AB43" s="124">
        <f t="shared" si="22"/>
        <v>3389.6202590207663</v>
      </c>
      <c r="AC43" s="124">
        <f t="shared" si="22"/>
        <v>42.63673281787127</v>
      </c>
      <c r="AD43" s="124">
        <f t="shared" si="22"/>
        <v>7.9620588581033438</v>
      </c>
      <c r="AE43" s="124">
        <f t="shared" si="22"/>
        <v>27662.24302649243</v>
      </c>
    </row>
    <row r="44" spans="1:31" x14ac:dyDescent="0.25">
      <c r="A44" t="s">
        <v>435</v>
      </c>
      <c r="B44" s="118"/>
      <c r="C44" s="118">
        <f>'CU and Skipjack 22'!C44</f>
        <v>10487.479999999998</v>
      </c>
      <c r="D44" s="118">
        <f t="shared" si="25"/>
        <v>10487.479999999998</v>
      </c>
      <c r="E44" s="118">
        <f t="shared" si="25"/>
        <v>10487.479999999998</v>
      </c>
      <c r="F44" s="118">
        <f t="shared" si="25"/>
        <v>10487.479999999998</v>
      </c>
      <c r="G44" s="118">
        <f t="shared" si="25"/>
        <v>10487.479999999998</v>
      </c>
      <c r="H44" s="118">
        <f t="shared" si="25"/>
        <v>10487.479999999998</v>
      </c>
      <c r="I44" s="118">
        <f t="shared" si="25"/>
        <v>10487.479999999998</v>
      </c>
      <c r="J44" s="118">
        <f t="shared" si="25"/>
        <v>10487.479999999998</v>
      </c>
      <c r="K44" s="118">
        <f t="shared" si="25"/>
        <v>10487.479999999998</v>
      </c>
      <c r="L44" s="118">
        <f t="shared" si="25"/>
        <v>10487.479999999998</v>
      </c>
      <c r="M44" s="118">
        <f t="shared" si="25"/>
        <v>10487.479999999998</v>
      </c>
      <c r="N44" s="118">
        <f t="shared" si="25"/>
        <v>10487.479999999998</v>
      </c>
      <c r="O44" s="118">
        <f t="shared" si="26"/>
        <v>125849.75999999997</v>
      </c>
      <c r="P44" s="118"/>
      <c r="Q44" s="118"/>
      <c r="R44" s="125"/>
      <c r="S44" s="125"/>
      <c r="T44" s="125"/>
      <c r="U44" s="125"/>
      <c r="V44" s="125"/>
      <c r="W44" s="125"/>
      <c r="X44" s="125"/>
      <c r="Y44" s="125"/>
      <c r="Z44" s="124">
        <f t="shared" si="24"/>
        <v>10025.455413440326</v>
      </c>
      <c r="AA44" s="124">
        <f t="shared" si="22"/>
        <v>23915.425801633133</v>
      </c>
      <c r="AB44" s="124">
        <f t="shared" si="22"/>
        <v>10016.448110767227</v>
      </c>
      <c r="AC44" s="124">
        <f t="shared" si="22"/>
        <v>125.99305799707203</v>
      </c>
      <c r="AD44" s="124">
        <f t="shared" si="22"/>
        <v>23.528166376402964</v>
      </c>
      <c r="AE44" s="124">
        <f t="shared" si="22"/>
        <v>81742.909449785802</v>
      </c>
    </row>
    <row r="45" spans="1:31" x14ac:dyDescent="0.25">
      <c r="A45" t="s">
        <v>457</v>
      </c>
      <c r="B45" s="118"/>
      <c r="C45" s="118">
        <f>'CU and Skipjack 22'!C45</f>
        <v>65613.72626666665</v>
      </c>
      <c r="D45" s="118">
        <f>C45+(1200000*0.0334/12)</f>
        <v>68953.72626666665</v>
      </c>
      <c r="E45" s="118">
        <f t="shared" si="25"/>
        <v>68953.72626666665</v>
      </c>
      <c r="F45" s="118">
        <f t="shared" si="25"/>
        <v>68953.72626666665</v>
      </c>
      <c r="G45" s="118">
        <f t="shared" si="25"/>
        <v>68953.72626666665</v>
      </c>
      <c r="H45" s="118">
        <f>G45+(1000000*0.0334/12)</f>
        <v>71737.059599999979</v>
      </c>
      <c r="I45" s="118">
        <f t="shared" si="25"/>
        <v>71737.059599999979</v>
      </c>
      <c r="J45" s="118">
        <f t="shared" si="25"/>
        <v>71737.059599999979</v>
      </c>
      <c r="K45" s="118">
        <f t="shared" si="25"/>
        <v>71737.059599999979</v>
      </c>
      <c r="L45" s="118">
        <f t="shared" si="25"/>
        <v>71737.059599999979</v>
      </c>
      <c r="M45" s="118">
        <f t="shared" si="25"/>
        <v>71737.059599999979</v>
      </c>
      <c r="N45" s="118">
        <f>M45+(585000*0.0334/12)</f>
        <v>73365.309599999979</v>
      </c>
      <c r="O45" s="118">
        <f t="shared" si="26"/>
        <v>845216.29853333323</v>
      </c>
      <c r="P45" s="118"/>
      <c r="Q45" s="118"/>
      <c r="R45" s="125"/>
      <c r="S45" s="125"/>
      <c r="T45" s="125"/>
      <c r="U45" s="125"/>
      <c r="V45" s="125"/>
      <c r="W45" s="125"/>
      <c r="X45" s="125"/>
      <c r="Y45" s="125"/>
      <c r="Z45" s="124">
        <f t="shared" si="24"/>
        <v>67331.700240501086</v>
      </c>
      <c r="AA45" s="124">
        <f t="shared" si="22"/>
        <v>160617.76894850601</v>
      </c>
      <c r="AB45" s="124">
        <f t="shared" si="22"/>
        <v>67271.206529387709</v>
      </c>
      <c r="AC45" s="124">
        <f t="shared" si="22"/>
        <v>846.17869848286421</v>
      </c>
      <c r="AD45" s="124">
        <f t="shared" si="22"/>
        <v>158.01690599918305</v>
      </c>
      <c r="AE45" s="124">
        <f t="shared" si="22"/>
        <v>548991.42721045634</v>
      </c>
    </row>
    <row r="46" spans="1:31" x14ac:dyDescent="0.25">
      <c r="A46" t="s">
        <v>436</v>
      </c>
      <c r="B46" s="118"/>
      <c r="C46" s="118">
        <f>'CU and Skipjack 22'!C46</f>
        <v>12997.810000000001</v>
      </c>
      <c r="D46" s="118">
        <f t="shared" si="25"/>
        <v>12997.810000000001</v>
      </c>
      <c r="E46" s="118">
        <f t="shared" si="25"/>
        <v>12997.810000000001</v>
      </c>
      <c r="F46" s="118">
        <f t="shared" si="25"/>
        <v>12997.810000000001</v>
      </c>
      <c r="G46" s="118">
        <f t="shared" si="25"/>
        <v>12997.810000000001</v>
      </c>
      <c r="H46" s="118">
        <f t="shared" si="25"/>
        <v>12997.810000000001</v>
      </c>
      <c r="I46" s="118">
        <f t="shared" si="25"/>
        <v>12997.810000000001</v>
      </c>
      <c r="J46" s="118">
        <f t="shared" si="25"/>
        <v>12997.810000000001</v>
      </c>
      <c r="K46" s="118">
        <f t="shared" si="25"/>
        <v>12997.810000000001</v>
      </c>
      <c r="L46" s="118">
        <f t="shared" si="25"/>
        <v>12997.810000000001</v>
      </c>
      <c r="M46" s="118">
        <f t="shared" si="25"/>
        <v>12997.810000000001</v>
      </c>
      <c r="N46" s="118">
        <f t="shared" si="25"/>
        <v>12997.810000000001</v>
      </c>
      <c r="O46" s="118">
        <f t="shared" si="26"/>
        <v>155973.72</v>
      </c>
      <c r="P46" s="118"/>
      <c r="Q46" s="118"/>
      <c r="R46" s="125"/>
      <c r="S46" s="125"/>
      <c r="T46" s="125"/>
      <c r="U46" s="125"/>
      <c r="V46" s="125"/>
      <c r="W46" s="125"/>
      <c r="X46" s="125"/>
      <c r="Y46" s="125"/>
      <c r="Z46" s="124">
        <f t="shared" si="24"/>
        <v>12425.193147197311</v>
      </c>
      <c r="AA46" s="124">
        <f t="shared" si="22"/>
        <v>29639.928814045437</v>
      </c>
      <c r="AB46" s="124">
        <f t="shared" si="22"/>
        <v>12414.029816372607</v>
      </c>
      <c r="AC46" s="124">
        <f t="shared" si="22"/>
        <v>156.15131844493845</v>
      </c>
      <c r="AD46" s="124">
        <f t="shared" si="22"/>
        <v>29.159973245133656</v>
      </c>
      <c r="AE46" s="124">
        <f t="shared" si="22"/>
        <v>101309.25693069457</v>
      </c>
    </row>
    <row r="47" spans="1:31" x14ac:dyDescent="0.25">
      <c r="A47" t="s">
        <v>437</v>
      </c>
      <c r="B47" s="118"/>
      <c r="C47" s="118">
        <f>'CU and Skipjack 22'!C47</f>
        <v>1595.98</v>
      </c>
      <c r="D47" s="118">
        <f t="shared" si="25"/>
        <v>1595.98</v>
      </c>
      <c r="E47" s="118">
        <f t="shared" si="25"/>
        <v>1595.98</v>
      </c>
      <c r="F47" s="118">
        <f t="shared" si="25"/>
        <v>1595.98</v>
      </c>
      <c r="G47" s="118">
        <f t="shared" si="25"/>
        <v>1595.98</v>
      </c>
      <c r="H47" s="118">
        <f t="shared" si="25"/>
        <v>1595.98</v>
      </c>
      <c r="I47" s="118">
        <f t="shared" si="25"/>
        <v>1595.98</v>
      </c>
      <c r="J47" s="118">
        <f t="shared" si="25"/>
        <v>1595.98</v>
      </c>
      <c r="K47" s="118">
        <f t="shared" si="25"/>
        <v>1595.98</v>
      </c>
      <c r="L47" s="118">
        <f t="shared" si="25"/>
        <v>1595.98</v>
      </c>
      <c r="M47" s="118">
        <f t="shared" si="25"/>
        <v>1595.98</v>
      </c>
      <c r="N47" s="118">
        <f t="shared" si="25"/>
        <v>1595.98</v>
      </c>
      <c r="O47" s="118">
        <f t="shared" si="26"/>
        <v>19151.759999999998</v>
      </c>
      <c r="P47" s="118"/>
      <c r="Q47" s="118"/>
      <c r="R47" s="125"/>
      <c r="S47" s="125"/>
      <c r="T47" s="125"/>
      <c r="U47" s="125"/>
      <c r="V47" s="125"/>
      <c r="W47" s="125"/>
      <c r="X47" s="125"/>
      <c r="Y47" s="125"/>
      <c r="Z47" s="124">
        <f t="shared" si="24"/>
        <v>1525.6693057571977</v>
      </c>
      <c r="AA47" s="124">
        <f t="shared" si="22"/>
        <v>3639.43876611831</v>
      </c>
      <c r="AB47" s="124">
        <f t="shared" si="22"/>
        <v>1524.2985784785556</v>
      </c>
      <c r="AC47" s="124">
        <f t="shared" si="22"/>
        <v>19.17356702488749</v>
      </c>
      <c r="AD47" s="124">
        <f t="shared" si="22"/>
        <v>3.5805058005747434</v>
      </c>
      <c r="AE47" s="124">
        <f t="shared" si="22"/>
        <v>12439.599276820472</v>
      </c>
    </row>
    <row r="48" spans="1:31" x14ac:dyDescent="0.25">
      <c r="A48" t="s">
        <v>438</v>
      </c>
      <c r="B48" s="118"/>
      <c r="C48" s="118">
        <f>'CU and Skipjack 22'!C48</f>
        <v>64898.66</v>
      </c>
      <c r="D48" s="118">
        <f t="shared" si="25"/>
        <v>64898.66</v>
      </c>
      <c r="E48" s="118">
        <f t="shared" si="25"/>
        <v>64898.66</v>
      </c>
      <c r="F48" s="118">
        <f t="shared" si="25"/>
        <v>64898.66</v>
      </c>
      <c r="G48" s="118">
        <f t="shared" si="25"/>
        <v>64898.66</v>
      </c>
      <c r="H48" s="118">
        <f t="shared" si="25"/>
        <v>64898.66</v>
      </c>
      <c r="I48" s="118">
        <f t="shared" si="25"/>
        <v>64898.66</v>
      </c>
      <c r="J48" s="118">
        <f t="shared" si="25"/>
        <v>64898.66</v>
      </c>
      <c r="K48" s="118">
        <f t="shared" si="25"/>
        <v>64898.66</v>
      </c>
      <c r="L48" s="118">
        <f t="shared" si="25"/>
        <v>64898.66</v>
      </c>
      <c r="M48" s="118">
        <f t="shared" si="25"/>
        <v>64898.66</v>
      </c>
      <c r="N48" s="118">
        <f t="shared" si="25"/>
        <v>64898.66</v>
      </c>
      <c r="O48" s="118">
        <f t="shared" si="26"/>
        <v>778783.92000000027</v>
      </c>
      <c r="P48" s="118"/>
      <c r="Q48" s="118"/>
      <c r="R48" s="125"/>
      <c r="S48" s="125"/>
      <c r="T48" s="125"/>
      <c r="U48" s="125"/>
      <c r="V48" s="125"/>
      <c r="W48" s="125"/>
      <c r="X48" s="125"/>
      <c r="Y48" s="125"/>
      <c r="Z48" s="124">
        <f t="shared" si="24"/>
        <v>62039.557855845596</v>
      </c>
      <c r="AA48" s="124">
        <f t="shared" si="22"/>
        <v>147993.5206413187</v>
      </c>
      <c r="AB48" s="124">
        <f t="shared" si="22"/>
        <v>61983.81883429813</v>
      </c>
      <c r="AC48" s="124">
        <f t="shared" si="22"/>
        <v>779.67067716098279</v>
      </c>
      <c r="AD48" s="124">
        <f t="shared" si="22"/>
        <v>145.59708052702928</v>
      </c>
      <c r="AE48" s="124">
        <f t="shared" si="22"/>
        <v>505841.75491084979</v>
      </c>
    </row>
    <row r="49" spans="1:31" x14ac:dyDescent="0.25">
      <c r="A49" t="s">
        <v>458</v>
      </c>
      <c r="B49" s="118"/>
      <c r="C49" s="118">
        <f>'CU and Skipjack 22'!C49</f>
        <v>15067.77</v>
      </c>
      <c r="D49" s="118">
        <f t="shared" si="25"/>
        <v>15067.77</v>
      </c>
      <c r="E49" s="118">
        <f t="shared" si="25"/>
        <v>15067.77</v>
      </c>
      <c r="F49" s="118">
        <f t="shared" si="25"/>
        <v>15067.77</v>
      </c>
      <c r="G49" s="118">
        <f t="shared" si="25"/>
        <v>15067.77</v>
      </c>
      <c r="H49" s="118">
        <f t="shared" si="25"/>
        <v>15067.77</v>
      </c>
      <c r="I49" s="118">
        <f t="shared" si="25"/>
        <v>15067.77</v>
      </c>
      <c r="J49" s="118">
        <f t="shared" si="25"/>
        <v>15067.77</v>
      </c>
      <c r="K49" s="118">
        <f t="shared" si="25"/>
        <v>15067.77</v>
      </c>
      <c r="L49" s="118">
        <f t="shared" si="25"/>
        <v>15067.77</v>
      </c>
      <c r="M49" s="118">
        <f t="shared" si="25"/>
        <v>15067.77</v>
      </c>
      <c r="N49" s="118">
        <f t="shared" si="25"/>
        <v>15067.77</v>
      </c>
      <c r="O49" s="118">
        <f t="shared" si="26"/>
        <v>180813.24</v>
      </c>
      <c r="P49" s="118"/>
      <c r="Q49" s="118"/>
      <c r="R49" s="125"/>
      <c r="S49" s="125"/>
      <c r="T49" s="125"/>
      <c r="U49" s="125"/>
      <c r="V49" s="125"/>
      <c r="W49" s="125"/>
      <c r="X49" s="125"/>
      <c r="Y49" s="125"/>
      <c r="Z49" s="124">
        <f t="shared" si="24"/>
        <v>14403.961324834354</v>
      </c>
      <c r="AA49" s="124">
        <f t="shared" si="22"/>
        <v>34360.221467032476</v>
      </c>
      <c r="AB49" s="124">
        <f t="shared" si="22"/>
        <v>14391.020183111208</v>
      </c>
      <c r="AC49" s="124">
        <f t="shared" si="22"/>
        <v>181.01912180014097</v>
      </c>
      <c r="AD49" s="124">
        <f t="shared" si="22"/>
        <v>33.803830804099114</v>
      </c>
      <c r="AE49" s="124">
        <f t="shared" si="22"/>
        <v>117443.2140724177</v>
      </c>
    </row>
    <row r="50" spans="1:31" x14ac:dyDescent="0.25">
      <c r="A50" t="s">
        <v>441</v>
      </c>
      <c r="B50" s="118"/>
      <c r="C50" s="118">
        <f>'CU and Skipjack 22'!C50</f>
        <v>4556.83</v>
      </c>
      <c r="D50" s="118">
        <f t="shared" si="25"/>
        <v>4556.83</v>
      </c>
      <c r="E50" s="118">
        <f t="shared" si="25"/>
        <v>4556.83</v>
      </c>
      <c r="F50" s="118">
        <f t="shared" si="25"/>
        <v>4556.83</v>
      </c>
      <c r="G50" s="118">
        <f t="shared" si="25"/>
        <v>4556.83</v>
      </c>
      <c r="H50" s="118">
        <f t="shared" si="25"/>
        <v>4556.83</v>
      </c>
      <c r="I50" s="118">
        <f t="shared" si="25"/>
        <v>4556.83</v>
      </c>
      <c r="J50" s="118">
        <f t="shared" si="25"/>
        <v>4556.83</v>
      </c>
      <c r="K50" s="118">
        <f t="shared" si="25"/>
        <v>4556.83</v>
      </c>
      <c r="L50" s="118">
        <f t="shared" si="25"/>
        <v>4556.83</v>
      </c>
      <c r="M50" s="118">
        <f t="shared" si="25"/>
        <v>4556.83</v>
      </c>
      <c r="N50" s="118">
        <f t="shared" si="25"/>
        <v>4556.83</v>
      </c>
      <c r="O50" s="118">
        <f t="shared" si="26"/>
        <v>54681.960000000014</v>
      </c>
      <c r="P50" s="118"/>
      <c r="Q50" s="118"/>
      <c r="R50" s="125"/>
      <c r="S50" s="125"/>
      <c r="T50" s="125"/>
      <c r="U50" s="125"/>
      <c r="V50" s="125"/>
      <c r="W50" s="125"/>
      <c r="X50" s="125"/>
      <c r="Y50" s="125"/>
      <c r="Z50" s="124">
        <f t="shared" si="24"/>
        <v>4356.0794386856815</v>
      </c>
      <c r="AA50" s="124">
        <f t="shared" si="22"/>
        <v>10391.297981560487</v>
      </c>
      <c r="AB50" s="124">
        <f t="shared" si="22"/>
        <v>4352.1657485485021</v>
      </c>
      <c r="AC50" s="124">
        <f t="shared" si="22"/>
        <v>54.744223252182415</v>
      </c>
      <c r="AD50" s="124">
        <f t="shared" si="22"/>
        <v>10.223033024995937</v>
      </c>
      <c r="AE50" s="124">
        <f t="shared" si="22"/>
        <v>35517.449574928163</v>
      </c>
    </row>
    <row r="51" spans="1:31" x14ac:dyDescent="0.25">
      <c r="A51" s="116" t="s">
        <v>461</v>
      </c>
      <c r="B51" s="120"/>
      <c r="C51" s="117">
        <f t="shared" ref="C51:P51" si="27">SUM(C52:C53)</f>
        <v>5732.77</v>
      </c>
      <c r="D51" s="117">
        <f t="shared" si="27"/>
        <v>5732.77</v>
      </c>
      <c r="E51" s="117">
        <f t="shared" si="27"/>
        <v>5732.77</v>
      </c>
      <c r="F51" s="117">
        <f t="shared" si="27"/>
        <v>5732.77</v>
      </c>
      <c r="G51" s="117">
        <f t="shared" si="27"/>
        <v>5732.77</v>
      </c>
      <c r="H51" s="117">
        <f t="shared" si="27"/>
        <v>5732.77</v>
      </c>
      <c r="I51" s="117">
        <f t="shared" si="27"/>
        <v>5732.77</v>
      </c>
      <c r="J51" s="117">
        <f t="shared" si="27"/>
        <v>5732.77</v>
      </c>
      <c r="K51" s="117">
        <f t="shared" si="27"/>
        <v>5732.77</v>
      </c>
      <c r="L51" s="117">
        <f t="shared" si="27"/>
        <v>5732.77</v>
      </c>
      <c r="M51" s="117">
        <f t="shared" si="27"/>
        <v>5732.77</v>
      </c>
      <c r="N51" s="117">
        <f t="shared" si="27"/>
        <v>5732.77</v>
      </c>
      <c r="O51" s="117">
        <f t="shared" si="27"/>
        <v>68793.24000000002</v>
      </c>
      <c r="P51" s="117">
        <f t="shared" si="27"/>
        <v>0</v>
      </c>
      <c r="Q51" s="118"/>
      <c r="R51" s="125"/>
      <c r="S51" s="125"/>
      <c r="T51" s="125"/>
      <c r="U51" s="125"/>
      <c r="V51" s="125"/>
      <c r="W51" s="125"/>
      <c r="X51" s="125"/>
      <c r="Y51" s="125"/>
      <c r="Z51" s="126">
        <f t="shared" si="24"/>
        <v>5480.2135527799182</v>
      </c>
      <c r="AA51" s="126">
        <f t="shared" si="22"/>
        <v>13072.886486823189</v>
      </c>
      <c r="AB51" s="126">
        <f t="shared" si="22"/>
        <v>5475.2898919438285</v>
      </c>
      <c r="AC51" s="126">
        <f t="shared" si="22"/>
        <v>68.871570967846893</v>
      </c>
      <c r="AD51" s="126">
        <f t="shared" si="22"/>
        <v>12.861198911240042</v>
      </c>
      <c r="AE51" s="126">
        <f t="shared" si="22"/>
        <v>44683.117298573998</v>
      </c>
    </row>
    <row r="52" spans="1:31" x14ac:dyDescent="0.25">
      <c r="A52" t="s">
        <v>435</v>
      </c>
      <c r="B52" s="118"/>
      <c r="C52" s="118">
        <f>'CU and Skipjack 22'!C52</f>
        <v>49.47</v>
      </c>
      <c r="D52" s="118">
        <f t="shared" ref="D52:N52" si="28">C52</f>
        <v>49.47</v>
      </c>
      <c r="E52" s="118">
        <f t="shared" si="28"/>
        <v>49.47</v>
      </c>
      <c r="F52" s="118">
        <f t="shared" si="28"/>
        <v>49.47</v>
      </c>
      <c r="G52" s="118">
        <f t="shared" si="28"/>
        <v>49.47</v>
      </c>
      <c r="H52" s="118">
        <f t="shared" si="28"/>
        <v>49.47</v>
      </c>
      <c r="I52" s="118">
        <f t="shared" si="28"/>
        <v>49.47</v>
      </c>
      <c r="J52" s="118">
        <f t="shared" si="28"/>
        <v>49.47</v>
      </c>
      <c r="K52" s="118">
        <f t="shared" si="28"/>
        <v>49.47</v>
      </c>
      <c r="L52" s="118">
        <f t="shared" si="28"/>
        <v>49.47</v>
      </c>
      <c r="M52" s="118">
        <f t="shared" si="28"/>
        <v>49.47</v>
      </c>
      <c r="N52" s="118">
        <f t="shared" si="28"/>
        <v>49.47</v>
      </c>
      <c r="O52" s="118">
        <f t="shared" si="26"/>
        <v>593.6400000000001</v>
      </c>
      <c r="P52" s="118"/>
      <c r="Q52" s="118"/>
      <c r="R52" s="125"/>
      <c r="S52" s="125"/>
      <c r="T52" s="125"/>
      <c r="U52" s="125"/>
      <c r="V52" s="125"/>
      <c r="W52" s="125"/>
      <c r="X52" s="125"/>
      <c r="Y52" s="125"/>
      <c r="Z52" s="124">
        <f t="shared" si="24"/>
        <v>47.290605493683245</v>
      </c>
      <c r="AA52" s="124">
        <f t="shared" si="22"/>
        <v>112.81033331236785</v>
      </c>
      <c r="AB52" s="124">
        <f t="shared" si="22"/>
        <v>47.24811756872527</v>
      </c>
      <c r="AC52" s="124">
        <f t="shared" si="22"/>
        <v>0.59431594426069523</v>
      </c>
      <c r="AD52" s="124">
        <f t="shared" si="22"/>
        <v>0.11098361004175028</v>
      </c>
      <c r="AE52" s="124">
        <f t="shared" si="22"/>
        <v>385.58564407092126</v>
      </c>
    </row>
    <row r="53" spans="1:31" x14ac:dyDescent="0.25">
      <c r="A53" t="s">
        <v>441</v>
      </c>
      <c r="B53" s="118"/>
      <c r="C53" s="118">
        <f>'CU and Skipjack 22'!C53</f>
        <v>5683.3</v>
      </c>
      <c r="D53" s="118">
        <f t="shared" ref="D53:N53" si="29">C53</f>
        <v>5683.3</v>
      </c>
      <c r="E53" s="118">
        <f t="shared" si="29"/>
        <v>5683.3</v>
      </c>
      <c r="F53" s="118">
        <f t="shared" si="29"/>
        <v>5683.3</v>
      </c>
      <c r="G53" s="118">
        <f t="shared" si="29"/>
        <v>5683.3</v>
      </c>
      <c r="H53" s="118">
        <f t="shared" si="29"/>
        <v>5683.3</v>
      </c>
      <c r="I53" s="118">
        <f t="shared" si="29"/>
        <v>5683.3</v>
      </c>
      <c r="J53" s="118">
        <f t="shared" si="29"/>
        <v>5683.3</v>
      </c>
      <c r="K53" s="118">
        <f t="shared" si="29"/>
        <v>5683.3</v>
      </c>
      <c r="L53" s="118">
        <f t="shared" si="29"/>
        <v>5683.3</v>
      </c>
      <c r="M53" s="118">
        <f t="shared" si="29"/>
        <v>5683.3</v>
      </c>
      <c r="N53" s="118">
        <f t="shared" si="29"/>
        <v>5683.3</v>
      </c>
      <c r="O53" s="118">
        <f t="shared" si="26"/>
        <v>68199.60000000002</v>
      </c>
      <c r="P53" s="118"/>
      <c r="Q53" s="118"/>
      <c r="R53" s="125"/>
      <c r="S53" s="125"/>
      <c r="T53" s="125"/>
      <c r="U53" s="125"/>
      <c r="V53" s="125"/>
      <c r="W53" s="125"/>
      <c r="X53" s="125"/>
      <c r="Y53" s="125"/>
      <c r="Z53" s="124">
        <f t="shared" si="24"/>
        <v>5432.9229472862344</v>
      </c>
      <c r="AA53" s="124">
        <f t="shared" si="22"/>
        <v>12960.076153510821</v>
      </c>
      <c r="AB53" s="124">
        <f t="shared" si="22"/>
        <v>5428.0417743751041</v>
      </c>
      <c r="AC53" s="124">
        <f t="shared" si="22"/>
        <v>68.277255023586207</v>
      </c>
      <c r="AD53" s="124">
        <f t="shared" si="22"/>
        <v>12.75021530119829</v>
      </c>
      <c r="AE53" s="124">
        <f t="shared" si="22"/>
        <v>44297.531654503073</v>
      </c>
    </row>
    <row r="54" spans="1:31" ht="15.75" thickBot="1" x14ac:dyDescent="0.3">
      <c r="B54" s="117"/>
      <c r="C54" s="117">
        <f t="shared" ref="C54:O54" si="30">C51+C40</f>
        <v>206115.91626666664</v>
      </c>
      <c r="D54" s="117">
        <f t="shared" si="30"/>
        <v>209455.91626666664</v>
      </c>
      <c r="E54" s="117">
        <f t="shared" si="30"/>
        <v>209455.91626666664</v>
      </c>
      <c r="F54" s="117">
        <f t="shared" si="30"/>
        <v>209455.91626666664</v>
      </c>
      <c r="G54" s="117">
        <f t="shared" si="30"/>
        <v>209455.91626666664</v>
      </c>
      <c r="H54" s="117">
        <f t="shared" si="30"/>
        <v>212239.24959999995</v>
      </c>
      <c r="I54" s="117">
        <f t="shared" si="30"/>
        <v>212239.24959999995</v>
      </c>
      <c r="J54" s="117">
        <f t="shared" si="30"/>
        <v>212239.24959999995</v>
      </c>
      <c r="K54" s="117">
        <f t="shared" si="30"/>
        <v>212239.24959999995</v>
      </c>
      <c r="L54" s="117">
        <f t="shared" si="30"/>
        <v>212239.24959999995</v>
      </c>
      <c r="M54" s="117">
        <f t="shared" si="30"/>
        <v>212239.24959999995</v>
      </c>
      <c r="N54" s="117">
        <f t="shared" si="30"/>
        <v>213867.49959999995</v>
      </c>
      <c r="O54" s="117">
        <f t="shared" si="30"/>
        <v>2531242.5785333337</v>
      </c>
      <c r="P54" s="118"/>
      <c r="Q54" s="118"/>
      <c r="R54" s="125"/>
      <c r="S54" s="125"/>
      <c r="T54" s="125"/>
      <c r="U54" s="125"/>
      <c r="V54" s="125"/>
      <c r="W54" s="125"/>
      <c r="X54" s="125"/>
      <c r="Y54" s="125"/>
      <c r="Z54" s="129">
        <f t="shared" si="24"/>
        <v>201644.08427705916</v>
      </c>
      <c r="AA54" s="129">
        <f t="shared" si="22"/>
        <v>481015.96755407786</v>
      </c>
      <c r="AB54" s="129">
        <f t="shared" si="22"/>
        <v>201462.91851207172</v>
      </c>
      <c r="AC54" s="129">
        <f t="shared" si="22"/>
        <v>2534.1247611581343</v>
      </c>
      <c r="AD54" s="129">
        <f t="shared" si="22"/>
        <v>473.22693763394972</v>
      </c>
      <c r="AE54" s="129">
        <f t="shared" si="22"/>
        <v>1644112.2564913328</v>
      </c>
    </row>
    <row r="55" spans="1:31" ht="16.5" thickTop="1" x14ac:dyDescent="0.25">
      <c r="A55" s="112"/>
      <c r="B55" s="118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25"/>
      <c r="S55" s="125"/>
      <c r="T55" s="125"/>
      <c r="U55" s="125"/>
      <c r="V55" s="125"/>
      <c r="W55" s="125"/>
      <c r="X55" s="125"/>
      <c r="Y55" s="125"/>
      <c r="Z55" s="130" t="s">
        <v>462</v>
      </c>
      <c r="AA55" s="124"/>
      <c r="AB55" s="124"/>
      <c r="AC55" s="124"/>
      <c r="AD55" s="124"/>
      <c r="AE55" s="124"/>
    </row>
    <row r="56" spans="1:31" x14ac:dyDescent="0.25">
      <c r="A56" s="116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18"/>
      <c r="Q56" s="118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</row>
    <row r="57" spans="1:31" x14ac:dyDescent="0.25">
      <c r="B57" s="118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</row>
    <row r="58" spans="1:31" x14ac:dyDescent="0.25"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</row>
    <row r="59" spans="1:31" x14ac:dyDescent="0.25">
      <c r="B59" s="118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</row>
    <row r="60" spans="1:31" x14ac:dyDescent="0.25"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</row>
    <row r="61" spans="1:31" x14ac:dyDescent="0.25"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</row>
    <row r="62" spans="1:31" x14ac:dyDescent="0.25"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</row>
    <row r="63" spans="1:31" x14ac:dyDescent="0.25"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</row>
    <row r="64" spans="1:31" x14ac:dyDescent="0.25"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</row>
    <row r="65" spans="1:31" x14ac:dyDescent="0.25"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</row>
    <row r="66" spans="1:31" x14ac:dyDescent="0.25"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</row>
    <row r="67" spans="1:31" x14ac:dyDescent="0.25">
      <c r="A67" s="116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</row>
    <row r="68" spans="1:31" x14ac:dyDescent="0.25"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</row>
    <row r="69" spans="1:31" x14ac:dyDescent="0.25"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</row>
    <row r="70" spans="1:31" x14ac:dyDescent="0.25">
      <c r="A70" s="116"/>
      <c r="B70" s="116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B7" sqref="B7"/>
    </sheetView>
  </sheetViews>
  <sheetFormatPr defaultRowHeight="15" x14ac:dyDescent="0.25"/>
  <cols>
    <col min="1" max="1" width="38.85546875" customWidth="1"/>
    <col min="2" max="3" width="11.28515625" bestFit="1" customWidth="1"/>
    <col min="4" max="4" width="10" bestFit="1" customWidth="1"/>
    <col min="5" max="5" width="13.28515625" customWidth="1"/>
    <col min="6" max="6" width="9.42578125" bestFit="1" customWidth="1"/>
    <col min="7" max="7" width="16.85546875" bestFit="1" customWidth="1"/>
    <col min="8" max="8" width="13.85546875" customWidth="1"/>
    <col min="9" max="9" width="28.42578125" customWidth="1"/>
    <col min="10" max="10" width="21.5703125" customWidth="1"/>
  </cols>
  <sheetData>
    <row r="1" spans="1:10" x14ac:dyDescent="0.25">
      <c r="A1" s="116" t="s">
        <v>466</v>
      </c>
      <c r="B1" s="116"/>
      <c r="C1" s="116"/>
      <c r="D1" s="116"/>
      <c r="E1" s="116"/>
    </row>
    <row r="2" spans="1:10" x14ac:dyDescent="0.25">
      <c r="B2" s="132" t="s">
        <v>467</v>
      </c>
      <c r="C2" s="132" t="s">
        <v>468</v>
      </c>
      <c r="D2" s="132" t="s">
        <v>469</v>
      </c>
      <c r="E2" s="132" t="s">
        <v>470</v>
      </c>
      <c r="F2" s="132" t="s">
        <v>471</v>
      </c>
      <c r="G2" s="132" t="s">
        <v>472</v>
      </c>
      <c r="H2" s="132" t="s">
        <v>32</v>
      </c>
      <c r="I2" s="132" t="s">
        <v>473</v>
      </c>
    </row>
    <row r="3" spans="1:10" x14ac:dyDescent="0.25">
      <c r="A3" s="67" t="s">
        <v>474</v>
      </c>
      <c r="E3" s="133"/>
    </row>
    <row r="4" spans="1:10" x14ac:dyDescent="0.25">
      <c r="A4" s="67" t="s">
        <v>475</v>
      </c>
      <c r="B4" s="73">
        <v>28081.03</v>
      </c>
      <c r="C4" s="73">
        <v>31721.18</v>
      </c>
      <c r="D4" s="73">
        <v>866.68</v>
      </c>
      <c r="E4" s="73">
        <v>58762.25</v>
      </c>
      <c r="F4" s="73">
        <v>866.68</v>
      </c>
      <c r="G4" s="73">
        <f>3640+16641+867+14561+17334</f>
        <v>53043</v>
      </c>
      <c r="H4" s="105">
        <f>SUM(B4:G4)</f>
        <v>173340.82</v>
      </c>
      <c r="I4" s="67" t="s">
        <v>476</v>
      </c>
      <c r="J4" s="67" t="s">
        <v>477</v>
      </c>
    </row>
    <row r="5" spans="1:10" x14ac:dyDescent="0.25">
      <c r="A5" s="67" t="s">
        <v>478</v>
      </c>
      <c r="B5" s="73">
        <v>54981.28144510679</v>
      </c>
      <c r="C5" s="73">
        <v>65095.7624656689</v>
      </c>
      <c r="D5" s="73">
        <v>518.6913343878</v>
      </c>
      <c r="E5" s="73">
        <v>136156.47527679752</v>
      </c>
      <c r="F5" s="73">
        <v>518.6913343878</v>
      </c>
      <c r="G5" s="73">
        <v>2074.7653375512</v>
      </c>
      <c r="H5" s="105">
        <f t="shared" ref="H5:H7" si="0">SUM(B5:G5)</f>
        <v>259345.66719389998</v>
      </c>
      <c r="I5" s="67" t="s">
        <v>476</v>
      </c>
      <c r="J5" s="67" t="s">
        <v>477</v>
      </c>
    </row>
    <row r="6" spans="1:10" x14ac:dyDescent="0.25">
      <c r="A6" s="67" t="s">
        <v>479</v>
      </c>
      <c r="B6" s="68">
        <v>-5999.52</v>
      </c>
      <c r="C6" s="68">
        <v>-11306.88</v>
      </c>
      <c r="D6" s="68">
        <v>-230.76</v>
      </c>
      <c r="E6" s="68">
        <v>-20690.759999999998</v>
      </c>
      <c r="F6" s="68">
        <v>-230.76</v>
      </c>
      <c r="G6" s="134"/>
      <c r="H6" s="105">
        <f t="shared" si="0"/>
        <v>-38458.68</v>
      </c>
      <c r="I6" s="67" t="s">
        <v>480</v>
      </c>
    </row>
    <row r="7" spans="1:10" ht="30" x14ac:dyDescent="0.25">
      <c r="A7" s="135" t="s">
        <v>481</v>
      </c>
      <c r="B7" s="68">
        <v>-1061.67</v>
      </c>
      <c r="C7" s="68">
        <v>-15.85</v>
      </c>
      <c r="D7" s="68">
        <v>-2503.65</v>
      </c>
      <c r="E7" s="68">
        <v>-998.29</v>
      </c>
      <c r="F7" s="68"/>
      <c r="G7" s="68">
        <v>-11266.41</v>
      </c>
      <c r="H7" s="105">
        <f t="shared" si="0"/>
        <v>-15845.869999999999</v>
      </c>
      <c r="I7" s="67" t="s">
        <v>482</v>
      </c>
    </row>
    <row r="8" spans="1:10" x14ac:dyDescent="0.25">
      <c r="A8" t="s">
        <v>483</v>
      </c>
      <c r="B8" s="110">
        <f t="shared" ref="B8:G8" si="1">SUM(B4:B7)</f>
        <v>76001.121445106779</v>
      </c>
      <c r="C8" s="110">
        <f t="shared" si="1"/>
        <v>85494.212465668883</v>
      </c>
      <c r="D8" s="110">
        <f t="shared" si="1"/>
        <v>-1349.0386656122002</v>
      </c>
      <c r="E8" s="110">
        <f t="shared" si="1"/>
        <v>173229.6752767975</v>
      </c>
      <c r="F8" s="110">
        <f t="shared" si="1"/>
        <v>1154.6113343877998</v>
      </c>
      <c r="G8" s="110">
        <f t="shared" si="1"/>
        <v>43851.355337551198</v>
      </c>
      <c r="H8" s="110">
        <f>SUM(H4:H7)</f>
        <v>378381.9371939</v>
      </c>
    </row>
    <row r="9" spans="1:10" ht="39" x14ac:dyDescent="0.25">
      <c r="A9" t="s">
        <v>484</v>
      </c>
      <c r="B9" s="68">
        <f>H9*0.067</f>
        <v>5959.3096400000004</v>
      </c>
      <c r="C9" s="68">
        <f>0.063*88944.92</f>
        <v>5603.5299599999998</v>
      </c>
      <c r="D9" s="68">
        <f>0.001*88944.92</f>
        <v>88.944919999999996</v>
      </c>
      <c r="E9" s="68">
        <f>0.158*88944.92</f>
        <v>14053.29736</v>
      </c>
      <c r="F9" s="68"/>
      <c r="G9" s="68">
        <f>0.711*88944.92</f>
        <v>63239.838119999993</v>
      </c>
      <c r="H9" s="68">
        <v>88944.92</v>
      </c>
      <c r="I9" s="67" t="s">
        <v>482</v>
      </c>
      <c r="J9" s="136" t="s">
        <v>485</v>
      </c>
    </row>
    <row r="10" spans="1:10" x14ac:dyDescent="0.25">
      <c r="B10" s="110">
        <f t="shared" ref="B10:G10" si="2">B8+B9</f>
        <v>81960.431085106786</v>
      </c>
      <c r="C10" s="110">
        <f t="shared" si="2"/>
        <v>91097.742425668883</v>
      </c>
      <c r="D10" s="110">
        <f t="shared" si="2"/>
        <v>-1260.0937456122003</v>
      </c>
      <c r="E10" s="110">
        <f t="shared" si="2"/>
        <v>187282.97263679749</v>
      </c>
      <c r="F10" s="110">
        <f t="shared" si="2"/>
        <v>1154.6113343877998</v>
      </c>
      <c r="G10" s="110">
        <f t="shared" si="2"/>
        <v>107091.19345755118</v>
      </c>
      <c r="H10" s="110">
        <f>H8+H9</f>
        <v>467326.85719389998</v>
      </c>
    </row>
    <row r="11" spans="1:10" x14ac:dyDescent="0.25">
      <c r="A11" t="s">
        <v>486</v>
      </c>
      <c r="B11" s="137">
        <f>B10/$H10</f>
        <v>0.17538138419273502</v>
      </c>
      <c r="C11" s="137">
        <f t="shared" ref="C11:H11" si="3">C10/$H10</f>
        <v>0.19493367655493263</v>
      </c>
      <c r="D11" s="137">
        <f t="shared" si="3"/>
        <v>-2.6963863219386323E-3</v>
      </c>
      <c r="E11" s="137">
        <f t="shared" si="3"/>
        <v>0.40075371178398028</v>
      </c>
      <c r="F11" s="137">
        <f t="shared" si="3"/>
        <v>2.4706719004354946E-3</v>
      </c>
      <c r="G11" s="137">
        <f t="shared" si="3"/>
        <v>0.22915694188985516</v>
      </c>
      <c r="H11" s="133">
        <f t="shared" si="3"/>
        <v>1</v>
      </c>
    </row>
    <row r="12" spans="1:10" x14ac:dyDescent="0.25">
      <c r="A12" s="138" t="s">
        <v>487</v>
      </c>
      <c r="B12" s="133"/>
      <c r="C12" s="133"/>
      <c r="D12" s="133"/>
      <c r="E12" s="133"/>
      <c r="F12" s="133"/>
      <c r="G12" s="133"/>
      <c r="H12" s="68">
        <v>109068</v>
      </c>
    </row>
    <row r="13" spans="1:10" x14ac:dyDescent="0.25">
      <c r="A13" s="138" t="s">
        <v>488</v>
      </c>
      <c r="B13" s="133"/>
      <c r="C13" s="133"/>
      <c r="D13" s="133"/>
      <c r="E13" s="133"/>
      <c r="F13" s="133"/>
      <c r="G13" s="133"/>
      <c r="H13" s="68">
        <f>H10+H12</f>
        <v>576394.85719390004</v>
      </c>
    </row>
    <row r="14" spans="1:10" x14ac:dyDescent="0.25">
      <c r="A14" s="138" t="s">
        <v>489</v>
      </c>
      <c r="B14" s="133"/>
      <c r="C14" s="133"/>
      <c r="D14" s="133"/>
      <c r="E14" s="133"/>
      <c r="F14" s="133"/>
      <c r="G14" s="133"/>
      <c r="H14" s="68">
        <v>576906.20768648759</v>
      </c>
    </row>
    <row r="15" spans="1:10" x14ac:dyDescent="0.25">
      <c r="H15" s="105">
        <f>H13-H14</f>
        <v>-511.35049258754589</v>
      </c>
    </row>
    <row r="16" spans="1:10" x14ac:dyDescent="0.25">
      <c r="A16" s="67"/>
    </row>
    <row r="17" spans="1:10" x14ac:dyDescent="0.25">
      <c r="A17" s="67" t="s">
        <v>490</v>
      </c>
      <c r="B17" s="73">
        <v>43664.974388560804</v>
      </c>
      <c r="C17" s="73">
        <v>51697.681941173403</v>
      </c>
      <c r="D17" s="73">
        <v>411.93372064680005</v>
      </c>
      <c r="E17" s="73">
        <v>108132.601669785</v>
      </c>
      <c r="F17" s="73">
        <v>411.93372064680005</v>
      </c>
      <c r="G17" s="73">
        <v>1647.7348825872002</v>
      </c>
      <c r="H17" s="105">
        <v>205966.8603234</v>
      </c>
      <c r="J17" s="67" t="s">
        <v>477</v>
      </c>
    </row>
    <row r="18" spans="1:10" x14ac:dyDescent="0.25">
      <c r="A18" s="67" t="s">
        <v>491</v>
      </c>
      <c r="B18" s="73">
        <v>1967.7792003199991</v>
      </c>
      <c r="C18" s="73">
        <v>2329.7763173599983</v>
      </c>
      <c r="D18" s="73">
        <v>18.563954719999991</v>
      </c>
      <c r="E18" s="73">
        <v>4873.0381139999963</v>
      </c>
      <c r="F18" s="73">
        <v>18.563954719999991</v>
      </c>
      <c r="G18" s="73">
        <v>74.255818879999964</v>
      </c>
      <c r="H18" s="105">
        <v>9281.9773599999935</v>
      </c>
      <c r="J18" s="67" t="s">
        <v>477</v>
      </c>
    </row>
    <row r="19" spans="1:10" ht="26.25" x14ac:dyDescent="0.25">
      <c r="A19" s="67"/>
      <c r="B19" s="73"/>
      <c r="C19" s="73"/>
      <c r="D19" s="73"/>
      <c r="E19" s="73"/>
      <c r="F19" s="73"/>
      <c r="G19" s="73"/>
      <c r="H19" s="105"/>
      <c r="J19" s="136" t="s">
        <v>492</v>
      </c>
    </row>
    <row r="20" spans="1:10" x14ac:dyDescent="0.25">
      <c r="A20" s="67" t="s">
        <v>493</v>
      </c>
      <c r="B20" s="73"/>
      <c r="C20" s="73"/>
      <c r="D20" s="73"/>
      <c r="E20" s="73"/>
      <c r="F20" s="73"/>
      <c r="G20" s="73"/>
      <c r="H20" s="105"/>
      <c r="J20" s="67"/>
    </row>
    <row r="21" spans="1:10" x14ac:dyDescent="0.25">
      <c r="A21" s="67" t="s">
        <v>494</v>
      </c>
      <c r="B21" s="68">
        <v>178264</v>
      </c>
      <c r="C21" s="68">
        <v>178261</v>
      </c>
      <c r="D21" s="68">
        <v>2241</v>
      </c>
      <c r="E21" s="68">
        <v>425546</v>
      </c>
      <c r="F21" s="68">
        <v>412</v>
      </c>
      <c r="G21" s="68">
        <f>H21-F21-E21-D21-C21-B21</f>
        <v>1451858</v>
      </c>
      <c r="H21" s="68">
        <v>2236582</v>
      </c>
      <c r="I21" s="67" t="s">
        <v>495</v>
      </c>
    </row>
    <row r="22" spans="1:10" x14ac:dyDescent="0.25">
      <c r="A22" s="67" t="s">
        <v>496</v>
      </c>
      <c r="B22" s="68">
        <v>5222</v>
      </c>
      <c r="C22" s="68">
        <v>5390</v>
      </c>
      <c r="D22" s="68">
        <v>67</v>
      </c>
      <c r="E22" s="68">
        <v>12548</v>
      </c>
      <c r="F22" s="68">
        <v>19</v>
      </c>
      <c r="G22" s="68">
        <f>H22-B22-C22-D22-E22-F22</f>
        <v>45547</v>
      </c>
      <c r="H22" s="68">
        <v>68793</v>
      </c>
      <c r="I22" s="67" t="s">
        <v>495</v>
      </c>
    </row>
    <row r="23" spans="1:10" ht="15.75" thickBot="1" x14ac:dyDescent="0.3">
      <c r="B23" s="111">
        <f>SUM(B21:B22)</f>
        <v>183486</v>
      </c>
      <c r="C23" s="111">
        <f t="shared" ref="C23:H23" si="4">SUM(C21:C22)</f>
        <v>183651</v>
      </c>
      <c r="D23" s="111">
        <f t="shared" si="4"/>
        <v>2308</v>
      </c>
      <c r="E23" s="111">
        <f t="shared" si="4"/>
        <v>438094</v>
      </c>
      <c r="F23" s="111">
        <f t="shared" si="4"/>
        <v>431</v>
      </c>
      <c r="G23" s="111">
        <f t="shared" si="4"/>
        <v>1497405</v>
      </c>
      <c r="H23" s="111">
        <f t="shared" si="4"/>
        <v>2305375</v>
      </c>
    </row>
    <row r="24" spans="1:10" ht="15.75" thickTop="1" x14ac:dyDescent="0.25">
      <c r="B24" s="137">
        <f>B23/$H23</f>
        <v>7.9590522149324952E-2</v>
      </c>
      <c r="C24" s="137">
        <f t="shared" ref="C24:H24" si="5">C23/$H23</f>
        <v>7.9662094019411156E-2</v>
      </c>
      <c r="D24" s="137">
        <f t="shared" si="5"/>
        <v>1.0011386433877352E-3</v>
      </c>
      <c r="E24" s="137">
        <f t="shared" si="5"/>
        <v>0.19003155668817437</v>
      </c>
      <c r="F24" s="139">
        <f t="shared" si="5"/>
        <v>1.869544000433769E-4</v>
      </c>
      <c r="G24" s="137">
        <f t="shared" si="5"/>
        <v>0.64952773409965836</v>
      </c>
      <c r="H24" s="133">
        <f t="shared" si="5"/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sqref="A1:XFD1048576"/>
    </sheetView>
  </sheetViews>
  <sheetFormatPr defaultRowHeight="15" x14ac:dyDescent="0.25"/>
  <cols>
    <col min="1" max="1" width="38.85546875" customWidth="1"/>
    <col min="2" max="3" width="11.28515625" bestFit="1" customWidth="1"/>
    <col min="4" max="4" width="10" bestFit="1" customWidth="1"/>
    <col min="5" max="5" width="13.28515625" customWidth="1"/>
    <col min="6" max="6" width="9.42578125" bestFit="1" customWidth="1"/>
    <col min="7" max="7" width="16.85546875" bestFit="1" customWidth="1"/>
    <col min="8" max="8" width="13.85546875" customWidth="1"/>
    <col min="9" max="9" width="28.42578125" customWidth="1"/>
    <col min="10" max="10" width="21.5703125" customWidth="1"/>
  </cols>
  <sheetData>
    <row r="1" spans="1:10" x14ac:dyDescent="0.25">
      <c r="A1" s="116" t="s">
        <v>466</v>
      </c>
      <c r="B1" s="116"/>
      <c r="C1" s="116"/>
      <c r="D1" s="116"/>
      <c r="E1" s="116"/>
    </row>
    <row r="2" spans="1:10" x14ac:dyDescent="0.25">
      <c r="B2" s="132" t="s">
        <v>467</v>
      </c>
      <c r="C2" s="132" t="s">
        <v>468</v>
      </c>
      <c r="D2" s="132" t="s">
        <v>469</v>
      </c>
      <c r="E2" s="132" t="s">
        <v>470</v>
      </c>
      <c r="F2" s="132" t="s">
        <v>471</v>
      </c>
      <c r="G2" s="132" t="s">
        <v>472</v>
      </c>
      <c r="H2" s="132" t="s">
        <v>32</v>
      </c>
      <c r="I2" s="132" t="s">
        <v>473</v>
      </c>
    </row>
    <row r="3" spans="1:10" x14ac:dyDescent="0.25">
      <c r="A3" s="67" t="s">
        <v>474</v>
      </c>
      <c r="E3" s="133"/>
    </row>
    <row r="4" spans="1:10" x14ac:dyDescent="0.25">
      <c r="A4" s="67" t="s">
        <v>475</v>
      </c>
      <c r="B4" s="73">
        <v>28081.03</v>
      </c>
      <c r="C4" s="73">
        <v>31721.18</v>
      </c>
      <c r="D4" s="73">
        <v>866.68</v>
      </c>
      <c r="E4" s="73">
        <v>58762.25</v>
      </c>
      <c r="F4" s="73">
        <v>866.68</v>
      </c>
      <c r="G4" s="73">
        <f>3640+16641+867+14561+17334</f>
        <v>53043</v>
      </c>
      <c r="H4" s="105">
        <f>SUM(B4:G4)</f>
        <v>173340.82</v>
      </c>
      <c r="I4" s="67" t="s">
        <v>476</v>
      </c>
      <c r="J4" s="67" t="s">
        <v>477</v>
      </c>
    </row>
    <row r="5" spans="1:10" x14ac:dyDescent="0.25">
      <c r="A5" s="67" t="s">
        <v>478</v>
      </c>
      <c r="B5" s="73">
        <v>54981.28144510679</v>
      </c>
      <c r="C5" s="73">
        <v>65095.7624656689</v>
      </c>
      <c r="D5" s="73">
        <v>518.6913343878</v>
      </c>
      <c r="E5" s="73">
        <v>136156.47527679752</v>
      </c>
      <c r="F5" s="73">
        <v>518.6913343878</v>
      </c>
      <c r="G5" s="73">
        <v>2074.7653375512</v>
      </c>
      <c r="H5" s="105">
        <f t="shared" ref="H5:H7" si="0">SUM(B5:G5)</f>
        <v>259345.66719389998</v>
      </c>
      <c r="I5" s="67" t="s">
        <v>476</v>
      </c>
      <c r="J5" s="67" t="s">
        <v>477</v>
      </c>
    </row>
    <row r="6" spans="1:10" x14ac:dyDescent="0.25">
      <c r="A6" s="67" t="s">
        <v>479</v>
      </c>
      <c r="B6" s="68">
        <v>-5999.52</v>
      </c>
      <c r="C6" s="68">
        <v>-11306.88</v>
      </c>
      <c r="D6" s="68">
        <v>-230.76</v>
      </c>
      <c r="E6" s="68">
        <v>-20690.759999999998</v>
      </c>
      <c r="F6" s="68">
        <v>-230.76</v>
      </c>
      <c r="G6" s="134"/>
      <c r="H6" s="105">
        <f t="shared" si="0"/>
        <v>-38458.68</v>
      </c>
      <c r="I6" s="67" t="s">
        <v>480</v>
      </c>
    </row>
    <row r="7" spans="1:10" ht="30" x14ac:dyDescent="0.25">
      <c r="A7" s="135" t="s">
        <v>481</v>
      </c>
      <c r="B7" s="68">
        <v>-1061.67</v>
      </c>
      <c r="C7" s="68">
        <v>-15.85</v>
      </c>
      <c r="D7" s="68">
        <v>-2503.65</v>
      </c>
      <c r="E7" s="68">
        <v>-998.29</v>
      </c>
      <c r="F7" s="68"/>
      <c r="G7" s="68">
        <v>-11266.41</v>
      </c>
      <c r="H7" s="105">
        <f t="shared" si="0"/>
        <v>-15845.869999999999</v>
      </c>
      <c r="I7" s="67" t="s">
        <v>482</v>
      </c>
    </row>
    <row r="8" spans="1:10" x14ac:dyDescent="0.25">
      <c r="A8" t="s">
        <v>483</v>
      </c>
      <c r="B8" s="110">
        <f t="shared" ref="B8:G8" si="1">SUM(B4:B7)</f>
        <v>76001.121445106779</v>
      </c>
      <c r="C8" s="110">
        <f t="shared" si="1"/>
        <v>85494.212465668883</v>
      </c>
      <c r="D8" s="110">
        <f t="shared" si="1"/>
        <v>-1349.0386656122002</v>
      </c>
      <c r="E8" s="110">
        <f t="shared" si="1"/>
        <v>173229.6752767975</v>
      </c>
      <c r="F8" s="110">
        <f t="shared" si="1"/>
        <v>1154.6113343877998</v>
      </c>
      <c r="G8" s="110">
        <f t="shared" si="1"/>
        <v>43851.355337551198</v>
      </c>
      <c r="H8" s="110">
        <f>SUM(H4:H7)</f>
        <v>378381.9371939</v>
      </c>
    </row>
    <row r="9" spans="1:10" ht="39" x14ac:dyDescent="0.25">
      <c r="A9" t="s">
        <v>484</v>
      </c>
      <c r="B9" s="68">
        <f>H9*0.067</f>
        <v>5959.3096400000004</v>
      </c>
      <c r="C9" s="68">
        <f>0.063*88944.92</f>
        <v>5603.5299599999998</v>
      </c>
      <c r="D9" s="68">
        <f>0.001*88944.92</f>
        <v>88.944919999999996</v>
      </c>
      <c r="E9" s="68">
        <f>0.158*88944.92</f>
        <v>14053.29736</v>
      </c>
      <c r="F9" s="68"/>
      <c r="G9" s="68">
        <f>0.711*88944.92</f>
        <v>63239.838119999993</v>
      </c>
      <c r="H9" s="68">
        <v>88944.92</v>
      </c>
      <c r="I9" s="67" t="s">
        <v>482</v>
      </c>
      <c r="J9" s="136" t="s">
        <v>485</v>
      </c>
    </row>
    <row r="10" spans="1:10" x14ac:dyDescent="0.25">
      <c r="B10" s="110">
        <f t="shared" ref="B10:G10" si="2">B8+B9</f>
        <v>81960.431085106786</v>
      </c>
      <c r="C10" s="110">
        <f t="shared" si="2"/>
        <v>91097.742425668883</v>
      </c>
      <c r="D10" s="110">
        <f t="shared" si="2"/>
        <v>-1260.0937456122003</v>
      </c>
      <c r="E10" s="110">
        <f t="shared" si="2"/>
        <v>187282.97263679749</v>
      </c>
      <c r="F10" s="110">
        <f t="shared" si="2"/>
        <v>1154.6113343877998</v>
      </c>
      <c r="G10" s="110">
        <f t="shared" si="2"/>
        <v>107091.19345755118</v>
      </c>
      <c r="H10" s="110">
        <f>H8+H9</f>
        <v>467326.85719389998</v>
      </c>
    </row>
    <row r="11" spans="1:10" x14ac:dyDescent="0.25">
      <c r="A11" t="s">
        <v>486</v>
      </c>
      <c r="B11" s="137">
        <f>B10/$H10</f>
        <v>0.17538138419273502</v>
      </c>
      <c r="C11" s="137">
        <f t="shared" ref="C11:H11" si="3">C10/$H10</f>
        <v>0.19493367655493263</v>
      </c>
      <c r="D11" s="137">
        <f t="shared" si="3"/>
        <v>-2.6963863219386323E-3</v>
      </c>
      <c r="E11" s="137">
        <f t="shared" si="3"/>
        <v>0.40075371178398028</v>
      </c>
      <c r="F11" s="137">
        <f t="shared" si="3"/>
        <v>2.4706719004354946E-3</v>
      </c>
      <c r="G11" s="137">
        <f t="shared" si="3"/>
        <v>0.22915694188985516</v>
      </c>
      <c r="H11" s="133">
        <f t="shared" si="3"/>
        <v>1</v>
      </c>
    </row>
    <row r="12" spans="1:10" x14ac:dyDescent="0.25">
      <c r="A12" s="138" t="s">
        <v>487</v>
      </c>
      <c r="B12" s="133"/>
      <c r="C12" s="133"/>
      <c r="D12" s="133"/>
      <c r="E12" s="133"/>
      <c r="F12" s="133"/>
      <c r="G12" s="133"/>
      <c r="H12" s="68">
        <v>109068</v>
      </c>
    </row>
    <row r="13" spans="1:10" x14ac:dyDescent="0.25">
      <c r="A13" s="138" t="s">
        <v>488</v>
      </c>
      <c r="B13" s="133"/>
      <c r="C13" s="133"/>
      <c r="D13" s="133"/>
      <c r="E13" s="133"/>
      <c r="F13" s="133"/>
      <c r="G13" s="133"/>
      <c r="H13" s="68">
        <f>H10+H12</f>
        <v>576394.85719390004</v>
      </c>
    </row>
    <row r="14" spans="1:10" x14ac:dyDescent="0.25">
      <c r="A14" s="138" t="s">
        <v>489</v>
      </c>
      <c r="B14" s="133"/>
      <c r="C14" s="133"/>
      <c r="D14" s="133"/>
      <c r="E14" s="133"/>
      <c r="F14" s="133"/>
      <c r="G14" s="133"/>
      <c r="H14" s="68">
        <v>576906.20768648759</v>
      </c>
    </row>
    <row r="15" spans="1:10" x14ac:dyDescent="0.25">
      <c r="H15" s="105">
        <f>H13-H14</f>
        <v>-511.35049258754589</v>
      </c>
    </row>
    <row r="16" spans="1:10" x14ac:dyDescent="0.25">
      <c r="A16" s="67"/>
    </row>
    <row r="17" spans="1:10" x14ac:dyDescent="0.25">
      <c r="A17" s="67" t="s">
        <v>490</v>
      </c>
      <c r="B17" s="73">
        <v>43664.974388560804</v>
      </c>
      <c r="C17" s="73">
        <v>51697.681941173403</v>
      </c>
      <c r="D17" s="73">
        <v>411.93372064680005</v>
      </c>
      <c r="E17" s="73">
        <v>108132.601669785</v>
      </c>
      <c r="F17" s="73">
        <v>411.93372064680005</v>
      </c>
      <c r="G17" s="73">
        <v>1647.7348825872002</v>
      </c>
      <c r="H17" s="105">
        <v>205966.8603234</v>
      </c>
      <c r="J17" s="67" t="s">
        <v>477</v>
      </c>
    </row>
    <row r="18" spans="1:10" x14ac:dyDescent="0.25">
      <c r="A18" s="67" t="s">
        <v>491</v>
      </c>
      <c r="B18" s="73">
        <v>1967.7792003199991</v>
      </c>
      <c r="C18" s="73">
        <v>2329.7763173599983</v>
      </c>
      <c r="D18" s="73">
        <v>18.563954719999991</v>
      </c>
      <c r="E18" s="73">
        <v>4873.0381139999963</v>
      </c>
      <c r="F18" s="73">
        <v>18.563954719999991</v>
      </c>
      <c r="G18" s="73">
        <v>74.255818879999964</v>
      </c>
      <c r="H18" s="105">
        <v>9281.9773599999935</v>
      </c>
      <c r="J18" s="67" t="s">
        <v>477</v>
      </c>
    </row>
    <row r="19" spans="1:10" ht="26.25" x14ac:dyDescent="0.25">
      <c r="A19" s="67"/>
      <c r="B19" s="73"/>
      <c r="C19" s="73"/>
      <c r="D19" s="73"/>
      <c r="E19" s="73"/>
      <c r="F19" s="73"/>
      <c r="G19" s="73"/>
      <c r="H19" s="105"/>
      <c r="J19" s="136" t="s">
        <v>492</v>
      </c>
    </row>
    <row r="20" spans="1:10" x14ac:dyDescent="0.25">
      <c r="A20" s="67" t="s">
        <v>493</v>
      </c>
      <c r="B20" s="73"/>
      <c r="C20" s="73"/>
      <c r="D20" s="73"/>
      <c r="E20" s="73"/>
      <c r="F20" s="73"/>
      <c r="G20" s="73"/>
      <c r="H20" s="105"/>
      <c r="J20" s="67"/>
    </row>
    <row r="21" spans="1:10" x14ac:dyDescent="0.25">
      <c r="A21" s="67" t="s">
        <v>494</v>
      </c>
      <c r="B21" s="68">
        <v>178264</v>
      </c>
      <c r="C21" s="68">
        <v>178261</v>
      </c>
      <c r="D21" s="68">
        <v>2241</v>
      </c>
      <c r="E21" s="68">
        <v>425546</v>
      </c>
      <c r="F21" s="68">
        <v>412</v>
      </c>
      <c r="G21" s="68">
        <f>H21-F21-E21-D21-C21-B21</f>
        <v>1451858</v>
      </c>
      <c r="H21" s="68">
        <v>2236582</v>
      </c>
      <c r="I21" s="67" t="s">
        <v>495</v>
      </c>
    </row>
    <row r="22" spans="1:10" x14ac:dyDescent="0.25">
      <c r="A22" s="67" t="s">
        <v>496</v>
      </c>
      <c r="B22" s="68">
        <v>5222</v>
      </c>
      <c r="C22" s="68">
        <v>5390</v>
      </c>
      <c r="D22" s="68">
        <v>67</v>
      </c>
      <c r="E22" s="68">
        <v>12548</v>
      </c>
      <c r="F22" s="68">
        <v>19</v>
      </c>
      <c r="G22" s="68">
        <f>H22-B22-C22-D22-E22-F22</f>
        <v>45547</v>
      </c>
      <c r="H22" s="68">
        <v>68793</v>
      </c>
      <c r="I22" s="67" t="s">
        <v>495</v>
      </c>
    </row>
    <row r="23" spans="1:10" ht="15.75" thickBot="1" x14ac:dyDescent="0.3">
      <c r="B23" s="111">
        <f>SUM(B21:B22)</f>
        <v>183486</v>
      </c>
      <c r="C23" s="111">
        <f t="shared" ref="C23:H23" si="4">SUM(C21:C22)</f>
        <v>183651</v>
      </c>
      <c r="D23" s="111">
        <f t="shared" si="4"/>
        <v>2308</v>
      </c>
      <c r="E23" s="111">
        <f t="shared" si="4"/>
        <v>438094</v>
      </c>
      <c r="F23" s="111">
        <f t="shared" si="4"/>
        <v>431</v>
      </c>
      <c r="G23" s="111">
        <f t="shared" si="4"/>
        <v>1497405</v>
      </c>
      <c r="H23" s="111">
        <f t="shared" si="4"/>
        <v>2305375</v>
      </c>
    </row>
    <row r="24" spans="1:10" ht="15.75" thickTop="1" x14ac:dyDescent="0.25">
      <c r="B24" s="137">
        <f>B23/$H23</f>
        <v>7.9590522149324952E-2</v>
      </c>
      <c r="C24" s="137">
        <f t="shared" ref="C24:H24" si="5">C23/$H23</f>
        <v>7.9662094019411156E-2</v>
      </c>
      <c r="D24" s="137">
        <f t="shared" si="5"/>
        <v>1.0011386433877352E-3</v>
      </c>
      <c r="E24" s="137">
        <f t="shared" si="5"/>
        <v>0.19003155668817437</v>
      </c>
      <c r="F24" s="139">
        <f t="shared" si="5"/>
        <v>1.869544000433769E-4</v>
      </c>
      <c r="G24" s="137">
        <f t="shared" si="5"/>
        <v>0.64952773409965836</v>
      </c>
      <c r="H24" s="133">
        <f t="shared" si="5"/>
        <v>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4"/>
  <sheetViews>
    <sheetView topLeftCell="A2" workbookViewId="0">
      <selection activeCell="B11" sqref="B11"/>
    </sheetView>
  </sheetViews>
  <sheetFormatPr defaultRowHeight="15" x14ac:dyDescent="0.25"/>
  <cols>
    <col min="1" max="1" width="38.85546875" customWidth="1"/>
    <col min="2" max="3" width="11.28515625" bestFit="1" customWidth="1"/>
    <col min="4" max="4" width="10" bestFit="1" customWidth="1"/>
    <col min="5" max="5" width="13.28515625" customWidth="1"/>
    <col min="6" max="6" width="9.42578125" bestFit="1" customWidth="1"/>
    <col min="7" max="7" width="16.85546875" bestFit="1" customWidth="1"/>
    <col min="8" max="8" width="13.85546875" customWidth="1"/>
    <col min="9" max="9" width="28.42578125" customWidth="1"/>
    <col min="10" max="10" width="21.5703125" customWidth="1"/>
  </cols>
  <sheetData>
    <row r="1" spans="1:11" x14ac:dyDescent="0.25">
      <c r="A1" s="116" t="s">
        <v>466</v>
      </c>
      <c r="B1" s="116"/>
      <c r="C1" s="116"/>
      <c r="D1" s="116"/>
      <c r="E1" s="116"/>
    </row>
    <row r="2" spans="1:11" x14ac:dyDescent="0.25">
      <c r="B2" s="132" t="s">
        <v>467</v>
      </c>
      <c r="C2" s="132" t="s">
        <v>468</v>
      </c>
      <c r="D2" s="132" t="s">
        <v>469</v>
      </c>
      <c r="E2" s="132" t="s">
        <v>470</v>
      </c>
      <c r="F2" s="132" t="s">
        <v>471</v>
      </c>
      <c r="G2" s="132" t="s">
        <v>472</v>
      </c>
      <c r="H2" s="132" t="s">
        <v>32</v>
      </c>
      <c r="I2" s="132" t="s">
        <v>473</v>
      </c>
    </row>
    <row r="3" spans="1:11" x14ac:dyDescent="0.25">
      <c r="A3" s="67" t="s">
        <v>474</v>
      </c>
      <c r="E3" s="133"/>
    </row>
    <row r="4" spans="1:11" x14ac:dyDescent="0.25">
      <c r="A4" s="67" t="s">
        <v>507</v>
      </c>
      <c r="B4" s="73">
        <f>28081.03-11679.52</f>
        <v>16401.509999999998</v>
      </c>
      <c r="C4" s="73">
        <f>31721.18-13943.92</f>
        <v>17777.260000000002</v>
      </c>
      <c r="D4" s="73">
        <f>866.68-476.72</f>
        <v>389.95999999999992</v>
      </c>
      <c r="E4" s="73">
        <f>58762.25-20737.12</f>
        <v>38025.130000000005</v>
      </c>
      <c r="F4" s="73">
        <f>866.68-595.89</f>
        <v>270.78999999999996</v>
      </c>
      <c r="G4" s="73">
        <f>3640+16641+867+14561+17334+47133.47</f>
        <v>100176.47</v>
      </c>
      <c r="H4" s="105">
        <f>SUM(B4:G4)</f>
        <v>173041.12</v>
      </c>
      <c r="I4" s="67" t="s">
        <v>476</v>
      </c>
      <c r="J4" s="67" t="s">
        <v>477</v>
      </c>
    </row>
    <row r="5" spans="1:11" x14ac:dyDescent="0.25">
      <c r="A5" s="67" t="s">
        <v>478</v>
      </c>
      <c r="B5" s="73"/>
      <c r="C5" s="73"/>
      <c r="D5" s="73"/>
      <c r="E5" s="73"/>
      <c r="F5" s="73"/>
      <c r="G5" s="73"/>
      <c r="H5" s="105"/>
      <c r="I5" s="67" t="s">
        <v>476</v>
      </c>
      <c r="J5" s="67" t="s">
        <v>477</v>
      </c>
      <c r="K5" t="s">
        <v>505</v>
      </c>
    </row>
    <row r="6" spans="1:11" x14ac:dyDescent="0.25">
      <c r="A6" s="67" t="s">
        <v>479</v>
      </c>
      <c r="B6" s="68"/>
      <c r="C6" s="68"/>
      <c r="D6" s="68"/>
      <c r="E6" s="68"/>
      <c r="F6" s="68"/>
      <c r="G6" s="134"/>
      <c r="H6" s="105"/>
      <c r="I6" s="67" t="s">
        <v>480</v>
      </c>
      <c r="K6" t="s">
        <v>505</v>
      </c>
    </row>
    <row r="7" spans="1:11" ht="30" x14ac:dyDescent="0.25">
      <c r="A7" s="135" t="s">
        <v>481</v>
      </c>
      <c r="B7" s="68"/>
      <c r="C7" s="68"/>
      <c r="D7" s="68"/>
      <c r="E7" s="68"/>
      <c r="F7" s="68"/>
      <c r="G7" s="68"/>
      <c r="H7" s="105"/>
      <c r="I7" s="67" t="s">
        <v>482</v>
      </c>
      <c r="K7" t="s">
        <v>505</v>
      </c>
    </row>
    <row r="8" spans="1:11" x14ac:dyDescent="0.25">
      <c r="A8" t="s">
        <v>483</v>
      </c>
      <c r="B8" s="110">
        <f t="shared" ref="B8:G8" si="0">SUM(B4:B7)</f>
        <v>16401.509999999998</v>
      </c>
      <c r="C8" s="110">
        <f t="shared" si="0"/>
        <v>17777.260000000002</v>
      </c>
      <c r="D8" s="110">
        <f t="shared" si="0"/>
        <v>389.95999999999992</v>
      </c>
      <c r="E8" s="110">
        <f t="shared" si="0"/>
        <v>38025.130000000005</v>
      </c>
      <c r="F8" s="110">
        <f t="shared" si="0"/>
        <v>270.78999999999996</v>
      </c>
      <c r="G8" s="110">
        <f t="shared" si="0"/>
        <v>100176.47</v>
      </c>
      <c r="H8" s="110">
        <f>SUM(H4:H7)</f>
        <v>173041.12</v>
      </c>
    </row>
    <row r="9" spans="1:11" ht="39" x14ac:dyDescent="0.25">
      <c r="A9" t="s">
        <v>484</v>
      </c>
      <c r="B9" s="68">
        <f>H9*0.067</f>
        <v>5959.3096400000004</v>
      </c>
      <c r="C9" s="68">
        <f>0.063*88944.92</f>
        <v>5603.5299599999998</v>
      </c>
      <c r="D9" s="68">
        <f>0.001*88944.92</f>
        <v>88.944919999999996</v>
      </c>
      <c r="E9" s="68">
        <f>0.158*88944.92</f>
        <v>14053.29736</v>
      </c>
      <c r="F9" s="68"/>
      <c r="G9" s="68">
        <f>0.711*88944.92</f>
        <v>63239.838119999993</v>
      </c>
      <c r="H9" s="68">
        <v>88944.92</v>
      </c>
      <c r="I9" s="67" t="s">
        <v>482</v>
      </c>
      <c r="J9" s="136" t="s">
        <v>485</v>
      </c>
    </row>
    <row r="10" spans="1:11" x14ac:dyDescent="0.25">
      <c r="B10" s="110">
        <f t="shared" ref="B10:G10" si="1">B8+B9</f>
        <v>22360.819639999998</v>
      </c>
      <c r="C10" s="110">
        <f t="shared" si="1"/>
        <v>23380.789960000002</v>
      </c>
      <c r="D10" s="110">
        <f t="shared" si="1"/>
        <v>478.90491999999995</v>
      </c>
      <c r="E10" s="110">
        <f t="shared" si="1"/>
        <v>52078.427360000001</v>
      </c>
      <c r="F10" s="110">
        <f t="shared" si="1"/>
        <v>270.78999999999996</v>
      </c>
      <c r="G10" s="110">
        <f t="shared" si="1"/>
        <v>163416.30812</v>
      </c>
      <c r="H10" s="110">
        <f>H8+H9</f>
        <v>261986.03999999998</v>
      </c>
    </row>
    <row r="11" spans="1:11" x14ac:dyDescent="0.25">
      <c r="A11" t="s">
        <v>486</v>
      </c>
      <c r="B11" s="137">
        <f>B10/$H10</f>
        <v>8.535118756709327E-2</v>
      </c>
      <c r="C11" s="137">
        <f t="shared" ref="C11:H11" si="2">C10/$H10</f>
        <v>8.9244411496124013E-2</v>
      </c>
      <c r="D11" s="137">
        <f t="shared" si="2"/>
        <v>1.8279787732201304E-3</v>
      </c>
      <c r="E11" s="137">
        <f t="shared" si="2"/>
        <v>0.19878321516673181</v>
      </c>
      <c r="F11" s="137">
        <f t="shared" si="2"/>
        <v>1.0336046913033991E-3</v>
      </c>
      <c r="G11" s="137">
        <f t="shared" si="2"/>
        <v>0.62375960230552752</v>
      </c>
      <c r="H11" s="133">
        <f t="shared" si="2"/>
        <v>1</v>
      </c>
    </row>
    <row r="12" spans="1:11" x14ac:dyDescent="0.25">
      <c r="A12" s="138" t="s">
        <v>487</v>
      </c>
      <c r="B12" s="133"/>
      <c r="C12" s="133"/>
      <c r="D12" s="133"/>
      <c r="E12" s="133"/>
      <c r="F12" s="133"/>
      <c r="G12" s="133"/>
      <c r="H12" s="68">
        <v>109068</v>
      </c>
    </row>
    <row r="13" spans="1:11" x14ac:dyDescent="0.25">
      <c r="A13" s="138" t="s">
        <v>488</v>
      </c>
      <c r="B13" s="133"/>
      <c r="C13" s="133"/>
      <c r="D13" s="133"/>
      <c r="E13" s="133"/>
      <c r="F13" s="133"/>
      <c r="G13" s="133"/>
      <c r="H13" s="68">
        <f>H10+H12</f>
        <v>371054.04</v>
      </c>
    </row>
    <row r="14" spans="1:11" x14ac:dyDescent="0.25">
      <c r="A14" s="138" t="s">
        <v>506</v>
      </c>
      <c r="B14" s="133"/>
      <c r="C14" s="133"/>
      <c r="D14" s="133"/>
      <c r="E14" s="133"/>
      <c r="F14" s="133"/>
      <c r="G14" s="133"/>
      <c r="H14" s="68">
        <f>'FC depreciation adjustment 23'!N13</f>
        <v>371720.40300997224</v>
      </c>
    </row>
    <row r="15" spans="1:11" x14ac:dyDescent="0.25">
      <c r="H15" s="105">
        <f>H13-H14</f>
        <v>-666.36300997226499</v>
      </c>
    </row>
    <row r="16" spans="1:11" x14ac:dyDescent="0.25">
      <c r="A16" s="67"/>
    </row>
    <row r="17" spans="1:10" x14ac:dyDescent="0.25">
      <c r="A17" s="67" t="s">
        <v>490</v>
      </c>
      <c r="B17" s="73">
        <v>43664.974388560804</v>
      </c>
      <c r="C17" s="73">
        <v>51697.681941173403</v>
      </c>
      <c r="D17" s="73">
        <v>411.93372064680005</v>
      </c>
      <c r="E17" s="73">
        <v>108132.601669785</v>
      </c>
      <c r="F17" s="73">
        <v>411.93372064680005</v>
      </c>
      <c r="G17" s="73">
        <v>1647.7348825872002</v>
      </c>
      <c r="H17" s="105">
        <v>205966.8603234</v>
      </c>
      <c r="J17" s="67" t="s">
        <v>477</v>
      </c>
    </row>
    <row r="18" spans="1:10" x14ac:dyDescent="0.25">
      <c r="A18" s="67" t="s">
        <v>491</v>
      </c>
      <c r="B18" s="73">
        <v>1967.7792003199991</v>
      </c>
      <c r="C18" s="73">
        <v>2329.7763173599983</v>
      </c>
      <c r="D18" s="73">
        <v>18.563954719999991</v>
      </c>
      <c r="E18" s="73">
        <v>4873.0381139999963</v>
      </c>
      <c r="F18" s="73">
        <v>18.563954719999991</v>
      </c>
      <c r="G18" s="73">
        <v>74.255818879999964</v>
      </c>
      <c r="H18" s="105">
        <v>9281.9773599999935</v>
      </c>
      <c r="J18" s="67" t="s">
        <v>477</v>
      </c>
    </row>
    <row r="19" spans="1:10" ht="26.25" x14ac:dyDescent="0.25">
      <c r="A19" s="67"/>
      <c r="B19" s="73"/>
      <c r="C19" s="73"/>
      <c r="D19" s="73"/>
      <c r="E19" s="73"/>
      <c r="F19" s="73"/>
      <c r="G19" s="73"/>
      <c r="H19" s="105"/>
      <c r="J19" s="136" t="s">
        <v>492</v>
      </c>
    </row>
    <row r="20" spans="1:10" x14ac:dyDescent="0.25">
      <c r="A20" s="67" t="s">
        <v>493</v>
      </c>
      <c r="B20" s="73"/>
      <c r="C20" s="73"/>
      <c r="D20" s="73"/>
      <c r="E20" s="73"/>
      <c r="F20" s="73"/>
      <c r="G20" s="73"/>
      <c r="H20" s="105"/>
      <c r="J20" s="67"/>
    </row>
    <row r="21" spans="1:10" x14ac:dyDescent="0.25">
      <c r="A21" s="67" t="s">
        <v>494</v>
      </c>
      <c r="B21" s="68">
        <v>178264</v>
      </c>
      <c r="C21" s="68">
        <v>178261</v>
      </c>
      <c r="D21" s="68">
        <v>2241</v>
      </c>
      <c r="E21" s="68">
        <v>425546</v>
      </c>
      <c r="F21" s="68">
        <v>412</v>
      </c>
      <c r="G21" s="68">
        <f>H21-F21-E21-D21-C21-B21</f>
        <v>1451858</v>
      </c>
      <c r="H21" s="68">
        <v>2236582</v>
      </c>
      <c r="I21" s="67" t="s">
        <v>495</v>
      </c>
    </row>
    <row r="22" spans="1:10" x14ac:dyDescent="0.25">
      <c r="A22" s="67" t="s">
        <v>496</v>
      </c>
      <c r="B22" s="68">
        <v>5222</v>
      </c>
      <c r="C22" s="68">
        <v>5390</v>
      </c>
      <c r="D22" s="68">
        <v>67</v>
      </c>
      <c r="E22" s="68">
        <v>12548</v>
      </c>
      <c r="F22" s="68">
        <v>19</v>
      </c>
      <c r="G22" s="68">
        <f>H22-B22-C22-D22-E22-F22</f>
        <v>45547</v>
      </c>
      <c r="H22" s="68">
        <v>68793</v>
      </c>
      <c r="I22" s="67" t="s">
        <v>495</v>
      </c>
    </row>
    <row r="23" spans="1:10" ht="15.75" thickBot="1" x14ac:dyDescent="0.3">
      <c r="B23" s="111">
        <f>SUM(B21:B22)</f>
        <v>183486</v>
      </c>
      <c r="C23" s="111">
        <f t="shared" ref="C23:H23" si="3">SUM(C21:C22)</f>
        <v>183651</v>
      </c>
      <c r="D23" s="111">
        <f t="shared" si="3"/>
        <v>2308</v>
      </c>
      <c r="E23" s="111">
        <f t="shared" si="3"/>
        <v>438094</v>
      </c>
      <c r="F23" s="111">
        <f t="shared" si="3"/>
        <v>431</v>
      </c>
      <c r="G23" s="111">
        <f t="shared" si="3"/>
        <v>1497405</v>
      </c>
      <c r="H23" s="111">
        <f t="shared" si="3"/>
        <v>2305375</v>
      </c>
    </row>
    <row r="24" spans="1:10" ht="15.75" thickTop="1" x14ac:dyDescent="0.25">
      <c r="B24" s="137">
        <f>B23/$H23</f>
        <v>7.9590522149324952E-2</v>
      </c>
      <c r="C24" s="137">
        <f t="shared" ref="C24:H24" si="4">C23/$H23</f>
        <v>7.9662094019411156E-2</v>
      </c>
      <c r="D24" s="137">
        <f t="shared" si="4"/>
        <v>1.0011386433877352E-3</v>
      </c>
      <c r="E24" s="137">
        <f t="shared" si="4"/>
        <v>0.19003155668817437</v>
      </c>
      <c r="F24" s="139">
        <f t="shared" si="4"/>
        <v>1.869544000433769E-4</v>
      </c>
      <c r="G24" s="137">
        <f t="shared" si="4"/>
        <v>0.64952773409965836</v>
      </c>
      <c r="H24" s="133">
        <f t="shared" si="4"/>
        <v>1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311"/>
  <sheetViews>
    <sheetView topLeftCell="A124" workbookViewId="0">
      <selection activeCell="C131" sqref="C131:O131"/>
    </sheetView>
  </sheetViews>
  <sheetFormatPr defaultRowHeight="15" x14ac:dyDescent="0.25"/>
  <cols>
    <col min="1" max="1" width="59.28515625" customWidth="1"/>
    <col min="2" max="2" width="10" bestFit="1" customWidth="1"/>
    <col min="3" max="3" width="17.140625" bestFit="1" customWidth="1"/>
    <col min="4" max="4" width="19" customWidth="1"/>
    <col min="5" max="15" width="15.42578125" bestFit="1" customWidth="1"/>
    <col min="16" max="16" width="17" bestFit="1" customWidth="1"/>
    <col min="17" max="17" width="15.42578125" bestFit="1" customWidth="1"/>
    <col min="18" max="18" width="15.42578125" customWidth="1"/>
    <col min="19" max="19" width="17.28515625" customWidth="1"/>
    <col min="20" max="20" width="15.140625" bestFit="1" customWidth="1"/>
    <col min="21" max="21" width="13.140625" bestFit="1" customWidth="1"/>
    <col min="22" max="22" width="11.5703125" customWidth="1"/>
    <col min="23" max="23" width="7.85546875" bestFit="1" customWidth="1"/>
    <col min="24" max="24" width="6.140625" bestFit="1" customWidth="1"/>
    <col min="25" max="25" width="8" bestFit="1" customWidth="1"/>
    <col min="28" max="28" width="8.42578125" bestFit="1" customWidth="1"/>
    <col min="29" max="29" width="9.140625" bestFit="1" customWidth="1"/>
    <col min="30" max="30" width="8.7109375" bestFit="1" customWidth="1"/>
    <col min="31" max="31" width="7.85546875" bestFit="1" customWidth="1"/>
    <col min="32" max="32" width="6.140625" bestFit="1" customWidth="1"/>
    <col min="33" max="33" width="8" bestFit="1" customWidth="1"/>
    <col min="34" max="34" width="8.7109375" bestFit="1" customWidth="1"/>
    <col min="35" max="35" width="7.42578125" bestFit="1" customWidth="1"/>
  </cols>
  <sheetData>
    <row r="1" spans="1:35" ht="22.5" x14ac:dyDescent="0.45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 t="s">
        <v>1</v>
      </c>
      <c r="U1" s="4" t="s">
        <v>2</v>
      </c>
      <c r="V1" s="4"/>
      <c r="W1" s="4"/>
      <c r="X1" s="4"/>
      <c r="Y1" s="4"/>
      <c r="Z1" s="4"/>
      <c r="AA1" s="4"/>
      <c r="AB1" s="4" t="s">
        <v>1</v>
      </c>
      <c r="AC1" s="4" t="s">
        <v>3</v>
      </c>
      <c r="AD1" s="4"/>
      <c r="AE1" s="4"/>
      <c r="AF1" s="4"/>
      <c r="AG1" s="4"/>
      <c r="AH1" s="4"/>
      <c r="AI1" s="3"/>
    </row>
    <row r="2" spans="1:35" ht="19.5" x14ac:dyDescent="0.4">
      <c r="A2" s="5" t="s">
        <v>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4" t="s">
        <v>5</v>
      </c>
      <c r="U2" s="4" t="s">
        <v>6</v>
      </c>
      <c r="V2" s="4" t="s">
        <v>7</v>
      </c>
      <c r="W2" s="4" t="s">
        <v>8</v>
      </c>
      <c r="X2" s="4" t="s">
        <v>9</v>
      </c>
      <c r="Y2" s="4" t="s">
        <v>10</v>
      </c>
      <c r="Z2" s="4" t="s">
        <v>11</v>
      </c>
      <c r="AA2" s="4"/>
      <c r="AB2" s="4" t="s">
        <v>5</v>
      </c>
      <c r="AC2" s="4" t="s">
        <v>6</v>
      </c>
      <c r="AD2" s="4" t="s">
        <v>7</v>
      </c>
      <c r="AE2" s="4" t="s">
        <v>8</v>
      </c>
      <c r="AF2" s="4" t="s">
        <v>9</v>
      </c>
      <c r="AG2" s="4" t="s">
        <v>10</v>
      </c>
      <c r="AH2" s="4" t="s">
        <v>11</v>
      </c>
      <c r="AI2" s="3"/>
    </row>
    <row r="3" spans="1:35" ht="19.5" x14ac:dyDescent="0.4">
      <c r="A3" s="5" t="s">
        <v>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4" t="s">
        <v>13</v>
      </c>
      <c r="U3" s="6">
        <v>0.16214999999999999</v>
      </c>
      <c r="V3" s="6">
        <v>0.39171</v>
      </c>
      <c r="W3" s="6">
        <v>0.18387999999999999</v>
      </c>
      <c r="X3" s="6">
        <v>3.5500000000000002E-3</v>
      </c>
      <c r="Y3" s="6">
        <v>1.1100000000000001E-3</v>
      </c>
      <c r="Z3" s="6">
        <v>0.25762000000000002</v>
      </c>
      <c r="AA3" s="4"/>
      <c r="AB3" s="4" t="s">
        <v>13</v>
      </c>
      <c r="AC3" s="6">
        <v>0.16214999999999999</v>
      </c>
      <c r="AD3" s="6">
        <v>0.39171</v>
      </c>
      <c r="AE3" s="6">
        <v>0.18387999999999999</v>
      </c>
      <c r="AF3" s="6">
        <v>3.5500000000000002E-3</v>
      </c>
      <c r="AG3" s="6">
        <v>1.1100000000000001E-3</v>
      </c>
      <c r="AH3" s="6">
        <v>0.25762000000000002</v>
      </c>
      <c r="AI3" s="7"/>
    </row>
    <row r="4" spans="1:35" ht="19.5" x14ac:dyDescent="0.4">
      <c r="A4" s="5" t="s">
        <v>499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4" t="s">
        <v>15</v>
      </c>
      <c r="U4" s="8">
        <v>0.2928</v>
      </c>
      <c r="V4" s="8">
        <v>0.70720000000000005</v>
      </c>
      <c r="W4" s="8"/>
      <c r="X4" s="8"/>
      <c r="Y4" s="8"/>
      <c r="Z4" s="9"/>
      <c r="AA4" s="4"/>
      <c r="AB4" s="4" t="s">
        <v>15</v>
      </c>
      <c r="AC4" s="8">
        <v>0.2928</v>
      </c>
      <c r="AD4" s="8">
        <v>0.70720000000000005</v>
      </c>
      <c r="AE4" s="8"/>
      <c r="AF4" s="8"/>
      <c r="AG4" s="8"/>
      <c r="AH4" s="9"/>
      <c r="AI4" s="7"/>
    </row>
    <row r="5" spans="1:35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4" t="s">
        <v>16</v>
      </c>
      <c r="U5" s="8">
        <v>0.21299999999999999</v>
      </c>
      <c r="V5" s="8">
        <v>0.34799999999999998</v>
      </c>
      <c r="W5" s="8">
        <v>0.14399999999999999</v>
      </c>
      <c r="X5" s="8">
        <v>1E-3</v>
      </c>
      <c r="Y5" s="8">
        <v>1E-3</v>
      </c>
      <c r="Z5" s="8">
        <v>0.29299999999999998</v>
      </c>
      <c r="AA5" s="4"/>
      <c r="AB5" s="4" t="s">
        <v>16</v>
      </c>
      <c r="AC5" s="8">
        <v>0.21299999999999999</v>
      </c>
      <c r="AD5" s="8">
        <v>0.34799999999999998</v>
      </c>
      <c r="AE5" s="8">
        <v>0.14399999999999999</v>
      </c>
      <c r="AF5" s="8">
        <v>1E-3</v>
      </c>
      <c r="AG5" s="8">
        <v>1E-3</v>
      </c>
      <c r="AH5" s="8">
        <v>0.29299999999999998</v>
      </c>
      <c r="AI5" s="7"/>
    </row>
    <row r="6" spans="1:35" x14ac:dyDescent="0.25">
      <c r="C6" s="10" t="s">
        <v>17</v>
      </c>
      <c r="D6" s="10" t="s">
        <v>18</v>
      </c>
      <c r="E6" s="10" t="s">
        <v>19</v>
      </c>
      <c r="F6" s="10" t="s">
        <v>20</v>
      </c>
      <c r="G6" s="10" t="s">
        <v>21</v>
      </c>
      <c r="H6" s="10" t="s">
        <v>22</v>
      </c>
      <c r="I6" s="10" t="s">
        <v>23</v>
      </c>
      <c r="J6" s="10" t="s">
        <v>24</v>
      </c>
      <c r="K6" s="10" t="s">
        <v>25</v>
      </c>
      <c r="L6" s="10" t="s">
        <v>26</v>
      </c>
      <c r="M6" s="10" t="s">
        <v>27</v>
      </c>
      <c r="N6" s="10" t="s">
        <v>28</v>
      </c>
      <c r="O6" s="10" t="s">
        <v>17</v>
      </c>
      <c r="P6" s="2"/>
      <c r="Q6" s="2"/>
      <c r="R6" s="2"/>
      <c r="S6" s="3"/>
      <c r="T6" s="4" t="s">
        <v>29</v>
      </c>
      <c r="U6" s="8">
        <v>0.252</v>
      </c>
      <c r="V6" s="8">
        <v>0.52</v>
      </c>
      <c r="W6" s="8"/>
      <c r="X6" s="8"/>
      <c r="Y6" s="8"/>
      <c r="Z6" s="8">
        <v>0.22800000000000001</v>
      </c>
      <c r="AA6" s="4"/>
      <c r="AB6" s="4" t="s">
        <v>29</v>
      </c>
      <c r="AC6" s="8">
        <v>0.252</v>
      </c>
      <c r="AD6" s="8">
        <v>0.52</v>
      </c>
      <c r="AE6" s="8"/>
      <c r="AF6" s="8"/>
      <c r="AG6" s="8"/>
      <c r="AH6" s="8">
        <v>0.22800000000000001</v>
      </c>
      <c r="AI6" s="7"/>
    </row>
    <row r="7" spans="1:35" x14ac:dyDescent="0.25">
      <c r="C7" s="11" t="s">
        <v>31</v>
      </c>
      <c r="D7" s="11" t="s">
        <v>497</v>
      </c>
      <c r="E7" s="11" t="s">
        <v>497</v>
      </c>
      <c r="F7" s="11" t="s">
        <v>497</v>
      </c>
      <c r="G7" s="11" t="s">
        <v>497</v>
      </c>
      <c r="H7" s="11" t="s">
        <v>497</v>
      </c>
      <c r="I7" s="11" t="s">
        <v>497</v>
      </c>
      <c r="J7" s="11" t="s">
        <v>497</v>
      </c>
      <c r="K7" s="11" t="s">
        <v>497</v>
      </c>
      <c r="L7" s="11" t="s">
        <v>497</v>
      </c>
      <c r="M7" s="11" t="s">
        <v>497</v>
      </c>
      <c r="N7" s="11" t="s">
        <v>497</v>
      </c>
      <c r="O7" s="11" t="s">
        <v>497</v>
      </c>
      <c r="P7" s="12" t="s">
        <v>32</v>
      </c>
      <c r="Q7" s="12" t="s">
        <v>33</v>
      </c>
      <c r="R7" s="154"/>
      <c r="S7" s="3"/>
      <c r="T7" s="4" t="s">
        <v>34</v>
      </c>
      <c r="U7" s="8">
        <v>0.192</v>
      </c>
      <c r="V7" s="8">
        <v>0.39610000000000001</v>
      </c>
      <c r="W7" s="8">
        <v>0.13700000000000001</v>
      </c>
      <c r="X7" s="8">
        <v>3.2000000000000002E-3</v>
      </c>
      <c r="Y7" s="8">
        <v>2.2000000000000001E-3</v>
      </c>
      <c r="Z7" s="8">
        <v>0.26950000000000002</v>
      </c>
      <c r="AA7" s="4"/>
      <c r="AB7" s="4" t="s">
        <v>34</v>
      </c>
      <c r="AC7" s="8">
        <v>0.192</v>
      </c>
      <c r="AD7" s="8">
        <v>0.39610000000000001</v>
      </c>
      <c r="AE7" s="8">
        <v>0.13700000000000001</v>
      </c>
      <c r="AF7" s="8">
        <v>3.2000000000000002E-3</v>
      </c>
      <c r="AG7" s="8">
        <v>2.2000000000000001E-3</v>
      </c>
      <c r="AH7" s="8">
        <v>0.26950000000000002</v>
      </c>
      <c r="AI7" s="7"/>
    </row>
    <row r="8" spans="1:35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3"/>
    </row>
    <row r="9" spans="1:35" x14ac:dyDescent="0.25">
      <c r="A9" s="13" t="s">
        <v>35</v>
      </c>
      <c r="B9" s="13" t="s">
        <v>36</v>
      </c>
      <c r="C9" s="14">
        <v>-62628904</v>
      </c>
      <c r="D9" s="14">
        <v>-52927683</v>
      </c>
      <c r="E9" s="14">
        <v>-50782991</v>
      </c>
      <c r="F9" s="14">
        <v>-53728742</v>
      </c>
      <c r="G9" s="14">
        <v>-52528295</v>
      </c>
      <c r="H9" s="14">
        <v>-54546955</v>
      </c>
      <c r="I9" s="14">
        <v>-53198317</v>
      </c>
      <c r="J9" s="14">
        <v>-56088549</v>
      </c>
      <c r="K9" s="14">
        <v>-57339401</v>
      </c>
      <c r="L9" s="14">
        <v>-53454763</v>
      </c>
      <c r="M9" s="14">
        <v>-55104746</v>
      </c>
      <c r="N9" s="14">
        <v>-47993900</v>
      </c>
      <c r="O9" s="14">
        <v>-62628904</v>
      </c>
      <c r="P9" s="14">
        <v>-703797045</v>
      </c>
      <c r="Q9" s="14">
        <v>-54138234</v>
      </c>
      <c r="R9" s="14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3"/>
    </row>
    <row r="10" spans="1:35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3"/>
    </row>
    <row r="11" spans="1:35" ht="19.5" x14ac:dyDescent="0.4">
      <c r="A11" s="5" t="s">
        <v>37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3"/>
    </row>
    <row r="12" spans="1:35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3"/>
    </row>
    <row r="13" spans="1:35" ht="15.75" x14ac:dyDescent="0.3">
      <c r="A13" s="18" t="s">
        <v>38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3"/>
    </row>
    <row r="14" spans="1:35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3"/>
    </row>
    <row r="15" spans="1:35" x14ac:dyDescent="0.25">
      <c r="A15" s="21" t="s">
        <v>39</v>
      </c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3"/>
    </row>
    <row r="16" spans="1:35" x14ac:dyDescent="0.25">
      <c r="A16" s="13" t="s">
        <v>40</v>
      </c>
      <c r="B16" s="13" t="s">
        <v>41</v>
      </c>
      <c r="C16" s="2">
        <v>11990698</v>
      </c>
      <c r="D16" s="2">
        <v>12191004.950000001</v>
      </c>
      <c r="E16" s="2">
        <v>11639282.23</v>
      </c>
      <c r="F16" s="2">
        <v>11639282.23</v>
      </c>
      <c r="G16" s="2">
        <v>11639282.23</v>
      </c>
      <c r="H16" s="2">
        <v>11639282.23</v>
      </c>
      <c r="I16" s="2">
        <v>11639282.23</v>
      </c>
      <c r="J16" s="2">
        <v>11639282.23</v>
      </c>
      <c r="K16" s="2">
        <v>11639282.23</v>
      </c>
      <c r="L16" s="2">
        <v>11639282.23</v>
      </c>
      <c r="M16" s="2">
        <v>11639282.23</v>
      </c>
      <c r="N16" s="2">
        <v>11639282.23</v>
      </c>
      <c r="O16" s="2">
        <v>11639282.23</v>
      </c>
      <c r="P16" s="2">
        <f>SUM(C16:O16)</f>
        <v>152213807.48000002</v>
      </c>
      <c r="Q16" s="2">
        <f>P16/13</f>
        <v>11708754.421538463</v>
      </c>
      <c r="R16" s="2">
        <f>(SUM(C16:O16)/13)-Q16</f>
        <v>0</v>
      </c>
      <c r="S16" s="24"/>
      <c r="T16" s="25" t="s">
        <v>42</v>
      </c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3"/>
    </row>
    <row r="17" spans="1:35" x14ac:dyDescent="0.25">
      <c r="A17" s="13" t="s">
        <v>43</v>
      </c>
      <c r="B17" s="13" t="s">
        <v>44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 t="shared" ref="P17:P28" si="0">SUM(C17:O17)</f>
        <v>0</v>
      </c>
      <c r="Q17" s="2">
        <f t="shared" ref="Q17:Q28" si="1">P17/13</f>
        <v>0</v>
      </c>
      <c r="R17" s="2">
        <f t="shared" ref="R17:R80" si="2">(SUM(C17:O17)/13)-Q17</f>
        <v>0</v>
      </c>
      <c r="S17" s="1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3"/>
    </row>
    <row r="18" spans="1:35" x14ac:dyDescent="0.25">
      <c r="A18" s="13" t="s">
        <v>45</v>
      </c>
      <c r="B18" s="13" t="s">
        <v>46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f t="shared" si="0"/>
        <v>0</v>
      </c>
      <c r="Q18" s="2">
        <f t="shared" si="1"/>
        <v>0</v>
      </c>
      <c r="R18" s="2">
        <f t="shared" si="2"/>
        <v>0</v>
      </c>
      <c r="S18" s="1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3"/>
    </row>
    <row r="19" spans="1:35" x14ac:dyDescent="0.25">
      <c r="A19" s="13" t="s">
        <v>47</v>
      </c>
      <c r="B19" s="13" t="s">
        <v>48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f t="shared" si="0"/>
        <v>0</v>
      </c>
      <c r="Q19" s="2">
        <f t="shared" si="1"/>
        <v>0</v>
      </c>
      <c r="R19" s="2">
        <f t="shared" si="2"/>
        <v>0</v>
      </c>
      <c r="S19" s="1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3"/>
    </row>
    <row r="20" spans="1:35" x14ac:dyDescent="0.25">
      <c r="A20" s="13" t="s">
        <v>49</v>
      </c>
      <c r="B20" s="13" t="s">
        <v>50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f t="shared" si="0"/>
        <v>0</v>
      </c>
      <c r="Q20" s="2">
        <f t="shared" si="1"/>
        <v>0</v>
      </c>
      <c r="R20" s="2">
        <f t="shared" si="2"/>
        <v>0</v>
      </c>
      <c r="S20" s="1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3"/>
    </row>
    <row r="21" spans="1:35" x14ac:dyDescent="0.25">
      <c r="A21" s="13" t="s">
        <v>51</v>
      </c>
      <c r="B21" s="13" t="s">
        <v>52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 t="shared" si="0"/>
        <v>0</v>
      </c>
      <c r="Q21" s="2">
        <f t="shared" si="1"/>
        <v>0</v>
      </c>
      <c r="R21" s="2">
        <f t="shared" si="2"/>
        <v>0</v>
      </c>
      <c r="S21" s="1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3"/>
    </row>
    <row r="22" spans="1:35" x14ac:dyDescent="0.25">
      <c r="A22" s="13" t="s">
        <v>53</v>
      </c>
      <c r="B22" s="13" t="s">
        <v>54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f t="shared" si="0"/>
        <v>0</v>
      </c>
      <c r="Q22" s="2">
        <f t="shared" si="1"/>
        <v>0</v>
      </c>
      <c r="R22" s="2">
        <f t="shared" si="2"/>
        <v>0</v>
      </c>
      <c r="S22" s="1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3"/>
    </row>
    <row r="23" spans="1:35" x14ac:dyDescent="0.25">
      <c r="A23" s="13" t="s">
        <v>55</v>
      </c>
      <c r="B23" s="13" t="s">
        <v>56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f t="shared" si="0"/>
        <v>0</v>
      </c>
      <c r="Q23" s="2">
        <f t="shared" si="1"/>
        <v>0</v>
      </c>
      <c r="R23" s="2">
        <f t="shared" si="2"/>
        <v>0</v>
      </c>
      <c r="S23" s="1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3"/>
    </row>
    <row r="24" spans="1:35" x14ac:dyDescent="0.25">
      <c r="A24" s="13" t="s">
        <v>57</v>
      </c>
      <c r="B24" s="13" t="s">
        <v>58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f t="shared" si="0"/>
        <v>0</v>
      </c>
      <c r="Q24" s="2">
        <f t="shared" si="1"/>
        <v>0</v>
      </c>
      <c r="R24" s="2">
        <f t="shared" si="2"/>
        <v>0</v>
      </c>
      <c r="S24" s="1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3"/>
    </row>
    <row r="25" spans="1:35" x14ac:dyDescent="0.25">
      <c r="A25" s="13" t="s">
        <v>59</v>
      </c>
      <c r="B25" s="13" t="s">
        <v>60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f t="shared" si="0"/>
        <v>0</v>
      </c>
      <c r="Q25" s="2">
        <f t="shared" si="1"/>
        <v>0</v>
      </c>
      <c r="R25" s="2">
        <f t="shared" si="2"/>
        <v>0</v>
      </c>
      <c r="S25" s="1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3"/>
    </row>
    <row r="26" spans="1:35" x14ac:dyDescent="0.25">
      <c r="A26" s="13" t="s">
        <v>61</v>
      </c>
      <c r="B26" s="13" t="s">
        <v>62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f t="shared" si="0"/>
        <v>0</v>
      </c>
      <c r="Q26" s="2">
        <f t="shared" si="1"/>
        <v>0</v>
      </c>
      <c r="R26" s="2">
        <f t="shared" si="2"/>
        <v>0</v>
      </c>
      <c r="S26" s="1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3"/>
    </row>
    <row r="27" spans="1:35" x14ac:dyDescent="0.25">
      <c r="A27" s="13" t="s">
        <v>63</v>
      </c>
      <c r="B27" s="13" t="s">
        <v>64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f t="shared" si="0"/>
        <v>0</v>
      </c>
      <c r="Q27" s="2">
        <f t="shared" si="1"/>
        <v>0</v>
      </c>
      <c r="R27" s="2">
        <f t="shared" si="2"/>
        <v>0</v>
      </c>
      <c r="S27" s="1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3"/>
    </row>
    <row r="28" spans="1:35" x14ac:dyDescent="0.25">
      <c r="A28" s="13" t="s">
        <v>65</v>
      </c>
      <c r="B28" s="13" t="s">
        <v>66</v>
      </c>
      <c r="C28" s="2">
        <v>200307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f t="shared" si="0"/>
        <v>200307</v>
      </c>
      <c r="Q28" s="2">
        <f t="shared" si="1"/>
        <v>15408.23076923077</v>
      </c>
      <c r="R28" s="2">
        <f t="shared" si="2"/>
        <v>0</v>
      </c>
      <c r="S28" s="1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3"/>
    </row>
    <row r="29" spans="1:35" x14ac:dyDescent="0.25">
      <c r="C29" s="26" t="s">
        <v>67</v>
      </c>
      <c r="D29" s="26" t="s">
        <v>67</v>
      </c>
      <c r="E29" s="26" t="s">
        <v>67</v>
      </c>
      <c r="F29" s="26" t="s">
        <v>67</v>
      </c>
      <c r="G29" s="26" t="s">
        <v>67</v>
      </c>
      <c r="H29" s="26" t="s">
        <v>67</v>
      </c>
      <c r="I29" s="26" t="s">
        <v>67</v>
      </c>
      <c r="J29" s="26" t="s">
        <v>67</v>
      </c>
      <c r="K29" s="26" t="s">
        <v>67</v>
      </c>
      <c r="L29" s="26" t="s">
        <v>67</v>
      </c>
      <c r="M29" s="26" t="s">
        <v>67</v>
      </c>
      <c r="N29" s="26" t="s">
        <v>67</v>
      </c>
      <c r="O29" s="26" t="s">
        <v>67</v>
      </c>
      <c r="P29" s="26" t="s">
        <v>67</v>
      </c>
      <c r="Q29" s="26" t="s">
        <v>67</v>
      </c>
      <c r="R29" s="2" t="e">
        <f t="shared" si="2"/>
        <v>#VALUE!</v>
      </c>
      <c r="S29" s="1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3"/>
    </row>
    <row r="30" spans="1:35" x14ac:dyDescent="0.25">
      <c r="A30" s="21" t="s">
        <v>68</v>
      </c>
      <c r="B30" s="22"/>
      <c r="C30" s="23">
        <v>12191005</v>
      </c>
      <c r="D30" s="23">
        <f t="shared" ref="D30:Q30" si="3">SUM(D16:D28)</f>
        <v>12191004.950000001</v>
      </c>
      <c r="E30" s="23">
        <f t="shared" si="3"/>
        <v>11639282.23</v>
      </c>
      <c r="F30" s="23">
        <f t="shared" si="3"/>
        <v>11639282.23</v>
      </c>
      <c r="G30" s="23">
        <f t="shared" si="3"/>
        <v>11639282.23</v>
      </c>
      <c r="H30" s="23">
        <f t="shared" si="3"/>
        <v>11639282.23</v>
      </c>
      <c r="I30" s="23">
        <f t="shared" si="3"/>
        <v>11639282.23</v>
      </c>
      <c r="J30" s="23">
        <f t="shared" si="3"/>
        <v>11639282.23</v>
      </c>
      <c r="K30" s="23">
        <f t="shared" si="3"/>
        <v>11639282.23</v>
      </c>
      <c r="L30" s="23">
        <f t="shared" si="3"/>
        <v>11639282.23</v>
      </c>
      <c r="M30" s="23">
        <f t="shared" si="3"/>
        <v>11639282.23</v>
      </c>
      <c r="N30" s="23">
        <f t="shared" si="3"/>
        <v>11639282.23</v>
      </c>
      <c r="O30" s="23">
        <f t="shared" si="3"/>
        <v>11639282.23</v>
      </c>
      <c r="P30" s="23">
        <f t="shared" si="3"/>
        <v>152414114.48000002</v>
      </c>
      <c r="Q30" s="23">
        <f t="shared" si="3"/>
        <v>11724162.652307693</v>
      </c>
      <c r="R30" s="2">
        <f t="shared" si="2"/>
        <v>0</v>
      </c>
      <c r="S30" s="1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7"/>
    </row>
    <row r="31" spans="1:35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>
        <f t="shared" si="2"/>
        <v>0</v>
      </c>
      <c r="S31" s="1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3"/>
    </row>
    <row r="32" spans="1:35" x14ac:dyDescent="0.25">
      <c r="A32" s="21" t="s">
        <v>69</v>
      </c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">
        <f t="shared" si="2"/>
        <v>0</v>
      </c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3"/>
    </row>
    <row r="33" spans="1:35" x14ac:dyDescent="0.25">
      <c r="A33" s="13" t="s">
        <v>70</v>
      </c>
      <c r="B33" s="13" t="s">
        <v>71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f>SUM(C33:O33)</f>
        <v>0</v>
      </c>
      <c r="Q33" s="2">
        <f>P33/13</f>
        <v>0</v>
      </c>
      <c r="R33" s="2">
        <f t="shared" si="2"/>
        <v>0</v>
      </c>
      <c r="S33" s="15"/>
      <c r="T33" s="25" t="s">
        <v>42</v>
      </c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3"/>
    </row>
    <row r="34" spans="1:35" x14ac:dyDescent="0.25">
      <c r="C34" s="26" t="s">
        <v>67</v>
      </c>
      <c r="D34" s="26" t="s">
        <v>67</v>
      </c>
      <c r="E34" s="26" t="s">
        <v>67</v>
      </c>
      <c r="F34" s="26" t="s">
        <v>67</v>
      </c>
      <c r="G34" s="26" t="s">
        <v>67</v>
      </c>
      <c r="H34" s="26" t="s">
        <v>67</v>
      </c>
      <c r="I34" s="26" t="s">
        <v>67</v>
      </c>
      <c r="J34" s="26" t="s">
        <v>67</v>
      </c>
      <c r="K34" s="26" t="s">
        <v>67</v>
      </c>
      <c r="L34" s="26" t="s">
        <v>67</v>
      </c>
      <c r="M34" s="26" t="s">
        <v>67</v>
      </c>
      <c r="N34" s="26" t="s">
        <v>67</v>
      </c>
      <c r="O34" s="26" t="s">
        <v>67</v>
      </c>
      <c r="P34" s="26" t="s">
        <v>67</v>
      </c>
      <c r="Q34" s="26" t="s">
        <v>67</v>
      </c>
      <c r="R34" s="2" t="e">
        <f t="shared" si="2"/>
        <v>#VALUE!</v>
      </c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3"/>
    </row>
    <row r="35" spans="1:35" x14ac:dyDescent="0.25">
      <c r="A35" s="21" t="s">
        <v>72</v>
      </c>
      <c r="B35" s="22"/>
      <c r="C35" s="23">
        <v>0</v>
      </c>
      <c r="D35" s="23">
        <f t="shared" ref="D35:Q35" si="4">SUM(D33:D34)</f>
        <v>0</v>
      </c>
      <c r="E35" s="23">
        <f t="shared" si="4"/>
        <v>0</v>
      </c>
      <c r="F35" s="23">
        <f t="shared" si="4"/>
        <v>0</v>
      </c>
      <c r="G35" s="23">
        <f t="shared" si="4"/>
        <v>0</v>
      </c>
      <c r="H35" s="23">
        <f t="shared" si="4"/>
        <v>0</v>
      </c>
      <c r="I35" s="23">
        <f t="shared" si="4"/>
        <v>0</v>
      </c>
      <c r="J35" s="23">
        <f t="shared" si="4"/>
        <v>0</v>
      </c>
      <c r="K35" s="23">
        <f t="shared" si="4"/>
        <v>0</v>
      </c>
      <c r="L35" s="23">
        <f t="shared" si="4"/>
        <v>0</v>
      </c>
      <c r="M35" s="23">
        <f t="shared" si="4"/>
        <v>0</v>
      </c>
      <c r="N35" s="23">
        <f t="shared" si="4"/>
        <v>0</v>
      </c>
      <c r="O35" s="23">
        <f t="shared" si="4"/>
        <v>0</v>
      </c>
      <c r="P35" s="23">
        <f t="shared" si="4"/>
        <v>0</v>
      </c>
      <c r="Q35" s="23">
        <f t="shared" si="4"/>
        <v>0</v>
      </c>
      <c r="R35" s="2">
        <f t="shared" si="2"/>
        <v>0</v>
      </c>
      <c r="S35" s="15">
        <f>SUM(U35:Z35)-Q35</f>
        <v>0</v>
      </c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27"/>
    </row>
    <row r="36" spans="1:35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>
        <f t="shared" si="2"/>
        <v>0</v>
      </c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3"/>
    </row>
    <row r="37" spans="1:35" x14ac:dyDescent="0.25">
      <c r="A37" s="21" t="s">
        <v>73</v>
      </c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">
        <f t="shared" si="2"/>
        <v>0</v>
      </c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3"/>
    </row>
    <row r="38" spans="1:35" x14ac:dyDescent="0.25">
      <c r="A38" s="13" t="s">
        <v>74</v>
      </c>
      <c r="B38" s="13" t="s">
        <v>75</v>
      </c>
      <c r="C38" s="64">
        <v>-913291</v>
      </c>
      <c r="D38" s="64">
        <f>'FC Common pl 22'!H48</f>
        <v>-958959.83358416439</v>
      </c>
      <c r="E38" s="64">
        <f>'FC Common pl 22'!I48</f>
        <v>-454811.73716832866</v>
      </c>
      <c r="F38" s="64">
        <f>'FC Common pl 22'!J48</f>
        <v>-497940.93741915969</v>
      </c>
      <c r="G38" s="64">
        <f>'FC Common pl 22'!K48</f>
        <v>-541070.13766999065</v>
      </c>
      <c r="H38" s="64">
        <f>'FC Common pl 22'!L48</f>
        <v>-584199.33792082174</v>
      </c>
      <c r="I38" s="64">
        <f>'FC Common pl 22'!M48</f>
        <v>-627328.5381716527</v>
      </c>
      <c r="J38" s="64">
        <f>'FC Common pl 22'!N48</f>
        <v>-670457.73842248367</v>
      </c>
      <c r="K38" s="64">
        <f>'FC Common pl 22'!O48</f>
        <v>-713586.93867331475</v>
      </c>
      <c r="L38" s="64">
        <f>'FC Common pl 22'!P48</f>
        <v>-756716.13892414584</v>
      </c>
      <c r="M38" s="64">
        <f>'FC Common pl 22'!Q48</f>
        <v>-799845.33917497692</v>
      </c>
      <c r="N38" s="64">
        <f>'FC Common pl 22'!R48</f>
        <v>-842974.53942580789</v>
      </c>
      <c r="O38" s="64">
        <f>'FC Common pl 22'!S48</f>
        <v>-886103.73967663909</v>
      </c>
      <c r="P38" s="2">
        <f t="shared" ref="P38:P51" si="5">SUM(C38:O38)</f>
        <v>-9247285.9562314861</v>
      </c>
      <c r="Q38" s="2">
        <f t="shared" ref="Q38:Q51" si="6">P38/13</f>
        <v>-711329.6889408835</v>
      </c>
      <c r="R38" s="2">
        <f t="shared" si="2"/>
        <v>0</v>
      </c>
      <c r="S38" s="24"/>
      <c r="T38" s="25" t="s">
        <v>42</v>
      </c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3"/>
    </row>
    <row r="39" spans="1:35" x14ac:dyDescent="0.25">
      <c r="A39" s="13" t="s">
        <v>45</v>
      </c>
      <c r="B39" s="13" t="s">
        <v>76</v>
      </c>
      <c r="C39" s="64">
        <v>0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2">
        <f t="shared" si="5"/>
        <v>0</v>
      </c>
      <c r="Q39" s="2">
        <f t="shared" si="6"/>
        <v>0</v>
      </c>
      <c r="R39" s="2">
        <f t="shared" si="2"/>
        <v>0</v>
      </c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3"/>
    </row>
    <row r="40" spans="1:35" x14ac:dyDescent="0.25">
      <c r="A40" s="13" t="s">
        <v>47</v>
      </c>
      <c r="B40" s="13" t="s">
        <v>77</v>
      </c>
      <c r="C40" s="64">
        <v>0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2">
        <f t="shared" si="5"/>
        <v>0</v>
      </c>
      <c r="Q40" s="2">
        <f t="shared" si="6"/>
        <v>0</v>
      </c>
      <c r="R40" s="2">
        <f t="shared" si="2"/>
        <v>0</v>
      </c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3"/>
    </row>
    <row r="41" spans="1:35" x14ac:dyDescent="0.25">
      <c r="A41" s="13" t="s">
        <v>49</v>
      </c>
      <c r="B41" s="13" t="s">
        <v>78</v>
      </c>
      <c r="C41" s="64">
        <v>0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2">
        <f t="shared" si="5"/>
        <v>0</v>
      </c>
      <c r="Q41" s="2">
        <f t="shared" si="6"/>
        <v>0</v>
      </c>
      <c r="R41" s="2">
        <f t="shared" si="2"/>
        <v>0</v>
      </c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3"/>
    </row>
    <row r="42" spans="1:35" x14ac:dyDescent="0.25">
      <c r="A42" s="13" t="s">
        <v>51</v>
      </c>
      <c r="B42" s="13" t="s">
        <v>79</v>
      </c>
      <c r="C42" s="64">
        <v>0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2">
        <f t="shared" si="5"/>
        <v>0</v>
      </c>
      <c r="Q42" s="2">
        <f t="shared" si="6"/>
        <v>0</v>
      </c>
      <c r="R42" s="2">
        <f t="shared" si="2"/>
        <v>0</v>
      </c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3"/>
    </row>
    <row r="43" spans="1:35" x14ac:dyDescent="0.25">
      <c r="A43" s="13" t="s">
        <v>53</v>
      </c>
      <c r="B43" s="13" t="s">
        <v>80</v>
      </c>
      <c r="C43" s="64">
        <v>0</v>
      </c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2">
        <f t="shared" si="5"/>
        <v>0</v>
      </c>
      <c r="Q43" s="2">
        <f t="shared" si="6"/>
        <v>0</v>
      </c>
      <c r="R43" s="2">
        <f t="shared" si="2"/>
        <v>0</v>
      </c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3"/>
    </row>
    <row r="44" spans="1:35" x14ac:dyDescent="0.25">
      <c r="A44" s="13" t="s">
        <v>55</v>
      </c>
      <c r="B44" s="13" t="s">
        <v>81</v>
      </c>
      <c r="C44" s="64">
        <v>0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2">
        <f t="shared" si="5"/>
        <v>0</v>
      </c>
      <c r="Q44" s="2">
        <f t="shared" si="6"/>
        <v>0</v>
      </c>
      <c r="R44" s="2">
        <f t="shared" si="2"/>
        <v>0</v>
      </c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3"/>
    </row>
    <row r="45" spans="1:35" x14ac:dyDescent="0.25">
      <c r="A45" s="13" t="s">
        <v>57</v>
      </c>
      <c r="B45" s="13" t="s">
        <v>82</v>
      </c>
      <c r="C45" s="64">
        <v>0</v>
      </c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2">
        <f t="shared" si="5"/>
        <v>0</v>
      </c>
      <c r="Q45" s="2">
        <f t="shared" si="6"/>
        <v>0</v>
      </c>
      <c r="R45" s="2">
        <f t="shared" si="2"/>
        <v>0</v>
      </c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3"/>
    </row>
    <row r="46" spans="1:35" x14ac:dyDescent="0.25">
      <c r="A46" s="13" t="s">
        <v>59</v>
      </c>
      <c r="B46" s="13" t="s">
        <v>83</v>
      </c>
      <c r="C46" s="64">
        <v>0</v>
      </c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2">
        <f t="shared" si="5"/>
        <v>0</v>
      </c>
      <c r="Q46" s="2">
        <f t="shared" si="6"/>
        <v>0</v>
      </c>
      <c r="R46" s="2">
        <f t="shared" si="2"/>
        <v>0</v>
      </c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3"/>
    </row>
    <row r="47" spans="1:35" x14ac:dyDescent="0.25">
      <c r="A47" s="13" t="s">
        <v>61</v>
      </c>
      <c r="B47" s="13" t="s">
        <v>84</v>
      </c>
      <c r="C47" s="64">
        <v>0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2">
        <f t="shared" si="5"/>
        <v>0</v>
      </c>
      <c r="Q47" s="2">
        <f t="shared" si="6"/>
        <v>0</v>
      </c>
      <c r="R47" s="2">
        <f t="shared" si="2"/>
        <v>0</v>
      </c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3"/>
    </row>
    <row r="48" spans="1:35" x14ac:dyDescent="0.25">
      <c r="A48" s="13" t="s">
        <v>63</v>
      </c>
      <c r="B48" s="13" t="s">
        <v>85</v>
      </c>
      <c r="C48" s="64">
        <v>0</v>
      </c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2">
        <f t="shared" si="5"/>
        <v>0</v>
      </c>
      <c r="Q48" s="2">
        <f t="shared" si="6"/>
        <v>0</v>
      </c>
      <c r="R48" s="2">
        <f t="shared" si="2"/>
        <v>0</v>
      </c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3"/>
    </row>
    <row r="49" spans="1:35" s="35" customFormat="1" x14ac:dyDescent="0.25">
      <c r="A49" s="140" t="s">
        <v>86</v>
      </c>
      <c r="B49" s="140" t="s">
        <v>87</v>
      </c>
      <c r="C49" s="64">
        <v>25334</v>
      </c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2">
        <f t="shared" si="5"/>
        <v>25334</v>
      </c>
      <c r="Q49" s="2">
        <f t="shared" si="6"/>
        <v>1948.7692307692307</v>
      </c>
      <c r="R49" s="2">
        <f t="shared" si="2"/>
        <v>0</v>
      </c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3"/>
    </row>
    <row r="50" spans="1:35" s="35" customFormat="1" x14ac:dyDescent="0.25">
      <c r="A50" s="140" t="s">
        <v>88</v>
      </c>
      <c r="B50" s="140" t="s">
        <v>89</v>
      </c>
      <c r="C50" s="64">
        <v>22241</v>
      </c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2">
        <f t="shared" si="5"/>
        <v>22241</v>
      </c>
      <c r="Q50" s="2">
        <f t="shared" si="6"/>
        <v>1710.8461538461538</v>
      </c>
      <c r="R50" s="2">
        <f t="shared" si="2"/>
        <v>0</v>
      </c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3"/>
    </row>
    <row r="51" spans="1:35" s="35" customFormat="1" x14ac:dyDescent="0.25">
      <c r="A51" s="140" t="s">
        <v>90</v>
      </c>
      <c r="B51" s="140" t="s">
        <v>91</v>
      </c>
      <c r="C51" s="64">
        <v>-45669</v>
      </c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2">
        <f t="shared" si="5"/>
        <v>-45669</v>
      </c>
      <c r="Q51" s="2">
        <f t="shared" si="6"/>
        <v>-3513</v>
      </c>
      <c r="R51" s="2">
        <f t="shared" si="2"/>
        <v>0</v>
      </c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3"/>
    </row>
    <row r="52" spans="1:35" x14ac:dyDescent="0.25">
      <c r="C52" s="26" t="s">
        <v>67</v>
      </c>
      <c r="D52" s="26" t="s">
        <v>67</v>
      </c>
      <c r="E52" s="26" t="s">
        <v>67</v>
      </c>
      <c r="F52" s="26" t="s">
        <v>67</v>
      </c>
      <c r="G52" s="26" t="s">
        <v>67</v>
      </c>
      <c r="H52" s="26" t="s">
        <v>67</v>
      </c>
      <c r="I52" s="26" t="s">
        <v>67</v>
      </c>
      <c r="J52" s="26" t="s">
        <v>67</v>
      </c>
      <c r="K52" s="26" t="s">
        <v>67</v>
      </c>
      <c r="L52" s="26" t="s">
        <v>67</v>
      </c>
      <c r="M52" s="26" t="s">
        <v>67</v>
      </c>
      <c r="N52" s="26" t="s">
        <v>67</v>
      </c>
      <c r="O52" s="26" t="s">
        <v>67</v>
      </c>
      <c r="P52" s="26" t="s">
        <v>67</v>
      </c>
      <c r="Q52" s="26" t="s">
        <v>67</v>
      </c>
      <c r="R52" s="2" t="e">
        <f t="shared" si="2"/>
        <v>#VALUE!</v>
      </c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3"/>
    </row>
    <row r="53" spans="1:35" x14ac:dyDescent="0.25">
      <c r="A53" s="21" t="s">
        <v>92</v>
      </c>
      <c r="B53" s="22"/>
      <c r="C53" s="23">
        <v>-911386</v>
      </c>
      <c r="D53" s="23">
        <f t="shared" ref="D53:Q53" si="7">SUM(D38:D51)</f>
        <v>-958959.83358416439</v>
      </c>
      <c r="E53" s="23">
        <f t="shared" si="7"/>
        <v>-454811.73716832866</v>
      </c>
      <c r="F53" s="23">
        <f t="shared" si="7"/>
        <v>-497940.93741915969</v>
      </c>
      <c r="G53" s="23">
        <f t="shared" si="7"/>
        <v>-541070.13766999065</v>
      </c>
      <c r="H53" s="23">
        <f t="shared" si="7"/>
        <v>-584199.33792082174</v>
      </c>
      <c r="I53" s="23">
        <f t="shared" si="7"/>
        <v>-627328.5381716527</v>
      </c>
      <c r="J53" s="23">
        <f t="shared" si="7"/>
        <v>-670457.73842248367</v>
      </c>
      <c r="K53" s="23">
        <f t="shared" si="7"/>
        <v>-713586.93867331475</v>
      </c>
      <c r="L53" s="23">
        <f t="shared" si="7"/>
        <v>-756716.13892414584</v>
      </c>
      <c r="M53" s="23">
        <f t="shared" si="7"/>
        <v>-799845.33917497692</v>
      </c>
      <c r="N53" s="23">
        <f t="shared" si="7"/>
        <v>-842974.53942580789</v>
      </c>
      <c r="O53" s="23">
        <f t="shared" si="7"/>
        <v>-886103.73967663909</v>
      </c>
      <c r="P53" s="23">
        <f t="shared" si="7"/>
        <v>-9245379.9562314861</v>
      </c>
      <c r="Q53" s="23">
        <f t="shared" si="7"/>
        <v>-711183.07355626812</v>
      </c>
      <c r="R53" s="2">
        <f t="shared" si="2"/>
        <v>-7.6923076994717121E-2</v>
      </c>
      <c r="S53" s="15">
        <f>SUM(U53:Z53)-Q53</f>
        <v>711183.07355626812</v>
      </c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27"/>
    </row>
    <row r="54" spans="1:35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>
        <f t="shared" si="2"/>
        <v>0</v>
      </c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3"/>
    </row>
    <row r="55" spans="1:35" ht="15.75" x14ac:dyDescent="0.3">
      <c r="A55" s="18" t="s">
        <v>93</v>
      </c>
      <c r="B55" s="19"/>
      <c r="C55" s="20">
        <v>11279619</v>
      </c>
      <c r="D55" s="20">
        <f t="shared" ref="D55:Q55" si="8">D53+D35+D30</f>
        <v>11232045.116415836</v>
      </c>
      <c r="E55" s="20">
        <f t="shared" si="8"/>
        <v>11184470.492831672</v>
      </c>
      <c r="F55" s="20">
        <f t="shared" si="8"/>
        <v>11141341.292580841</v>
      </c>
      <c r="G55" s="20">
        <f t="shared" si="8"/>
        <v>11098212.092330011</v>
      </c>
      <c r="H55" s="20">
        <f t="shared" si="8"/>
        <v>11055082.892079178</v>
      </c>
      <c r="I55" s="20">
        <f t="shared" si="8"/>
        <v>11011953.691828348</v>
      </c>
      <c r="J55" s="20">
        <f t="shared" si="8"/>
        <v>10968824.491577517</v>
      </c>
      <c r="K55" s="20">
        <f t="shared" si="8"/>
        <v>10925695.291326685</v>
      </c>
      <c r="L55" s="20">
        <f t="shared" si="8"/>
        <v>10882566.091075854</v>
      </c>
      <c r="M55" s="20">
        <f t="shared" si="8"/>
        <v>10839436.890825024</v>
      </c>
      <c r="N55" s="20">
        <f t="shared" si="8"/>
        <v>10796307.690574193</v>
      </c>
      <c r="O55" s="20">
        <f t="shared" si="8"/>
        <v>10753178.490323361</v>
      </c>
      <c r="P55" s="20">
        <f t="shared" si="8"/>
        <v>143168734.52376854</v>
      </c>
      <c r="Q55" s="20">
        <f t="shared" si="8"/>
        <v>11012979.578751424</v>
      </c>
      <c r="R55" s="2">
        <f t="shared" si="2"/>
        <v>-7.6923077926039696E-2</v>
      </c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3"/>
    </row>
    <row r="56" spans="1:35" ht="15.75" x14ac:dyDescent="0.3">
      <c r="A56" s="18" t="s">
        <v>94</v>
      </c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">
        <f t="shared" si="2"/>
        <v>0</v>
      </c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3"/>
    </row>
    <row r="57" spans="1:35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>
        <f t="shared" si="2"/>
        <v>0</v>
      </c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3"/>
    </row>
    <row r="58" spans="1:35" x14ac:dyDescent="0.25">
      <c r="A58" s="21" t="s">
        <v>95</v>
      </c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">
        <f t="shared" si="2"/>
        <v>0</v>
      </c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3"/>
    </row>
    <row r="59" spans="1:35" x14ac:dyDescent="0.25">
      <c r="A59" s="13" t="s">
        <v>96</v>
      </c>
      <c r="B59" s="13" t="s">
        <v>97</v>
      </c>
      <c r="C59" s="64">
        <v>19699280</v>
      </c>
      <c r="D59" s="2">
        <v>19699280</v>
      </c>
      <c r="E59" s="2">
        <v>19699280</v>
      </c>
      <c r="F59" s="2">
        <v>19699280</v>
      </c>
      <c r="G59" s="2">
        <v>19699280</v>
      </c>
      <c r="H59" s="2">
        <v>19699280</v>
      </c>
      <c r="I59" s="2">
        <v>19699280</v>
      </c>
      <c r="J59" s="2">
        <v>19699280</v>
      </c>
      <c r="K59" s="2">
        <v>19699280</v>
      </c>
      <c r="L59" s="2">
        <v>19699280</v>
      </c>
      <c r="M59" s="2">
        <v>19699280</v>
      </c>
      <c r="N59" s="2">
        <v>19699280</v>
      </c>
      <c r="O59" s="2">
        <v>19699280</v>
      </c>
      <c r="P59" s="2">
        <f t="shared" ref="P59:P64" si="9">SUM(C59:O59)</f>
        <v>256090640</v>
      </c>
      <c r="Q59" s="2">
        <f t="shared" ref="Q59:Q64" si="10">P59/13</f>
        <v>19699280</v>
      </c>
      <c r="R59" s="2">
        <f t="shared" si="2"/>
        <v>0</v>
      </c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3"/>
    </row>
    <row r="60" spans="1:35" x14ac:dyDescent="0.25">
      <c r="A60" s="13" t="s">
        <v>98</v>
      </c>
      <c r="B60" s="13" t="s">
        <v>99</v>
      </c>
      <c r="C60" s="64">
        <v>9502865</v>
      </c>
      <c r="D60" s="2">
        <v>9502865</v>
      </c>
      <c r="E60" s="2">
        <v>9502865</v>
      </c>
      <c r="F60" s="2">
        <v>9502865</v>
      </c>
      <c r="G60" s="2">
        <v>9502865</v>
      </c>
      <c r="H60" s="2">
        <v>9502865</v>
      </c>
      <c r="I60" s="2">
        <v>9502865</v>
      </c>
      <c r="J60" s="2">
        <v>9502865</v>
      </c>
      <c r="K60" s="2">
        <v>9502865</v>
      </c>
      <c r="L60" s="2">
        <v>9502865</v>
      </c>
      <c r="M60" s="2">
        <v>9502865</v>
      </c>
      <c r="N60" s="2">
        <v>9502865</v>
      </c>
      <c r="O60" s="2">
        <v>9502865</v>
      </c>
      <c r="P60" s="2">
        <f t="shared" si="9"/>
        <v>123537245</v>
      </c>
      <c r="Q60" s="2">
        <f t="shared" si="10"/>
        <v>9502865</v>
      </c>
      <c r="R60" s="2">
        <f t="shared" si="2"/>
        <v>0</v>
      </c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3"/>
    </row>
    <row r="61" spans="1:35" x14ac:dyDescent="0.25">
      <c r="A61" s="13" t="s">
        <v>100</v>
      </c>
      <c r="B61" s="13" t="s">
        <v>101</v>
      </c>
      <c r="C61" s="64">
        <v>-234850</v>
      </c>
      <c r="D61" s="2">
        <v>-234850</v>
      </c>
      <c r="E61" s="2">
        <v>-234850</v>
      </c>
      <c r="F61" s="2">
        <v>-234850</v>
      </c>
      <c r="G61" s="2">
        <v>-234850</v>
      </c>
      <c r="H61" s="2">
        <v>-234850</v>
      </c>
      <c r="I61" s="2">
        <v>-234850</v>
      </c>
      <c r="J61" s="2">
        <v>-234850</v>
      </c>
      <c r="K61" s="2">
        <v>-234850</v>
      </c>
      <c r="L61" s="2">
        <v>-234850</v>
      </c>
      <c r="M61" s="2">
        <v>-234850</v>
      </c>
      <c r="N61" s="2">
        <v>-234850</v>
      </c>
      <c r="O61" s="2">
        <v>-234850</v>
      </c>
      <c r="P61" s="2">
        <f t="shared" si="9"/>
        <v>-3053050</v>
      </c>
      <c r="Q61" s="2">
        <f t="shared" si="10"/>
        <v>-234850</v>
      </c>
      <c r="R61" s="2">
        <f t="shared" si="2"/>
        <v>0</v>
      </c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3"/>
    </row>
    <row r="62" spans="1:35" x14ac:dyDescent="0.25">
      <c r="A62" s="13" t="s">
        <v>102</v>
      </c>
      <c r="B62" s="13" t="s">
        <v>103</v>
      </c>
      <c r="C62" s="64">
        <v>2980568</v>
      </c>
      <c r="D62" s="2">
        <v>2980568</v>
      </c>
      <c r="E62" s="2">
        <v>2980568</v>
      </c>
      <c r="F62" s="2">
        <v>2980568</v>
      </c>
      <c r="G62" s="2">
        <v>2980568</v>
      </c>
      <c r="H62" s="2">
        <v>2980568</v>
      </c>
      <c r="I62" s="2">
        <v>2980568</v>
      </c>
      <c r="J62" s="2">
        <v>2980568</v>
      </c>
      <c r="K62" s="2">
        <v>2980568</v>
      </c>
      <c r="L62" s="2">
        <v>2980568</v>
      </c>
      <c r="M62" s="2">
        <v>2980568</v>
      </c>
      <c r="N62" s="2">
        <v>2980568</v>
      </c>
      <c r="O62" s="2">
        <v>2980568</v>
      </c>
      <c r="P62" s="2">
        <f t="shared" si="9"/>
        <v>38747384</v>
      </c>
      <c r="Q62" s="2">
        <f t="shared" si="10"/>
        <v>2980568</v>
      </c>
      <c r="R62" s="2">
        <f t="shared" si="2"/>
        <v>0</v>
      </c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3"/>
    </row>
    <row r="63" spans="1:35" x14ac:dyDescent="0.25">
      <c r="A63" s="13" t="s">
        <v>104</v>
      </c>
      <c r="B63" s="13" t="s">
        <v>105</v>
      </c>
      <c r="C63" s="64">
        <v>77756946</v>
      </c>
      <c r="D63" s="2">
        <v>77756946</v>
      </c>
      <c r="E63" s="2">
        <v>77756946</v>
      </c>
      <c r="F63" s="2">
        <v>77756946</v>
      </c>
      <c r="G63" s="2">
        <v>77756946</v>
      </c>
      <c r="H63" s="2">
        <v>77756946</v>
      </c>
      <c r="I63" s="2">
        <v>77756946</v>
      </c>
      <c r="J63" s="2">
        <v>77756946</v>
      </c>
      <c r="K63" s="2">
        <v>77756946</v>
      </c>
      <c r="L63" s="2">
        <v>77756946</v>
      </c>
      <c r="M63" s="2">
        <v>77756946</v>
      </c>
      <c r="N63" s="2">
        <v>77756946</v>
      </c>
      <c r="O63" s="2">
        <v>77756946</v>
      </c>
      <c r="P63" s="2">
        <f t="shared" si="9"/>
        <v>1010840298</v>
      </c>
      <c r="Q63" s="2">
        <f t="shared" si="10"/>
        <v>77756946</v>
      </c>
      <c r="R63" s="2">
        <f t="shared" si="2"/>
        <v>0</v>
      </c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3"/>
    </row>
    <row r="64" spans="1:35" x14ac:dyDescent="0.25">
      <c r="A64" s="13" t="s">
        <v>106</v>
      </c>
      <c r="B64" s="13" t="s">
        <v>107</v>
      </c>
      <c r="C64" s="64">
        <v>-388179</v>
      </c>
      <c r="D64" s="2">
        <v>-388179</v>
      </c>
      <c r="E64" s="2">
        <v>-388179</v>
      </c>
      <c r="F64" s="2">
        <v>-388179</v>
      </c>
      <c r="G64" s="2">
        <v>-388179</v>
      </c>
      <c r="H64" s="2">
        <v>-388179</v>
      </c>
      <c r="I64" s="2">
        <v>-388179</v>
      </c>
      <c r="J64" s="2">
        <v>-388179</v>
      </c>
      <c r="K64" s="2">
        <v>-388179</v>
      </c>
      <c r="L64" s="2">
        <v>-388179</v>
      </c>
      <c r="M64" s="2">
        <v>-388179</v>
      </c>
      <c r="N64" s="2">
        <v>-388179</v>
      </c>
      <c r="O64" s="2">
        <v>-388179</v>
      </c>
      <c r="P64" s="2">
        <f t="shared" si="9"/>
        <v>-5046327</v>
      </c>
      <c r="Q64" s="2">
        <f t="shared" si="10"/>
        <v>-388179</v>
      </c>
      <c r="R64" s="2">
        <f t="shared" si="2"/>
        <v>0</v>
      </c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3"/>
    </row>
    <row r="65" spans="1:35" x14ac:dyDescent="0.25">
      <c r="C65" s="26" t="s">
        <v>67</v>
      </c>
      <c r="D65" s="26" t="s">
        <v>67</v>
      </c>
      <c r="E65" s="26" t="s">
        <v>67</v>
      </c>
      <c r="F65" s="26" t="s">
        <v>67</v>
      </c>
      <c r="G65" s="26" t="s">
        <v>67</v>
      </c>
      <c r="H65" s="26" t="s">
        <v>67</v>
      </c>
      <c r="I65" s="26" t="s">
        <v>67</v>
      </c>
      <c r="J65" s="26" t="s">
        <v>67</v>
      </c>
      <c r="K65" s="26" t="s">
        <v>67</v>
      </c>
      <c r="L65" s="26" t="s">
        <v>67</v>
      </c>
      <c r="M65" s="26" t="s">
        <v>67</v>
      </c>
      <c r="N65" s="26" t="s">
        <v>67</v>
      </c>
      <c r="O65" s="26" t="s">
        <v>67</v>
      </c>
      <c r="P65" s="26" t="s">
        <v>67</v>
      </c>
      <c r="Q65" s="26" t="s">
        <v>67</v>
      </c>
      <c r="R65" s="2" t="e">
        <f t="shared" si="2"/>
        <v>#VALUE!</v>
      </c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3"/>
    </row>
    <row r="66" spans="1:35" x14ac:dyDescent="0.25">
      <c r="A66" s="21" t="s">
        <v>108</v>
      </c>
      <c r="B66" s="22"/>
      <c r="C66" s="23">
        <v>109316630</v>
      </c>
      <c r="D66" s="23">
        <f t="shared" ref="D66:P66" si="11">SUM(D59:D64)</f>
        <v>109316630</v>
      </c>
      <c r="E66" s="146">
        <f t="shared" si="11"/>
        <v>109316630</v>
      </c>
      <c r="F66" s="23">
        <f t="shared" si="11"/>
        <v>109316630</v>
      </c>
      <c r="G66" s="23">
        <f t="shared" si="11"/>
        <v>109316630</v>
      </c>
      <c r="H66" s="23">
        <f t="shared" si="11"/>
        <v>109316630</v>
      </c>
      <c r="I66" s="23">
        <f t="shared" si="11"/>
        <v>109316630</v>
      </c>
      <c r="J66" s="23">
        <f t="shared" si="11"/>
        <v>109316630</v>
      </c>
      <c r="K66" s="23">
        <f t="shared" si="11"/>
        <v>109316630</v>
      </c>
      <c r="L66" s="23">
        <f t="shared" si="11"/>
        <v>109316630</v>
      </c>
      <c r="M66" s="23">
        <f t="shared" si="11"/>
        <v>109316630</v>
      </c>
      <c r="N66" s="23">
        <f t="shared" si="11"/>
        <v>109316630</v>
      </c>
      <c r="O66" s="23">
        <f t="shared" si="11"/>
        <v>109316630</v>
      </c>
      <c r="P66" s="23">
        <f t="shared" si="11"/>
        <v>1421116190</v>
      </c>
      <c r="Q66" s="23">
        <v>109316630</v>
      </c>
      <c r="R66" s="2">
        <f t="shared" si="2"/>
        <v>0</v>
      </c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3"/>
    </row>
    <row r="67" spans="1:35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>
        <f t="shared" si="2"/>
        <v>0</v>
      </c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3"/>
    </row>
    <row r="68" spans="1:35" ht="15.75" x14ac:dyDescent="0.3">
      <c r="A68" s="18" t="s">
        <v>109</v>
      </c>
      <c r="B68" s="19"/>
      <c r="C68" s="20">
        <v>109316630</v>
      </c>
      <c r="D68" s="20">
        <f t="shared" ref="D68:Q68" si="12">D66</f>
        <v>109316630</v>
      </c>
      <c r="E68" s="20">
        <f t="shared" si="12"/>
        <v>109316630</v>
      </c>
      <c r="F68" s="20">
        <f t="shared" si="12"/>
        <v>109316630</v>
      </c>
      <c r="G68" s="20">
        <f t="shared" si="12"/>
        <v>109316630</v>
      </c>
      <c r="H68" s="20">
        <f t="shared" si="12"/>
        <v>109316630</v>
      </c>
      <c r="I68" s="20">
        <f t="shared" si="12"/>
        <v>109316630</v>
      </c>
      <c r="J68" s="20">
        <f t="shared" si="12"/>
        <v>109316630</v>
      </c>
      <c r="K68" s="20">
        <f t="shared" si="12"/>
        <v>109316630</v>
      </c>
      <c r="L68" s="20">
        <f t="shared" si="12"/>
        <v>109316630</v>
      </c>
      <c r="M68" s="20">
        <f t="shared" si="12"/>
        <v>109316630</v>
      </c>
      <c r="N68" s="20">
        <f t="shared" si="12"/>
        <v>109316630</v>
      </c>
      <c r="O68" s="20">
        <f t="shared" si="12"/>
        <v>109316630</v>
      </c>
      <c r="P68" s="20">
        <f t="shared" si="12"/>
        <v>1421116190</v>
      </c>
      <c r="Q68" s="20">
        <f t="shared" si="12"/>
        <v>109316630</v>
      </c>
      <c r="R68" s="2">
        <f t="shared" si="2"/>
        <v>0</v>
      </c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3"/>
    </row>
    <row r="69" spans="1:35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>
        <f t="shared" si="2"/>
        <v>0</v>
      </c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3"/>
    </row>
    <row r="70" spans="1:35" ht="15.75" x14ac:dyDescent="0.3">
      <c r="A70" s="18" t="s">
        <v>110</v>
      </c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">
        <f t="shared" si="2"/>
        <v>0</v>
      </c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3"/>
    </row>
    <row r="71" spans="1:35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>
        <f t="shared" si="2"/>
        <v>0</v>
      </c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3"/>
    </row>
    <row r="72" spans="1:35" x14ac:dyDescent="0.25">
      <c r="A72" s="21" t="s">
        <v>111</v>
      </c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148"/>
      <c r="P72" s="23"/>
      <c r="Q72" s="23"/>
      <c r="R72" s="2">
        <f t="shared" si="2"/>
        <v>0</v>
      </c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3"/>
    </row>
    <row r="73" spans="1:35" x14ac:dyDescent="0.25">
      <c r="A73" s="13" t="s">
        <v>112</v>
      </c>
      <c r="B73" s="13" t="s">
        <v>113</v>
      </c>
      <c r="C73" s="64">
        <v>279594</v>
      </c>
      <c r="D73" s="64">
        <f>(($P73-$C73)/12)</f>
        <v>-1150900.5657166666</v>
      </c>
      <c r="E73" s="64">
        <f t="shared" ref="E73:O77" si="13">(($P73-$C73)/12)</f>
        <v>-1150900.5657166666</v>
      </c>
      <c r="F73" s="64">
        <f t="shared" si="13"/>
        <v>-1150900.5657166666</v>
      </c>
      <c r="G73" s="64">
        <f t="shared" si="13"/>
        <v>-1150900.5657166666</v>
      </c>
      <c r="H73" s="64">
        <f t="shared" si="13"/>
        <v>-1150900.5657166666</v>
      </c>
      <c r="I73" s="64">
        <f t="shared" si="13"/>
        <v>-1150900.5657166666</v>
      </c>
      <c r="J73" s="64">
        <f t="shared" si="13"/>
        <v>-1150900.5657166666</v>
      </c>
      <c r="K73" s="64">
        <f t="shared" si="13"/>
        <v>-1150900.5657166666</v>
      </c>
      <c r="L73" s="64">
        <f t="shared" si="13"/>
        <v>-1150900.5657166666</v>
      </c>
      <c r="M73" s="64">
        <f t="shared" si="13"/>
        <v>-1150900.5657166666</v>
      </c>
      <c r="N73" s="64">
        <f t="shared" si="13"/>
        <v>-1150900.5657166666</v>
      </c>
      <c r="O73" s="64">
        <f t="shared" si="13"/>
        <v>-1150900.5657166666</v>
      </c>
      <c r="P73" s="2">
        <f>Q73*13</f>
        <v>-13531212.7886</v>
      </c>
      <c r="Q73" s="2">
        <f>'working capital and def tax 21'!Q73*1.0826</f>
        <v>-1040862.5222</v>
      </c>
      <c r="R73" s="2">
        <f t="shared" si="2"/>
        <v>0</v>
      </c>
      <c r="S73" s="15" t="s">
        <v>502</v>
      </c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3"/>
    </row>
    <row r="74" spans="1:35" x14ac:dyDescent="0.25">
      <c r="A74" s="13" t="s">
        <v>114</v>
      </c>
      <c r="B74" s="13" t="s">
        <v>115</v>
      </c>
      <c r="C74" s="64">
        <v>-532716</v>
      </c>
      <c r="D74" s="64">
        <f t="shared" ref="D74:D77" si="14">(($P74-$C74)/12)</f>
        <v>-1141606.1260000002</v>
      </c>
      <c r="E74" s="64">
        <f t="shared" si="13"/>
        <v>-1141606.1260000002</v>
      </c>
      <c r="F74" s="64">
        <f t="shared" si="13"/>
        <v>-1141606.1260000002</v>
      </c>
      <c r="G74" s="64">
        <f t="shared" si="13"/>
        <v>-1141606.1260000002</v>
      </c>
      <c r="H74" s="64">
        <f t="shared" si="13"/>
        <v>-1141606.1260000002</v>
      </c>
      <c r="I74" s="64">
        <f t="shared" si="13"/>
        <v>-1141606.1260000002</v>
      </c>
      <c r="J74" s="64">
        <f t="shared" si="13"/>
        <v>-1141606.1260000002</v>
      </c>
      <c r="K74" s="64">
        <f t="shared" si="13"/>
        <v>-1141606.1260000002</v>
      </c>
      <c r="L74" s="64">
        <f t="shared" si="13"/>
        <v>-1141606.1260000002</v>
      </c>
      <c r="M74" s="64">
        <f t="shared" si="13"/>
        <v>-1141606.1260000002</v>
      </c>
      <c r="N74" s="64">
        <f t="shared" si="13"/>
        <v>-1141606.1260000002</v>
      </c>
      <c r="O74" s="64">
        <f t="shared" si="13"/>
        <v>-1141606.1260000002</v>
      </c>
      <c r="P74" s="2">
        <f t="shared" ref="P74:P77" si="15">Q74*13</f>
        <v>-14231989.512000002</v>
      </c>
      <c r="Q74" s="2">
        <f>'working capital and def tax 21'!Q74*1.0826</f>
        <v>-1094768.4240000001</v>
      </c>
      <c r="R74" s="2">
        <f t="shared" si="2"/>
        <v>0</v>
      </c>
      <c r="S74" s="15" t="s">
        <v>502</v>
      </c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3"/>
    </row>
    <row r="75" spans="1:35" x14ac:dyDescent="0.25">
      <c r="A75" s="13" t="s">
        <v>116</v>
      </c>
      <c r="B75" s="13" t="s">
        <v>117</v>
      </c>
      <c r="C75" s="64">
        <v>-3980</v>
      </c>
      <c r="D75" s="64">
        <f t="shared" si="14"/>
        <v>-6429.6214166666678</v>
      </c>
      <c r="E75" s="64">
        <f t="shared" si="13"/>
        <v>-6429.6214166666678</v>
      </c>
      <c r="F75" s="64">
        <f t="shared" si="13"/>
        <v>-6429.6214166666678</v>
      </c>
      <c r="G75" s="64">
        <f t="shared" si="13"/>
        <v>-6429.6214166666678</v>
      </c>
      <c r="H75" s="64">
        <f t="shared" si="13"/>
        <v>-6429.6214166666678</v>
      </c>
      <c r="I75" s="64">
        <f t="shared" si="13"/>
        <v>-6429.6214166666678</v>
      </c>
      <c r="J75" s="64">
        <f t="shared" si="13"/>
        <v>-6429.6214166666678</v>
      </c>
      <c r="K75" s="64">
        <f t="shared" si="13"/>
        <v>-6429.6214166666678</v>
      </c>
      <c r="L75" s="64">
        <f t="shared" si="13"/>
        <v>-6429.6214166666678</v>
      </c>
      <c r="M75" s="64">
        <f t="shared" si="13"/>
        <v>-6429.6214166666678</v>
      </c>
      <c r="N75" s="64">
        <f t="shared" si="13"/>
        <v>-6429.6214166666678</v>
      </c>
      <c r="O75" s="64">
        <f t="shared" si="13"/>
        <v>-6429.6214166666678</v>
      </c>
      <c r="P75" s="2">
        <f t="shared" si="15"/>
        <v>-81135.457000000009</v>
      </c>
      <c r="Q75" s="2">
        <f>'working capital and def tax 21'!Q75*1.0826</f>
        <v>-6241.1890000000003</v>
      </c>
      <c r="R75" s="2">
        <f t="shared" si="2"/>
        <v>0</v>
      </c>
      <c r="S75" s="15" t="s">
        <v>502</v>
      </c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3"/>
    </row>
    <row r="76" spans="1:35" x14ac:dyDescent="0.25">
      <c r="A76" s="13" t="s">
        <v>118</v>
      </c>
      <c r="B76" s="13" t="s">
        <v>119</v>
      </c>
      <c r="C76" s="64">
        <v>1662505</v>
      </c>
      <c r="D76" s="64">
        <f t="shared" si="14"/>
        <v>2424042.3954500002</v>
      </c>
      <c r="E76" s="64">
        <f t="shared" si="13"/>
        <v>2424042.3954500002</v>
      </c>
      <c r="F76" s="64">
        <f t="shared" si="13"/>
        <v>2424042.3954500002</v>
      </c>
      <c r="G76" s="64">
        <f t="shared" si="13"/>
        <v>2424042.3954500002</v>
      </c>
      <c r="H76" s="64">
        <f t="shared" si="13"/>
        <v>2424042.3954500002</v>
      </c>
      <c r="I76" s="64">
        <f t="shared" si="13"/>
        <v>2424042.3954500002</v>
      </c>
      <c r="J76" s="64">
        <f t="shared" si="13"/>
        <v>2424042.3954500002</v>
      </c>
      <c r="K76" s="64">
        <f t="shared" si="13"/>
        <v>2424042.3954500002</v>
      </c>
      <c r="L76" s="64">
        <f t="shared" si="13"/>
        <v>2424042.3954500002</v>
      </c>
      <c r="M76" s="64">
        <f t="shared" si="13"/>
        <v>2424042.3954500002</v>
      </c>
      <c r="N76" s="64">
        <f t="shared" si="13"/>
        <v>2424042.3954500002</v>
      </c>
      <c r="O76" s="64">
        <f t="shared" si="13"/>
        <v>2424042.3954500002</v>
      </c>
      <c r="P76" s="2">
        <f t="shared" si="15"/>
        <v>30751013.745400004</v>
      </c>
      <c r="Q76" s="2">
        <f>'working capital and def tax 21'!Q76*1.0826</f>
        <v>2365462.5958000002</v>
      </c>
      <c r="R76" s="2">
        <f t="shared" si="2"/>
        <v>0</v>
      </c>
      <c r="S76" s="15" t="s">
        <v>502</v>
      </c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3"/>
    </row>
    <row r="77" spans="1:35" x14ac:dyDescent="0.25">
      <c r="A77" s="30" t="s">
        <v>120</v>
      </c>
      <c r="B77" s="31"/>
      <c r="C77" s="64"/>
      <c r="D77" s="64">
        <f t="shared" si="14"/>
        <v>948901.06520000007</v>
      </c>
      <c r="E77" s="64">
        <f t="shared" si="13"/>
        <v>948901.06520000007</v>
      </c>
      <c r="F77" s="64">
        <f t="shared" si="13"/>
        <v>948901.06520000007</v>
      </c>
      <c r="G77" s="64">
        <f t="shared" si="13"/>
        <v>948901.06520000007</v>
      </c>
      <c r="H77" s="64">
        <f t="shared" si="13"/>
        <v>948901.06520000007</v>
      </c>
      <c r="I77" s="64">
        <f t="shared" si="13"/>
        <v>948901.06520000007</v>
      </c>
      <c r="J77" s="64">
        <f t="shared" si="13"/>
        <v>948901.06520000007</v>
      </c>
      <c r="K77" s="64">
        <f t="shared" si="13"/>
        <v>948901.06520000007</v>
      </c>
      <c r="L77" s="64">
        <f t="shared" si="13"/>
        <v>948901.06520000007</v>
      </c>
      <c r="M77" s="64">
        <f t="shared" si="13"/>
        <v>948901.06520000007</v>
      </c>
      <c r="N77" s="64">
        <f t="shared" si="13"/>
        <v>948901.06520000007</v>
      </c>
      <c r="O77" s="64">
        <f t="shared" si="13"/>
        <v>948901.06520000007</v>
      </c>
      <c r="P77" s="2">
        <f t="shared" si="15"/>
        <v>11386812.782400001</v>
      </c>
      <c r="Q77" s="2">
        <f>'working capital and def tax 21'!Q77*1.0826</f>
        <v>875908.67556923081</v>
      </c>
      <c r="R77" s="2">
        <f t="shared" si="2"/>
        <v>0</v>
      </c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4"/>
    </row>
    <row r="78" spans="1:35" x14ac:dyDescent="0.25">
      <c r="A78" s="35"/>
      <c r="B78" s="35"/>
      <c r="C78" s="36" t="s">
        <v>67</v>
      </c>
      <c r="D78" s="36" t="s">
        <v>67</v>
      </c>
      <c r="E78" s="36" t="s">
        <v>67</v>
      </c>
      <c r="F78" s="36" t="s">
        <v>67</v>
      </c>
      <c r="G78" s="36" t="s">
        <v>67</v>
      </c>
      <c r="H78" s="36" t="s">
        <v>67</v>
      </c>
      <c r="I78" s="36" t="s">
        <v>67</v>
      </c>
      <c r="J78" s="36" t="s">
        <v>67</v>
      </c>
      <c r="K78" s="36" t="s">
        <v>67</v>
      </c>
      <c r="L78" s="36" t="s">
        <v>67</v>
      </c>
      <c r="M78" s="36" t="s">
        <v>67</v>
      </c>
      <c r="N78" s="36" t="s">
        <v>67</v>
      </c>
      <c r="O78" s="36" t="s">
        <v>67</v>
      </c>
      <c r="P78" s="36" t="s">
        <v>67</v>
      </c>
      <c r="Q78" s="36" t="s">
        <v>67</v>
      </c>
      <c r="R78" s="2" t="e">
        <f t="shared" si="2"/>
        <v>#VALUE!</v>
      </c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3"/>
    </row>
    <row r="79" spans="1:35" x14ac:dyDescent="0.25">
      <c r="A79" s="37" t="s">
        <v>121</v>
      </c>
      <c r="B79" s="38"/>
      <c r="C79" s="39">
        <v>1405403</v>
      </c>
      <c r="D79" s="39">
        <f t="shared" ref="D79:P79" si="16">SUM(D73:D77)</f>
        <v>1074007.1475166669</v>
      </c>
      <c r="E79" s="147">
        <f t="shared" si="16"/>
        <v>1074007.1475166669</v>
      </c>
      <c r="F79" s="39">
        <f t="shared" si="16"/>
        <v>1074007.1475166669</v>
      </c>
      <c r="G79" s="39">
        <f t="shared" si="16"/>
        <v>1074007.1475166669</v>
      </c>
      <c r="H79" s="39">
        <f t="shared" si="16"/>
        <v>1074007.1475166669</v>
      </c>
      <c r="I79" s="39">
        <f t="shared" si="16"/>
        <v>1074007.1475166669</v>
      </c>
      <c r="J79" s="39">
        <f t="shared" si="16"/>
        <v>1074007.1475166669</v>
      </c>
      <c r="K79" s="39">
        <f t="shared" si="16"/>
        <v>1074007.1475166669</v>
      </c>
      <c r="L79" s="39">
        <f t="shared" si="16"/>
        <v>1074007.1475166669</v>
      </c>
      <c r="M79" s="39">
        <f t="shared" si="16"/>
        <v>1074007.1475166669</v>
      </c>
      <c r="N79" s="39">
        <f t="shared" si="16"/>
        <v>1074007.1475166669</v>
      </c>
      <c r="O79" s="39">
        <f t="shared" si="16"/>
        <v>1074007.1475166669</v>
      </c>
      <c r="P79" s="39">
        <f t="shared" si="16"/>
        <v>14293488.770200007</v>
      </c>
      <c r="Q79" s="39">
        <f>SUM(Q73:Q78)</f>
        <v>1099499.136169231</v>
      </c>
      <c r="R79" s="2">
        <f t="shared" si="2"/>
        <v>0</v>
      </c>
      <c r="S79" s="15">
        <f>Q79*13</f>
        <v>14293488.770200003</v>
      </c>
      <c r="T79" s="15" t="s">
        <v>16</v>
      </c>
      <c r="U79" s="15">
        <f>$Q79*U$5</f>
        <v>234193.31600404621</v>
      </c>
      <c r="V79" s="15">
        <f t="shared" ref="V79:Z79" si="17">$Q79*V$5</f>
        <v>382625.69938689237</v>
      </c>
      <c r="W79" s="15">
        <f t="shared" si="17"/>
        <v>158327.87560836924</v>
      </c>
      <c r="X79" s="15">
        <f t="shared" si="17"/>
        <v>1099.499136169231</v>
      </c>
      <c r="Y79" s="15">
        <f t="shared" si="17"/>
        <v>1099.499136169231</v>
      </c>
      <c r="Z79" s="15">
        <f t="shared" si="17"/>
        <v>322153.2468975847</v>
      </c>
      <c r="AA79" s="15"/>
      <c r="AB79" s="15" t="s">
        <v>16</v>
      </c>
      <c r="AC79" s="15">
        <f>$O79*AC$5</f>
        <v>228763.52242105006</v>
      </c>
      <c r="AD79" s="15">
        <f t="shared" ref="AD79:AH79" si="18">$O79*AD$5</f>
        <v>373754.48733580008</v>
      </c>
      <c r="AE79" s="15">
        <f t="shared" si="18"/>
        <v>154657.02924240002</v>
      </c>
      <c r="AF79" s="15">
        <f t="shared" si="18"/>
        <v>1074.0071475166669</v>
      </c>
      <c r="AG79" s="15">
        <f t="shared" si="18"/>
        <v>1074.0071475166669</v>
      </c>
      <c r="AH79" s="15">
        <f t="shared" si="18"/>
        <v>314684.0942223834</v>
      </c>
      <c r="AI79" s="27">
        <f>SUM(AC79:AH79)-O79</f>
        <v>0</v>
      </c>
    </row>
    <row r="80" spans="1:35" x14ac:dyDescent="0.25">
      <c r="A80" s="35"/>
      <c r="B80" s="35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">
        <f t="shared" si="2"/>
        <v>0</v>
      </c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3"/>
    </row>
    <row r="81" spans="1:35" x14ac:dyDescent="0.25">
      <c r="A81" s="21" t="s">
        <v>122</v>
      </c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">
        <f t="shared" ref="R81:R144" si="19">(SUM(C81:O81)/13)-Q81</f>
        <v>0</v>
      </c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3"/>
    </row>
    <row r="82" spans="1:35" x14ac:dyDescent="0.25">
      <c r="A82" s="13" t="s">
        <v>123</v>
      </c>
      <c r="B82" s="13" t="s">
        <v>124</v>
      </c>
      <c r="C82" s="64">
        <v>-2464378</v>
      </c>
      <c r="D82" s="64">
        <f t="shared" ref="D82:O84" si="20">(($P82-$C82)/12)</f>
        <v>-3234113.5564166666</v>
      </c>
      <c r="E82" s="64">
        <f t="shared" si="20"/>
        <v>-3234113.5564166666</v>
      </c>
      <c r="F82" s="64">
        <f t="shared" si="20"/>
        <v>-3234113.5564166666</v>
      </c>
      <c r="G82" s="64">
        <f t="shared" si="20"/>
        <v>-3234113.5564166666</v>
      </c>
      <c r="H82" s="64">
        <f t="shared" si="20"/>
        <v>-3234113.5564166666</v>
      </c>
      <c r="I82" s="64">
        <f t="shared" si="20"/>
        <v>-3234113.5564166666</v>
      </c>
      <c r="J82" s="64">
        <f t="shared" si="20"/>
        <v>-3234113.5564166666</v>
      </c>
      <c r="K82" s="64">
        <f t="shared" si="20"/>
        <v>-3234113.5564166666</v>
      </c>
      <c r="L82" s="64">
        <f t="shared" si="20"/>
        <v>-3234113.5564166666</v>
      </c>
      <c r="M82" s="64">
        <f t="shared" si="20"/>
        <v>-3234113.5564166666</v>
      </c>
      <c r="N82" s="64">
        <f t="shared" si="20"/>
        <v>-3234113.5564166666</v>
      </c>
      <c r="O82" s="64">
        <f t="shared" si="20"/>
        <v>-3234113.5564166666</v>
      </c>
      <c r="P82" s="2">
        <f t="shared" ref="P82:P84" si="21">Q82*13</f>
        <v>-41273740.677000001</v>
      </c>
      <c r="Q82" s="2">
        <f>'working capital and def tax 21'!Q82*1.0826</f>
        <v>-3174903.1290000002</v>
      </c>
      <c r="R82" s="2">
        <f t="shared" si="19"/>
        <v>0</v>
      </c>
      <c r="S82" s="15" t="s">
        <v>502</v>
      </c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3"/>
    </row>
    <row r="83" spans="1:35" x14ac:dyDescent="0.25">
      <c r="A83" s="13" t="s">
        <v>125</v>
      </c>
      <c r="B83" s="13" t="s">
        <v>126</v>
      </c>
      <c r="C83" s="64">
        <v>-781627</v>
      </c>
      <c r="D83" s="64">
        <f t="shared" si="20"/>
        <v>-353966.93404999998</v>
      </c>
      <c r="E83" s="64">
        <f t="shared" si="20"/>
        <v>-353966.93404999998</v>
      </c>
      <c r="F83" s="64">
        <f t="shared" si="20"/>
        <v>-353966.93404999998</v>
      </c>
      <c r="G83" s="64">
        <f t="shared" si="20"/>
        <v>-353966.93404999998</v>
      </c>
      <c r="H83" s="64">
        <f t="shared" si="20"/>
        <v>-353966.93404999998</v>
      </c>
      <c r="I83" s="64">
        <f t="shared" si="20"/>
        <v>-353966.93404999998</v>
      </c>
      <c r="J83" s="64">
        <f t="shared" si="20"/>
        <v>-353966.93404999998</v>
      </c>
      <c r="K83" s="64">
        <f t="shared" si="20"/>
        <v>-353966.93404999998</v>
      </c>
      <c r="L83" s="64">
        <f t="shared" si="20"/>
        <v>-353966.93404999998</v>
      </c>
      <c r="M83" s="64">
        <f t="shared" si="20"/>
        <v>-353966.93404999998</v>
      </c>
      <c r="N83" s="64">
        <f t="shared" si="20"/>
        <v>-353966.93404999998</v>
      </c>
      <c r="O83" s="64">
        <f t="shared" si="20"/>
        <v>-353966.93404999998</v>
      </c>
      <c r="P83" s="2">
        <f t="shared" si="21"/>
        <v>-5029230.2085999995</v>
      </c>
      <c r="Q83" s="2">
        <f>'working capital and def tax 21'!Q83*1.0826</f>
        <v>-386863.86219999997</v>
      </c>
      <c r="R83" s="2">
        <f t="shared" si="19"/>
        <v>0</v>
      </c>
      <c r="S83" s="15" t="s">
        <v>502</v>
      </c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</row>
    <row r="84" spans="1:35" x14ac:dyDescent="0.25">
      <c r="A84" s="13" t="s">
        <v>127</v>
      </c>
      <c r="B84" s="13" t="s">
        <v>128</v>
      </c>
      <c r="C84" s="64">
        <v>2464378</v>
      </c>
      <c r="D84" s="64">
        <f t="shared" si="20"/>
        <v>3234113.5564166666</v>
      </c>
      <c r="E84" s="64">
        <f t="shared" si="20"/>
        <v>3234113.5564166666</v>
      </c>
      <c r="F84" s="64">
        <f t="shared" si="20"/>
        <v>3234113.5564166666</v>
      </c>
      <c r="G84" s="64">
        <f t="shared" si="20"/>
        <v>3234113.5564166666</v>
      </c>
      <c r="H84" s="64">
        <f t="shared" si="20"/>
        <v>3234113.5564166666</v>
      </c>
      <c r="I84" s="64">
        <f t="shared" si="20"/>
        <v>3234113.5564166666</v>
      </c>
      <c r="J84" s="64">
        <f t="shared" si="20"/>
        <v>3234113.5564166666</v>
      </c>
      <c r="K84" s="64">
        <f t="shared" si="20"/>
        <v>3234113.5564166666</v>
      </c>
      <c r="L84" s="64">
        <f t="shared" si="20"/>
        <v>3234113.5564166666</v>
      </c>
      <c r="M84" s="64">
        <f t="shared" si="20"/>
        <v>3234113.5564166666</v>
      </c>
      <c r="N84" s="64">
        <f t="shared" si="20"/>
        <v>3234113.5564166666</v>
      </c>
      <c r="O84" s="64">
        <f t="shared" si="20"/>
        <v>3234113.5564166666</v>
      </c>
      <c r="P84" s="2">
        <f t="shared" si="21"/>
        <v>41273740.677000001</v>
      </c>
      <c r="Q84" s="2">
        <f>'working capital and def tax 21'!Q84*1.0826</f>
        <v>3174903.1290000002</v>
      </c>
      <c r="R84" s="2">
        <f t="shared" si="19"/>
        <v>0</v>
      </c>
      <c r="S84" s="15" t="s">
        <v>502</v>
      </c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3"/>
    </row>
    <row r="85" spans="1:35" x14ac:dyDescent="0.25">
      <c r="C85" s="26" t="s">
        <v>67</v>
      </c>
      <c r="D85" s="26" t="s">
        <v>67</v>
      </c>
      <c r="E85" s="26" t="s">
        <v>67</v>
      </c>
      <c r="F85" s="26" t="s">
        <v>67</v>
      </c>
      <c r="G85" s="26" t="s">
        <v>67</v>
      </c>
      <c r="H85" s="26" t="s">
        <v>67</v>
      </c>
      <c r="I85" s="26" t="s">
        <v>67</v>
      </c>
      <c r="J85" s="26" t="s">
        <v>67</v>
      </c>
      <c r="K85" s="26" t="s">
        <v>67</v>
      </c>
      <c r="L85" s="26" t="s">
        <v>67</v>
      </c>
      <c r="M85" s="26" t="s">
        <v>67</v>
      </c>
      <c r="N85" s="26" t="s">
        <v>67</v>
      </c>
      <c r="O85" s="26" t="s">
        <v>67</v>
      </c>
      <c r="P85" s="26" t="s">
        <v>67</v>
      </c>
      <c r="Q85" s="26" t="s">
        <v>67</v>
      </c>
      <c r="R85" s="2" t="e">
        <f t="shared" si="19"/>
        <v>#VALUE!</v>
      </c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3"/>
    </row>
    <row r="86" spans="1:35" x14ac:dyDescent="0.25">
      <c r="A86" s="21" t="s">
        <v>129</v>
      </c>
      <c r="B86" s="22"/>
      <c r="C86" s="23">
        <v>-781627</v>
      </c>
      <c r="D86" s="23">
        <f t="shared" ref="D86:Q86" si="22">SUM(D82:D84)</f>
        <v>-353966.93404999981</v>
      </c>
      <c r="E86" s="146">
        <f t="shared" si="22"/>
        <v>-353966.93404999981</v>
      </c>
      <c r="F86" s="23">
        <f t="shared" si="22"/>
        <v>-353966.93404999981</v>
      </c>
      <c r="G86" s="23">
        <f t="shared" si="22"/>
        <v>-353966.93404999981</v>
      </c>
      <c r="H86" s="23">
        <f t="shared" si="22"/>
        <v>-353966.93404999981</v>
      </c>
      <c r="I86" s="23">
        <f t="shared" si="22"/>
        <v>-353966.93404999981</v>
      </c>
      <c r="J86" s="23">
        <f t="shared" si="22"/>
        <v>-353966.93404999981</v>
      </c>
      <c r="K86" s="23">
        <f t="shared" si="22"/>
        <v>-353966.93404999981</v>
      </c>
      <c r="L86" s="23">
        <f t="shared" si="22"/>
        <v>-353966.93404999981</v>
      </c>
      <c r="M86" s="23">
        <f t="shared" si="22"/>
        <v>-353966.93404999981</v>
      </c>
      <c r="N86" s="23">
        <f t="shared" si="22"/>
        <v>-353966.93404999981</v>
      </c>
      <c r="O86" s="23">
        <f t="shared" si="22"/>
        <v>-353966.93404999981</v>
      </c>
      <c r="P86" s="23">
        <f t="shared" si="22"/>
        <v>-5029230.2085999995</v>
      </c>
      <c r="Q86" s="23">
        <f t="shared" si="22"/>
        <v>-386863.86219999986</v>
      </c>
      <c r="R86" s="2">
        <f t="shared" si="19"/>
        <v>0</v>
      </c>
      <c r="S86" s="15">
        <f>SUM(U86:Z86)-Q86</f>
        <v>0</v>
      </c>
      <c r="T86" s="15" t="s">
        <v>16</v>
      </c>
      <c r="U86" s="15">
        <f t="shared" ref="U86:Z86" si="23">$Q86*U5</f>
        <v>-82402.00264859997</v>
      </c>
      <c r="V86" s="15">
        <f t="shared" si="23"/>
        <v>-134628.62404559995</v>
      </c>
      <c r="W86" s="151">
        <f t="shared" si="23"/>
        <v>-55708.396156799972</v>
      </c>
      <c r="X86" s="15">
        <f t="shared" si="23"/>
        <v>-386.86386219999986</v>
      </c>
      <c r="Y86" s="15">
        <f t="shared" si="23"/>
        <v>-386.86386219999986</v>
      </c>
      <c r="Z86" s="15">
        <f t="shared" si="23"/>
        <v>-113351.11162459996</v>
      </c>
      <c r="AA86" s="15"/>
      <c r="AB86" s="15" t="s">
        <v>16</v>
      </c>
      <c r="AC86" s="15">
        <f t="shared" ref="AC86:AH86" si="24">$O86*AC$5</f>
        <v>-75394.956952649954</v>
      </c>
      <c r="AD86" s="15">
        <f t="shared" si="24"/>
        <v>-123180.49304939993</v>
      </c>
      <c r="AE86" s="15">
        <f t="shared" si="24"/>
        <v>-50971.238503199966</v>
      </c>
      <c r="AF86" s="15">
        <f t="shared" si="24"/>
        <v>-353.96693404999979</v>
      </c>
      <c r="AG86" s="15">
        <f t="shared" si="24"/>
        <v>-353.96693404999979</v>
      </c>
      <c r="AH86" s="15">
        <f t="shared" si="24"/>
        <v>-103712.31167664994</v>
      </c>
      <c r="AI86" s="27">
        <f>SUM(AC86:AH86)-O86</f>
        <v>0</v>
      </c>
    </row>
    <row r="87" spans="1:35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>
        <f t="shared" si="19"/>
        <v>0</v>
      </c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3"/>
    </row>
    <row r="88" spans="1:35" x14ac:dyDescent="0.25">
      <c r="A88" s="21" t="s">
        <v>130</v>
      </c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">
        <f t="shared" si="19"/>
        <v>0</v>
      </c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3"/>
    </row>
    <row r="89" spans="1:35" x14ac:dyDescent="0.25">
      <c r="A89" s="13" t="s">
        <v>131</v>
      </c>
      <c r="B89" s="13" t="s">
        <v>132</v>
      </c>
      <c r="C89" s="64">
        <v>0</v>
      </c>
      <c r="D89" s="64">
        <f t="shared" ref="D89:O90" si="25">(($P89-$C89)/12)</f>
        <v>16017.157216666666</v>
      </c>
      <c r="E89" s="64">
        <f t="shared" si="25"/>
        <v>16017.157216666666</v>
      </c>
      <c r="F89" s="64">
        <f t="shared" si="25"/>
        <v>16017.157216666666</v>
      </c>
      <c r="G89" s="64">
        <f t="shared" si="25"/>
        <v>16017.157216666666</v>
      </c>
      <c r="H89" s="64">
        <f t="shared" si="25"/>
        <v>16017.157216666666</v>
      </c>
      <c r="I89" s="64">
        <f t="shared" si="25"/>
        <v>16017.157216666666</v>
      </c>
      <c r="J89" s="64">
        <f t="shared" si="25"/>
        <v>16017.157216666666</v>
      </c>
      <c r="K89" s="64">
        <f t="shared" si="25"/>
        <v>16017.157216666666</v>
      </c>
      <c r="L89" s="64">
        <f t="shared" si="25"/>
        <v>16017.157216666666</v>
      </c>
      <c r="M89" s="64">
        <f t="shared" si="25"/>
        <v>16017.157216666666</v>
      </c>
      <c r="N89" s="64">
        <f t="shared" si="25"/>
        <v>16017.157216666666</v>
      </c>
      <c r="O89" s="64">
        <f t="shared" si="25"/>
        <v>16017.157216666666</v>
      </c>
      <c r="P89" s="2">
        <f t="shared" ref="P89:P90" si="26">Q89*13</f>
        <v>192205.8866</v>
      </c>
      <c r="Q89" s="2">
        <f>'working capital and def tax 21'!Q89*1.0826</f>
        <v>14785.0682</v>
      </c>
      <c r="R89" s="2">
        <f t="shared" si="19"/>
        <v>0</v>
      </c>
      <c r="S89" s="15" t="s">
        <v>502</v>
      </c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3"/>
    </row>
    <row r="90" spans="1:35" x14ac:dyDescent="0.25">
      <c r="A90" s="13" t="s">
        <v>133</v>
      </c>
      <c r="B90" s="13" t="s">
        <v>134</v>
      </c>
      <c r="C90" s="64">
        <v>-671</v>
      </c>
      <c r="D90" s="64">
        <f t="shared" si="25"/>
        <v>-731.04331666666667</v>
      </c>
      <c r="E90" s="64">
        <f t="shared" si="25"/>
        <v>-731.04331666666667</v>
      </c>
      <c r="F90" s="64">
        <f t="shared" si="25"/>
        <v>-731.04331666666667</v>
      </c>
      <c r="G90" s="64">
        <f t="shared" si="25"/>
        <v>-731.04331666666667</v>
      </c>
      <c r="H90" s="64">
        <f t="shared" si="25"/>
        <v>-731.04331666666667</v>
      </c>
      <c r="I90" s="64">
        <f t="shared" si="25"/>
        <v>-731.04331666666667</v>
      </c>
      <c r="J90" s="64">
        <f t="shared" si="25"/>
        <v>-731.04331666666667</v>
      </c>
      <c r="K90" s="64">
        <f t="shared" si="25"/>
        <v>-731.04331666666667</v>
      </c>
      <c r="L90" s="64">
        <f t="shared" si="25"/>
        <v>-731.04331666666667</v>
      </c>
      <c r="M90" s="64">
        <f t="shared" si="25"/>
        <v>-731.04331666666667</v>
      </c>
      <c r="N90" s="64">
        <f t="shared" si="25"/>
        <v>-731.04331666666667</v>
      </c>
      <c r="O90" s="64">
        <f t="shared" si="25"/>
        <v>-731.04331666666667</v>
      </c>
      <c r="P90" s="2">
        <f t="shared" si="26"/>
        <v>-9443.5198</v>
      </c>
      <c r="Q90" s="2">
        <f>'working capital and def tax 21'!Q90*1.0826</f>
        <v>-726.42460000000005</v>
      </c>
      <c r="R90" s="2">
        <f t="shared" si="19"/>
        <v>0</v>
      </c>
      <c r="S90" s="15" t="s">
        <v>502</v>
      </c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3"/>
    </row>
    <row r="91" spans="1:35" x14ac:dyDescent="0.25">
      <c r="C91" s="26" t="s">
        <v>67</v>
      </c>
      <c r="D91" s="26" t="s">
        <v>67</v>
      </c>
      <c r="E91" s="26" t="s">
        <v>67</v>
      </c>
      <c r="F91" s="26" t="s">
        <v>67</v>
      </c>
      <c r="G91" s="26" t="s">
        <v>67</v>
      </c>
      <c r="H91" s="26" t="s">
        <v>67</v>
      </c>
      <c r="I91" s="26" t="s">
        <v>67</v>
      </c>
      <c r="J91" s="26" t="s">
        <v>67</v>
      </c>
      <c r="K91" s="26" t="s">
        <v>67</v>
      </c>
      <c r="L91" s="26" t="s">
        <v>67</v>
      </c>
      <c r="M91" s="26" t="s">
        <v>67</v>
      </c>
      <c r="N91" s="26" t="s">
        <v>67</v>
      </c>
      <c r="O91" s="26" t="s">
        <v>67</v>
      </c>
      <c r="P91" s="26" t="s">
        <v>67</v>
      </c>
      <c r="Q91" s="26" t="s">
        <v>67</v>
      </c>
      <c r="R91" s="2" t="e">
        <f t="shared" si="19"/>
        <v>#VALUE!</v>
      </c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3"/>
    </row>
    <row r="92" spans="1:35" x14ac:dyDescent="0.25">
      <c r="A92" s="21" t="s">
        <v>135</v>
      </c>
      <c r="B92" s="22"/>
      <c r="C92" s="23">
        <v>-671</v>
      </c>
      <c r="D92" s="23">
        <f t="shared" ref="D92:Q92" si="27">SUM(D89:D90)</f>
        <v>15286.1139</v>
      </c>
      <c r="E92" s="146">
        <f t="shared" si="27"/>
        <v>15286.1139</v>
      </c>
      <c r="F92" s="23">
        <f t="shared" si="27"/>
        <v>15286.1139</v>
      </c>
      <c r="G92" s="23">
        <f t="shared" si="27"/>
        <v>15286.1139</v>
      </c>
      <c r="H92" s="23">
        <f t="shared" si="27"/>
        <v>15286.1139</v>
      </c>
      <c r="I92" s="23">
        <f t="shared" si="27"/>
        <v>15286.1139</v>
      </c>
      <c r="J92" s="23">
        <f t="shared" si="27"/>
        <v>15286.1139</v>
      </c>
      <c r="K92" s="23">
        <f t="shared" si="27"/>
        <v>15286.1139</v>
      </c>
      <c r="L92" s="23">
        <f t="shared" si="27"/>
        <v>15286.1139</v>
      </c>
      <c r="M92" s="23">
        <f t="shared" si="27"/>
        <v>15286.1139</v>
      </c>
      <c r="N92" s="23">
        <f t="shared" si="27"/>
        <v>15286.1139</v>
      </c>
      <c r="O92" s="23">
        <f t="shared" si="27"/>
        <v>15286.1139</v>
      </c>
      <c r="P92" s="23">
        <f t="shared" si="27"/>
        <v>182762.36679999999</v>
      </c>
      <c r="Q92" s="23">
        <f t="shared" si="27"/>
        <v>14058.643599999999</v>
      </c>
      <c r="R92" s="2">
        <f t="shared" si="19"/>
        <v>0</v>
      </c>
      <c r="S92" s="15">
        <f>SUM(U92:Z92)-Q92</f>
        <v>0</v>
      </c>
      <c r="T92" s="15" t="s">
        <v>16</v>
      </c>
      <c r="U92" s="15">
        <f t="shared" ref="U92:Z92" si="28">$Q92*U5</f>
        <v>2994.4910867999997</v>
      </c>
      <c r="V92" s="15">
        <f t="shared" si="28"/>
        <v>4892.4079727999997</v>
      </c>
      <c r="W92" s="15">
        <f t="shared" si="28"/>
        <v>2024.4446783999997</v>
      </c>
      <c r="X92" s="15">
        <f t="shared" si="28"/>
        <v>14.0586436</v>
      </c>
      <c r="Y92" s="15">
        <f t="shared" si="28"/>
        <v>14.0586436</v>
      </c>
      <c r="Z92" s="15">
        <f t="shared" si="28"/>
        <v>4119.1825747999992</v>
      </c>
      <c r="AA92" s="15"/>
      <c r="AB92" s="15" t="s">
        <v>16</v>
      </c>
      <c r="AC92" s="15">
        <f t="shared" ref="AC92:AH92" si="29">$O92*AC$5</f>
        <v>3255.9422607000001</v>
      </c>
      <c r="AD92" s="15">
        <f t="shared" si="29"/>
        <v>5319.5676371999998</v>
      </c>
      <c r="AE92" s="15">
        <f t="shared" si="29"/>
        <v>2201.2004016000001</v>
      </c>
      <c r="AF92" s="15">
        <f t="shared" si="29"/>
        <v>15.2861139</v>
      </c>
      <c r="AG92" s="15">
        <f t="shared" si="29"/>
        <v>15.2861139</v>
      </c>
      <c r="AH92" s="15">
        <f t="shared" si="29"/>
        <v>4478.8313726999995</v>
      </c>
      <c r="AI92" s="27">
        <f>SUM(AC92:AH92)-O92</f>
        <v>0</v>
      </c>
    </row>
    <row r="93" spans="1:35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>
        <f t="shared" si="19"/>
        <v>0</v>
      </c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3"/>
    </row>
    <row r="94" spans="1:35" x14ac:dyDescent="0.25">
      <c r="A94" s="21" t="s">
        <v>136</v>
      </c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">
        <f t="shared" si="19"/>
        <v>0</v>
      </c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3"/>
    </row>
    <row r="95" spans="1:35" x14ac:dyDescent="0.25">
      <c r="A95" s="13" t="s">
        <v>137</v>
      </c>
      <c r="B95" s="13" t="s">
        <v>138</v>
      </c>
      <c r="C95" s="64">
        <v>5587778</v>
      </c>
      <c r="D95" s="64">
        <f>C95</f>
        <v>5587778</v>
      </c>
      <c r="E95" s="64">
        <f t="shared" ref="E95:O95" si="30">D95</f>
        <v>5587778</v>
      </c>
      <c r="F95" s="64">
        <f t="shared" si="30"/>
        <v>5587778</v>
      </c>
      <c r="G95" s="64">
        <f t="shared" si="30"/>
        <v>5587778</v>
      </c>
      <c r="H95" s="64">
        <f t="shared" si="30"/>
        <v>5587778</v>
      </c>
      <c r="I95" s="64">
        <f t="shared" si="30"/>
        <v>5587778</v>
      </c>
      <c r="J95" s="64">
        <f t="shared" si="30"/>
        <v>5587778</v>
      </c>
      <c r="K95" s="64">
        <f t="shared" si="30"/>
        <v>5587778</v>
      </c>
      <c r="L95" s="64">
        <f t="shared" si="30"/>
        <v>5587778</v>
      </c>
      <c r="M95" s="64">
        <f t="shared" si="30"/>
        <v>5587778</v>
      </c>
      <c r="N95" s="64">
        <f t="shared" si="30"/>
        <v>5587778</v>
      </c>
      <c r="O95" s="64">
        <f t="shared" si="30"/>
        <v>5587778</v>
      </c>
      <c r="P95" s="2">
        <f t="shared" ref="P95:P129" si="31">SUM(C95:O95)</f>
        <v>72641114</v>
      </c>
      <c r="Q95" s="2">
        <f t="shared" ref="Q95:Q129" si="32">P95/13</f>
        <v>5587778</v>
      </c>
      <c r="R95" s="2">
        <f t="shared" si="19"/>
        <v>0</v>
      </c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3"/>
    </row>
    <row r="96" spans="1:35" x14ac:dyDescent="0.25">
      <c r="A96" s="13" t="s">
        <v>139</v>
      </c>
      <c r="B96" s="13" t="s">
        <v>140</v>
      </c>
      <c r="C96" s="64">
        <v>10140</v>
      </c>
      <c r="D96" s="64">
        <f t="shared" ref="D96:O129" si="33">C96</f>
        <v>10140</v>
      </c>
      <c r="E96" s="64">
        <f t="shared" si="33"/>
        <v>10140</v>
      </c>
      <c r="F96" s="64">
        <f t="shared" si="33"/>
        <v>10140</v>
      </c>
      <c r="G96" s="64">
        <f t="shared" si="33"/>
        <v>10140</v>
      </c>
      <c r="H96" s="64">
        <f t="shared" si="33"/>
        <v>10140</v>
      </c>
      <c r="I96" s="64">
        <f t="shared" si="33"/>
        <v>10140</v>
      </c>
      <c r="J96" s="64">
        <f t="shared" si="33"/>
        <v>10140</v>
      </c>
      <c r="K96" s="64">
        <f t="shared" si="33"/>
        <v>10140</v>
      </c>
      <c r="L96" s="64">
        <f t="shared" si="33"/>
        <v>10140</v>
      </c>
      <c r="M96" s="64">
        <f t="shared" si="33"/>
        <v>10140</v>
      </c>
      <c r="N96" s="64">
        <f t="shared" si="33"/>
        <v>10140</v>
      </c>
      <c r="O96" s="64">
        <f t="shared" si="33"/>
        <v>10140</v>
      </c>
      <c r="P96" s="2">
        <f t="shared" si="31"/>
        <v>131820</v>
      </c>
      <c r="Q96" s="2">
        <f t="shared" si="32"/>
        <v>10140</v>
      </c>
      <c r="R96" s="2">
        <f t="shared" si="19"/>
        <v>0</v>
      </c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3"/>
    </row>
    <row r="97" spans="1:35" x14ac:dyDescent="0.25">
      <c r="A97" s="13" t="s">
        <v>143</v>
      </c>
      <c r="B97" s="13" t="s">
        <v>144</v>
      </c>
      <c r="C97" s="2">
        <v>261061369</v>
      </c>
      <c r="D97" s="64">
        <f>C97</f>
        <v>261061369</v>
      </c>
      <c r="E97" s="64">
        <f t="shared" si="33"/>
        <v>261061369</v>
      </c>
      <c r="F97" s="64">
        <f t="shared" si="33"/>
        <v>261061369</v>
      </c>
      <c r="G97" s="64">
        <f t="shared" si="33"/>
        <v>261061369</v>
      </c>
      <c r="H97" s="64">
        <f t="shared" si="33"/>
        <v>261061369</v>
      </c>
      <c r="I97" s="64">
        <f t="shared" si="33"/>
        <v>261061369</v>
      </c>
      <c r="J97" s="64">
        <f t="shared" si="33"/>
        <v>261061369</v>
      </c>
      <c r="K97" s="64">
        <f t="shared" si="33"/>
        <v>261061369</v>
      </c>
      <c r="L97" s="64">
        <f t="shared" si="33"/>
        <v>261061369</v>
      </c>
      <c r="M97" s="64">
        <f t="shared" si="33"/>
        <v>261061369</v>
      </c>
      <c r="N97" s="64">
        <f t="shared" si="33"/>
        <v>261061369</v>
      </c>
      <c r="O97" s="64">
        <f t="shared" si="33"/>
        <v>261061369</v>
      </c>
      <c r="P97" s="2">
        <f t="shared" ref="P97" si="34">SUM(C97:O97)</f>
        <v>3393797797</v>
      </c>
      <c r="Q97" s="2">
        <f t="shared" ref="Q97" si="35">P97/13</f>
        <v>261061369</v>
      </c>
      <c r="R97" s="2">
        <f t="shared" si="19"/>
        <v>0</v>
      </c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3"/>
    </row>
    <row r="98" spans="1:35" x14ac:dyDescent="0.25">
      <c r="A98" s="13" t="s">
        <v>141</v>
      </c>
      <c r="B98" s="13" t="s">
        <v>142</v>
      </c>
      <c r="C98" s="64">
        <v>-878937</v>
      </c>
      <c r="D98" s="64">
        <f t="shared" si="33"/>
        <v>-878937</v>
      </c>
      <c r="E98" s="64">
        <f t="shared" si="33"/>
        <v>-878937</v>
      </c>
      <c r="F98" s="64">
        <f t="shared" si="33"/>
        <v>-878937</v>
      </c>
      <c r="G98" s="64">
        <f t="shared" si="33"/>
        <v>-878937</v>
      </c>
      <c r="H98" s="64">
        <f t="shared" si="33"/>
        <v>-878937</v>
      </c>
      <c r="I98" s="64">
        <f t="shared" si="33"/>
        <v>-878937</v>
      </c>
      <c r="J98" s="64">
        <f t="shared" si="33"/>
        <v>-878937</v>
      </c>
      <c r="K98" s="64">
        <f t="shared" si="33"/>
        <v>-878937</v>
      </c>
      <c r="L98" s="64">
        <f t="shared" si="33"/>
        <v>-878937</v>
      </c>
      <c r="M98" s="64">
        <f t="shared" si="33"/>
        <v>-878937</v>
      </c>
      <c r="N98" s="64">
        <f t="shared" si="33"/>
        <v>-878937</v>
      </c>
      <c r="O98" s="64">
        <f t="shared" si="33"/>
        <v>-878937</v>
      </c>
      <c r="P98" s="2">
        <f t="shared" si="31"/>
        <v>-11426181</v>
      </c>
      <c r="Q98" s="2">
        <f t="shared" si="32"/>
        <v>-878937</v>
      </c>
      <c r="R98" s="2">
        <f t="shared" si="19"/>
        <v>0</v>
      </c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3"/>
    </row>
    <row r="99" spans="1:35" x14ac:dyDescent="0.25">
      <c r="A99" s="13" t="s">
        <v>498</v>
      </c>
      <c r="B99" s="13"/>
      <c r="C99" s="64"/>
      <c r="D99" s="2">
        <v>5559166.4270841628</v>
      </c>
      <c r="E99" s="2">
        <v>5752949.0973349959</v>
      </c>
      <c r="F99" s="2">
        <v>5928738.8142524958</v>
      </c>
      <c r="G99" s="2">
        <v>6104528.4311699942</v>
      </c>
      <c r="H99" s="2">
        <v>6280318.0480875</v>
      </c>
      <c r="I99" s="2">
        <v>6456107.665004991</v>
      </c>
      <c r="J99" s="2">
        <v>6631897.2819224894</v>
      </c>
      <c r="K99" s="2">
        <v>6807686.8988399804</v>
      </c>
      <c r="L99" s="2">
        <v>6983476.5157574862</v>
      </c>
      <c r="M99" s="2">
        <v>7159266.1326749772</v>
      </c>
      <c r="N99" s="2">
        <v>7335055.7495924756</v>
      </c>
      <c r="O99" s="2">
        <v>7510845.366509974</v>
      </c>
      <c r="P99" s="2">
        <f t="shared" ref="P99" si="36">SUM(C99:O99)</f>
        <v>78510036.428231522</v>
      </c>
      <c r="Q99" s="2">
        <f t="shared" ref="Q99" si="37">P99/13</f>
        <v>6039233.5714024249</v>
      </c>
      <c r="R99" s="2">
        <f t="shared" si="19"/>
        <v>0</v>
      </c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3"/>
    </row>
    <row r="100" spans="1:35" ht="15.75" customHeight="1" x14ac:dyDescent="0.25">
      <c r="A100" s="13" t="s">
        <v>145</v>
      </c>
      <c r="B100" s="13" t="s">
        <v>146</v>
      </c>
      <c r="C100" s="64">
        <v>2513</v>
      </c>
      <c r="D100" s="64">
        <f t="shared" si="33"/>
        <v>2513</v>
      </c>
      <c r="E100" s="64">
        <f t="shared" si="33"/>
        <v>2513</v>
      </c>
      <c r="F100" s="64">
        <f t="shared" si="33"/>
        <v>2513</v>
      </c>
      <c r="G100" s="64">
        <f t="shared" si="33"/>
        <v>2513</v>
      </c>
      <c r="H100" s="64">
        <f t="shared" si="33"/>
        <v>2513</v>
      </c>
      <c r="I100" s="64">
        <f t="shared" si="33"/>
        <v>2513</v>
      </c>
      <c r="J100" s="64">
        <f t="shared" si="33"/>
        <v>2513</v>
      </c>
      <c r="K100" s="64">
        <f t="shared" si="33"/>
        <v>2513</v>
      </c>
      <c r="L100" s="64">
        <f t="shared" si="33"/>
        <v>2513</v>
      </c>
      <c r="M100" s="64">
        <f t="shared" si="33"/>
        <v>2513</v>
      </c>
      <c r="N100" s="64">
        <f t="shared" si="33"/>
        <v>2513</v>
      </c>
      <c r="O100" s="64">
        <f t="shared" si="33"/>
        <v>2513</v>
      </c>
      <c r="P100" s="2">
        <f t="shared" si="31"/>
        <v>32669</v>
      </c>
      <c r="Q100" s="2">
        <f t="shared" si="32"/>
        <v>2513</v>
      </c>
      <c r="R100" s="2">
        <f t="shared" si="19"/>
        <v>0</v>
      </c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3"/>
    </row>
    <row r="101" spans="1:35" x14ac:dyDescent="0.25">
      <c r="A101" s="13" t="s">
        <v>147</v>
      </c>
      <c r="B101" s="13" t="s">
        <v>148</v>
      </c>
      <c r="C101" s="64">
        <v>717</v>
      </c>
      <c r="D101" s="64">
        <f t="shared" si="33"/>
        <v>717</v>
      </c>
      <c r="E101" s="64">
        <f t="shared" si="33"/>
        <v>717</v>
      </c>
      <c r="F101" s="64">
        <f t="shared" si="33"/>
        <v>717</v>
      </c>
      <c r="G101" s="64">
        <f t="shared" si="33"/>
        <v>717</v>
      </c>
      <c r="H101" s="64">
        <f t="shared" si="33"/>
        <v>717</v>
      </c>
      <c r="I101" s="64">
        <f t="shared" si="33"/>
        <v>717</v>
      </c>
      <c r="J101" s="64">
        <f t="shared" si="33"/>
        <v>717</v>
      </c>
      <c r="K101" s="64">
        <f t="shared" si="33"/>
        <v>717</v>
      </c>
      <c r="L101" s="64">
        <f t="shared" si="33"/>
        <v>717</v>
      </c>
      <c r="M101" s="64">
        <f t="shared" si="33"/>
        <v>717</v>
      </c>
      <c r="N101" s="64">
        <f t="shared" si="33"/>
        <v>717</v>
      </c>
      <c r="O101" s="64">
        <f t="shared" si="33"/>
        <v>717</v>
      </c>
      <c r="P101" s="2">
        <f t="shared" si="31"/>
        <v>9321</v>
      </c>
      <c r="Q101" s="2">
        <f t="shared" si="32"/>
        <v>717</v>
      </c>
      <c r="R101" s="2">
        <f t="shared" si="19"/>
        <v>0</v>
      </c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3"/>
    </row>
    <row r="102" spans="1:35" x14ac:dyDescent="0.25">
      <c r="A102" s="13" t="s">
        <v>149</v>
      </c>
      <c r="B102" s="13" t="s">
        <v>150</v>
      </c>
      <c r="C102" s="64">
        <v>28433</v>
      </c>
      <c r="D102" s="64">
        <f t="shared" si="33"/>
        <v>28433</v>
      </c>
      <c r="E102" s="64">
        <f t="shared" si="33"/>
        <v>28433</v>
      </c>
      <c r="F102" s="64">
        <f t="shared" si="33"/>
        <v>28433</v>
      </c>
      <c r="G102" s="64">
        <f t="shared" si="33"/>
        <v>28433</v>
      </c>
      <c r="H102" s="64">
        <f t="shared" si="33"/>
        <v>28433</v>
      </c>
      <c r="I102" s="64">
        <f t="shared" si="33"/>
        <v>28433</v>
      </c>
      <c r="J102" s="64">
        <f t="shared" si="33"/>
        <v>28433</v>
      </c>
      <c r="K102" s="64">
        <f t="shared" si="33"/>
        <v>28433</v>
      </c>
      <c r="L102" s="64">
        <f t="shared" si="33"/>
        <v>28433</v>
      </c>
      <c r="M102" s="64">
        <f t="shared" si="33"/>
        <v>28433</v>
      </c>
      <c r="N102" s="64">
        <f t="shared" si="33"/>
        <v>28433</v>
      </c>
      <c r="O102" s="64">
        <f t="shared" si="33"/>
        <v>28433</v>
      </c>
      <c r="P102" s="2">
        <f t="shared" si="31"/>
        <v>369629</v>
      </c>
      <c r="Q102" s="2">
        <f t="shared" si="32"/>
        <v>28433</v>
      </c>
      <c r="R102" s="2">
        <f t="shared" si="19"/>
        <v>0</v>
      </c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3"/>
    </row>
    <row r="103" spans="1:35" x14ac:dyDescent="0.25">
      <c r="A103" s="13" t="s">
        <v>151</v>
      </c>
      <c r="B103" s="13" t="s">
        <v>152</v>
      </c>
      <c r="C103" s="64">
        <v>-176556469</v>
      </c>
      <c r="D103" s="64">
        <f t="shared" si="33"/>
        <v>-176556469</v>
      </c>
      <c r="E103" s="64">
        <f t="shared" si="33"/>
        <v>-176556469</v>
      </c>
      <c r="F103" s="64">
        <f t="shared" si="33"/>
        <v>-176556469</v>
      </c>
      <c r="G103" s="64">
        <f t="shared" si="33"/>
        <v>-176556469</v>
      </c>
      <c r="H103" s="64">
        <f t="shared" si="33"/>
        <v>-176556469</v>
      </c>
      <c r="I103" s="64">
        <f t="shared" si="33"/>
        <v>-176556469</v>
      </c>
      <c r="J103" s="64">
        <f t="shared" si="33"/>
        <v>-176556469</v>
      </c>
      <c r="K103" s="64">
        <f t="shared" si="33"/>
        <v>-176556469</v>
      </c>
      <c r="L103" s="64">
        <f t="shared" si="33"/>
        <v>-176556469</v>
      </c>
      <c r="M103" s="64">
        <f t="shared" si="33"/>
        <v>-176556469</v>
      </c>
      <c r="N103" s="64">
        <f t="shared" si="33"/>
        <v>-176556469</v>
      </c>
      <c r="O103" s="64">
        <f t="shared" si="33"/>
        <v>-176556469</v>
      </c>
      <c r="P103" s="2">
        <f t="shared" si="31"/>
        <v>-2295234097</v>
      </c>
      <c r="Q103" s="2">
        <f t="shared" si="32"/>
        <v>-176556469</v>
      </c>
      <c r="R103" s="2">
        <f t="shared" si="19"/>
        <v>0</v>
      </c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3"/>
    </row>
    <row r="104" spans="1:35" x14ac:dyDescent="0.25">
      <c r="A104" s="13" t="s">
        <v>153</v>
      </c>
      <c r="B104" s="13" t="s">
        <v>154</v>
      </c>
      <c r="C104" s="64">
        <v>229881</v>
      </c>
      <c r="D104" s="64">
        <f t="shared" si="33"/>
        <v>229881</v>
      </c>
      <c r="E104" s="64">
        <f t="shared" si="33"/>
        <v>229881</v>
      </c>
      <c r="F104" s="64">
        <f t="shared" si="33"/>
        <v>229881</v>
      </c>
      <c r="G104" s="64">
        <f t="shared" si="33"/>
        <v>229881</v>
      </c>
      <c r="H104" s="64">
        <f t="shared" si="33"/>
        <v>229881</v>
      </c>
      <c r="I104" s="64">
        <f t="shared" si="33"/>
        <v>229881</v>
      </c>
      <c r="J104" s="64">
        <f t="shared" si="33"/>
        <v>229881</v>
      </c>
      <c r="K104" s="64">
        <f t="shared" si="33"/>
        <v>229881</v>
      </c>
      <c r="L104" s="64">
        <f t="shared" si="33"/>
        <v>229881</v>
      </c>
      <c r="M104" s="64">
        <f t="shared" si="33"/>
        <v>229881</v>
      </c>
      <c r="N104" s="64">
        <f t="shared" si="33"/>
        <v>229881</v>
      </c>
      <c r="O104" s="64">
        <f t="shared" si="33"/>
        <v>229881</v>
      </c>
      <c r="P104" s="2">
        <f t="shared" si="31"/>
        <v>2988453</v>
      </c>
      <c r="Q104" s="2">
        <f t="shared" si="32"/>
        <v>229881</v>
      </c>
      <c r="R104" s="2">
        <f t="shared" si="19"/>
        <v>0</v>
      </c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3"/>
    </row>
    <row r="105" spans="1:35" x14ac:dyDescent="0.25">
      <c r="A105" s="13" t="s">
        <v>155</v>
      </c>
      <c r="B105" s="13" t="s">
        <v>156</v>
      </c>
      <c r="C105" s="64">
        <v>205593022</v>
      </c>
      <c r="D105" s="64">
        <f t="shared" si="33"/>
        <v>205593022</v>
      </c>
      <c r="E105" s="64">
        <f t="shared" si="33"/>
        <v>205593022</v>
      </c>
      <c r="F105" s="64">
        <f t="shared" si="33"/>
        <v>205593022</v>
      </c>
      <c r="G105" s="64">
        <f t="shared" si="33"/>
        <v>205593022</v>
      </c>
      <c r="H105" s="64">
        <f t="shared" si="33"/>
        <v>205593022</v>
      </c>
      <c r="I105" s="64">
        <f t="shared" si="33"/>
        <v>205593022</v>
      </c>
      <c r="J105" s="64">
        <f t="shared" si="33"/>
        <v>205593022</v>
      </c>
      <c r="K105" s="64">
        <f t="shared" si="33"/>
        <v>205593022</v>
      </c>
      <c r="L105" s="64">
        <f t="shared" si="33"/>
        <v>205593022</v>
      </c>
      <c r="M105" s="64">
        <f t="shared" si="33"/>
        <v>205593022</v>
      </c>
      <c r="N105" s="64">
        <f t="shared" si="33"/>
        <v>205593022</v>
      </c>
      <c r="O105" s="64">
        <f t="shared" si="33"/>
        <v>205593022</v>
      </c>
      <c r="P105" s="2">
        <f t="shared" si="31"/>
        <v>2672709286</v>
      </c>
      <c r="Q105" s="2">
        <f t="shared" si="32"/>
        <v>205593022</v>
      </c>
      <c r="R105" s="2">
        <f t="shared" si="19"/>
        <v>0</v>
      </c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3"/>
    </row>
    <row r="106" spans="1:35" x14ac:dyDescent="0.25">
      <c r="A106" s="13" t="s">
        <v>157</v>
      </c>
      <c r="B106" s="13" t="s">
        <v>158</v>
      </c>
      <c r="C106" s="64">
        <v>1232745</v>
      </c>
      <c r="D106" s="64">
        <f t="shared" si="33"/>
        <v>1232745</v>
      </c>
      <c r="E106" s="64">
        <f t="shared" si="33"/>
        <v>1232745</v>
      </c>
      <c r="F106" s="64">
        <f t="shared" si="33"/>
        <v>1232745</v>
      </c>
      <c r="G106" s="64">
        <f t="shared" si="33"/>
        <v>1232745</v>
      </c>
      <c r="H106" s="64">
        <f t="shared" si="33"/>
        <v>1232745</v>
      </c>
      <c r="I106" s="64">
        <f t="shared" si="33"/>
        <v>1232745</v>
      </c>
      <c r="J106" s="64">
        <f t="shared" si="33"/>
        <v>1232745</v>
      </c>
      <c r="K106" s="64">
        <f t="shared" si="33"/>
        <v>1232745</v>
      </c>
      <c r="L106" s="64">
        <f t="shared" si="33"/>
        <v>1232745</v>
      </c>
      <c r="M106" s="64">
        <f t="shared" si="33"/>
        <v>1232745</v>
      </c>
      <c r="N106" s="64">
        <f t="shared" si="33"/>
        <v>1232745</v>
      </c>
      <c r="O106" s="64">
        <f t="shared" si="33"/>
        <v>1232745</v>
      </c>
      <c r="P106" s="2">
        <f t="shared" si="31"/>
        <v>16025685</v>
      </c>
      <c r="Q106" s="2">
        <f t="shared" si="32"/>
        <v>1232745</v>
      </c>
      <c r="R106" s="2">
        <f t="shared" si="19"/>
        <v>0</v>
      </c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3"/>
    </row>
    <row r="107" spans="1:35" x14ac:dyDescent="0.25">
      <c r="A107" s="13" t="s">
        <v>159</v>
      </c>
      <c r="B107" s="13" t="s">
        <v>160</v>
      </c>
      <c r="C107" s="64">
        <v>14639395</v>
      </c>
      <c r="D107" s="64">
        <f t="shared" si="33"/>
        <v>14639395</v>
      </c>
      <c r="E107" s="64">
        <f t="shared" si="33"/>
        <v>14639395</v>
      </c>
      <c r="F107" s="64">
        <f t="shared" si="33"/>
        <v>14639395</v>
      </c>
      <c r="G107" s="64">
        <f t="shared" si="33"/>
        <v>14639395</v>
      </c>
      <c r="H107" s="64">
        <f t="shared" si="33"/>
        <v>14639395</v>
      </c>
      <c r="I107" s="64">
        <f t="shared" si="33"/>
        <v>14639395</v>
      </c>
      <c r="J107" s="64">
        <f t="shared" si="33"/>
        <v>14639395</v>
      </c>
      <c r="K107" s="64">
        <f t="shared" si="33"/>
        <v>14639395</v>
      </c>
      <c r="L107" s="64">
        <f t="shared" si="33"/>
        <v>14639395</v>
      </c>
      <c r="M107" s="64">
        <f t="shared" si="33"/>
        <v>14639395</v>
      </c>
      <c r="N107" s="64">
        <f t="shared" si="33"/>
        <v>14639395</v>
      </c>
      <c r="O107" s="64">
        <f t="shared" si="33"/>
        <v>14639395</v>
      </c>
      <c r="P107" s="2">
        <f t="shared" si="31"/>
        <v>190312135</v>
      </c>
      <c r="Q107" s="2">
        <f t="shared" si="32"/>
        <v>14639395</v>
      </c>
      <c r="R107" s="2">
        <f t="shared" si="19"/>
        <v>0</v>
      </c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3"/>
    </row>
    <row r="108" spans="1:35" x14ac:dyDescent="0.25">
      <c r="A108" s="13" t="s">
        <v>161</v>
      </c>
      <c r="B108" s="13" t="s">
        <v>162</v>
      </c>
      <c r="C108" s="64">
        <v>20662</v>
      </c>
      <c r="D108" s="64">
        <f t="shared" si="33"/>
        <v>20662</v>
      </c>
      <c r="E108" s="64">
        <f t="shared" si="33"/>
        <v>20662</v>
      </c>
      <c r="F108" s="64">
        <f t="shared" si="33"/>
        <v>20662</v>
      </c>
      <c r="G108" s="64">
        <f t="shared" si="33"/>
        <v>20662</v>
      </c>
      <c r="H108" s="64">
        <f t="shared" si="33"/>
        <v>20662</v>
      </c>
      <c r="I108" s="64">
        <f t="shared" si="33"/>
        <v>20662</v>
      </c>
      <c r="J108" s="64">
        <f t="shared" si="33"/>
        <v>20662</v>
      </c>
      <c r="K108" s="64">
        <f t="shared" si="33"/>
        <v>20662</v>
      </c>
      <c r="L108" s="64">
        <f t="shared" si="33"/>
        <v>20662</v>
      </c>
      <c r="M108" s="64">
        <f t="shared" si="33"/>
        <v>20662</v>
      </c>
      <c r="N108" s="64">
        <f t="shared" si="33"/>
        <v>20662</v>
      </c>
      <c r="O108" s="64">
        <f t="shared" si="33"/>
        <v>20662</v>
      </c>
      <c r="P108" s="2">
        <f t="shared" si="31"/>
        <v>268606</v>
      </c>
      <c r="Q108" s="2">
        <f t="shared" si="32"/>
        <v>20662</v>
      </c>
      <c r="R108" s="2">
        <f t="shared" si="19"/>
        <v>0</v>
      </c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3"/>
    </row>
    <row r="109" spans="1:35" x14ac:dyDescent="0.25">
      <c r="A109" s="13" t="s">
        <v>163</v>
      </c>
      <c r="B109" s="13" t="s">
        <v>164</v>
      </c>
      <c r="C109" s="64">
        <v>76336</v>
      </c>
      <c r="D109" s="64">
        <f t="shared" si="33"/>
        <v>76336</v>
      </c>
      <c r="E109" s="64">
        <f t="shared" si="33"/>
        <v>76336</v>
      </c>
      <c r="F109" s="64">
        <f t="shared" si="33"/>
        <v>76336</v>
      </c>
      <c r="G109" s="64">
        <f t="shared" si="33"/>
        <v>76336</v>
      </c>
      <c r="H109" s="64">
        <f t="shared" si="33"/>
        <v>76336</v>
      </c>
      <c r="I109" s="64">
        <f t="shared" si="33"/>
        <v>76336</v>
      </c>
      <c r="J109" s="64">
        <f t="shared" si="33"/>
        <v>76336</v>
      </c>
      <c r="K109" s="64">
        <f t="shared" si="33"/>
        <v>76336</v>
      </c>
      <c r="L109" s="64">
        <f t="shared" si="33"/>
        <v>76336</v>
      </c>
      <c r="M109" s="64">
        <f t="shared" si="33"/>
        <v>76336</v>
      </c>
      <c r="N109" s="64">
        <f t="shared" si="33"/>
        <v>76336</v>
      </c>
      <c r="O109" s="64">
        <f t="shared" si="33"/>
        <v>76336</v>
      </c>
      <c r="P109" s="2">
        <f t="shared" si="31"/>
        <v>992368</v>
      </c>
      <c r="Q109" s="2">
        <f t="shared" si="32"/>
        <v>76336</v>
      </c>
      <c r="R109" s="2">
        <f t="shared" si="19"/>
        <v>0</v>
      </c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3"/>
    </row>
    <row r="110" spans="1:35" x14ac:dyDescent="0.25">
      <c r="A110" s="13" t="s">
        <v>165</v>
      </c>
      <c r="B110" s="13" t="s">
        <v>166</v>
      </c>
      <c r="C110" s="64">
        <v>69877</v>
      </c>
      <c r="D110" s="64">
        <f t="shared" si="33"/>
        <v>69877</v>
      </c>
      <c r="E110" s="64">
        <f t="shared" si="33"/>
        <v>69877</v>
      </c>
      <c r="F110" s="64">
        <f t="shared" si="33"/>
        <v>69877</v>
      </c>
      <c r="G110" s="64">
        <f t="shared" si="33"/>
        <v>69877</v>
      </c>
      <c r="H110" s="64">
        <f t="shared" si="33"/>
        <v>69877</v>
      </c>
      <c r="I110" s="64">
        <f t="shared" si="33"/>
        <v>69877</v>
      </c>
      <c r="J110" s="64">
        <f t="shared" si="33"/>
        <v>69877</v>
      </c>
      <c r="K110" s="64">
        <f t="shared" si="33"/>
        <v>69877</v>
      </c>
      <c r="L110" s="64">
        <f t="shared" si="33"/>
        <v>69877</v>
      </c>
      <c r="M110" s="64">
        <f t="shared" si="33"/>
        <v>69877</v>
      </c>
      <c r="N110" s="64">
        <f t="shared" si="33"/>
        <v>69877</v>
      </c>
      <c r="O110" s="64">
        <f t="shared" si="33"/>
        <v>69877</v>
      </c>
      <c r="P110" s="2">
        <f t="shared" si="31"/>
        <v>908401</v>
      </c>
      <c r="Q110" s="2">
        <f t="shared" si="32"/>
        <v>69877</v>
      </c>
      <c r="R110" s="2">
        <f t="shared" si="19"/>
        <v>0</v>
      </c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3"/>
    </row>
    <row r="111" spans="1:35" x14ac:dyDescent="0.25">
      <c r="A111" s="13" t="s">
        <v>167</v>
      </c>
      <c r="B111" s="13" t="s">
        <v>168</v>
      </c>
      <c r="C111" s="64">
        <v>-33020023</v>
      </c>
      <c r="D111" s="64">
        <f t="shared" si="33"/>
        <v>-33020023</v>
      </c>
      <c r="E111" s="64">
        <f t="shared" si="33"/>
        <v>-33020023</v>
      </c>
      <c r="F111" s="64">
        <f t="shared" si="33"/>
        <v>-33020023</v>
      </c>
      <c r="G111" s="64">
        <f t="shared" si="33"/>
        <v>-33020023</v>
      </c>
      <c r="H111" s="64">
        <f t="shared" si="33"/>
        <v>-33020023</v>
      </c>
      <c r="I111" s="64">
        <f t="shared" si="33"/>
        <v>-33020023</v>
      </c>
      <c r="J111" s="64">
        <f t="shared" si="33"/>
        <v>-33020023</v>
      </c>
      <c r="K111" s="64">
        <f t="shared" si="33"/>
        <v>-33020023</v>
      </c>
      <c r="L111" s="64">
        <f t="shared" si="33"/>
        <v>-33020023</v>
      </c>
      <c r="M111" s="64">
        <f t="shared" si="33"/>
        <v>-33020023</v>
      </c>
      <c r="N111" s="64">
        <f t="shared" si="33"/>
        <v>-33020023</v>
      </c>
      <c r="O111" s="64">
        <f t="shared" si="33"/>
        <v>-33020023</v>
      </c>
      <c r="P111" s="2">
        <f t="shared" si="31"/>
        <v>-429260299</v>
      </c>
      <c r="Q111" s="2">
        <f t="shared" si="32"/>
        <v>-33020023</v>
      </c>
      <c r="R111" s="2">
        <f t="shared" si="19"/>
        <v>0</v>
      </c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3"/>
    </row>
    <row r="112" spans="1:35" x14ac:dyDescent="0.25">
      <c r="A112" s="13" t="s">
        <v>169</v>
      </c>
      <c r="B112" s="13" t="s">
        <v>170</v>
      </c>
      <c r="C112" s="64">
        <v>-44354199</v>
      </c>
      <c r="D112" s="64">
        <f t="shared" si="33"/>
        <v>-44354199</v>
      </c>
      <c r="E112" s="64">
        <f t="shared" si="33"/>
        <v>-44354199</v>
      </c>
      <c r="F112" s="64">
        <f t="shared" si="33"/>
        <v>-44354199</v>
      </c>
      <c r="G112" s="64">
        <f t="shared" si="33"/>
        <v>-44354199</v>
      </c>
      <c r="H112" s="64">
        <f t="shared" si="33"/>
        <v>-44354199</v>
      </c>
      <c r="I112" s="64">
        <f t="shared" si="33"/>
        <v>-44354199</v>
      </c>
      <c r="J112" s="64">
        <f t="shared" si="33"/>
        <v>-44354199</v>
      </c>
      <c r="K112" s="64">
        <f t="shared" si="33"/>
        <v>-44354199</v>
      </c>
      <c r="L112" s="64">
        <f t="shared" si="33"/>
        <v>-44354199</v>
      </c>
      <c r="M112" s="64">
        <f t="shared" si="33"/>
        <v>-44354199</v>
      </c>
      <c r="N112" s="64">
        <f t="shared" si="33"/>
        <v>-44354199</v>
      </c>
      <c r="O112" s="64">
        <f t="shared" si="33"/>
        <v>-44354199</v>
      </c>
      <c r="P112" s="2">
        <f t="shared" si="31"/>
        <v>-576604587</v>
      </c>
      <c r="Q112" s="2">
        <f t="shared" si="32"/>
        <v>-44354199</v>
      </c>
      <c r="R112" s="2">
        <f t="shared" si="19"/>
        <v>0</v>
      </c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3"/>
    </row>
    <row r="113" spans="1:35" x14ac:dyDescent="0.25">
      <c r="A113" s="13" t="s">
        <v>171</v>
      </c>
      <c r="B113" s="13" t="s">
        <v>172</v>
      </c>
      <c r="C113" s="64">
        <v>139</v>
      </c>
      <c r="D113" s="64">
        <f t="shared" si="33"/>
        <v>139</v>
      </c>
      <c r="E113" s="64">
        <f t="shared" si="33"/>
        <v>139</v>
      </c>
      <c r="F113" s="64">
        <f t="shared" si="33"/>
        <v>139</v>
      </c>
      <c r="G113" s="64">
        <f t="shared" si="33"/>
        <v>139</v>
      </c>
      <c r="H113" s="64">
        <f t="shared" si="33"/>
        <v>139</v>
      </c>
      <c r="I113" s="64">
        <f t="shared" si="33"/>
        <v>139</v>
      </c>
      <c r="J113" s="64">
        <f t="shared" si="33"/>
        <v>139</v>
      </c>
      <c r="K113" s="64">
        <f t="shared" si="33"/>
        <v>139</v>
      </c>
      <c r="L113" s="64">
        <f t="shared" si="33"/>
        <v>139</v>
      </c>
      <c r="M113" s="64">
        <f t="shared" si="33"/>
        <v>139</v>
      </c>
      <c r="N113" s="64">
        <f t="shared" si="33"/>
        <v>139</v>
      </c>
      <c r="O113" s="64">
        <f t="shared" si="33"/>
        <v>139</v>
      </c>
      <c r="P113" s="2">
        <f t="shared" si="31"/>
        <v>1807</v>
      </c>
      <c r="Q113" s="2">
        <f t="shared" si="32"/>
        <v>139</v>
      </c>
      <c r="R113" s="2">
        <f t="shared" si="19"/>
        <v>0</v>
      </c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3"/>
    </row>
    <row r="114" spans="1:35" x14ac:dyDescent="0.25">
      <c r="A114" s="13" t="s">
        <v>173</v>
      </c>
      <c r="B114" s="13" t="s">
        <v>174</v>
      </c>
      <c r="C114" s="64">
        <v>-808476</v>
      </c>
      <c r="D114" s="64">
        <f t="shared" si="33"/>
        <v>-808476</v>
      </c>
      <c r="E114" s="64">
        <f t="shared" si="33"/>
        <v>-808476</v>
      </c>
      <c r="F114" s="64">
        <f t="shared" si="33"/>
        <v>-808476</v>
      </c>
      <c r="G114" s="64">
        <f t="shared" si="33"/>
        <v>-808476</v>
      </c>
      <c r="H114" s="64">
        <f t="shared" si="33"/>
        <v>-808476</v>
      </c>
      <c r="I114" s="64">
        <f t="shared" si="33"/>
        <v>-808476</v>
      </c>
      <c r="J114" s="64">
        <f t="shared" si="33"/>
        <v>-808476</v>
      </c>
      <c r="K114" s="64">
        <f t="shared" si="33"/>
        <v>-808476</v>
      </c>
      <c r="L114" s="64">
        <f t="shared" si="33"/>
        <v>-808476</v>
      </c>
      <c r="M114" s="64">
        <f t="shared" si="33"/>
        <v>-808476</v>
      </c>
      <c r="N114" s="64">
        <f t="shared" si="33"/>
        <v>-808476</v>
      </c>
      <c r="O114" s="64">
        <f t="shared" si="33"/>
        <v>-808476</v>
      </c>
      <c r="P114" s="2">
        <f t="shared" si="31"/>
        <v>-10510188</v>
      </c>
      <c r="Q114" s="2">
        <f t="shared" si="32"/>
        <v>-808476</v>
      </c>
      <c r="R114" s="2">
        <f t="shared" si="19"/>
        <v>0</v>
      </c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3"/>
    </row>
    <row r="115" spans="1:35" x14ac:dyDescent="0.25">
      <c r="A115" s="13" t="s">
        <v>175</v>
      </c>
      <c r="B115" s="13" t="s">
        <v>176</v>
      </c>
      <c r="C115" s="64">
        <v>-4598036</v>
      </c>
      <c r="D115" s="64">
        <f t="shared" si="33"/>
        <v>-4598036</v>
      </c>
      <c r="E115" s="64">
        <f t="shared" si="33"/>
        <v>-4598036</v>
      </c>
      <c r="F115" s="64">
        <f t="shared" si="33"/>
        <v>-4598036</v>
      </c>
      <c r="G115" s="64">
        <f t="shared" si="33"/>
        <v>-4598036</v>
      </c>
      <c r="H115" s="64">
        <f t="shared" si="33"/>
        <v>-4598036</v>
      </c>
      <c r="I115" s="64">
        <f t="shared" si="33"/>
        <v>-4598036</v>
      </c>
      <c r="J115" s="64">
        <f t="shared" si="33"/>
        <v>-4598036</v>
      </c>
      <c r="K115" s="64">
        <f t="shared" si="33"/>
        <v>-4598036</v>
      </c>
      <c r="L115" s="64">
        <f t="shared" si="33"/>
        <v>-4598036</v>
      </c>
      <c r="M115" s="64">
        <f t="shared" si="33"/>
        <v>-4598036</v>
      </c>
      <c r="N115" s="64">
        <f t="shared" si="33"/>
        <v>-4598036</v>
      </c>
      <c r="O115" s="64">
        <f t="shared" si="33"/>
        <v>-4598036</v>
      </c>
      <c r="P115" s="2">
        <f t="shared" si="31"/>
        <v>-59774468</v>
      </c>
      <c r="Q115" s="2">
        <f t="shared" si="32"/>
        <v>-4598036</v>
      </c>
      <c r="R115" s="2">
        <f t="shared" si="19"/>
        <v>0</v>
      </c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3"/>
    </row>
    <row r="116" spans="1:35" x14ac:dyDescent="0.25">
      <c r="A116" s="13" t="s">
        <v>177</v>
      </c>
      <c r="B116" s="13" t="s">
        <v>178</v>
      </c>
      <c r="C116" s="64">
        <v>-86351305</v>
      </c>
      <c r="D116" s="64">
        <f t="shared" si="33"/>
        <v>-86351305</v>
      </c>
      <c r="E116" s="64">
        <f t="shared" si="33"/>
        <v>-86351305</v>
      </c>
      <c r="F116" s="64">
        <f t="shared" ref="E116:O129" si="38">E116</f>
        <v>-86351305</v>
      </c>
      <c r="G116" s="64">
        <f t="shared" si="38"/>
        <v>-86351305</v>
      </c>
      <c r="H116" s="64">
        <f t="shared" si="38"/>
        <v>-86351305</v>
      </c>
      <c r="I116" s="64">
        <f t="shared" si="38"/>
        <v>-86351305</v>
      </c>
      <c r="J116" s="64">
        <f t="shared" si="38"/>
        <v>-86351305</v>
      </c>
      <c r="K116" s="64">
        <f t="shared" si="38"/>
        <v>-86351305</v>
      </c>
      <c r="L116" s="64">
        <f t="shared" si="38"/>
        <v>-86351305</v>
      </c>
      <c r="M116" s="64">
        <f t="shared" si="38"/>
        <v>-86351305</v>
      </c>
      <c r="N116" s="64">
        <f t="shared" si="38"/>
        <v>-86351305</v>
      </c>
      <c r="O116" s="64">
        <f t="shared" si="38"/>
        <v>-86351305</v>
      </c>
      <c r="P116" s="2">
        <f t="shared" si="31"/>
        <v>-1122566965</v>
      </c>
      <c r="Q116" s="2">
        <f t="shared" si="32"/>
        <v>-86351305</v>
      </c>
      <c r="R116" s="2">
        <f t="shared" si="19"/>
        <v>0</v>
      </c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3"/>
    </row>
    <row r="117" spans="1:35" x14ac:dyDescent="0.25">
      <c r="A117" s="13" t="s">
        <v>179</v>
      </c>
      <c r="B117" s="13" t="s">
        <v>180</v>
      </c>
      <c r="C117" s="64">
        <v>800877</v>
      </c>
      <c r="D117" s="64">
        <f t="shared" si="33"/>
        <v>800877</v>
      </c>
      <c r="E117" s="64">
        <f t="shared" si="38"/>
        <v>800877</v>
      </c>
      <c r="F117" s="64">
        <f t="shared" si="38"/>
        <v>800877</v>
      </c>
      <c r="G117" s="64">
        <f t="shared" si="38"/>
        <v>800877</v>
      </c>
      <c r="H117" s="64">
        <f t="shared" si="38"/>
        <v>800877</v>
      </c>
      <c r="I117" s="64">
        <f t="shared" si="38"/>
        <v>800877</v>
      </c>
      <c r="J117" s="64">
        <f t="shared" si="38"/>
        <v>800877</v>
      </c>
      <c r="K117" s="64">
        <f t="shared" si="38"/>
        <v>800877</v>
      </c>
      <c r="L117" s="64">
        <f t="shared" si="38"/>
        <v>800877</v>
      </c>
      <c r="M117" s="64">
        <f t="shared" si="38"/>
        <v>800877</v>
      </c>
      <c r="N117" s="64">
        <f t="shared" si="38"/>
        <v>800877</v>
      </c>
      <c r="O117" s="64">
        <f t="shared" si="38"/>
        <v>800877</v>
      </c>
      <c r="P117" s="2">
        <f t="shared" si="31"/>
        <v>10411401</v>
      </c>
      <c r="Q117" s="2">
        <f t="shared" si="32"/>
        <v>800877</v>
      </c>
      <c r="R117" s="2">
        <f t="shared" si="19"/>
        <v>0</v>
      </c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3"/>
    </row>
    <row r="118" spans="1:35" x14ac:dyDescent="0.25">
      <c r="A118" s="13" t="s">
        <v>181</v>
      </c>
      <c r="B118" s="13" t="s">
        <v>182</v>
      </c>
      <c r="C118" s="64">
        <v>169412</v>
      </c>
      <c r="D118" s="64">
        <f t="shared" si="33"/>
        <v>169412</v>
      </c>
      <c r="E118" s="64">
        <f t="shared" si="38"/>
        <v>169412</v>
      </c>
      <c r="F118" s="64">
        <f t="shared" si="38"/>
        <v>169412</v>
      </c>
      <c r="G118" s="64">
        <f t="shared" si="38"/>
        <v>169412</v>
      </c>
      <c r="H118" s="64">
        <f t="shared" si="38"/>
        <v>169412</v>
      </c>
      <c r="I118" s="64">
        <f t="shared" si="38"/>
        <v>169412</v>
      </c>
      <c r="J118" s="64">
        <f t="shared" si="38"/>
        <v>169412</v>
      </c>
      <c r="K118" s="64">
        <f t="shared" si="38"/>
        <v>169412</v>
      </c>
      <c r="L118" s="64">
        <f t="shared" si="38"/>
        <v>169412</v>
      </c>
      <c r="M118" s="64">
        <f t="shared" si="38"/>
        <v>169412</v>
      </c>
      <c r="N118" s="64">
        <f t="shared" si="38"/>
        <v>169412</v>
      </c>
      <c r="O118" s="64">
        <f t="shared" si="38"/>
        <v>169412</v>
      </c>
      <c r="P118" s="2">
        <f t="shared" si="31"/>
        <v>2202356</v>
      </c>
      <c r="Q118" s="2">
        <f t="shared" si="32"/>
        <v>169412</v>
      </c>
      <c r="R118" s="2">
        <f t="shared" si="19"/>
        <v>0</v>
      </c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3"/>
    </row>
    <row r="119" spans="1:35" x14ac:dyDescent="0.25">
      <c r="A119" s="13" t="s">
        <v>183</v>
      </c>
      <c r="B119" s="13" t="s">
        <v>184</v>
      </c>
      <c r="C119" s="64">
        <v>10638609</v>
      </c>
      <c r="D119" s="64">
        <f t="shared" si="33"/>
        <v>10638609</v>
      </c>
      <c r="E119" s="64">
        <f t="shared" si="38"/>
        <v>10638609</v>
      </c>
      <c r="F119" s="64">
        <f t="shared" si="38"/>
        <v>10638609</v>
      </c>
      <c r="G119" s="64">
        <f t="shared" si="38"/>
        <v>10638609</v>
      </c>
      <c r="H119" s="64">
        <f t="shared" si="38"/>
        <v>10638609</v>
      </c>
      <c r="I119" s="64">
        <f t="shared" si="38"/>
        <v>10638609</v>
      </c>
      <c r="J119" s="64">
        <f t="shared" si="38"/>
        <v>10638609</v>
      </c>
      <c r="K119" s="64">
        <f t="shared" si="38"/>
        <v>10638609</v>
      </c>
      <c r="L119" s="64">
        <f t="shared" si="38"/>
        <v>10638609</v>
      </c>
      <c r="M119" s="64">
        <f t="shared" si="38"/>
        <v>10638609</v>
      </c>
      <c r="N119" s="64">
        <f t="shared" si="38"/>
        <v>10638609</v>
      </c>
      <c r="O119" s="64">
        <f t="shared" si="38"/>
        <v>10638609</v>
      </c>
      <c r="P119" s="2">
        <f t="shared" si="31"/>
        <v>138301917</v>
      </c>
      <c r="Q119" s="2">
        <f t="shared" si="32"/>
        <v>10638609</v>
      </c>
      <c r="R119" s="2">
        <f t="shared" si="19"/>
        <v>0</v>
      </c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3"/>
    </row>
    <row r="120" spans="1:35" x14ac:dyDescent="0.25">
      <c r="A120" s="13" t="s">
        <v>185</v>
      </c>
      <c r="B120" s="13" t="s">
        <v>186</v>
      </c>
      <c r="C120" s="64">
        <v>38123553</v>
      </c>
      <c r="D120" s="64">
        <f t="shared" si="33"/>
        <v>38123553</v>
      </c>
      <c r="E120" s="64">
        <f t="shared" si="38"/>
        <v>38123553</v>
      </c>
      <c r="F120" s="64">
        <f t="shared" si="38"/>
        <v>38123553</v>
      </c>
      <c r="G120" s="64">
        <f t="shared" si="38"/>
        <v>38123553</v>
      </c>
      <c r="H120" s="64">
        <f t="shared" si="38"/>
        <v>38123553</v>
      </c>
      <c r="I120" s="64">
        <f t="shared" si="38"/>
        <v>38123553</v>
      </c>
      <c r="J120" s="64">
        <f t="shared" si="38"/>
        <v>38123553</v>
      </c>
      <c r="K120" s="64">
        <f t="shared" si="38"/>
        <v>38123553</v>
      </c>
      <c r="L120" s="64">
        <f t="shared" si="38"/>
        <v>38123553</v>
      </c>
      <c r="M120" s="64">
        <f t="shared" si="38"/>
        <v>38123553</v>
      </c>
      <c r="N120" s="64">
        <f t="shared" si="38"/>
        <v>38123553</v>
      </c>
      <c r="O120" s="64">
        <f t="shared" si="38"/>
        <v>38123553</v>
      </c>
      <c r="P120" s="2">
        <f t="shared" si="31"/>
        <v>495606189</v>
      </c>
      <c r="Q120" s="2">
        <f t="shared" si="32"/>
        <v>38123553</v>
      </c>
      <c r="R120" s="2">
        <f t="shared" si="19"/>
        <v>0</v>
      </c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3"/>
    </row>
    <row r="121" spans="1:35" x14ac:dyDescent="0.25">
      <c r="A121" s="13" t="s">
        <v>187</v>
      </c>
      <c r="B121" s="13" t="s">
        <v>188</v>
      </c>
      <c r="C121" s="64">
        <v>42173466</v>
      </c>
      <c r="D121" s="64">
        <f t="shared" si="33"/>
        <v>42173466</v>
      </c>
      <c r="E121" s="64">
        <f t="shared" si="38"/>
        <v>42173466</v>
      </c>
      <c r="F121" s="64">
        <f t="shared" si="38"/>
        <v>42173466</v>
      </c>
      <c r="G121" s="64">
        <f t="shared" si="38"/>
        <v>42173466</v>
      </c>
      <c r="H121" s="64">
        <f t="shared" si="38"/>
        <v>42173466</v>
      </c>
      <c r="I121" s="64">
        <f t="shared" si="38"/>
        <v>42173466</v>
      </c>
      <c r="J121" s="64">
        <f t="shared" si="38"/>
        <v>42173466</v>
      </c>
      <c r="K121" s="64">
        <f t="shared" si="38"/>
        <v>42173466</v>
      </c>
      <c r="L121" s="64">
        <f t="shared" si="38"/>
        <v>42173466</v>
      </c>
      <c r="M121" s="64">
        <f t="shared" si="38"/>
        <v>42173466</v>
      </c>
      <c r="N121" s="64">
        <f t="shared" si="38"/>
        <v>42173466</v>
      </c>
      <c r="O121" s="64">
        <f t="shared" si="38"/>
        <v>42173466</v>
      </c>
      <c r="P121" s="2">
        <f t="shared" si="31"/>
        <v>548255058</v>
      </c>
      <c r="Q121" s="2">
        <f t="shared" si="32"/>
        <v>42173466</v>
      </c>
      <c r="R121" s="2">
        <f t="shared" si="19"/>
        <v>0</v>
      </c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3"/>
    </row>
    <row r="122" spans="1:35" x14ac:dyDescent="0.25">
      <c r="A122" s="13" t="s">
        <v>189</v>
      </c>
      <c r="B122" s="13" t="s">
        <v>190</v>
      </c>
      <c r="C122" s="64">
        <v>-308270572</v>
      </c>
      <c r="D122" s="64">
        <f t="shared" si="33"/>
        <v>-308270572</v>
      </c>
      <c r="E122" s="64">
        <f t="shared" si="38"/>
        <v>-308270572</v>
      </c>
      <c r="F122" s="64">
        <f t="shared" si="38"/>
        <v>-308270572</v>
      </c>
      <c r="G122" s="64">
        <f t="shared" si="38"/>
        <v>-308270572</v>
      </c>
      <c r="H122" s="64">
        <f t="shared" si="38"/>
        <v>-308270572</v>
      </c>
      <c r="I122" s="64">
        <f t="shared" si="38"/>
        <v>-308270572</v>
      </c>
      <c r="J122" s="64">
        <f t="shared" si="38"/>
        <v>-308270572</v>
      </c>
      <c r="K122" s="64">
        <f t="shared" si="38"/>
        <v>-308270572</v>
      </c>
      <c r="L122" s="64">
        <f t="shared" si="38"/>
        <v>-308270572</v>
      </c>
      <c r="M122" s="64">
        <f t="shared" si="38"/>
        <v>-308270572</v>
      </c>
      <c r="N122" s="64">
        <f t="shared" si="38"/>
        <v>-308270572</v>
      </c>
      <c r="O122" s="64">
        <f t="shared" si="38"/>
        <v>-308270572</v>
      </c>
      <c r="P122" s="2">
        <f t="shared" si="31"/>
        <v>-4007517436</v>
      </c>
      <c r="Q122" s="2">
        <f t="shared" si="32"/>
        <v>-308270572</v>
      </c>
      <c r="R122" s="2">
        <f t="shared" si="19"/>
        <v>0</v>
      </c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3"/>
    </row>
    <row r="123" spans="1:35" x14ac:dyDescent="0.25">
      <c r="A123" s="13" t="s">
        <v>191</v>
      </c>
      <c r="B123" s="13" t="s">
        <v>192</v>
      </c>
      <c r="C123" s="64">
        <v>8670858</v>
      </c>
      <c r="D123" s="64">
        <f t="shared" si="33"/>
        <v>8670858</v>
      </c>
      <c r="E123" s="64">
        <f t="shared" si="38"/>
        <v>8670858</v>
      </c>
      <c r="F123" s="64">
        <f t="shared" si="38"/>
        <v>8670858</v>
      </c>
      <c r="G123" s="64">
        <f t="shared" si="38"/>
        <v>8670858</v>
      </c>
      <c r="H123" s="64">
        <f t="shared" si="38"/>
        <v>8670858</v>
      </c>
      <c r="I123" s="64">
        <f t="shared" si="38"/>
        <v>8670858</v>
      </c>
      <c r="J123" s="64">
        <f t="shared" si="38"/>
        <v>8670858</v>
      </c>
      <c r="K123" s="64">
        <f t="shared" si="38"/>
        <v>8670858</v>
      </c>
      <c r="L123" s="64">
        <f t="shared" si="38"/>
        <v>8670858</v>
      </c>
      <c r="M123" s="64">
        <f t="shared" si="38"/>
        <v>8670858</v>
      </c>
      <c r="N123" s="64">
        <f t="shared" si="38"/>
        <v>8670858</v>
      </c>
      <c r="O123" s="64">
        <f t="shared" si="38"/>
        <v>8670858</v>
      </c>
      <c r="P123" s="2">
        <f t="shared" si="31"/>
        <v>112721154</v>
      </c>
      <c r="Q123" s="2">
        <f t="shared" si="32"/>
        <v>8670858</v>
      </c>
      <c r="R123" s="2">
        <f t="shared" si="19"/>
        <v>0</v>
      </c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3"/>
    </row>
    <row r="124" spans="1:35" x14ac:dyDescent="0.25">
      <c r="A124" s="13" t="s">
        <v>193</v>
      </c>
      <c r="B124" s="13" t="s">
        <v>194</v>
      </c>
      <c r="C124" s="64">
        <v>3704</v>
      </c>
      <c r="D124" s="64">
        <f t="shared" si="33"/>
        <v>3704</v>
      </c>
      <c r="E124" s="64">
        <f t="shared" si="38"/>
        <v>3704</v>
      </c>
      <c r="F124" s="64">
        <f t="shared" si="38"/>
        <v>3704</v>
      </c>
      <c r="G124" s="64">
        <f t="shared" si="38"/>
        <v>3704</v>
      </c>
      <c r="H124" s="64">
        <f t="shared" si="38"/>
        <v>3704</v>
      </c>
      <c r="I124" s="64">
        <f t="shared" si="38"/>
        <v>3704</v>
      </c>
      <c r="J124" s="64">
        <f t="shared" si="38"/>
        <v>3704</v>
      </c>
      <c r="K124" s="64">
        <f t="shared" si="38"/>
        <v>3704</v>
      </c>
      <c r="L124" s="64">
        <f t="shared" si="38"/>
        <v>3704</v>
      </c>
      <c r="M124" s="64">
        <f t="shared" si="38"/>
        <v>3704</v>
      </c>
      <c r="N124" s="64">
        <f t="shared" si="38"/>
        <v>3704</v>
      </c>
      <c r="O124" s="64">
        <f t="shared" si="38"/>
        <v>3704</v>
      </c>
      <c r="P124" s="2">
        <f t="shared" si="31"/>
        <v>48152</v>
      </c>
      <c r="Q124" s="2">
        <f t="shared" si="32"/>
        <v>3704</v>
      </c>
      <c r="R124" s="2">
        <f t="shared" si="19"/>
        <v>0</v>
      </c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3"/>
    </row>
    <row r="125" spans="1:35" x14ac:dyDescent="0.25">
      <c r="A125" s="13" t="s">
        <v>195</v>
      </c>
      <c r="B125" s="13" t="s">
        <v>196</v>
      </c>
      <c r="C125" s="64">
        <v>-163</v>
      </c>
      <c r="D125" s="64">
        <f t="shared" si="33"/>
        <v>-163</v>
      </c>
      <c r="E125" s="64">
        <f t="shared" si="38"/>
        <v>-163</v>
      </c>
      <c r="F125" s="64">
        <f t="shared" si="38"/>
        <v>-163</v>
      </c>
      <c r="G125" s="64">
        <f t="shared" si="38"/>
        <v>-163</v>
      </c>
      <c r="H125" s="64">
        <f t="shared" si="38"/>
        <v>-163</v>
      </c>
      <c r="I125" s="64">
        <f t="shared" si="38"/>
        <v>-163</v>
      </c>
      <c r="J125" s="64">
        <f t="shared" si="38"/>
        <v>-163</v>
      </c>
      <c r="K125" s="64">
        <f t="shared" si="38"/>
        <v>-163</v>
      </c>
      <c r="L125" s="64">
        <f t="shared" si="38"/>
        <v>-163</v>
      </c>
      <c r="M125" s="64">
        <f t="shared" si="38"/>
        <v>-163</v>
      </c>
      <c r="N125" s="64">
        <f t="shared" si="38"/>
        <v>-163</v>
      </c>
      <c r="O125" s="64">
        <f t="shared" si="38"/>
        <v>-163</v>
      </c>
      <c r="P125" s="2">
        <f t="shared" si="31"/>
        <v>-2119</v>
      </c>
      <c r="Q125" s="2">
        <f t="shared" si="32"/>
        <v>-163</v>
      </c>
      <c r="R125" s="2">
        <f t="shared" si="19"/>
        <v>0</v>
      </c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3"/>
    </row>
    <row r="126" spans="1:35" x14ac:dyDescent="0.25">
      <c r="A126" s="13" t="s">
        <v>197</v>
      </c>
      <c r="B126" s="13" t="s">
        <v>198</v>
      </c>
      <c r="C126" s="64">
        <v>6500</v>
      </c>
      <c r="D126" s="64">
        <f t="shared" si="33"/>
        <v>6500</v>
      </c>
      <c r="E126" s="64">
        <f t="shared" si="38"/>
        <v>6500</v>
      </c>
      <c r="F126" s="64">
        <f t="shared" si="38"/>
        <v>6500</v>
      </c>
      <c r="G126" s="64">
        <f t="shared" si="38"/>
        <v>6500</v>
      </c>
      <c r="H126" s="64">
        <f t="shared" si="38"/>
        <v>6500</v>
      </c>
      <c r="I126" s="64">
        <f t="shared" si="38"/>
        <v>6500</v>
      </c>
      <c r="J126" s="64">
        <f t="shared" si="38"/>
        <v>6500</v>
      </c>
      <c r="K126" s="64">
        <f t="shared" si="38"/>
        <v>6500</v>
      </c>
      <c r="L126" s="64">
        <f t="shared" si="38"/>
        <v>6500</v>
      </c>
      <c r="M126" s="64">
        <f t="shared" si="38"/>
        <v>6500</v>
      </c>
      <c r="N126" s="64">
        <f t="shared" si="38"/>
        <v>6500</v>
      </c>
      <c r="O126" s="64">
        <f t="shared" si="38"/>
        <v>6500</v>
      </c>
      <c r="P126" s="2">
        <f t="shared" si="31"/>
        <v>84500</v>
      </c>
      <c r="Q126" s="2">
        <f t="shared" si="32"/>
        <v>6500</v>
      </c>
      <c r="R126" s="2">
        <f t="shared" si="19"/>
        <v>0</v>
      </c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3"/>
    </row>
    <row r="127" spans="1:35" x14ac:dyDescent="0.25">
      <c r="A127" s="13" t="s">
        <v>199</v>
      </c>
      <c r="B127" s="13" t="s">
        <v>200</v>
      </c>
      <c r="C127" s="64">
        <v>2775908</v>
      </c>
      <c r="D127" s="64">
        <f t="shared" si="33"/>
        <v>2775908</v>
      </c>
      <c r="E127" s="64">
        <f t="shared" si="38"/>
        <v>2775908</v>
      </c>
      <c r="F127" s="64">
        <f t="shared" si="38"/>
        <v>2775908</v>
      </c>
      <c r="G127" s="64">
        <f t="shared" si="38"/>
        <v>2775908</v>
      </c>
      <c r="H127" s="64">
        <f t="shared" si="38"/>
        <v>2775908</v>
      </c>
      <c r="I127" s="64">
        <f t="shared" si="38"/>
        <v>2775908</v>
      </c>
      <c r="J127" s="64">
        <f t="shared" si="38"/>
        <v>2775908</v>
      </c>
      <c r="K127" s="64">
        <f t="shared" si="38"/>
        <v>2775908</v>
      </c>
      <c r="L127" s="64">
        <f t="shared" si="38"/>
        <v>2775908</v>
      </c>
      <c r="M127" s="64">
        <f t="shared" si="38"/>
        <v>2775908</v>
      </c>
      <c r="N127" s="64">
        <f t="shared" si="38"/>
        <v>2775908</v>
      </c>
      <c r="O127" s="64">
        <f t="shared" si="38"/>
        <v>2775908</v>
      </c>
      <c r="P127" s="2">
        <f t="shared" si="31"/>
        <v>36086804</v>
      </c>
      <c r="Q127" s="2">
        <f t="shared" si="32"/>
        <v>2775908</v>
      </c>
      <c r="R127" s="2">
        <f t="shared" si="19"/>
        <v>0</v>
      </c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3"/>
    </row>
    <row r="128" spans="1:35" x14ac:dyDescent="0.25">
      <c r="A128" s="13" t="s">
        <v>201</v>
      </c>
      <c r="B128" s="13" t="s">
        <v>202</v>
      </c>
      <c r="C128" s="64">
        <v>109634</v>
      </c>
      <c r="D128" s="64">
        <f t="shared" si="33"/>
        <v>109634</v>
      </c>
      <c r="E128" s="64">
        <f t="shared" si="38"/>
        <v>109634</v>
      </c>
      <c r="F128" s="64">
        <f t="shared" si="38"/>
        <v>109634</v>
      </c>
      <c r="G128" s="64">
        <f t="shared" si="38"/>
        <v>109634</v>
      </c>
      <c r="H128" s="64">
        <f t="shared" si="38"/>
        <v>109634</v>
      </c>
      <c r="I128" s="64">
        <f t="shared" si="38"/>
        <v>109634</v>
      </c>
      <c r="J128" s="64">
        <f t="shared" si="38"/>
        <v>109634</v>
      </c>
      <c r="K128" s="64">
        <f t="shared" si="38"/>
        <v>109634</v>
      </c>
      <c r="L128" s="64">
        <f t="shared" si="38"/>
        <v>109634</v>
      </c>
      <c r="M128" s="64">
        <f t="shared" si="38"/>
        <v>109634</v>
      </c>
      <c r="N128" s="64">
        <f t="shared" si="38"/>
        <v>109634</v>
      </c>
      <c r="O128" s="64">
        <f t="shared" si="38"/>
        <v>109634</v>
      </c>
      <c r="P128" s="2">
        <f t="shared" si="31"/>
        <v>1425242</v>
      </c>
      <c r="Q128" s="2">
        <f t="shared" si="32"/>
        <v>109634</v>
      </c>
      <c r="R128" s="2">
        <f t="shared" si="19"/>
        <v>0</v>
      </c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3"/>
    </row>
    <row r="129" spans="1:35" x14ac:dyDescent="0.25">
      <c r="A129" s="13" t="s">
        <v>203</v>
      </c>
      <c r="B129" s="13" t="s">
        <v>204</v>
      </c>
      <c r="C129" s="64">
        <v>183748</v>
      </c>
      <c r="D129" s="64">
        <f t="shared" si="33"/>
        <v>183748</v>
      </c>
      <c r="E129" s="64">
        <f t="shared" si="38"/>
        <v>183748</v>
      </c>
      <c r="F129" s="64">
        <f t="shared" si="38"/>
        <v>183748</v>
      </c>
      <c r="G129" s="64">
        <f t="shared" si="38"/>
        <v>183748</v>
      </c>
      <c r="H129" s="64">
        <f t="shared" si="38"/>
        <v>183748</v>
      </c>
      <c r="I129" s="64">
        <f t="shared" si="38"/>
        <v>183748</v>
      </c>
      <c r="J129" s="64">
        <f t="shared" si="38"/>
        <v>183748</v>
      </c>
      <c r="K129" s="64">
        <f t="shared" si="38"/>
        <v>183748</v>
      </c>
      <c r="L129" s="64">
        <f t="shared" si="38"/>
        <v>183748</v>
      </c>
      <c r="M129" s="64">
        <f t="shared" si="38"/>
        <v>183748</v>
      </c>
      <c r="N129" s="64">
        <f t="shared" si="38"/>
        <v>183748</v>
      </c>
      <c r="O129" s="64">
        <f t="shared" si="38"/>
        <v>183748</v>
      </c>
      <c r="P129" s="2">
        <f t="shared" si="31"/>
        <v>2388724</v>
      </c>
      <c r="Q129" s="2">
        <f t="shared" si="32"/>
        <v>183748</v>
      </c>
      <c r="R129" s="2">
        <f t="shared" si="19"/>
        <v>0</v>
      </c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3"/>
    </row>
    <row r="130" spans="1:35" x14ac:dyDescent="0.25">
      <c r="C130" s="26" t="s">
        <v>67</v>
      </c>
      <c r="D130" s="26" t="s">
        <v>67</v>
      </c>
      <c r="E130" s="26" t="s">
        <v>67</v>
      </c>
      <c r="F130" s="26" t="s">
        <v>67</v>
      </c>
      <c r="G130" s="26" t="s">
        <v>67</v>
      </c>
      <c r="H130" s="26" t="s">
        <v>67</v>
      </c>
      <c r="I130" s="26" t="s">
        <v>67</v>
      </c>
      <c r="J130" s="26" t="s">
        <v>67</v>
      </c>
      <c r="K130" s="26" t="s">
        <v>67</v>
      </c>
      <c r="L130" s="26" t="s">
        <v>67</v>
      </c>
      <c r="M130" s="26" t="s">
        <v>67</v>
      </c>
      <c r="N130" s="26" t="s">
        <v>67</v>
      </c>
      <c r="O130" s="26" t="s">
        <v>67</v>
      </c>
      <c r="P130" s="26" t="s">
        <v>67</v>
      </c>
      <c r="Q130" s="26" t="s">
        <v>67</v>
      </c>
      <c r="R130" s="2" t="e">
        <f t="shared" si="19"/>
        <v>#VALUE!</v>
      </c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3"/>
    </row>
    <row r="131" spans="1:35" x14ac:dyDescent="0.25">
      <c r="A131" s="21" t="s">
        <v>205</v>
      </c>
      <c r="B131" s="22"/>
      <c r="C131" s="149">
        <v>-62628904</v>
      </c>
      <c r="D131" s="149">
        <f t="shared" ref="D131:Q131" si="39">SUM(D95:D129)</f>
        <v>-57069737.572915852</v>
      </c>
      <c r="E131" s="156">
        <f t="shared" si="39"/>
        <v>-56875954.902665019</v>
      </c>
      <c r="F131" s="149">
        <f t="shared" si="39"/>
        <v>-56700165.185747504</v>
      </c>
      <c r="G131" s="149">
        <f t="shared" si="39"/>
        <v>-56524375.568830013</v>
      </c>
      <c r="H131" s="149">
        <f t="shared" si="39"/>
        <v>-56348585.951912522</v>
      </c>
      <c r="I131" s="149">
        <f t="shared" si="39"/>
        <v>-56172796.334995031</v>
      </c>
      <c r="J131" s="149">
        <f t="shared" si="39"/>
        <v>-55997006.71807754</v>
      </c>
      <c r="K131" s="149">
        <f t="shared" si="39"/>
        <v>-55821217.101160049</v>
      </c>
      <c r="L131" s="149">
        <f t="shared" si="39"/>
        <v>-55645427.484242499</v>
      </c>
      <c r="M131" s="149">
        <f t="shared" si="39"/>
        <v>-55469637.867325008</v>
      </c>
      <c r="N131" s="149">
        <f t="shared" si="39"/>
        <v>-55293848.250407517</v>
      </c>
      <c r="O131" s="149">
        <f t="shared" si="39"/>
        <v>-55118058.633490026</v>
      </c>
      <c r="P131" s="23">
        <f t="shared" si="39"/>
        <v>-735665715.57176828</v>
      </c>
      <c r="Q131" s="23">
        <f t="shared" si="39"/>
        <v>-56589670.428597569</v>
      </c>
      <c r="R131" s="2">
        <f t="shared" si="19"/>
        <v>0</v>
      </c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3"/>
    </row>
    <row r="132" spans="1:35" x14ac:dyDescent="0.25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>
        <f t="shared" si="19"/>
        <v>0</v>
      </c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3"/>
    </row>
    <row r="133" spans="1:35" x14ac:dyDescent="0.25">
      <c r="A133" s="21" t="s">
        <v>206</v>
      </c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">
        <f t="shared" si="19"/>
        <v>0</v>
      </c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3"/>
    </row>
    <row r="134" spans="1:35" x14ac:dyDescent="0.25">
      <c r="A134" s="13" t="s">
        <v>207</v>
      </c>
      <c r="B134" s="13" t="s">
        <v>208</v>
      </c>
      <c r="C134" s="64">
        <v>6158</v>
      </c>
      <c r="D134" s="64">
        <f t="shared" ref="D134:O135" si="40">(($P134-$C134)/12)</f>
        <v>4954.504633333333</v>
      </c>
      <c r="E134" s="64">
        <f t="shared" si="40"/>
        <v>4954.504633333333</v>
      </c>
      <c r="F134" s="64">
        <f t="shared" si="40"/>
        <v>4954.504633333333</v>
      </c>
      <c r="G134" s="64">
        <f t="shared" si="40"/>
        <v>4954.504633333333</v>
      </c>
      <c r="H134" s="64">
        <f t="shared" si="40"/>
        <v>4954.504633333333</v>
      </c>
      <c r="I134" s="64">
        <f t="shared" si="40"/>
        <v>4954.504633333333</v>
      </c>
      <c r="J134" s="64">
        <f t="shared" si="40"/>
        <v>4954.504633333333</v>
      </c>
      <c r="K134" s="64">
        <f t="shared" si="40"/>
        <v>4954.504633333333</v>
      </c>
      <c r="L134" s="64">
        <f t="shared" si="40"/>
        <v>4954.504633333333</v>
      </c>
      <c r="M134" s="64">
        <f t="shared" si="40"/>
        <v>4954.504633333333</v>
      </c>
      <c r="N134" s="64">
        <f t="shared" si="40"/>
        <v>4954.504633333333</v>
      </c>
      <c r="O134" s="64">
        <f t="shared" si="40"/>
        <v>4954.504633333333</v>
      </c>
      <c r="P134" s="2">
        <f t="shared" ref="P134:P135" si="41">Q134*13</f>
        <v>65612.055599999992</v>
      </c>
      <c r="Q134" s="2">
        <f>'working capital and def tax 21'!Q134*1.0826</f>
        <v>5047.0811999999996</v>
      </c>
      <c r="R134" s="2">
        <f t="shared" si="19"/>
        <v>0</v>
      </c>
      <c r="S134" s="2">
        <f>'working capital and def tax 21'!R134*1.0826</f>
        <v>0</v>
      </c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3"/>
    </row>
    <row r="135" spans="1:35" x14ac:dyDescent="0.25">
      <c r="A135" s="13" t="s">
        <v>209</v>
      </c>
      <c r="B135" s="13" t="s">
        <v>210</v>
      </c>
      <c r="C135" s="64">
        <v>33125</v>
      </c>
      <c r="D135" s="64">
        <f t="shared" si="40"/>
        <v>80591.663833333339</v>
      </c>
      <c r="E135" s="64">
        <f t="shared" si="40"/>
        <v>80591.663833333339</v>
      </c>
      <c r="F135" s="64">
        <f t="shared" si="40"/>
        <v>80591.663833333339</v>
      </c>
      <c r="G135" s="64">
        <f t="shared" si="40"/>
        <v>80591.663833333339</v>
      </c>
      <c r="H135" s="64">
        <f t="shared" si="40"/>
        <v>80591.663833333339</v>
      </c>
      <c r="I135" s="64">
        <f t="shared" si="40"/>
        <v>80591.663833333339</v>
      </c>
      <c r="J135" s="64">
        <f t="shared" si="40"/>
        <v>80591.663833333339</v>
      </c>
      <c r="K135" s="64">
        <f t="shared" si="40"/>
        <v>80591.663833333339</v>
      </c>
      <c r="L135" s="64">
        <f t="shared" si="40"/>
        <v>80591.663833333339</v>
      </c>
      <c r="M135" s="64">
        <f t="shared" si="40"/>
        <v>80591.663833333339</v>
      </c>
      <c r="N135" s="64">
        <f t="shared" si="40"/>
        <v>80591.663833333339</v>
      </c>
      <c r="O135" s="64">
        <f t="shared" si="40"/>
        <v>80591.663833333339</v>
      </c>
      <c r="P135" s="2">
        <f t="shared" si="41"/>
        <v>1000224.966</v>
      </c>
      <c r="Q135" s="2">
        <f>'working capital and def tax 21'!Q135*1.0826</f>
        <v>76940.381999999998</v>
      </c>
      <c r="R135" s="2">
        <f t="shared" si="19"/>
        <v>0</v>
      </c>
      <c r="S135" s="15" t="s">
        <v>502</v>
      </c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3"/>
    </row>
    <row r="136" spans="1:35" x14ac:dyDescent="0.25">
      <c r="C136" s="26" t="s">
        <v>67</v>
      </c>
      <c r="D136" s="26" t="s">
        <v>67</v>
      </c>
      <c r="E136" s="26" t="s">
        <v>67</v>
      </c>
      <c r="F136" s="26" t="s">
        <v>67</v>
      </c>
      <c r="G136" s="26" t="s">
        <v>67</v>
      </c>
      <c r="H136" s="26" t="s">
        <v>67</v>
      </c>
      <c r="I136" s="26" t="s">
        <v>67</v>
      </c>
      <c r="J136" s="26" t="s">
        <v>67</v>
      </c>
      <c r="K136" s="26" t="s">
        <v>67</v>
      </c>
      <c r="L136" s="26" t="s">
        <v>67</v>
      </c>
      <c r="M136" s="26" t="s">
        <v>67</v>
      </c>
      <c r="N136" s="26" t="s">
        <v>67</v>
      </c>
      <c r="O136" s="26" t="s">
        <v>67</v>
      </c>
      <c r="P136" s="26" t="s">
        <v>67</v>
      </c>
      <c r="Q136" s="26" t="s">
        <v>67</v>
      </c>
      <c r="R136" s="2" t="e">
        <f t="shared" si="19"/>
        <v>#VALUE!</v>
      </c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3"/>
    </row>
    <row r="137" spans="1:35" x14ac:dyDescent="0.25">
      <c r="A137" s="21" t="s">
        <v>211</v>
      </c>
      <c r="B137" s="22"/>
      <c r="C137" s="23">
        <v>39283</v>
      </c>
      <c r="D137" s="23">
        <f t="shared" ref="D137:Q137" si="42">SUM(D134:D135)</f>
        <v>85546.16846666667</v>
      </c>
      <c r="E137" s="146">
        <f t="shared" si="42"/>
        <v>85546.16846666667</v>
      </c>
      <c r="F137" s="23">
        <f t="shared" si="42"/>
        <v>85546.16846666667</v>
      </c>
      <c r="G137" s="23">
        <f t="shared" si="42"/>
        <v>85546.16846666667</v>
      </c>
      <c r="H137" s="23">
        <f t="shared" si="42"/>
        <v>85546.16846666667</v>
      </c>
      <c r="I137" s="23">
        <f t="shared" si="42"/>
        <v>85546.16846666667</v>
      </c>
      <c r="J137" s="23">
        <f t="shared" si="42"/>
        <v>85546.16846666667</v>
      </c>
      <c r="K137" s="23">
        <f t="shared" si="42"/>
        <v>85546.16846666667</v>
      </c>
      <c r="L137" s="23">
        <f t="shared" si="42"/>
        <v>85546.16846666667</v>
      </c>
      <c r="M137" s="23">
        <f t="shared" si="42"/>
        <v>85546.16846666667</v>
      </c>
      <c r="N137" s="23">
        <f t="shared" si="42"/>
        <v>85546.16846666667</v>
      </c>
      <c r="O137" s="23">
        <f t="shared" si="42"/>
        <v>85546.16846666667</v>
      </c>
      <c r="P137" s="23">
        <f t="shared" si="42"/>
        <v>1065837.0216000001</v>
      </c>
      <c r="Q137" s="23">
        <f t="shared" si="42"/>
        <v>81987.463199999998</v>
      </c>
      <c r="R137" s="2">
        <f t="shared" si="19"/>
        <v>0</v>
      </c>
      <c r="S137" s="15">
        <f>SUM(U137:Z137)-Q137</f>
        <v>0</v>
      </c>
      <c r="T137" s="15" t="s">
        <v>16</v>
      </c>
      <c r="U137" s="15">
        <f t="shared" ref="U137:Z137" si="43">$Q137*U5</f>
        <v>17463.329661600001</v>
      </c>
      <c r="V137" s="15">
        <f t="shared" si="43"/>
        <v>28531.637193599996</v>
      </c>
      <c r="W137" s="15">
        <f t="shared" si="43"/>
        <v>11806.194700799999</v>
      </c>
      <c r="X137" s="15">
        <f t="shared" si="43"/>
        <v>81.987463199999993</v>
      </c>
      <c r="Y137" s="15">
        <f t="shared" si="43"/>
        <v>81.987463199999993</v>
      </c>
      <c r="Z137" s="15">
        <f t="shared" si="43"/>
        <v>24022.326717599997</v>
      </c>
      <c r="AA137" s="15"/>
      <c r="AB137" s="15" t="s">
        <v>16</v>
      </c>
      <c r="AC137" s="15">
        <f t="shared" ref="AC137:AH137" si="44">$O137*AC$5</f>
        <v>18221.333883399999</v>
      </c>
      <c r="AD137" s="15">
        <f t="shared" si="44"/>
        <v>29770.066626399999</v>
      </c>
      <c r="AE137" s="15">
        <f t="shared" si="44"/>
        <v>12318.648259199999</v>
      </c>
      <c r="AF137" s="15">
        <f t="shared" si="44"/>
        <v>85.546168466666671</v>
      </c>
      <c r="AG137" s="15">
        <f t="shared" si="44"/>
        <v>85.546168466666671</v>
      </c>
      <c r="AH137" s="15">
        <f t="shared" si="44"/>
        <v>25065.027360733333</v>
      </c>
      <c r="AI137" s="27">
        <f>SUM(AC137:AH137)-O137</f>
        <v>0</v>
      </c>
    </row>
    <row r="138" spans="1:35" x14ac:dyDescent="0.25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>
        <f t="shared" si="19"/>
        <v>0</v>
      </c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3"/>
    </row>
    <row r="139" spans="1:35" x14ac:dyDescent="0.25">
      <c r="A139" s="21" t="s">
        <v>212</v>
      </c>
      <c r="B139" s="22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">
        <f t="shared" si="19"/>
        <v>0</v>
      </c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3"/>
    </row>
    <row r="140" spans="1:35" x14ac:dyDescent="0.25">
      <c r="A140" s="13" t="s">
        <v>213</v>
      </c>
      <c r="B140" s="13" t="s">
        <v>214</v>
      </c>
      <c r="C140" s="64">
        <v>127184</v>
      </c>
      <c r="D140" s="64">
        <f t="shared" ref="D140:O140" si="45">(($P140-$C140)/12)</f>
        <v>122776.39030000001</v>
      </c>
      <c r="E140" s="64">
        <f t="shared" si="45"/>
        <v>122776.39030000001</v>
      </c>
      <c r="F140" s="64">
        <f t="shared" si="45"/>
        <v>122776.39030000001</v>
      </c>
      <c r="G140" s="64">
        <f t="shared" si="45"/>
        <v>122776.39030000001</v>
      </c>
      <c r="H140" s="64">
        <f t="shared" si="45"/>
        <v>122776.39030000001</v>
      </c>
      <c r="I140" s="64">
        <f t="shared" si="45"/>
        <v>122776.39030000001</v>
      </c>
      <c r="J140" s="64">
        <f t="shared" si="45"/>
        <v>122776.39030000001</v>
      </c>
      <c r="K140" s="64">
        <f t="shared" si="45"/>
        <v>122776.39030000001</v>
      </c>
      <c r="L140" s="64">
        <f t="shared" si="45"/>
        <v>122776.39030000001</v>
      </c>
      <c r="M140" s="64">
        <f t="shared" si="45"/>
        <v>122776.39030000001</v>
      </c>
      <c r="N140" s="64">
        <f t="shared" si="45"/>
        <v>122776.39030000001</v>
      </c>
      <c r="O140" s="64">
        <f t="shared" si="45"/>
        <v>122776.39030000001</v>
      </c>
      <c r="P140" s="2">
        <f t="shared" ref="P140" si="46">Q140*13</f>
        <v>1600500.6836000001</v>
      </c>
      <c r="Q140" s="2">
        <f>'working capital and def tax 21'!Q140*1.0826</f>
        <v>123115.4372</v>
      </c>
      <c r="R140" s="2">
        <f t="shared" si="19"/>
        <v>0</v>
      </c>
      <c r="S140" s="15" t="s">
        <v>502</v>
      </c>
      <c r="T140" s="15" t="s">
        <v>16</v>
      </c>
      <c r="U140" s="15">
        <f t="shared" ref="U140:Z140" si="47">$Q140*U5</f>
        <v>26223.588123599999</v>
      </c>
      <c r="V140" s="15">
        <f t="shared" si="47"/>
        <v>42844.172145599994</v>
      </c>
      <c r="W140" s="15">
        <f t="shared" si="47"/>
        <v>17728.622956799998</v>
      </c>
      <c r="X140" s="15">
        <f t="shared" si="47"/>
        <v>123.1154372</v>
      </c>
      <c r="Y140" s="15">
        <f t="shared" si="47"/>
        <v>123.1154372</v>
      </c>
      <c r="Z140" s="15">
        <f t="shared" si="47"/>
        <v>36072.823099599998</v>
      </c>
      <c r="AA140" s="15"/>
      <c r="AB140" s="15" t="s">
        <v>16</v>
      </c>
      <c r="AC140" s="15">
        <f t="shared" ref="AC140:AH140" si="48">$O140*AC$5</f>
        <v>26151.371133900004</v>
      </c>
      <c r="AD140" s="15">
        <f t="shared" si="48"/>
        <v>42726.183824400003</v>
      </c>
      <c r="AE140" s="15">
        <f t="shared" si="48"/>
        <v>17679.8002032</v>
      </c>
      <c r="AF140" s="15">
        <f t="shared" si="48"/>
        <v>122.77639030000002</v>
      </c>
      <c r="AG140" s="15">
        <f t="shared" si="48"/>
        <v>122.77639030000002</v>
      </c>
      <c r="AH140" s="15">
        <f t="shared" si="48"/>
        <v>35973.4823579</v>
      </c>
      <c r="AI140" s="27">
        <f>SUM(AC140:AH140)-O140</f>
        <v>0</v>
      </c>
    </row>
    <row r="141" spans="1:35" x14ac:dyDescent="0.25">
      <c r="C141" s="26" t="s">
        <v>67</v>
      </c>
      <c r="D141" s="26" t="s">
        <v>67</v>
      </c>
      <c r="E141" s="26" t="s">
        <v>67</v>
      </c>
      <c r="F141" s="26" t="s">
        <v>67</v>
      </c>
      <c r="G141" s="26" t="s">
        <v>67</v>
      </c>
      <c r="H141" s="26" t="s">
        <v>67</v>
      </c>
      <c r="I141" s="26" t="s">
        <v>67</v>
      </c>
      <c r="J141" s="26" t="s">
        <v>67</v>
      </c>
      <c r="K141" s="26" t="s">
        <v>67</v>
      </c>
      <c r="L141" s="26" t="s">
        <v>67</v>
      </c>
      <c r="M141" s="26" t="s">
        <v>67</v>
      </c>
      <c r="N141" s="26" t="s">
        <v>67</v>
      </c>
      <c r="O141" s="26" t="s">
        <v>67</v>
      </c>
      <c r="P141" s="26" t="s">
        <v>67</v>
      </c>
      <c r="Q141" s="26" t="s">
        <v>67</v>
      </c>
      <c r="R141" s="2" t="e">
        <f t="shared" si="19"/>
        <v>#VALUE!</v>
      </c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3"/>
    </row>
    <row r="142" spans="1:35" x14ac:dyDescent="0.25">
      <c r="A142" s="21" t="s">
        <v>215</v>
      </c>
      <c r="B142" s="22"/>
      <c r="C142" s="23">
        <v>127184</v>
      </c>
      <c r="D142" s="23">
        <f t="shared" ref="D142:Q142" si="49">D140</f>
        <v>122776.39030000001</v>
      </c>
      <c r="E142" s="146">
        <f t="shared" si="49"/>
        <v>122776.39030000001</v>
      </c>
      <c r="F142" s="23">
        <f t="shared" si="49"/>
        <v>122776.39030000001</v>
      </c>
      <c r="G142" s="23">
        <f t="shared" si="49"/>
        <v>122776.39030000001</v>
      </c>
      <c r="H142" s="23">
        <f t="shared" si="49"/>
        <v>122776.39030000001</v>
      </c>
      <c r="I142" s="23">
        <f t="shared" si="49"/>
        <v>122776.39030000001</v>
      </c>
      <c r="J142" s="23">
        <f t="shared" si="49"/>
        <v>122776.39030000001</v>
      </c>
      <c r="K142" s="23">
        <f t="shared" si="49"/>
        <v>122776.39030000001</v>
      </c>
      <c r="L142" s="23">
        <f t="shared" si="49"/>
        <v>122776.39030000001</v>
      </c>
      <c r="M142" s="23">
        <f t="shared" si="49"/>
        <v>122776.39030000001</v>
      </c>
      <c r="N142" s="23">
        <f t="shared" si="49"/>
        <v>122776.39030000001</v>
      </c>
      <c r="O142" s="23">
        <f t="shared" si="49"/>
        <v>122776.39030000001</v>
      </c>
      <c r="P142" s="23">
        <f t="shared" si="49"/>
        <v>1600500.6836000001</v>
      </c>
      <c r="Q142" s="23">
        <f t="shared" si="49"/>
        <v>123115.4372</v>
      </c>
      <c r="R142" s="2">
        <f t="shared" si="19"/>
        <v>0</v>
      </c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3"/>
    </row>
    <row r="143" spans="1:35" x14ac:dyDescent="0.25">
      <c r="A143" s="40"/>
      <c r="B143" s="40"/>
      <c r="C143" s="41"/>
      <c r="D143" s="41">
        <f>D142+D137</f>
        <v>208322.55876666668</v>
      </c>
      <c r="E143" s="41">
        <f t="shared" ref="E143:O143" si="50">E142+E137</f>
        <v>208322.55876666668</v>
      </c>
      <c r="F143" s="41">
        <f t="shared" si="50"/>
        <v>208322.55876666668</v>
      </c>
      <c r="G143" s="41">
        <f t="shared" si="50"/>
        <v>208322.55876666668</v>
      </c>
      <c r="H143" s="41">
        <f t="shared" si="50"/>
        <v>208322.55876666668</v>
      </c>
      <c r="I143" s="41">
        <f t="shared" si="50"/>
        <v>208322.55876666668</v>
      </c>
      <c r="J143" s="41">
        <f t="shared" si="50"/>
        <v>208322.55876666668</v>
      </c>
      <c r="K143" s="41">
        <f t="shared" si="50"/>
        <v>208322.55876666668</v>
      </c>
      <c r="L143" s="41">
        <f t="shared" si="50"/>
        <v>208322.55876666668</v>
      </c>
      <c r="M143" s="41">
        <f t="shared" si="50"/>
        <v>208322.55876666668</v>
      </c>
      <c r="N143" s="41">
        <f t="shared" si="50"/>
        <v>208322.55876666668</v>
      </c>
      <c r="O143" s="41">
        <f t="shared" si="50"/>
        <v>208322.55876666668</v>
      </c>
      <c r="P143" s="41"/>
      <c r="Q143" s="41"/>
      <c r="R143" s="2">
        <f t="shared" si="19"/>
        <v>192297.7465538462</v>
      </c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3"/>
    </row>
    <row r="144" spans="1:35" ht="15.75" x14ac:dyDescent="0.3">
      <c r="A144" s="42" t="s">
        <v>216</v>
      </c>
      <c r="B144" s="43"/>
      <c r="C144" s="44">
        <v>-61839333</v>
      </c>
      <c r="D144" s="44">
        <f t="shared" ref="D144:Q144" si="51">D142+D137+D131+D92+D86+D79</f>
        <v>-56126088.686782524</v>
      </c>
      <c r="E144" s="44">
        <f t="shared" si="51"/>
        <v>-55932306.016531691</v>
      </c>
      <c r="F144" s="44">
        <f t="shared" si="51"/>
        <v>-55756516.299614176</v>
      </c>
      <c r="G144" s="44">
        <f t="shared" si="51"/>
        <v>-55580726.682696685</v>
      </c>
      <c r="H144" s="44">
        <f t="shared" si="51"/>
        <v>-55404937.065779194</v>
      </c>
      <c r="I144" s="44">
        <f t="shared" si="51"/>
        <v>-55229147.448861703</v>
      </c>
      <c r="J144" s="44">
        <f t="shared" si="51"/>
        <v>-55053357.831944212</v>
      </c>
      <c r="K144" s="44">
        <f t="shared" si="51"/>
        <v>-54877568.215026721</v>
      </c>
      <c r="L144" s="44">
        <f t="shared" si="51"/>
        <v>-54701778.598109171</v>
      </c>
      <c r="M144" s="44">
        <f t="shared" si="51"/>
        <v>-54525988.98119168</v>
      </c>
      <c r="N144" s="44">
        <f t="shared" si="51"/>
        <v>-54350199.364274189</v>
      </c>
      <c r="O144" s="44">
        <f t="shared" si="51"/>
        <v>-54174409.747356698</v>
      </c>
      <c r="P144" s="44">
        <f t="shared" si="51"/>
        <v>-723552356.93816841</v>
      </c>
      <c r="Q144" s="44">
        <f t="shared" si="51"/>
        <v>-55657873.610628337</v>
      </c>
      <c r="R144" s="2">
        <f t="shared" si="19"/>
        <v>-7.6923087239265442E-2</v>
      </c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3"/>
    </row>
    <row r="145" spans="1:35" x14ac:dyDescent="0.25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>
        <f t="shared" ref="R145:R208" si="52">(SUM(C145:O145)/13)-Q145</f>
        <v>0</v>
      </c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3"/>
    </row>
    <row r="146" spans="1:35" ht="15.75" x14ac:dyDescent="0.3">
      <c r="A146" s="18" t="s">
        <v>217</v>
      </c>
      <c r="B146" s="1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">
        <f t="shared" si="52"/>
        <v>0</v>
      </c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3"/>
    </row>
    <row r="147" spans="1:35" x14ac:dyDescent="0.25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>
        <f t="shared" si="52"/>
        <v>0</v>
      </c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3"/>
    </row>
    <row r="148" spans="1:35" x14ac:dyDescent="0.25">
      <c r="A148" s="45" t="s">
        <v>218</v>
      </c>
      <c r="B148" s="46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2">
        <f t="shared" si="52"/>
        <v>0</v>
      </c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3"/>
    </row>
    <row r="149" spans="1:35" x14ac:dyDescent="0.25">
      <c r="A149" s="48" t="s">
        <v>219</v>
      </c>
      <c r="B149" s="48" t="s">
        <v>220</v>
      </c>
      <c r="C149" s="64">
        <v>721355</v>
      </c>
      <c r="D149" s="64">
        <f>C149-6142</f>
        <v>715213</v>
      </c>
      <c r="E149" s="64">
        <f t="shared" ref="E149:O149" si="53">D149-6142</f>
        <v>709071</v>
      </c>
      <c r="F149" s="64">
        <f t="shared" si="53"/>
        <v>702929</v>
      </c>
      <c r="G149" s="64">
        <f t="shared" si="53"/>
        <v>696787</v>
      </c>
      <c r="H149" s="64">
        <f t="shared" si="53"/>
        <v>690645</v>
      </c>
      <c r="I149" s="64">
        <f t="shared" si="53"/>
        <v>684503</v>
      </c>
      <c r="J149" s="64">
        <f t="shared" si="53"/>
        <v>678361</v>
      </c>
      <c r="K149" s="64">
        <f t="shared" si="53"/>
        <v>672219</v>
      </c>
      <c r="L149" s="64">
        <f t="shared" si="53"/>
        <v>666077</v>
      </c>
      <c r="M149" s="64">
        <f t="shared" si="53"/>
        <v>659935</v>
      </c>
      <c r="N149" s="64">
        <f t="shared" si="53"/>
        <v>653793</v>
      </c>
      <c r="O149" s="64">
        <f t="shared" si="53"/>
        <v>647651</v>
      </c>
      <c r="P149" s="2">
        <f>SUM(C149:O149)</f>
        <v>8898539</v>
      </c>
      <c r="Q149" s="2">
        <f>P149/13</f>
        <v>684503</v>
      </c>
      <c r="R149" s="2">
        <f t="shared" si="52"/>
        <v>0</v>
      </c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3"/>
    </row>
    <row r="150" spans="1:35" x14ac:dyDescent="0.25">
      <c r="C150" s="26" t="s">
        <v>67</v>
      </c>
      <c r="D150" s="26" t="s">
        <v>67</v>
      </c>
      <c r="E150" s="26" t="s">
        <v>67</v>
      </c>
      <c r="F150" s="26" t="s">
        <v>67</v>
      </c>
      <c r="G150" s="26" t="s">
        <v>67</v>
      </c>
      <c r="H150" s="26" t="s">
        <v>67</v>
      </c>
      <c r="I150" s="26" t="s">
        <v>67</v>
      </c>
      <c r="J150" s="26" t="s">
        <v>67</v>
      </c>
      <c r="K150" s="26" t="s">
        <v>67</v>
      </c>
      <c r="L150" s="26" t="s">
        <v>67</v>
      </c>
      <c r="M150" s="26" t="s">
        <v>67</v>
      </c>
      <c r="N150" s="26" t="s">
        <v>67</v>
      </c>
      <c r="O150" s="26" t="s">
        <v>67</v>
      </c>
      <c r="P150" s="26" t="s">
        <v>67</v>
      </c>
      <c r="Q150" s="26" t="s">
        <v>67</v>
      </c>
      <c r="R150" s="2" t="e">
        <f t="shared" si="52"/>
        <v>#VALUE!</v>
      </c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3"/>
    </row>
    <row r="151" spans="1:35" x14ac:dyDescent="0.25">
      <c r="A151" s="21" t="s">
        <v>221</v>
      </c>
      <c r="B151" s="22"/>
      <c r="C151" s="23">
        <v>721355</v>
      </c>
      <c r="D151" s="23">
        <f t="shared" ref="D151:Q151" si="54">D149</f>
        <v>715213</v>
      </c>
      <c r="E151" s="146">
        <f t="shared" si="54"/>
        <v>709071</v>
      </c>
      <c r="F151" s="23">
        <f t="shared" si="54"/>
        <v>702929</v>
      </c>
      <c r="G151" s="23">
        <f t="shared" si="54"/>
        <v>696787</v>
      </c>
      <c r="H151" s="23">
        <f t="shared" si="54"/>
        <v>690645</v>
      </c>
      <c r="I151" s="23">
        <f t="shared" si="54"/>
        <v>684503</v>
      </c>
      <c r="J151" s="23">
        <f t="shared" si="54"/>
        <v>678361</v>
      </c>
      <c r="K151" s="23">
        <f t="shared" si="54"/>
        <v>672219</v>
      </c>
      <c r="L151" s="23">
        <f t="shared" si="54"/>
        <v>666077</v>
      </c>
      <c r="M151" s="23">
        <f t="shared" si="54"/>
        <v>659935</v>
      </c>
      <c r="N151" s="23">
        <f t="shared" si="54"/>
        <v>653793</v>
      </c>
      <c r="O151" s="23">
        <f t="shared" si="54"/>
        <v>647651</v>
      </c>
      <c r="P151" s="23">
        <f t="shared" si="54"/>
        <v>8898539</v>
      </c>
      <c r="Q151" s="23">
        <f t="shared" si="54"/>
        <v>684503</v>
      </c>
      <c r="R151" s="2">
        <f t="shared" si="52"/>
        <v>0</v>
      </c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3"/>
    </row>
    <row r="152" spans="1:35" x14ac:dyDescent="0.25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>
        <f t="shared" si="52"/>
        <v>0</v>
      </c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3"/>
    </row>
    <row r="153" spans="1:35" x14ac:dyDescent="0.25">
      <c r="A153" s="21" t="s">
        <v>222</v>
      </c>
      <c r="B153" s="22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">
        <f t="shared" si="52"/>
        <v>0</v>
      </c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3"/>
    </row>
    <row r="154" spans="1:35" ht="15.75" x14ac:dyDescent="0.25">
      <c r="A154" s="13" t="s">
        <v>223</v>
      </c>
      <c r="B154" s="13" t="s">
        <v>224</v>
      </c>
      <c r="C154" s="64">
        <v>705514</v>
      </c>
      <c r="D154" s="145">
        <v>566201.35</v>
      </c>
      <c r="E154" s="145">
        <v>180118.34</v>
      </c>
      <c r="F154" s="145">
        <v>176628.11</v>
      </c>
      <c r="G154" s="145">
        <v>173127.03</v>
      </c>
      <c r="H154" s="145">
        <v>169615.08</v>
      </c>
      <c r="I154" s="145">
        <v>166092.26</v>
      </c>
      <c r="J154" s="145">
        <v>162558.51</v>
      </c>
      <c r="K154" s="145">
        <v>159013.81</v>
      </c>
      <c r="L154" s="145">
        <v>155458.12</v>
      </c>
      <c r="M154" s="145">
        <v>151891.4</v>
      </c>
      <c r="N154" s="145">
        <v>148313.63</v>
      </c>
      <c r="O154" s="145">
        <v>144724.76999999999</v>
      </c>
      <c r="P154" s="2">
        <f t="shared" ref="P154:P155" si="55">SUM(C154:O154)</f>
        <v>3059256.4100000006</v>
      </c>
      <c r="Q154" s="2">
        <f t="shared" ref="Q154:Q155" si="56">P154/13</f>
        <v>235327.41615384619</v>
      </c>
      <c r="R154" s="2">
        <f t="shared" si="52"/>
        <v>0</v>
      </c>
      <c r="S154" s="15" t="s">
        <v>504</v>
      </c>
      <c r="T154" s="15" t="s">
        <v>225</v>
      </c>
      <c r="U154" s="15">
        <f>$Q154*U$3</f>
        <v>38158.340529346155</v>
      </c>
      <c r="V154" s="15">
        <f t="shared" ref="V154:Z154" si="57">$Q154*V$3</f>
        <v>92180.102181623093</v>
      </c>
      <c r="W154" s="15">
        <f t="shared" si="57"/>
        <v>43272.005282369239</v>
      </c>
      <c r="X154" s="15">
        <f t="shared" si="57"/>
        <v>835.41232734615403</v>
      </c>
      <c r="Y154" s="15">
        <f t="shared" si="57"/>
        <v>261.21343193076927</v>
      </c>
      <c r="Z154" s="15">
        <f t="shared" si="57"/>
        <v>60625.048949553857</v>
      </c>
      <c r="AA154" s="15"/>
      <c r="AB154" s="15"/>
      <c r="AC154" s="15">
        <f>$O154*AC$3</f>
        <v>23467.121455499997</v>
      </c>
      <c r="AD154" s="15">
        <f t="shared" ref="AD154:AH154" si="58">$O154*AD$3</f>
        <v>56690.139656699997</v>
      </c>
      <c r="AE154" s="15">
        <f t="shared" si="58"/>
        <v>26611.990707599998</v>
      </c>
      <c r="AF154" s="15">
        <f t="shared" si="58"/>
        <v>513.77293350000002</v>
      </c>
      <c r="AG154" s="15">
        <f t="shared" si="58"/>
        <v>160.6444947</v>
      </c>
      <c r="AH154" s="15">
        <f t="shared" si="58"/>
        <v>37283.995247400002</v>
      </c>
      <c r="AI154" s="3"/>
    </row>
    <row r="155" spans="1:35" x14ac:dyDescent="0.25">
      <c r="A155" s="13" t="s">
        <v>226</v>
      </c>
      <c r="B155" s="13" t="s">
        <v>227</v>
      </c>
      <c r="C155" s="64">
        <v>-135844</v>
      </c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2">
        <f t="shared" si="55"/>
        <v>-135844</v>
      </c>
      <c r="Q155" s="2">
        <f t="shared" si="56"/>
        <v>-10449.538461538461</v>
      </c>
      <c r="R155" s="2">
        <f t="shared" si="52"/>
        <v>0</v>
      </c>
      <c r="S155" s="15" t="s">
        <v>504</v>
      </c>
      <c r="T155" s="15" t="s">
        <v>225</v>
      </c>
      <c r="U155" s="15">
        <f t="shared" ref="U155:Z155" si="59">$Q155*U$3</f>
        <v>-1694.3926615384614</v>
      </c>
      <c r="V155" s="15">
        <f t="shared" si="59"/>
        <v>-4093.1887107692305</v>
      </c>
      <c r="W155" s="15">
        <f t="shared" si="59"/>
        <v>-1921.461132307692</v>
      </c>
      <c r="X155" s="15">
        <f t="shared" si="59"/>
        <v>-37.095861538461541</v>
      </c>
      <c r="Y155" s="15">
        <f t="shared" si="59"/>
        <v>-11.598987692307693</v>
      </c>
      <c r="Z155" s="15">
        <f t="shared" si="59"/>
        <v>-2692.0100984615383</v>
      </c>
      <c r="AA155" s="15"/>
      <c r="AB155" s="15"/>
      <c r="AC155" s="15">
        <f t="shared" ref="AC155:AH155" si="60">$O155*AC$3</f>
        <v>0</v>
      </c>
      <c r="AD155" s="15">
        <f t="shared" si="60"/>
        <v>0</v>
      </c>
      <c r="AE155" s="15">
        <f t="shared" si="60"/>
        <v>0</v>
      </c>
      <c r="AF155" s="15">
        <f t="shared" si="60"/>
        <v>0</v>
      </c>
      <c r="AG155" s="15">
        <f t="shared" si="60"/>
        <v>0</v>
      </c>
      <c r="AH155" s="15">
        <f t="shared" si="60"/>
        <v>0</v>
      </c>
      <c r="AI155" s="3"/>
    </row>
    <row r="156" spans="1:35" x14ac:dyDescent="0.25">
      <c r="C156" s="26" t="s">
        <v>67</v>
      </c>
      <c r="D156" s="26" t="s">
        <v>67</v>
      </c>
      <c r="E156" s="26" t="s">
        <v>67</v>
      </c>
      <c r="F156" s="26" t="s">
        <v>67</v>
      </c>
      <c r="G156" s="26" t="s">
        <v>67</v>
      </c>
      <c r="H156" s="26" t="s">
        <v>67</v>
      </c>
      <c r="I156" s="26" t="s">
        <v>67</v>
      </c>
      <c r="J156" s="26" t="s">
        <v>67</v>
      </c>
      <c r="K156" s="26" t="s">
        <v>67</v>
      </c>
      <c r="L156" s="26" t="s">
        <v>67</v>
      </c>
      <c r="M156" s="26" t="s">
        <v>67</v>
      </c>
      <c r="N156" s="26" t="s">
        <v>67</v>
      </c>
      <c r="O156" s="26" t="s">
        <v>67</v>
      </c>
      <c r="P156" s="26" t="s">
        <v>67</v>
      </c>
      <c r="Q156" s="26" t="s">
        <v>67</v>
      </c>
      <c r="R156" s="2" t="e">
        <f t="shared" si="52"/>
        <v>#VALUE!</v>
      </c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3"/>
    </row>
    <row r="157" spans="1:35" x14ac:dyDescent="0.25">
      <c r="A157" s="21" t="s">
        <v>228</v>
      </c>
      <c r="B157" s="22"/>
      <c r="C157" s="23">
        <v>569670</v>
      </c>
      <c r="D157" s="23">
        <f t="shared" ref="D157:Q157" si="61">SUM(D154:D155)</f>
        <v>566201.35</v>
      </c>
      <c r="E157" s="146">
        <f t="shared" si="61"/>
        <v>180118.34</v>
      </c>
      <c r="F157" s="23">
        <f t="shared" si="61"/>
        <v>176628.11</v>
      </c>
      <c r="G157" s="23">
        <f t="shared" si="61"/>
        <v>173127.03</v>
      </c>
      <c r="H157" s="23">
        <f t="shared" si="61"/>
        <v>169615.08</v>
      </c>
      <c r="I157" s="23">
        <f t="shared" si="61"/>
        <v>166092.26</v>
      </c>
      <c r="J157" s="23">
        <f t="shared" si="61"/>
        <v>162558.51</v>
      </c>
      <c r="K157" s="23">
        <f t="shared" si="61"/>
        <v>159013.81</v>
      </c>
      <c r="L157" s="23">
        <f t="shared" si="61"/>
        <v>155458.12</v>
      </c>
      <c r="M157" s="23">
        <f t="shared" si="61"/>
        <v>151891.4</v>
      </c>
      <c r="N157" s="23">
        <f t="shared" si="61"/>
        <v>148313.63</v>
      </c>
      <c r="O157" s="23">
        <f t="shared" si="61"/>
        <v>144724.76999999999</v>
      </c>
      <c r="P157" s="23">
        <f t="shared" si="61"/>
        <v>2923412.4100000006</v>
      </c>
      <c r="Q157" s="23">
        <f t="shared" si="61"/>
        <v>224877.87769230772</v>
      </c>
      <c r="R157" s="2">
        <f t="shared" si="52"/>
        <v>0</v>
      </c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3"/>
    </row>
    <row r="158" spans="1:35" x14ac:dyDescent="0.25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>
        <f t="shared" si="52"/>
        <v>0</v>
      </c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3"/>
    </row>
    <row r="159" spans="1:35" ht="15.75" x14ac:dyDescent="0.3">
      <c r="A159" s="18" t="s">
        <v>229</v>
      </c>
      <c r="B159" s="19"/>
      <c r="C159" s="20">
        <v>1291025</v>
      </c>
      <c r="D159" s="20">
        <f t="shared" ref="D159:Q159" si="62">D157+D151</f>
        <v>1281414.3500000001</v>
      </c>
      <c r="E159" s="20">
        <f t="shared" si="62"/>
        <v>889189.34</v>
      </c>
      <c r="F159" s="20">
        <f t="shared" si="62"/>
        <v>879557.11</v>
      </c>
      <c r="G159" s="20">
        <f t="shared" si="62"/>
        <v>869914.03</v>
      </c>
      <c r="H159" s="20">
        <f t="shared" si="62"/>
        <v>860260.08</v>
      </c>
      <c r="I159" s="20">
        <f t="shared" si="62"/>
        <v>850595.26</v>
      </c>
      <c r="J159" s="20">
        <f t="shared" si="62"/>
        <v>840919.51</v>
      </c>
      <c r="K159" s="20">
        <f t="shared" si="62"/>
        <v>831232.81</v>
      </c>
      <c r="L159" s="20">
        <f t="shared" si="62"/>
        <v>821535.12</v>
      </c>
      <c r="M159" s="20">
        <f t="shared" si="62"/>
        <v>811826.4</v>
      </c>
      <c r="N159" s="20">
        <f t="shared" si="62"/>
        <v>802106.63</v>
      </c>
      <c r="O159" s="20">
        <f t="shared" si="62"/>
        <v>792375.77</v>
      </c>
      <c r="P159" s="20">
        <f t="shared" si="62"/>
        <v>11821951.41</v>
      </c>
      <c r="Q159" s="20">
        <f t="shared" si="62"/>
        <v>909380.87769230769</v>
      </c>
      <c r="R159" s="2">
        <f t="shared" si="52"/>
        <v>0</v>
      </c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3"/>
    </row>
    <row r="160" spans="1:35" x14ac:dyDescent="0.25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>
        <f t="shared" si="52"/>
        <v>0</v>
      </c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3"/>
    </row>
    <row r="161" spans="1:35" ht="19.5" x14ac:dyDescent="0.4">
      <c r="A161" s="5" t="s">
        <v>230</v>
      </c>
      <c r="B161" s="16"/>
      <c r="C161" s="17">
        <v>60047940</v>
      </c>
      <c r="D161" s="17">
        <f t="shared" ref="D161:Q161" si="63">D159+D144+D68+D55</f>
        <v>65704000.779633313</v>
      </c>
      <c r="E161" s="17">
        <f t="shared" si="63"/>
        <v>65457983.816299982</v>
      </c>
      <c r="F161" s="17">
        <f t="shared" si="63"/>
        <v>65581012.102966666</v>
      </c>
      <c r="G161" s="17">
        <f t="shared" si="63"/>
        <v>65704029.439633325</v>
      </c>
      <c r="H161" s="17">
        <f t="shared" si="63"/>
        <v>65827035.906299978</v>
      </c>
      <c r="I161" s="17">
        <f t="shared" si="63"/>
        <v>65950031.502966642</v>
      </c>
      <c r="J161" s="17">
        <f t="shared" si="63"/>
        <v>66073016.169633299</v>
      </c>
      <c r="K161" s="17">
        <f t="shared" si="63"/>
        <v>66195989.886299968</v>
      </c>
      <c r="L161" s="17">
        <f t="shared" si="63"/>
        <v>66318952.612966679</v>
      </c>
      <c r="M161" s="17">
        <f t="shared" si="63"/>
        <v>66441904.309633344</v>
      </c>
      <c r="N161" s="17">
        <f t="shared" si="63"/>
        <v>66564844.956300005</v>
      </c>
      <c r="O161" s="17">
        <f t="shared" si="63"/>
        <v>66687774.512966663</v>
      </c>
      <c r="P161" s="17">
        <f t="shared" si="63"/>
        <v>852554518.9956001</v>
      </c>
      <c r="Q161" s="17">
        <f t="shared" si="63"/>
        <v>65581116.84581539</v>
      </c>
      <c r="R161" s="2">
        <f t="shared" si="52"/>
        <v>-0.23076924681663513</v>
      </c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3"/>
    </row>
    <row r="162" spans="1:35" x14ac:dyDescent="0.25">
      <c r="C162" s="26" t="s">
        <v>231</v>
      </c>
      <c r="D162" s="26" t="s">
        <v>231</v>
      </c>
      <c r="E162" s="26" t="s">
        <v>231</v>
      </c>
      <c r="F162" s="26" t="s">
        <v>231</v>
      </c>
      <c r="G162" s="26" t="s">
        <v>231</v>
      </c>
      <c r="H162" s="26" t="s">
        <v>231</v>
      </c>
      <c r="I162" s="26" t="s">
        <v>231</v>
      </c>
      <c r="J162" s="26" t="s">
        <v>231</v>
      </c>
      <c r="K162" s="26" t="s">
        <v>231</v>
      </c>
      <c r="L162" s="26" t="s">
        <v>231</v>
      </c>
      <c r="M162" s="26" t="s">
        <v>231</v>
      </c>
      <c r="N162" s="26" t="s">
        <v>231</v>
      </c>
      <c r="O162" s="26" t="s">
        <v>231</v>
      </c>
      <c r="P162" s="26" t="s">
        <v>231</v>
      </c>
      <c r="Q162" s="26" t="s">
        <v>231</v>
      </c>
      <c r="R162" s="2" t="e">
        <f t="shared" si="52"/>
        <v>#VALUE!</v>
      </c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3"/>
    </row>
    <row r="163" spans="1:35" x14ac:dyDescent="0.25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>
        <f t="shared" si="52"/>
        <v>0</v>
      </c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3"/>
    </row>
    <row r="164" spans="1:35" ht="19.5" x14ac:dyDescent="0.4">
      <c r="A164" s="50" t="s">
        <v>232</v>
      </c>
      <c r="B164" s="51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2">
        <f t="shared" si="52"/>
        <v>0</v>
      </c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3"/>
    </row>
    <row r="165" spans="1:35" x14ac:dyDescent="0.25">
      <c r="A165" s="35"/>
      <c r="B165" s="35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">
        <f t="shared" si="52"/>
        <v>0</v>
      </c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3"/>
    </row>
    <row r="166" spans="1:35" ht="15.75" x14ac:dyDescent="0.3">
      <c r="A166" s="53" t="s">
        <v>233</v>
      </c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2">
        <f t="shared" si="52"/>
        <v>0</v>
      </c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3"/>
    </row>
    <row r="167" spans="1:35" x14ac:dyDescent="0.25">
      <c r="A167" s="35"/>
      <c r="B167" s="35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">
        <f t="shared" si="52"/>
        <v>0</v>
      </c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3"/>
    </row>
    <row r="168" spans="1:35" x14ac:dyDescent="0.25">
      <c r="A168" s="37" t="s">
        <v>234</v>
      </c>
      <c r="B168" s="38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2">
        <f t="shared" si="52"/>
        <v>0</v>
      </c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3"/>
    </row>
    <row r="169" spans="1:35" x14ac:dyDescent="0.25">
      <c r="A169" s="31" t="s">
        <v>235</v>
      </c>
      <c r="B169" s="31" t="s">
        <v>236</v>
      </c>
      <c r="C169" s="64">
        <v>378462</v>
      </c>
      <c r="D169" s="64">
        <f t="shared" ref="D169:O176" si="64">(($P169-$C169)/12)</f>
        <v>465410.89645000006</v>
      </c>
      <c r="E169" s="64">
        <f t="shared" si="64"/>
        <v>465410.89645000006</v>
      </c>
      <c r="F169" s="64">
        <f t="shared" si="64"/>
        <v>465410.89645000006</v>
      </c>
      <c r="G169" s="64">
        <f t="shared" si="64"/>
        <v>465410.89645000006</v>
      </c>
      <c r="H169" s="64">
        <f t="shared" si="64"/>
        <v>465410.89645000006</v>
      </c>
      <c r="I169" s="64">
        <f t="shared" si="64"/>
        <v>465410.89645000006</v>
      </c>
      <c r="J169" s="64">
        <f t="shared" si="64"/>
        <v>465410.89645000006</v>
      </c>
      <c r="K169" s="64">
        <f t="shared" si="64"/>
        <v>465410.89645000006</v>
      </c>
      <c r="L169" s="64">
        <f t="shared" si="64"/>
        <v>465410.89645000006</v>
      </c>
      <c r="M169" s="64">
        <f t="shared" si="64"/>
        <v>465410.89645000006</v>
      </c>
      <c r="N169" s="64">
        <f t="shared" si="64"/>
        <v>465410.89645000006</v>
      </c>
      <c r="O169" s="64">
        <f t="shared" si="64"/>
        <v>465410.89645000006</v>
      </c>
      <c r="P169" s="2">
        <f t="shared" ref="P169:P176" si="65">Q169*13</f>
        <v>5963392.7574000005</v>
      </c>
      <c r="Q169" s="2">
        <f>'working capital and def tax 21'!Q169*1.0826</f>
        <v>458722.51980000001</v>
      </c>
      <c r="R169" s="2">
        <f t="shared" si="52"/>
        <v>0</v>
      </c>
      <c r="S169" s="15" t="s">
        <v>502</v>
      </c>
      <c r="T169" s="15" t="s">
        <v>16</v>
      </c>
      <c r="U169" s="15">
        <f t="shared" ref="U169:Z169" si="66">-$Q169*U5</f>
        <v>-97707.896717399999</v>
      </c>
      <c r="V169" s="15">
        <f t="shared" si="66"/>
        <v>-159635.43689039999</v>
      </c>
      <c r="W169" s="15">
        <f t="shared" si="66"/>
        <v>-66056.042851199993</v>
      </c>
      <c r="X169" s="15">
        <f t="shared" si="66"/>
        <v>-458.72251980000004</v>
      </c>
      <c r="Y169" s="15">
        <f t="shared" si="66"/>
        <v>-458.72251980000004</v>
      </c>
      <c r="Z169" s="15">
        <f t="shared" si="66"/>
        <v>-134405.6983014</v>
      </c>
      <c r="AA169" s="15"/>
      <c r="AB169" s="15" t="s">
        <v>16</v>
      </c>
      <c r="AC169" s="15">
        <f t="shared" ref="AC169:AH171" si="67">-$O169*AC$5</f>
        <v>-99132.520943850017</v>
      </c>
      <c r="AD169" s="15">
        <f t="shared" si="67"/>
        <v>-161962.99196460002</v>
      </c>
      <c r="AE169" s="15">
        <f t="shared" si="67"/>
        <v>-67019.169088800001</v>
      </c>
      <c r="AF169" s="15">
        <f t="shared" si="67"/>
        <v>-465.41089645000005</v>
      </c>
      <c r="AG169" s="15">
        <f t="shared" si="67"/>
        <v>-465.41089645000005</v>
      </c>
      <c r="AH169" s="15">
        <f t="shared" si="67"/>
        <v>-136365.39265985001</v>
      </c>
      <c r="AI169" s="27">
        <f t="shared" ref="AI169:AI175" si="68">SUM(AC169:AH169)+O169</f>
        <v>0</v>
      </c>
    </row>
    <row r="170" spans="1:35" x14ac:dyDescent="0.25">
      <c r="A170" s="31" t="s">
        <v>237</v>
      </c>
      <c r="B170" s="31" t="s">
        <v>238</v>
      </c>
      <c r="C170" s="64">
        <v>1212381</v>
      </c>
      <c r="D170" s="64">
        <f t="shared" si="64"/>
        <v>4724217.4926666673</v>
      </c>
      <c r="E170" s="64">
        <f t="shared" si="64"/>
        <v>4724217.4926666673</v>
      </c>
      <c r="F170" s="64">
        <f t="shared" si="64"/>
        <v>4724217.4926666673</v>
      </c>
      <c r="G170" s="64">
        <f t="shared" si="64"/>
        <v>4724217.4926666673</v>
      </c>
      <c r="H170" s="64">
        <f t="shared" si="64"/>
        <v>4724217.4926666673</v>
      </c>
      <c r="I170" s="64">
        <f t="shared" si="64"/>
        <v>4724217.4926666673</v>
      </c>
      <c r="J170" s="64">
        <f t="shared" si="64"/>
        <v>4724217.4926666673</v>
      </c>
      <c r="K170" s="64">
        <f t="shared" si="64"/>
        <v>4724217.4926666673</v>
      </c>
      <c r="L170" s="64">
        <f t="shared" si="64"/>
        <v>4724217.4926666673</v>
      </c>
      <c r="M170" s="64">
        <f t="shared" si="64"/>
        <v>4724217.4926666673</v>
      </c>
      <c r="N170" s="64">
        <f t="shared" si="64"/>
        <v>4724217.4926666673</v>
      </c>
      <c r="O170" s="64">
        <f t="shared" si="64"/>
        <v>4724217.4926666673</v>
      </c>
      <c r="P170" s="2">
        <f t="shared" si="65"/>
        <v>57902990.912000008</v>
      </c>
      <c r="Q170" s="2">
        <f>'working capital and def tax 21'!Q170*1.0826</f>
        <v>4454076.2240000004</v>
      </c>
      <c r="R170" s="2">
        <f t="shared" si="52"/>
        <v>0</v>
      </c>
      <c r="S170" s="15" t="s">
        <v>502</v>
      </c>
      <c r="T170" s="15" t="s">
        <v>16</v>
      </c>
      <c r="U170" s="15">
        <f t="shared" ref="U170:Z170" si="69">-$Q170*U5</f>
        <v>-948718.23571200005</v>
      </c>
      <c r="V170" s="15">
        <f t="shared" si="69"/>
        <v>-1550018.5259519999</v>
      </c>
      <c r="W170" s="15">
        <f t="shared" si="69"/>
        <v>-641386.97625599999</v>
      </c>
      <c r="X170" s="15">
        <f t="shared" si="69"/>
        <v>-4454.0762240000004</v>
      </c>
      <c r="Y170" s="15">
        <f t="shared" si="69"/>
        <v>-4454.0762240000004</v>
      </c>
      <c r="Z170" s="15">
        <f t="shared" si="69"/>
        <v>-1305044.333632</v>
      </c>
      <c r="AA170" s="15"/>
      <c r="AB170" s="15" t="s">
        <v>16</v>
      </c>
      <c r="AC170" s="15">
        <f t="shared" si="67"/>
        <v>-1006258.3259380001</v>
      </c>
      <c r="AD170" s="15">
        <f t="shared" si="67"/>
        <v>-1644027.6874480001</v>
      </c>
      <c r="AE170" s="15">
        <f t="shared" si="67"/>
        <v>-680287.31894400006</v>
      </c>
      <c r="AF170" s="15">
        <f t="shared" si="67"/>
        <v>-4724.2174926666676</v>
      </c>
      <c r="AG170" s="15">
        <f t="shared" si="67"/>
        <v>-4724.2174926666676</v>
      </c>
      <c r="AH170" s="15">
        <f t="shared" si="67"/>
        <v>-1384195.7253513334</v>
      </c>
      <c r="AI170" s="27">
        <f t="shared" si="68"/>
        <v>0</v>
      </c>
    </row>
    <row r="171" spans="1:35" x14ac:dyDescent="0.25">
      <c r="A171" s="31" t="s">
        <v>239</v>
      </c>
      <c r="B171" s="31" t="s">
        <v>240</v>
      </c>
      <c r="C171" s="64">
        <v>56437</v>
      </c>
      <c r="D171" s="64">
        <f t="shared" si="64"/>
        <v>70832.174083333332</v>
      </c>
      <c r="E171" s="64">
        <f t="shared" si="64"/>
        <v>70832.174083333332</v>
      </c>
      <c r="F171" s="64">
        <f t="shared" si="64"/>
        <v>70832.174083333332</v>
      </c>
      <c r="G171" s="64">
        <f t="shared" si="64"/>
        <v>70832.174083333332</v>
      </c>
      <c r="H171" s="64">
        <f t="shared" si="64"/>
        <v>70832.174083333332</v>
      </c>
      <c r="I171" s="64">
        <f t="shared" si="64"/>
        <v>70832.174083333332</v>
      </c>
      <c r="J171" s="64">
        <f t="shared" si="64"/>
        <v>70832.174083333332</v>
      </c>
      <c r="K171" s="64">
        <f t="shared" si="64"/>
        <v>70832.174083333332</v>
      </c>
      <c r="L171" s="64">
        <f t="shared" si="64"/>
        <v>70832.174083333332</v>
      </c>
      <c r="M171" s="64">
        <f t="shared" si="64"/>
        <v>70832.174083333332</v>
      </c>
      <c r="N171" s="64">
        <f t="shared" si="64"/>
        <v>70832.174083333332</v>
      </c>
      <c r="O171" s="64">
        <f t="shared" si="64"/>
        <v>70832.174083333332</v>
      </c>
      <c r="P171" s="2">
        <f t="shared" si="65"/>
        <v>906423.08900000004</v>
      </c>
      <c r="Q171" s="2">
        <f>'working capital and def tax 21'!Q171*1.0826</f>
        <v>69724.853000000003</v>
      </c>
      <c r="R171" s="2">
        <f t="shared" si="52"/>
        <v>0</v>
      </c>
      <c r="S171" s="15" t="s">
        <v>502</v>
      </c>
      <c r="T171" s="15" t="s">
        <v>16</v>
      </c>
      <c r="U171" s="15">
        <f t="shared" ref="U171:Z171" si="70">-$Q171*U5</f>
        <v>-14851.393689</v>
      </c>
      <c r="V171" s="15">
        <f t="shared" si="70"/>
        <v>-24264.248843999998</v>
      </c>
      <c r="W171" s="15">
        <f t="shared" si="70"/>
        <v>-10040.378832</v>
      </c>
      <c r="X171" s="15">
        <f t="shared" si="70"/>
        <v>-69.72485300000001</v>
      </c>
      <c r="Y171" s="15">
        <f t="shared" si="70"/>
        <v>-69.72485300000001</v>
      </c>
      <c r="Z171" s="15">
        <f t="shared" si="70"/>
        <v>-20429.381928999999</v>
      </c>
      <c r="AA171" s="15"/>
      <c r="AB171" s="15" t="s">
        <v>16</v>
      </c>
      <c r="AC171" s="15">
        <f t="shared" si="67"/>
        <v>-15087.253079749999</v>
      </c>
      <c r="AD171" s="15">
        <f t="shared" si="67"/>
        <v>-24649.596580999998</v>
      </c>
      <c r="AE171" s="15">
        <f t="shared" si="67"/>
        <v>-10199.833067999998</v>
      </c>
      <c r="AF171" s="15">
        <f t="shared" si="67"/>
        <v>-70.832174083333328</v>
      </c>
      <c r="AG171" s="15">
        <f t="shared" si="67"/>
        <v>-70.832174083333328</v>
      </c>
      <c r="AH171" s="15">
        <f t="shared" si="67"/>
        <v>-20753.827006416665</v>
      </c>
      <c r="AI171" s="27">
        <f t="shared" si="68"/>
        <v>0</v>
      </c>
    </row>
    <row r="172" spans="1:35" x14ac:dyDescent="0.25">
      <c r="A172" s="31" t="s">
        <v>241</v>
      </c>
      <c r="B172" s="31" t="s">
        <v>242</v>
      </c>
      <c r="C172" s="64">
        <v>326</v>
      </c>
      <c r="D172" s="64">
        <f t="shared" si="64"/>
        <v>555.72321666666664</v>
      </c>
      <c r="E172" s="64">
        <f t="shared" si="64"/>
        <v>555.72321666666664</v>
      </c>
      <c r="F172" s="64">
        <f t="shared" si="64"/>
        <v>555.72321666666664</v>
      </c>
      <c r="G172" s="64">
        <f t="shared" si="64"/>
        <v>555.72321666666664</v>
      </c>
      <c r="H172" s="64">
        <f t="shared" si="64"/>
        <v>555.72321666666664</v>
      </c>
      <c r="I172" s="64">
        <f t="shared" si="64"/>
        <v>555.72321666666664</v>
      </c>
      <c r="J172" s="64">
        <f t="shared" si="64"/>
        <v>555.72321666666664</v>
      </c>
      <c r="K172" s="64">
        <f t="shared" si="64"/>
        <v>555.72321666666664</v>
      </c>
      <c r="L172" s="64">
        <f t="shared" si="64"/>
        <v>555.72321666666664</v>
      </c>
      <c r="M172" s="64">
        <f t="shared" si="64"/>
        <v>555.72321666666664</v>
      </c>
      <c r="N172" s="64">
        <f t="shared" si="64"/>
        <v>555.72321666666664</v>
      </c>
      <c r="O172" s="64">
        <f t="shared" si="64"/>
        <v>555.72321666666664</v>
      </c>
      <c r="P172" s="2">
        <f t="shared" si="65"/>
        <v>6994.6785999999993</v>
      </c>
      <c r="Q172" s="2">
        <f>'working capital and def tax 21'!Q172*1.0826</f>
        <v>538.05219999999997</v>
      </c>
      <c r="R172" s="2">
        <f t="shared" si="52"/>
        <v>0</v>
      </c>
      <c r="S172" s="15" t="s">
        <v>502</v>
      </c>
      <c r="T172" s="15" t="s">
        <v>34</v>
      </c>
      <c r="U172" s="15">
        <f t="shared" ref="U172:Z172" si="71">-$Q172*U7</f>
        <v>-103.3060224</v>
      </c>
      <c r="V172" s="15">
        <f t="shared" si="71"/>
        <v>-213.12247642</v>
      </c>
      <c r="W172" s="15">
        <f t="shared" si="71"/>
        <v>-73.713151400000001</v>
      </c>
      <c r="X172" s="15">
        <f t="shared" si="71"/>
        <v>-1.72176704</v>
      </c>
      <c r="Y172" s="15">
        <f t="shared" si="71"/>
        <v>-1.1837148399999999</v>
      </c>
      <c r="Z172" s="15">
        <f t="shared" si="71"/>
        <v>-145.0050679</v>
      </c>
      <c r="AA172" s="15"/>
      <c r="AB172" s="15" t="s">
        <v>34</v>
      </c>
      <c r="AC172" s="15">
        <f t="shared" ref="AC172:AH176" si="72">-$O172*AC$7</f>
        <v>-106.6988576</v>
      </c>
      <c r="AD172" s="15">
        <f t="shared" si="72"/>
        <v>-220.12196612166667</v>
      </c>
      <c r="AE172" s="15">
        <f t="shared" si="72"/>
        <v>-76.134080683333337</v>
      </c>
      <c r="AF172" s="15">
        <f t="shared" si="72"/>
        <v>-1.7783142933333334</v>
      </c>
      <c r="AG172" s="15">
        <f t="shared" si="72"/>
        <v>-1.2225910766666668</v>
      </c>
      <c r="AH172" s="15">
        <f t="shared" si="72"/>
        <v>-149.76740689166667</v>
      </c>
      <c r="AI172" s="27">
        <f t="shared" si="68"/>
        <v>0</v>
      </c>
    </row>
    <row r="173" spans="1:35" x14ac:dyDescent="0.25">
      <c r="A173" s="31" t="s">
        <v>243</v>
      </c>
      <c r="B173" s="31" t="s">
        <v>244</v>
      </c>
      <c r="C173" s="64">
        <v>100</v>
      </c>
      <c r="D173" s="64">
        <f t="shared" si="64"/>
        <v>1266.5183833333333</v>
      </c>
      <c r="E173" s="64">
        <f t="shared" si="64"/>
        <v>1266.5183833333333</v>
      </c>
      <c r="F173" s="64">
        <f t="shared" si="64"/>
        <v>1266.5183833333333</v>
      </c>
      <c r="G173" s="64">
        <f t="shared" si="64"/>
        <v>1266.5183833333333</v>
      </c>
      <c r="H173" s="64">
        <f t="shared" si="64"/>
        <v>1266.5183833333333</v>
      </c>
      <c r="I173" s="64">
        <f t="shared" si="64"/>
        <v>1266.5183833333333</v>
      </c>
      <c r="J173" s="64">
        <f t="shared" si="64"/>
        <v>1266.5183833333333</v>
      </c>
      <c r="K173" s="64">
        <f t="shared" si="64"/>
        <v>1266.5183833333333</v>
      </c>
      <c r="L173" s="64">
        <f t="shared" si="64"/>
        <v>1266.5183833333333</v>
      </c>
      <c r="M173" s="64">
        <f t="shared" si="64"/>
        <v>1266.5183833333333</v>
      </c>
      <c r="N173" s="64">
        <f t="shared" si="64"/>
        <v>1266.5183833333333</v>
      </c>
      <c r="O173" s="64">
        <f t="shared" si="64"/>
        <v>1266.5183833333333</v>
      </c>
      <c r="P173" s="2">
        <f t="shared" si="65"/>
        <v>15298.220600000001</v>
      </c>
      <c r="Q173" s="2">
        <f>'working capital and def tax 21'!Q173*1.0826</f>
        <v>1176.7862</v>
      </c>
      <c r="R173" s="2">
        <f t="shared" si="52"/>
        <v>0</v>
      </c>
      <c r="S173" s="15" t="s">
        <v>502</v>
      </c>
      <c r="T173" s="15" t="s">
        <v>34</v>
      </c>
      <c r="U173" s="15">
        <f t="shared" ref="U173:Z176" si="73">-$Q173*U$7</f>
        <v>-225.9429504</v>
      </c>
      <c r="V173" s="15">
        <f t="shared" si="73"/>
        <v>-466.12501381999999</v>
      </c>
      <c r="W173" s="15">
        <f t="shared" si="73"/>
        <v>-161.21970940000003</v>
      </c>
      <c r="X173" s="15">
        <f t="shared" si="73"/>
        <v>-3.7657158400000004</v>
      </c>
      <c r="Y173" s="15">
        <f t="shared" si="73"/>
        <v>-2.5889296400000004</v>
      </c>
      <c r="Z173" s="15">
        <f t="shared" si="73"/>
        <v>-317.1438809</v>
      </c>
      <c r="AA173" s="15"/>
      <c r="AB173" s="15" t="s">
        <v>34</v>
      </c>
      <c r="AC173" s="15">
        <f t="shared" si="72"/>
        <v>-243.17152959999999</v>
      </c>
      <c r="AD173" s="15">
        <f t="shared" si="72"/>
        <v>-501.66793163833336</v>
      </c>
      <c r="AE173" s="15">
        <f t="shared" si="72"/>
        <v>-173.51301851666668</v>
      </c>
      <c r="AF173" s="15">
        <f t="shared" si="72"/>
        <v>-4.0528588266666672</v>
      </c>
      <c r="AG173" s="15">
        <f t="shared" si="72"/>
        <v>-2.7863404433333336</v>
      </c>
      <c r="AH173" s="15">
        <f t="shared" si="72"/>
        <v>-341.32670430833332</v>
      </c>
      <c r="AI173" s="27">
        <f t="shared" si="68"/>
        <v>0</v>
      </c>
    </row>
    <row r="174" spans="1:35" x14ac:dyDescent="0.25">
      <c r="A174" s="31" t="s">
        <v>245</v>
      </c>
      <c r="B174" s="31" t="s">
        <v>246</v>
      </c>
      <c r="C174" s="64">
        <v>2262</v>
      </c>
      <c r="D174" s="64">
        <f t="shared" si="64"/>
        <v>1730.2280666666668</v>
      </c>
      <c r="E174" s="64">
        <f t="shared" si="64"/>
        <v>1730.2280666666668</v>
      </c>
      <c r="F174" s="64">
        <f t="shared" si="64"/>
        <v>1730.2280666666668</v>
      </c>
      <c r="G174" s="64">
        <f t="shared" si="64"/>
        <v>1730.2280666666668</v>
      </c>
      <c r="H174" s="64">
        <f t="shared" si="64"/>
        <v>1730.2280666666668</v>
      </c>
      <c r="I174" s="64">
        <f t="shared" si="64"/>
        <v>1730.2280666666668</v>
      </c>
      <c r="J174" s="64">
        <f t="shared" si="64"/>
        <v>1730.2280666666668</v>
      </c>
      <c r="K174" s="64">
        <f t="shared" si="64"/>
        <v>1730.2280666666668</v>
      </c>
      <c r="L174" s="64">
        <f t="shared" si="64"/>
        <v>1730.2280666666668</v>
      </c>
      <c r="M174" s="64">
        <f t="shared" si="64"/>
        <v>1730.2280666666668</v>
      </c>
      <c r="N174" s="64">
        <f t="shared" si="64"/>
        <v>1730.2280666666668</v>
      </c>
      <c r="O174" s="64">
        <f t="shared" si="64"/>
        <v>1730.2280666666668</v>
      </c>
      <c r="P174" s="2">
        <f t="shared" si="65"/>
        <v>23024.736800000002</v>
      </c>
      <c r="Q174" s="2">
        <f>'working capital and def tax 21'!Q174*1.0826</f>
        <v>1771.1336000000001</v>
      </c>
      <c r="R174" s="2">
        <f t="shared" si="52"/>
        <v>0</v>
      </c>
      <c r="S174" s="15" t="s">
        <v>502</v>
      </c>
      <c r="T174" s="15" t="s">
        <v>34</v>
      </c>
      <c r="U174" s="15">
        <f t="shared" si="73"/>
        <v>-340.05765120000001</v>
      </c>
      <c r="V174" s="15">
        <f t="shared" si="73"/>
        <v>-701.54601896000008</v>
      </c>
      <c r="W174" s="15">
        <f t="shared" si="73"/>
        <v>-242.64530320000003</v>
      </c>
      <c r="X174" s="15">
        <f t="shared" si="73"/>
        <v>-5.6676275200000008</v>
      </c>
      <c r="Y174" s="15">
        <f t="shared" si="73"/>
        <v>-3.8964939200000006</v>
      </c>
      <c r="Z174" s="15">
        <f t="shared" si="73"/>
        <v>-477.32050520000007</v>
      </c>
      <c r="AA174" s="15"/>
      <c r="AB174" s="15" t="s">
        <v>34</v>
      </c>
      <c r="AC174" s="15">
        <f t="shared" si="72"/>
        <v>-332.20378880000004</v>
      </c>
      <c r="AD174" s="15">
        <f t="shared" si="72"/>
        <v>-685.34333720666677</v>
      </c>
      <c r="AE174" s="15">
        <f t="shared" si="72"/>
        <v>-237.04124513333338</v>
      </c>
      <c r="AF174" s="15">
        <f t="shared" si="72"/>
        <v>-5.5367298133333342</v>
      </c>
      <c r="AG174" s="15">
        <f t="shared" si="72"/>
        <v>-3.8065017466666671</v>
      </c>
      <c r="AH174" s="15">
        <f t="shared" si="72"/>
        <v>-466.29646396666675</v>
      </c>
      <c r="AI174" s="27">
        <f t="shared" si="68"/>
        <v>0</v>
      </c>
    </row>
    <row r="175" spans="1:35" x14ac:dyDescent="0.25">
      <c r="A175" s="31" t="s">
        <v>247</v>
      </c>
      <c r="B175" s="31" t="s">
        <v>248</v>
      </c>
      <c r="C175" s="64">
        <v>197746</v>
      </c>
      <c r="D175" s="64">
        <f t="shared" si="64"/>
        <v>80503.722466666673</v>
      </c>
      <c r="E175" s="64">
        <f t="shared" si="64"/>
        <v>80503.722466666673</v>
      </c>
      <c r="F175" s="64">
        <f t="shared" si="64"/>
        <v>80503.722466666673</v>
      </c>
      <c r="G175" s="64">
        <f t="shared" si="64"/>
        <v>80503.722466666673</v>
      </c>
      <c r="H175" s="64">
        <f t="shared" si="64"/>
        <v>80503.722466666673</v>
      </c>
      <c r="I175" s="64">
        <f t="shared" si="64"/>
        <v>80503.722466666673</v>
      </c>
      <c r="J175" s="64">
        <f t="shared" si="64"/>
        <v>80503.722466666673</v>
      </c>
      <c r="K175" s="64">
        <f t="shared" si="64"/>
        <v>80503.722466666673</v>
      </c>
      <c r="L175" s="64">
        <f t="shared" si="64"/>
        <v>80503.722466666673</v>
      </c>
      <c r="M175" s="64">
        <f t="shared" si="64"/>
        <v>80503.722466666673</v>
      </c>
      <c r="N175" s="64">
        <f t="shared" si="64"/>
        <v>80503.722466666673</v>
      </c>
      <c r="O175" s="64">
        <f t="shared" si="64"/>
        <v>80503.722466666673</v>
      </c>
      <c r="P175" s="2">
        <f t="shared" si="65"/>
        <v>1163790.6696000001</v>
      </c>
      <c r="Q175" s="2">
        <f>'working capital and def tax 21'!Q175*1.0826</f>
        <v>89522.359200000006</v>
      </c>
      <c r="R175" s="2">
        <f t="shared" si="52"/>
        <v>0</v>
      </c>
      <c r="S175" s="15" t="s">
        <v>502</v>
      </c>
      <c r="T175" s="15" t="s">
        <v>34</v>
      </c>
      <c r="U175" s="15">
        <f>-$Q175*U$7</f>
        <v>-17188.2929664</v>
      </c>
      <c r="V175" s="15">
        <f t="shared" si="73"/>
        <v>-35459.806479120001</v>
      </c>
      <c r="W175" s="15">
        <f t="shared" si="73"/>
        <v>-12264.563210400001</v>
      </c>
      <c r="X175" s="15">
        <f t="shared" si="73"/>
        <v>-286.47154944000005</v>
      </c>
      <c r="Y175" s="15">
        <f t="shared" si="73"/>
        <v>-196.94919024000004</v>
      </c>
      <c r="Z175" s="15">
        <f t="shared" si="73"/>
        <v>-24126.275804400004</v>
      </c>
      <c r="AA175" s="15"/>
      <c r="AB175" s="15" t="s">
        <v>34</v>
      </c>
      <c r="AC175" s="15">
        <f t="shared" si="72"/>
        <v>-15456.714713600002</v>
      </c>
      <c r="AD175" s="15">
        <f t="shared" si="72"/>
        <v>-31887.524469046672</v>
      </c>
      <c r="AE175" s="15">
        <f t="shared" si="72"/>
        <v>-11029.009977933336</v>
      </c>
      <c r="AF175" s="15">
        <f t="shared" si="72"/>
        <v>-257.61191189333334</v>
      </c>
      <c r="AG175" s="15">
        <f t="shared" si="72"/>
        <v>-177.10818942666668</v>
      </c>
      <c r="AH175" s="15">
        <f t="shared" si="72"/>
        <v>-21695.753204766668</v>
      </c>
      <c r="AI175" s="27">
        <f t="shared" si="68"/>
        <v>0</v>
      </c>
    </row>
    <row r="176" spans="1:35" x14ac:dyDescent="0.25">
      <c r="A176" s="31" t="s">
        <v>249</v>
      </c>
      <c r="B176" s="31" t="s">
        <v>250</v>
      </c>
      <c r="C176" s="64">
        <v>-58894</v>
      </c>
      <c r="D176" s="64">
        <f t="shared" si="64"/>
        <v>-35123.917950000003</v>
      </c>
      <c r="E176" s="64">
        <f t="shared" si="64"/>
        <v>-35123.917950000003</v>
      </c>
      <c r="F176" s="64">
        <f t="shared" si="64"/>
        <v>-35123.917950000003</v>
      </c>
      <c r="G176" s="64">
        <f t="shared" si="64"/>
        <v>-35123.917950000003</v>
      </c>
      <c r="H176" s="64">
        <f t="shared" si="64"/>
        <v>-35123.917950000003</v>
      </c>
      <c r="I176" s="64">
        <f t="shared" si="64"/>
        <v>-35123.917950000003</v>
      </c>
      <c r="J176" s="64">
        <f t="shared" si="64"/>
        <v>-35123.917950000003</v>
      </c>
      <c r="K176" s="64">
        <f t="shared" si="64"/>
        <v>-35123.917950000003</v>
      </c>
      <c r="L176" s="64">
        <f t="shared" si="64"/>
        <v>-35123.917950000003</v>
      </c>
      <c r="M176" s="64">
        <f t="shared" si="64"/>
        <v>-35123.917950000003</v>
      </c>
      <c r="N176" s="64">
        <f t="shared" si="64"/>
        <v>-35123.917950000003</v>
      </c>
      <c r="O176" s="64">
        <f t="shared" si="64"/>
        <v>-35123.917950000003</v>
      </c>
      <c r="P176" s="2">
        <f t="shared" si="65"/>
        <v>-480381.01540000003</v>
      </c>
      <c r="Q176" s="2">
        <f>'working capital and def tax 21'!Q176*1.0826</f>
        <v>-36952.385800000004</v>
      </c>
      <c r="R176" s="2">
        <f t="shared" si="52"/>
        <v>0</v>
      </c>
      <c r="S176" s="15" t="s">
        <v>502</v>
      </c>
      <c r="T176" s="15" t="s">
        <v>34</v>
      </c>
      <c r="U176" s="15">
        <f>-$Q176*U$7</f>
        <v>7094.8580736000013</v>
      </c>
      <c r="V176" s="15">
        <f t="shared" si="73"/>
        <v>14636.840015380001</v>
      </c>
      <c r="W176" s="15">
        <f t="shared" si="73"/>
        <v>5062.4768546000005</v>
      </c>
      <c r="X176" s="15">
        <f t="shared" si="73"/>
        <v>118.24763456000002</v>
      </c>
      <c r="Y176" s="15">
        <f t="shared" si="73"/>
        <v>81.295248760000007</v>
      </c>
      <c r="Z176" s="15">
        <f t="shared" si="73"/>
        <v>9958.6679731000022</v>
      </c>
      <c r="AA176" s="15"/>
      <c r="AB176" s="15" t="s">
        <v>34</v>
      </c>
      <c r="AC176" s="15">
        <f t="shared" si="72"/>
        <v>6743.7922464000003</v>
      </c>
      <c r="AD176" s="15">
        <f t="shared" si="72"/>
        <v>13912.583899995001</v>
      </c>
      <c r="AE176" s="15">
        <f t="shared" si="72"/>
        <v>4811.9767591500004</v>
      </c>
      <c r="AF176" s="15">
        <f t="shared" si="72"/>
        <v>112.39653744000002</v>
      </c>
      <c r="AG176" s="15">
        <f t="shared" si="72"/>
        <v>77.272619490000011</v>
      </c>
      <c r="AH176" s="15">
        <f t="shared" si="72"/>
        <v>9465.8958875250009</v>
      </c>
      <c r="AI176" s="27"/>
    </row>
    <row r="177" spans="1:35" x14ac:dyDescent="0.25">
      <c r="A177" s="35"/>
      <c r="B177" s="35"/>
      <c r="C177" s="36" t="s">
        <v>67</v>
      </c>
      <c r="D177" s="36" t="s">
        <v>67</v>
      </c>
      <c r="E177" s="36" t="s">
        <v>67</v>
      </c>
      <c r="F177" s="36" t="s">
        <v>67</v>
      </c>
      <c r="G177" s="36" t="s">
        <v>67</v>
      </c>
      <c r="H177" s="36" t="s">
        <v>67</v>
      </c>
      <c r="I177" s="36" t="s">
        <v>67</v>
      </c>
      <c r="J177" s="36" t="s">
        <v>67</v>
      </c>
      <c r="K177" s="36" t="s">
        <v>67</v>
      </c>
      <c r="L177" s="36" t="s">
        <v>67</v>
      </c>
      <c r="M177" s="36" t="s">
        <v>67</v>
      </c>
      <c r="N177" s="36" t="s">
        <v>67</v>
      </c>
      <c r="O177" s="36" t="s">
        <v>67</v>
      </c>
      <c r="P177" s="36" t="s">
        <v>67</v>
      </c>
      <c r="Q177" s="36" t="s">
        <v>67</v>
      </c>
      <c r="R177" s="2" t="e">
        <f t="shared" si="52"/>
        <v>#VALUE!</v>
      </c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3"/>
    </row>
    <row r="178" spans="1:35" x14ac:dyDescent="0.25">
      <c r="A178" s="37" t="s">
        <v>251</v>
      </c>
      <c r="B178" s="38"/>
      <c r="C178" s="147">
        <v>1788819</v>
      </c>
      <c r="D178" s="147">
        <f t="shared" ref="D178:Q178" si="74">SUM(D169:D176)</f>
        <v>5309392.8373833345</v>
      </c>
      <c r="E178" s="147">
        <f t="shared" si="74"/>
        <v>5309392.8373833345</v>
      </c>
      <c r="F178" s="39">
        <f t="shared" si="74"/>
        <v>5309392.8373833345</v>
      </c>
      <c r="G178" s="39">
        <f t="shared" si="74"/>
        <v>5309392.8373833345</v>
      </c>
      <c r="H178" s="39">
        <f t="shared" si="74"/>
        <v>5309392.8373833345</v>
      </c>
      <c r="I178" s="39">
        <f t="shared" si="74"/>
        <v>5309392.8373833345</v>
      </c>
      <c r="J178" s="39">
        <f t="shared" si="74"/>
        <v>5309392.8373833345</v>
      </c>
      <c r="K178" s="39">
        <f t="shared" si="74"/>
        <v>5309392.8373833345</v>
      </c>
      <c r="L178" s="39">
        <f t="shared" si="74"/>
        <v>5309392.8373833345</v>
      </c>
      <c r="M178" s="39">
        <f t="shared" si="74"/>
        <v>5309392.8373833345</v>
      </c>
      <c r="N178" s="39">
        <f t="shared" si="74"/>
        <v>5309392.8373833345</v>
      </c>
      <c r="O178" s="39">
        <f t="shared" si="74"/>
        <v>5309392.8373833345</v>
      </c>
      <c r="P178" s="39">
        <f t="shared" si="74"/>
        <v>65501534.048600011</v>
      </c>
      <c r="Q178" s="39">
        <f t="shared" si="74"/>
        <v>5038579.5422</v>
      </c>
      <c r="R178" s="2">
        <f t="shared" si="52"/>
        <v>-7.6923074200749397E-2</v>
      </c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3"/>
    </row>
    <row r="179" spans="1:35" x14ac:dyDescent="0.25">
      <c r="A179" s="35"/>
      <c r="B179" s="35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">
        <f t="shared" si="52"/>
        <v>0</v>
      </c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3"/>
    </row>
    <row r="180" spans="1:35" x14ac:dyDescent="0.25">
      <c r="A180" s="37" t="s">
        <v>252</v>
      </c>
      <c r="B180" s="38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2">
        <f t="shared" si="52"/>
        <v>0</v>
      </c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3"/>
    </row>
    <row r="181" spans="1:35" x14ac:dyDescent="0.25">
      <c r="A181" s="31" t="s">
        <v>253</v>
      </c>
      <c r="B181" s="31" t="s">
        <v>254</v>
      </c>
      <c r="C181" s="64">
        <v>20873</v>
      </c>
      <c r="D181" s="64">
        <f t="shared" ref="D181:O182" si="75">(($P181-$C181)/12)</f>
        <v>22740.785616666664</v>
      </c>
      <c r="E181" s="64">
        <f t="shared" si="75"/>
        <v>22740.785616666664</v>
      </c>
      <c r="F181" s="64">
        <f t="shared" si="75"/>
        <v>22740.785616666664</v>
      </c>
      <c r="G181" s="64">
        <f t="shared" si="75"/>
        <v>22740.785616666664</v>
      </c>
      <c r="H181" s="64">
        <f t="shared" si="75"/>
        <v>22740.785616666664</v>
      </c>
      <c r="I181" s="64">
        <f t="shared" si="75"/>
        <v>22740.785616666664</v>
      </c>
      <c r="J181" s="64">
        <f t="shared" si="75"/>
        <v>22740.785616666664</v>
      </c>
      <c r="K181" s="64">
        <f t="shared" si="75"/>
        <v>22740.785616666664</v>
      </c>
      <c r="L181" s="64">
        <f t="shared" si="75"/>
        <v>22740.785616666664</v>
      </c>
      <c r="M181" s="64">
        <f t="shared" si="75"/>
        <v>22740.785616666664</v>
      </c>
      <c r="N181" s="64">
        <f t="shared" si="75"/>
        <v>22740.785616666664</v>
      </c>
      <c r="O181" s="64">
        <f t="shared" si="75"/>
        <v>22740.785616666664</v>
      </c>
      <c r="P181" s="2">
        <f t="shared" ref="P181:P182" si="76">Q181*13</f>
        <v>293762.42739999999</v>
      </c>
      <c r="Q181" s="2">
        <f>'working capital and def tax 21'!Q181*1.0826</f>
        <v>22597.109799999998</v>
      </c>
      <c r="R181" s="2">
        <f t="shared" si="52"/>
        <v>0</v>
      </c>
      <c r="S181" s="15" t="s">
        <v>502</v>
      </c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3"/>
    </row>
    <row r="182" spans="1:35" x14ac:dyDescent="0.25">
      <c r="A182" s="31" t="s">
        <v>255</v>
      </c>
      <c r="B182" s="31" t="s">
        <v>256</v>
      </c>
      <c r="C182" s="64">
        <v>2464378</v>
      </c>
      <c r="D182" s="64">
        <f t="shared" si="75"/>
        <v>3234113.5564166666</v>
      </c>
      <c r="E182" s="64">
        <f t="shared" si="75"/>
        <v>3234113.5564166666</v>
      </c>
      <c r="F182" s="64">
        <f t="shared" si="75"/>
        <v>3234113.5564166666</v>
      </c>
      <c r="G182" s="64">
        <f t="shared" si="75"/>
        <v>3234113.5564166666</v>
      </c>
      <c r="H182" s="64">
        <f t="shared" si="75"/>
        <v>3234113.5564166666</v>
      </c>
      <c r="I182" s="64">
        <f t="shared" si="75"/>
        <v>3234113.5564166666</v>
      </c>
      <c r="J182" s="64">
        <f t="shared" si="75"/>
        <v>3234113.5564166666</v>
      </c>
      <c r="K182" s="64">
        <f t="shared" si="75"/>
        <v>3234113.5564166666</v>
      </c>
      <c r="L182" s="64">
        <f t="shared" si="75"/>
        <v>3234113.5564166666</v>
      </c>
      <c r="M182" s="64">
        <f t="shared" si="75"/>
        <v>3234113.5564166666</v>
      </c>
      <c r="N182" s="64">
        <f t="shared" si="75"/>
        <v>3234113.5564166666</v>
      </c>
      <c r="O182" s="64">
        <f t="shared" si="75"/>
        <v>3234113.5564166666</v>
      </c>
      <c r="P182" s="2">
        <f t="shared" si="76"/>
        <v>41273740.677000001</v>
      </c>
      <c r="Q182" s="2">
        <f>'working capital and def tax 21'!Q182*1.0826</f>
        <v>3174903.1290000002</v>
      </c>
      <c r="R182" s="2">
        <f t="shared" si="52"/>
        <v>0</v>
      </c>
      <c r="S182" s="15" t="s">
        <v>502</v>
      </c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3"/>
    </row>
    <row r="183" spans="1:35" x14ac:dyDescent="0.25">
      <c r="A183" s="35"/>
      <c r="B183" s="35"/>
      <c r="C183" s="36" t="s">
        <v>67</v>
      </c>
      <c r="D183" s="36" t="s">
        <v>67</v>
      </c>
      <c r="E183" s="36" t="s">
        <v>67</v>
      </c>
      <c r="F183" s="36" t="s">
        <v>67</v>
      </c>
      <c r="G183" s="36" t="s">
        <v>67</v>
      </c>
      <c r="H183" s="36" t="s">
        <v>67</v>
      </c>
      <c r="I183" s="36" t="s">
        <v>67</v>
      </c>
      <c r="J183" s="36" t="s">
        <v>67</v>
      </c>
      <c r="K183" s="36" t="s">
        <v>67</v>
      </c>
      <c r="L183" s="36" t="s">
        <v>67</v>
      </c>
      <c r="M183" s="36" t="s">
        <v>67</v>
      </c>
      <c r="N183" s="36" t="s">
        <v>67</v>
      </c>
      <c r="O183" s="36" t="s">
        <v>67</v>
      </c>
      <c r="P183" s="36" t="s">
        <v>67</v>
      </c>
      <c r="Q183" s="36" t="s">
        <v>67</v>
      </c>
      <c r="R183" s="2" t="e">
        <f t="shared" si="52"/>
        <v>#VALUE!</v>
      </c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3"/>
    </row>
    <row r="184" spans="1:35" x14ac:dyDescent="0.25">
      <c r="A184" s="37" t="s">
        <v>257</v>
      </c>
      <c r="B184" s="38"/>
      <c r="C184" s="147">
        <v>2485251</v>
      </c>
      <c r="D184" s="147">
        <f t="shared" ref="D184:Q184" si="77">SUM(D181:D182)</f>
        <v>3256854.3420333331</v>
      </c>
      <c r="E184" s="147">
        <f t="shared" si="77"/>
        <v>3256854.3420333331</v>
      </c>
      <c r="F184" s="39">
        <f t="shared" si="77"/>
        <v>3256854.3420333331</v>
      </c>
      <c r="G184" s="39">
        <f t="shared" si="77"/>
        <v>3256854.3420333331</v>
      </c>
      <c r="H184" s="39">
        <f t="shared" si="77"/>
        <v>3256854.3420333331</v>
      </c>
      <c r="I184" s="39">
        <f t="shared" si="77"/>
        <v>3256854.3420333331</v>
      </c>
      <c r="J184" s="39">
        <f t="shared" si="77"/>
        <v>3256854.3420333331</v>
      </c>
      <c r="K184" s="39">
        <f t="shared" si="77"/>
        <v>3256854.3420333331</v>
      </c>
      <c r="L184" s="39">
        <f t="shared" si="77"/>
        <v>3256854.3420333331</v>
      </c>
      <c r="M184" s="39">
        <f t="shared" si="77"/>
        <v>3256854.3420333331</v>
      </c>
      <c r="N184" s="39">
        <f t="shared" si="77"/>
        <v>3256854.3420333331</v>
      </c>
      <c r="O184" s="39">
        <f t="shared" si="77"/>
        <v>3256854.3420333331</v>
      </c>
      <c r="P184" s="39">
        <f t="shared" si="77"/>
        <v>41567503.104400001</v>
      </c>
      <c r="Q184" s="39">
        <f t="shared" si="77"/>
        <v>3197500.2388000004</v>
      </c>
      <c r="R184" s="2">
        <f t="shared" si="52"/>
        <v>0</v>
      </c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3"/>
    </row>
    <row r="185" spans="1:35" x14ac:dyDescent="0.25">
      <c r="A185" s="35"/>
      <c r="B185" s="35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">
        <f t="shared" si="52"/>
        <v>0</v>
      </c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3"/>
    </row>
    <row r="186" spans="1:35" x14ac:dyDescent="0.25">
      <c r="A186" s="37" t="s">
        <v>258</v>
      </c>
      <c r="B186" s="38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24"/>
      <c r="Q186" s="24"/>
      <c r="R186" s="2">
        <f t="shared" si="52"/>
        <v>0</v>
      </c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3"/>
    </row>
    <row r="187" spans="1:35" x14ac:dyDescent="0.25">
      <c r="A187" s="31" t="s">
        <v>259</v>
      </c>
      <c r="B187" s="31" t="s">
        <v>260</v>
      </c>
      <c r="C187" s="64">
        <v>-350000</v>
      </c>
      <c r="D187" s="64">
        <f t="shared" ref="D187:O192" si="78">(($P187-$C187)/12)</f>
        <v>-97136.305800000016</v>
      </c>
      <c r="E187" s="64">
        <f t="shared" si="78"/>
        <v>-97136.305800000016</v>
      </c>
      <c r="F187" s="64">
        <f t="shared" si="78"/>
        <v>-97136.305800000016</v>
      </c>
      <c r="G187" s="64">
        <f t="shared" si="78"/>
        <v>-97136.305800000016</v>
      </c>
      <c r="H187" s="64">
        <f t="shared" si="78"/>
        <v>-97136.305800000016</v>
      </c>
      <c r="I187" s="64">
        <f t="shared" si="78"/>
        <v>-97136.305800000016</v>
      </c>
      <c r="J187" s="64">
        <f t="shared" si="78"/>
        <v>-97136.305800000016</v>
      </c>
      <c r="K187" s="64">
        <f t="shared" si="78"/>
        <v>-97136.305800000016</v>
      </c>
      <c r="L187" s="64">
        <f t="shared" si="78"/>
        <v>-97136.305800000016</v>
      </c>
      <c r="M187" s="64">
        <f t="shared" si="78"/>
        <v>-97136.305800000016</v>
      </c>
      <c r="N187" s="64">
        <f t="shared" si="78"/>
        <v>-97136.305800000016</v>
      </c>
      <c r="O187" s="64">
        <f t="shared" si="78"/>
        <v>-97136.305800000016</v>
      </c>
      <c r="P187" s="2">
        <f t="shared" ref="P187:P192" si="79">Q187*13</f>
        <v>-1515635.6696000001</v>
      </c>
      <c r="Q187" s="2">
        <f>'working capital and def tax 21'!Q187*1.0826</f>
        <v>-116587.35920000001</v>
      </c>
      <c r="R187" s="2">
        <f t="shared" si="52"/>
        <v>0</v>
      </c>
      <c r="S187" s="15" t="s">
        <v>502</v>
      </c>
      <c r="T187" s="15" t="s">
        <v>16</v>
      </c>
      <c r="U187" s="15">
        <f t="shared" ref="U187:Z187" si="80">-$Q187*U5</f>
        <v>24833.107509600002</v>
      </c>
      <c r="V187" s="15">
        <f t="shared" si="80"/>
        <v>40572.401001600003</v>
      </c>
      <c r="W187" s="15">
        <f t="shared" si="80"/>
        <v>16788.579724799998</v>
      </c>
      <c r="X187" s="15">
        <f t="shared" si="80"/>
        <v>116.58735920000001</v>
      </c>
      <c r="Y187" s="15">
        <f t="shared" si="80"/>
        <v>116.58735920000001</v>
      </c>
      <c r="Z187" s="15">
        <f t="shared" si="80"/>
        <v>34160.096245599998</v>
      </c>
      <c r="AA187" s="15"/>
      <c r="AB187" s="15" t="s">
        <v>16</v>
      </c>
      <c r="AC187" s="15">
        <f t="shared" ref="AC187:AH192" si="81">-$O187*AC$5</f>
        <v>20690.033135400005</v>
      </c>
      <c r="AD187" s="15">
        <f t="shared" si="81"/>
        <v>33803.4344184</v>
      </c>
      <c r="AE187" s="15">
        <f t="shared" si="81"/>
        <v>13987.628035200001</v>
      </c>
      <c r="AF187" s="15">
        <f t="shared" si="81"/>
        <v>97.136305800000017</v>
      </c>
      <c r="AG187" s="15">
        <f t="shared" si="81"/>
        <v>97.136305800000017</v>
      </c>
      <c r="AH187" s="15">
        <f t="shared" si="81"/>
        <v>28460.937599400004</v>
      </c>
      <c r="AI187" s="27">
        <f t="shared" ref="AI187:AI192" si="82">SUM(AC187:AH187)+O187</f>
        <v>0</v>
      </c>
    </row>
    <row r="188" spans="1:35" x14ac:dyDescent="0.25">
      <c r="A188" s="31" t="s">
        <v>261</v>
      </c>
      <c r="B188" s="31" t="s">
        <v>262</v>
      </c>
      <c r="C188" s="64">
        <v>-59545</v>
      </c>
      <c r="D188" s="64">
        <f t="shared" si="78"/>
        <v>-101225.91048333334</v>
      </c>
      <c r="E188" s="64">
        <f t="shared" si="78"/>
        <v>-101225.91048333334</v>
      </c>
      <c r="F188" s="64">
        <f t="shared" si="78"/>
        <v>-101225.91048333334</v>
      </c>
      <c r="G188" s="64">
        <f t="shared" si="78"/>
        <v>-101225.91048333334</v>
      </c>
      <c r="H188" s="64">
        <f t="shared" si="78"/>
        <v>-101225.91048333334</v>
      </c>
      <c r="I188" s="64">
        <f t="shared" si="78"/>
        <v>-101225.91048333334</v>
      </c>
      <c r="J188" s="64">
        <f t="shared" si="78"/>
        <v>-101225.91048333334</v>
      </c>
      <c r="K188" s="64">
        <f t="shared" si="78"/>
        <v>-101225.91048333334</v>
      </c>
      <c r="L188" s="64">
        <f t="shared" si="78"/>
        <v>-101225.91048333334</v>
      </c>
      <c r="M188" s="64">
        <f t="shared" si="78"/>
        <v>-101225.91048333334</v>
      </c>
      <c r="N188" s="64">
        <f t="shared" si="78"/>
        <v>-101225.91048333334</v>
      </c>
      <c r="O188" s="64">
        <f t="shared" si="78"/>
        <v>-101225.91048333334</v>
      </c>
      <c r="P188" s="2">
        <f t="shared" si="79"/>
        <v>-1274255.9258000001</v>
      </c>
      <c r="Q188" s="2">
        <f>'working capital and def tax 21'!Q188*1.0826</f>
        <v>-98019.686600000001</v>
      </c>
      <c r="R188" s="2">
        <f t="shared" si="52"/>
        <v>0</v>
      </c>
      <c r="S188" s="15" t="s">
        <v>502</v>
      </c>
      <c r="T188" s="15" t="s">
        <v>16</v>
      </c>
      <c r="U188" s="15">
        <f t="shared" ref="U188:Z188" si="83">-$Q188*U5</f>
        <v>20878.193245800001</v>
      </c>
      <c r="V188" s="15">
        <f t="shared" si="83"/>
        <v>34110.850936800001</v>
      </c>
      <c r="W188" s="15">
        <f t="shared" si="83"/>
        <v>14114.834870399998</v>
      </c>
      <c r="X188" s="15">
        <f t="shared" si="83"/>
        <v>98.0196866</v>
      </c>
      <c r="Y188" s="15">
        <f t="shared" si="83"/>
        <v>98.0196866</v>
      </c>
      <c r="Z188" s="15">
        <f t="shared" si="83"/>
        <v>28719.768173799999</v>
      </c>
      <c r="AA188" s="15"/>
      <c r="AB188" s="15" t="s">
        <v>16</v>
      </c>
      <c r="AC188" s="15">
        <f t="shared" si="81"/>
        <v>21561.118932950001</v>
      </c>
      <c r="AD188" s="15">
        <f t="shared" si="81"/>
        <v>35226.616848199999</v>
      </c>
      <c r="AE188" s="15">
        <f t="shared" si="81"/>
        <v>14576.5311096</v>
      </c>
      <c r="AF188" s="15">
        <f t="shared" si="81"/>
        <v>101.22591048333334</v>
      </c>
      <c r="AG188" s="15">
        <f t="shared" si="81"/>
        <v>101.22591048333334</v>
      </c>
      <c r="AH188" s="15">
        <f t="shared" si="81"/>
        <v>29659.191771616668</v>
      </c>
      <c r="AI188" s="27">
        <f t="shared" si="82"/>
        <v>0</v>
      </c>
    </row>
    <row r="189" spans="1:35" x14ac:dyDescent="0.25">
      <c r="A189" s="31" t="s">
        <v>263</v>
      </c>
      <c r="B189" s="31" t="s">
        <v>264</v>
      </c>
      <c r="C189" s="64">
        <v>-626133</v>
      </c>
      <c r="D189" s="64">
        <f t="shared" si="78"/>
        <v>-4309.7919333333366</v>
      </c>
      <c r="E189" s="64">
        <f t="shared" si="78"/>
        <v>-4309.7919333333366</v>
      </c>
      <c r="F189" s="64">
        <f t="shared" si="78"/>
        <v>-4309.7919333333366</v>
      </c>
      <c r="G189" s="64">
        <f t="shared" si="78"/>
        <v>-4309.7919333333366</v>
      </c>
      <c r="H189" s="64">
        <f t="shared" si="78"/>
        <v>-4309.7919333333366</v>
      </c>
      <c r="I189" s="64">
        <f t="shared" si="78"/>
        <v>-4309.7919333333366</v>
      </c>
      <c r="J189" s="64">
        <f t="shared" si="78"/>
        <v>-4309.7919333333366</v>
      </c>
      <c r="K189" s="64">
        <f t="shared" si="78"/>
        <v>-4309.7919333333366</v>
      </c>
      <c r="L189" s="64">
        <f t="shared" si="78"/>
        <v>-4309.7919333333366</v>
      </c>
      <c r="M189" s="64">
        <f t="shared" si="78"/>
        <v>-4309.7919333333366</v>
      </c>
      <c r="N189" s="64">
        <f t="shared" si="78"/>
        <v>-4309.7919333333366</v>
      </c>
      <c r="O189" s="64">
        <f t="shared" si="78"/>
        <v>-4309.7919333333366</v>
      </c>
      <c r="P189" s="2">
        <f t="shared" si="79"/>
        <v>-677850.50320000004</v>
      </c>
      <c r="Q189" s="2">
        <f>'working capital and def tax 21'!Q189*1.0826</f>
        <v>-52142.346400000002</v>
      </c>
      <c r="R189" s="2">
        <f t="shared" si="52"/>
        <v>0</v>
      </c>
      <c r="S189" s="15" t="s">
        <v>502</v>
      </c>
      <c r="T189" s="15" t="s">
        <v>16</v>
      </c>
      <c r="U189" s="15">
        <f t="shared" ref="U189:Z189" si="84">-$Q189*U5</f>
        <v>11106.319783200001</v>
      </c>
      <c r="V189" s="15">
        <f t="shared" si="84"/>
        <v>18145.536547200001</v>
      </c>
      <c r="W189" s="15">
        <f t="shared" si="84"/>
        <v>7508.4978815999993</v>
      </c>
      <c r="X189" s="15">
        <f t="shared" si="84"/>
        <v>52.142346400000001</v>
      </c>
      <c r="Y189" s="15">
        <f t="shared" si="84"/>
        <v>52.142346400000001</v>
      </c>
      <c r="Z189" s="15">
        <f t="shared" si="84"/>
        <v>15277.7074952</v>
      </c>
      <c r="AA189" s="15"/>
      <c r="AB189" s="15" t="s">
        <v>16</v>
      </c>
      <c r="AC189" s="15">
        <f t="shared" si="81"/>
        <v>917.98568180000063</v>
      </c>
      <c r="AD189" s="15">
        <f t="shared" si="81"/>
        <v>1499.807592800001</v>
      </c>
      <c r="AE189" s="15">
        <f t="shared" si="81"/>
        <v>620.61003840000046</v>
      </c>
      <c r="AF189" s="15">
        <f t="shared" si="81"/>
        <v>4.3097919333333365</v>
      </c>
      <c r="AG189" s="15">
        <f t="shared" si="81"/>
        <v>4.3097919333333365</v>
      </c>
      <c r="AH189" s="15">
        <f t="shared" si="81"/>
        <v>1262.7690364666676</v>
      </c>
      <c r="AI189" s="27">
        <f t="shared" si="82"/>
        <v>0</v>
      </c>
    </row>
    <row r="190" spans="1:35" x14ac:dyDescent="0.25">
      <c r="A190" s="31" t="s">
        <v>265</v>
      </c>
      <c r="B190" s="31" t="s">
        <v>266</v>
      </c>
      <c r="C190" s="64">
        <v>-343881</v>
      </c>
      <c r="D190" s="64">
        <f t="shared" si="78"/>
        <v>-473680.56621666666</v>
      </c>
      <c r="E190" s="64">
        <f t="shared" si="78"/>
        <v>-473680.56621666666</v>
      </c>
      <c r="F190" s="64">
        <f t="shared" si="78"/>
        <v>-473680.56621666666</v>
      </c>
      <c r="G190" s="64">
        <f t="shared" si="78"/>
        <v>-473680.56621666666</v>
      </c>
      <c r="H190" s="64">
        <f t="shared" si="78"/>
        <v>-473680.56621666666</v>
      </c>
      <c r="I190" s="64">
        <f t="shared" si="78"/>
        <v>-473680.56621666666</v>
      </c>
      <c r="J190" s="64">
        <f t="shared" si="78"/>
        <v>-473680.56621666666</v>
      </c>
      <c r="K190" s="64">
        <f t="shared" si="78"/>
        <v>-473680.56621666666</v>
      </c>
      <c r="L190" s="64">
        <f t="shared" si="78"/>
        <v>-473680.56621666666</v>
      </c>
      <c r="M190" s="64">
        <f t="shared" si="78"/>
        <v>-473680.56621666666</v>
      </c>
      <c r="N190" s="64">
        <f t="shared" si="78"/>
        <v>-473680.56621666666</v>
      </c>
      <c r="O190" s="64">
        <f t="shared" si="78"/>
        <v>-473680.56621666666</v>
      </c>
      <c r="P190" s="2">
        <f t="shared" si="79"/>
        <v>-6028047.7945999997</v>
      </c>
      <c r="Q190" s="2">
        <f>'working capital and def tax 21'!Q190*1.0826</f>
        <v>-463695.98420000001</v>
      </c>
      <c r="R190" s="2">
        <f t="shared" si="52"/>
        <v>0</v>
      </c>
      <c r="S190" s="15" t="s">
        <v>502</v>
      </c>
      <c r="T190" s="15" t="s">
        <v>16</v>
      </c>
      <c r="U190" s="15">
        <f t="shared" ref="U190:Z190" si="85">-$Q190*U5</f>
        <v>98767.244634599992</v>
      </c>
      <c r="V190" s="15">
        <f t="shared" si="85"/>
        <v>161366.2025016</v>
      </c>
      <c r="W190" s="15">
        <f t="shared" si="85"/>
        <v>66772.221724799994</v>
      </c>
      <c r="X190" s="15">
        <f t="shared" si="85"/>
        <v>463.6959842</v>
      </c>
      <c r="Y190" s="15">
        <f t="shared" si="85"/>
        <v>463.6959842</v>
      </c>
      <c r="Z190" s="15">
        <f t="shared" si="85"/>
        <v>135862.92337059998</v>
      </c>
      <c r="AA190" s="15"/>
      <c r="AB190" s="15" t="s">
        <v>16</v>
      </c>
      <c r="AC190" s="15">
        <f t="shared" si="81"/>
        <v>100893.96060414999</v>
      </c>
      <c r="AD190" s="15">
        <f t="shared" si="81"/>
        <v>164840.83704339998</v>
      </c>
      <c r="AE190" s="15">
        <f t="shared" si="81"/>
        <v>68210.00153519999</v>
      </c>
      <c r="AF190" s="15">
        <f t="shared" si="81"/>
        <v>473.68056621666665</v>
      </c>
      <c r="AG190" s="15">
        <f t="shared" si="81"/>
        <v>473.68056621666665</v>
      </c>
      <c r="AH190" s="15">
        <f t="shared" si="81"/>
        <v>138788.40590148332</v>
      </c>
      <c r="AI190" s="27">
        <f t="shared" si="82"/>
        <v>0</v>
      </c>
    </row>
    <row r="191" spans="1:35" x14ac:dyDescent="0.25">
      <c r="A191" s="31" t="s">
        <v>267</v>
      </c>
      <c r="B191" s="31" t="s">
        <v>268</v>
      </c>
      <c r="C191" s="64">
        <v>-165616</v>
      </c>
      <c r="D191" s="64">
        <f t="shared" si="78"/>
        <v>-1140.3509999999999</v>
      </c>
      <c r="E191" s="64">
        <f t="shared" si="78"/>
        <v>-1140.3509999999999</v>
      </c>
      <c r="F191" s="64">
        <f t="shared" si="78"/>
        <v>-1140.3509999999999</v>
      </c>
      <c r="G191" s="64">
        <f t="shared" si="78"/>
        <v>-1140.3509999999999</v>
      </c>
      <c r="H191" s="64">
        <f t="shared" si="78"/>
        <v>-1140.3509999999999</v>
      </c>
      <c r="I191" s="64">
        <f t="shared" si="78"/>
        <v>-1140.3509999999999</v>
      </c>
      <c r="J191" s="64">
        <f t="shared" si="78"/>
        <v>-1140.3509999999999</v>
      </c>
      <c r="K191" s="64">
        <f t="shared" si="78"/>
        <v>-1140.3509999999999</v>
      </c>
      <c r="L191" s="64">
        <f t="shared" si="78"/>
        <v>-1140.3509999999999</v>
      </c>
      <c r="M191" s="64">
        <f t="shared" si="78"/>
        <v>-1140.3509999999999</v>
      </c>
      <c r="N191" s="64">
        <f t="shared" si="78"/>
        <v>-1140.3509999999999</v>
      </c>
      <c r="O191" s="64">
        <f t="shared" si="78"/>
        <v>-1140.3509999999999</v>
      </c>
      <c r="P191" s="2">
        <f t="shared" si="79"/>
        <v>-179300.212</v>
      </c>
      <c r="Q191" s="2">
        <f>'working capital and def tax 21'!Q191*1.0826</f>
        <v>-13792.324000000001</v>
      </c>
      <c r="R191" s="2">
        <f t="shared" si="52"/>
        <v>0</v>
      </c>
      <c r="S191" s="15" t="s">
        <v>502</v>
      </c>
      <c r="T191" s="15" t="s">
        <v>16</v>
      </c>
      <c r="U191" s="15">
        <f t="shared" ref="U191:Z191" si="86">-$Q191*U5</f>
        <v>2937.7650119999998</v>
      </c>
      <c r="V191" s="15">
        <f t="shared" si="86"/>
        <v>4799.728752</v>
      </c>
      <c r="W191" s="15">
        <f t="shared" si="86"/>
        <v>1986.094656</v>
      </c>
      <c r="X191" s="15">
        <f t="shared" si="86"/>
        <v>13.792324000000001</v>
      </c>
      <c r="Y191" s="15">
        <f t="shared" si="86"/>
        <v>13.792324000000001</v>
      </c>
      <c r="Z191" s="15">
        <f t="shared" si="86"/>
        <v>4041.150932</v>
      </c>
      <c r="AA191" s="15"/>
      <c r="AB191" s="15" t="s">
        <v>16</v>
      </c>
      <c r="AC191" s="15">
        <f t="shared" si="81"/>
        <v>242.89476299999998</v>
      </c>
      <c r="AD191" s="15">
        <f t="shared" si="81"/>
        <v>396.84214799999995</v>
      </c>
      <c r="AE191" s="15">
        <f t="shared" si="81"/>
        <v>164.21054399999997</v>
      </c>
      <c r="AF191" s="15">
        <f t="shared" si="81"/>
        <v>1.1403509999999999</v>
      </c>
      <c r="AG191" s="15">
        <f t="shared" si="81"/>
        <v>1.1403509999999999</v>
      </c>
      <c r="AH191" s="15">
        <f t="shared" si="81"/>
        <v>334.12284299999993</v>
      </c>
      <c r="AI191" s="27">
        <f t="shared" si="82"/>
        <v>0</v>
      </c>
    </row>
    <row r="192" spans="1:35" x14ac:dyDescent="0.25">
      <c r="A192" s="31" t="s">
        <v>269</v>
      </c>
      <c r="B192" s="31" t="s">
        <v>270</v>
      </c>
      <c r="C192" s="64">
        <v>0</v>
      </c>
      <c r="D192" s="64">
        <f t="shared" si="78"/>
        <v>-660992.43643333332</v>
      </c>
      <c r="E192" s="64">
        <f t="shared" si="78"/>
        <v>-660992.43643333332</v>
      </c>
      <c r="F192" s="64">
        <f t="shared" si="78"/>
        <v>-660992.43643333332</v>
      </c>
      <c r="G192" s="64">
        <f t="shared" si="78"/>
        <v>-660992.43643333332</v>
      </c>
      <c r="H192" s="64">
        <f t="shared" si="78"/>
        <v>-660992.43643333332</v>
      </c>
      <c r="I192" s="64">
        <f t="shared" si="78"/>
        <v>-660992.43643333332</v>
      </c>
      <c r="J192" s="64">
        <f t="shared" si="78"/>
        <v>-660992.43643333332</v>
      </c>
      <c r="K192" s="64">
        <f t="shared" si="78"/>
        <v>-660992.43643333332</v>
      </c>
      <c r="L192" s="64">
        <f t="shared" si="78"/>
        <v>-660992.43643333332</v>
      </c>
      <c r="M192" s="64">
        <f t="shared" si="78"/>
        <v>-660992.43643333332</v>
      </c>
      <c r="N192" s="64">
        <f t="shared" si="78"/>
        <v>-660992.43643333332</v>
      </c>
      <c r="O192" s="64">
        <f t="shared" si="78"/>
        <v>-660992.43643333332</v>
      </c>
      <c r="P192" s="2">
        <f t="shared" si="79"/>
        <v>-7931909.2371999994</v>
      </c>
      <c r="Q192" s="2">
        <f>'working capital and def tax 21'!Q192*1.0826</f>
        <v>-610146.86439999996</v>
      </c>
      <c r="R192" s="2">
        <f t="shared" si="52"/>
        <v>0</v>
      </c>
      <c r="S192" s="15" t="s">
        <v>502</v>
      </c>
      <c r="T192" s="15" t="s">
        <v>16</v>
      </c>
      <c r="U192" s="15">
        <f t="shared" ref="U192:Z192" si="87">-$Q192*U5</f>
        <v>129961.28211719998</v>
      </c>
      <c r="V192" s="15">
        <f t="shared" si="87"/>
        <v>212331.10881119999</v>
      </c>
      <c r="W192" s="15">
        <f t="shared" si="87"/>
        <v>87861.148473599984</v>
      </c>
      <c r="X192" s="15">
        <f t="shared" si="87"/>
        <v>610.14686440000003</v>
      </c>
      <c r="Y192" s="15">
        <f t="shared" si="87"/>
        <v>610.14686440000003</v>
      </c>
      <c r="Z192" s="15">
        <f t="shared" si="87"/>
        <v>178773.03126919997</v>
      </c>
      <c r="AA192" s="15"/>
      <c r="AB192" s="15" t="s">
        <v>16</v>
      </c>
      <c r="AC192" s="15">
        <f t="shared" si="81"/>
        <v>140791.38896029998</v>
      </c>
      <c r="AD192" s="15">
        <f t="shared" si="81"/>
        <v>230025.36787879997</v>
      </c>
      <c r="AE192" s="15">
        <f t="shared" si="81"/>
        <v>95182.910846399987</v>
      </c>
      <c r="AF192" s="15">
        <f t="shared" si="81"/>
        <v>660.9924364333333</v>
      </c>
      <c r="AG192" s="15">
        <f t="shared" si="81"/>
        <v>660.9924364333333</v>
      </c>
      <c r="AH192" s="15">
        <f t="shared" si="81"/>
        <v>193670.78387496664</v>
      </c>
      <c r="AI192" s="27">
        <f t="shared" si="82"/>
        <v>0</v>
      </c>
    </row>
    <row r="193" spans="1:35" x14ac:dyDescent="0.25">
      <c r="A193" s="35"/>
      <c r="B193" s="35"/>
      <c r="C193" s="36" t="s">
        <v>67</v>
      </c>
      <c r="D193" s="36" t="s">
        <v>67</v>
      </c>
      <c r="E193" s="36" t="s">
        <v>67</v>
      </c>
      <c r="F193" s="36" t="s">
        <v>67</v>
      </c>
      <c r="G193" s="36" t="s">
        <v>67</v>
      </c>
      <c r="H193" s="36" t="s">
        <v>67</v>
      </c>
      <c r="I193" s="36" t="s">
        <v>67</v>
      </c>
      <c r="J193" s="36" t="s">
        <v>67</v>
      </c>
      <c r="K193" s="36" t="s">
        <v>67</v>
      </c>
      <c r="L193" s="36" t="s">
        <v>67</v>
      </c>
      <c r="M193" s="36" t="s">
        <v>67</v>
      </c>
      <c r="N193" s="36" t="s">
        <v>67</v>
      </c>
      <c r="O193" s="36" t="s">
        <v>67</v>
      </c>
      <c r="P193" s="36" t="s">
        <v>67</v>
      </c>
      <c r="Q193" s="36" t="s">
        <v>67</v>
      </c>
      <c r="R193" s="2" t="e">
        <f t="shared" si="52"/>
        <v>#VALUE!</v>
      </c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27"/>
    </row>
    <row r="194" spans="1:35" x14ac:dyDescent="0.25">
      <c r="A194" s="37" t="s">
        <v>271</v>
      </c>
      <c r="B194" s="38"/>
      <c r="C194" s="147">
        <v>-1545175</v>
      </c>
      <c r="D194" s="147">
        <f t="shared" ref="D194:Q194" si="88">SUM(D187:D192)</f>
        <v>-1338485.3618666667</v>
      </c>
      <c r="E194" s="147">
        <f t="shared" si="88"/>
        <v>-1338485.3618666667</v>
      </c>
      <c r="F194" s="39">
        <f t="shared" si="88"/>
        <v>-1338485.3618666667</v>
      </c>
      <c r="G194" s="39">
        <f t="shared" si="88"/>
        <v>-1338485.3618666667</v>
      </c>
      <c r="H194" s="39">
        <f t="shared" si="88"/>
        <v>-1338485.3618666667</v>
      </c>
      <c r="I194" s="39">
        <f t="shared" si="88"/>
        <v>-1338485.3618666667</v>
      </c>
      <c r="J194" s="39">
        <f t="shared" si="88"/>
        <v>-1338485.3618666667</v>
      </c>
      <c r="K194" s="39">
        <f t="shared" si="88"/>
        <v>-1338485.3618666667</v>
      </c>
      <c r="L194" s="39">
        <f t="shared" si="88"/>
        <v>-1338485.3618666667</v>
      </c>
      <c r="M194" s="39">
        <f t="shared" si="88"/>
        <v>-1338485.3618666667</v>
      </c>
      <c r="N194" s="39">
        <f t="shared" si="88"/>
        <v>-1338485.3618666667</v>
      </c>
      <c r="O194" s="39">
        <f t="shared" si="88"/>
        <v>-1338485.3618666667</v>
      </c>
      <c r="P194" s="39">
        <f t="shared" si="88"/>
        <v>-17606999.342399999</v>
      </c>
      <c r="Q194" s="39">
        <f t="shared" si="88"/>
        <v>-1354384.5647999998</v>
      </c>
      <c r="R194" s="2">
        <f t="shared" si="52"/>
        <v>0</v>
      </c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27"/>
    </row>
    <row r="195" spans="1:35" x14ac:dyDescent="0.25">
      <c r="A195" s="35"/>
      <c r="B195" s="35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">
        <f t="shared" si="52"/>
        <v>0</v>
      </c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27"/>
    </row>
    <row r="196" spans="1:35" x14ac:dyDescent="0.25">
      <c r="A196" s="37" t="s">
        <v>272</v>
      </c>
      <c r="B196" s="38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2">
        <f t="shared" si="52"/>
        <v>0</v>
      </c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27"/>
    </row>
    <row r="197" spans="1:35" x14ac:dyDescent="0.25">
      <c r="A197" s="31" t="s">
        <v>273</v>
      </c>
      <c r="B197" s="31" t="s">
        <v>274</v>
      </c>
      <c r="C197" s="64">
        <v>474927</v>
      </c>
      <c r="D197" s="64">
        <f t="shared" ref="D197:O200" si="89">(($P197-$C197)/12)</f>
        <v>810612.80500000005</v>
      </c>
      <c r="E197" s="64">
        <f t="shared" si="89"/>
        <v>810612.80500000005</v>
      </c>
      <c r="F197" s="64">
        <f t="shared" si="89"/>
        <v>810612.80500000005</v>
      </c>
      <c r="G197" s="64">
        <f t="shared" si="89"/>
        <v>810612.80500000005</v>
      </c>
      <c r="H197" s="64">
        <f t="shared" si="89"/>
        <v>810612.80500000005</v>
      </c>
      <c r="I197" s="64">
        <f t="shared" si="89"/>
        <v>810612.80500000005</v>
      </c>
      <c r="J197" s="64">
        <f t="shared" si="89"/>
        <v>810612.80500000005</v>
      </c>
      <c r="K197" s="64">
        <f t="shared" si="89"/>
        <v>810612.80500000005</v>
      </c>
      <c r="L197" s="64">
        <f t="shared" si="89"/>
        <v>810612.80500000005</v>
      </c>
      <c r="M197" s="64">
        <f t="shared" si="89"/>
        <v>810612.80500000005</v>
      </c>
      <c r="N197" s="64">
        <f t="shared" si="89"/>
        <v>810612.80500000005</v>
      </c>
      <c r="O197" s="64">
        <f t="shared" si="89"/>
        <v>810612.80500000005</v>
      </c>
      <c r="P197" s="2">
        <f t="shared" ref="P197:P200" si="90">Q197*13</f>
        <v>10202280.66</v>
      </c>
      <c r="Q197" s="2">
        <f>'working capital and def tax 21'!Q197*1.035</f>
        <v>784790.82</v>
      </c>
      <c r="R197" s="2">
        <f t="shared" si="52"/>
        <v>0</v>
      </c>
      <c r="S197" s="15" t="s">
        <v>503</v>
      </c>
      <c r="T197" s="15" t="s">
        <v>34</v>
      </c>
      <c r="U197" s="15">
        <f t="shared" ref="U197:Z200" si="91">-$Q197*U$7</f>
        <v>-150679.83744</v>
      </c>
      <c r="V197" s="15">
        <f t="shared" si="91"/>
        <v>-310855.64380199998</v>
      </c>
      <c r="W197" s="15">
        <f t="shared" si="91"/>
        <v>-107516.34234</v>
      </c>
      <c r="X197" s="15">
        <f t="shared" si="91"/>
        <v>-2511.3306240000002</v>
      </c>
      <c r="Y197" s="15">
        <f t="shared" si="91"/>
        <v>-1726.539804</v>
      </c>
      <c r="Z197" s="15">
        <f t="shared" si="91"/>
        <v>-211501.12599</v>
      </c>
      <c r="AA197" s="15"/>
      <c r="AB197" s="15" t="s">
        <v>34</v>
      </c>
      <c r="AC197" s="15">
        <f>-$O197*AC$7</f>
        <v>-155637.65856000001</v>
      </c>
      <c r="AD197" s="15">
        <f t="shared" ref="AD197:AH200" si="92">-$O197*AD$7</f>
        <v>-321083.73206050001</v>
      </c>
      <c r="AE197" s="15">
        <f t="shared" si="92"/>
        <v>-111053.95428500001</v>
      </c>
      <c r="AF197" s="15">
        <f t="shared" si="92"/>
        <v>-2593.9609760000003</v>
      </c>
      <c r="AG197" s="15">
        <f t="shared" si="92"/>
        <v>-1783.3481710000003</v>
      </c>
      <c r="AH197" s="15">
        <f t="shared" si="92"/>
        <v>-218460.15094750002</v>
      </c>
      <c r="AI197" s="27">
        <f>SUM(AC197:AH197)+O197</f>
        <v>0</v>
      </c>
    </row>
    <row r="198" spans="1:35" x14ac:dyDescent="0.25">
      <c r="A198" s="31" t="s">
        <v>275</v>
      </c>
      <c r="B198" s="31" t="s">
        <v>276</v>
      </c>
      <c r="C198" s="64">
        <v>269029</v>
      </c>
      <c r="D198" s="64">
        <f t="shared" si="89"/>
        <v>300804.77541666664</v>
      </c>
      <c r="E198" s="64">
        <f t="shared" si="89"/>
        <v>300804.77541666664</v>
      </c>
      <c r="F198" s="64">
        <f t="shared" si="89"/>
        <v>300804.77541666664</v>
      </c>
      <c r="G198" s="64">
        <f t="shared" si="89"/>
        <v>300804.77541666664</v>
      </c>
      <c r="H198" s="64">
        <f t="shared" si="89"/>
        <v>300804.77541666664</v>
      </c>
      <c r="I198" s="64">
        <f t="shared" si="89"/>
        <v>300804.77541666664</v>
      </c>
      <c r="J198" s="64">
        <f t="shared" si="89"/>
        <v>300804.77541666664</v>
      </c>
      <c r="K198" s="64">
        <f t="shared" si="89"/>
        <v>300804.77541666664</v>
      </c>
      <c r="L198" s="64">
        <f t="shared" si="89"/>
        <v>300804.77541666664</v>
      </c>
      <c r="M198" s="64">
        <f t="shared" si="89"/>
        <v>300804.77541666664</v>
      </c>
      <c r="N198" s="64">
        <f t="shared" si="89"/>
        <v>300804.77541666664</v>
      </c>
      <c r="O198" s="64">
        <f t="shared" si="89"/>
        <v>300804.77541666664</v>
      </c>
      <c r="P198" s="2">
        <f t="shared" si="90"/>
        <v>3878686.3049999997</v>
      </c>
      <c r="Q198" s="2">
        <f>'working capital and def tax 21'!Q198*1.035</f>
        <v>298360.48499999999</v>
      </c>
      <c r="R198" s="2">
        <f t="shared" si="52"/>
        <v>0</v>
      </c>
      <c r="S198" s="15" t="s">
        <v>503</v>
      </c>
      <c r="T198" s="15" t="s">
        <v>34</v>
      </c>
      <c r="U198" s="15">
        <f t="shared" si="91"/>
        <v>-57285.21312</v>
      </c>
      <c r="V198" s="15">
        <f t="shared" si="91"/>
        <v>-118180.5881085</v>
      </c>
      <c r="W198" s="15">
        <f t="shared" si="91"/>
        <v>-40875.386445000004</v>
      </c>
      <c r="X198" s="15">
        <f t="shared" si="91"/>
        <v>-954.75355200000001</v>
      </c>
      <c r="Y198" s="15">
        <f t="shared" si="91"/>
        <v>-656.39306699999997</v>
      </c>
      <c r="Z198" s="15">
        <f t="shared" si="91"/>
        <v>-80408.150707499997</v>
      </c>
      <c r="AA198" s="15"/>
      <c r="AB198" s="15" t="s">
        <v>34</v>
      </c>
      <c r="AC198" s="15">
        <f>-$O198*AC$7</f>
        <v>-57754.516879999996</v>
      </c>
      <c r="AD198" s="15">
        <f t="shared" si="92"/>
        <v>-119148.77154254165</v>
      </c>
      <c r="AE198" s="15">
        <f t="shared" si="92"/>
        <v>-41210.254232083331</v>
      </c>
      <c r="AF198" s="15">
        <f t="shared" si="92"/>
        <v>-962.57528133333335</v>
      </c>
      <c r="AG198" s="15">
        <f t="shared" si="92"/>
        <v>-661.77050591666671</v>
      </c>
      <c r="AH198" s="15">
        <f t="shared" si="92"/>
        <v>-81066.886974791661</v>
      </c>
      <c r="AI198" s="27">
        <f>SUM(AC198:AH198)+O198</f>
        <v>0</v>
      </c>
    </row>
    <row r="199" spans="1:35" x14ac:dyDescent="0.25">
      <c r="A199" s="31" t="s">
        <v>277</v>
      </c>
      <c r="B199" s="31" t="s">
        <v>278</v>
      </c>
      <c r="C199" s="64">
        <v>0</v>
      </c>
      <c r="D199" s="64">
        <f t="shared" si="89"/>
        <v>711678.67874999996</v>
      </c>
      <c r="E199" s="64">
        <f t="shared" si="89"/>
        <v>711678.67874999996</v>
      </c>
      <c r="F199" s="64">
        <f t="shared" si="89"/>
        <v>711678.67874999996</v>
      </c>
      <c r="G199" s="64">
        <f t="shared" si="89"/>
        <v>711678.67874999996</v>
      </c>
      <c r="H199" s="64">
        <f t="shared" si="89"/>
        <v>711678.67874999996</v>
      </c>
      <c r="I199" s="64">
        <f t="shared" si="89"/>
        <v>711678.67874999996</v>
      </c>
      <c r="J199" s="64">
        <f t="shared" si="89"/>
        <v>711678.67874999996</v>
      </c>
      <c r="K199" s="64">
        <f t="shared" si="89"/>
        <v>711678.67874999996</v>
      </c>
      <c r="L199" s="64">
        <f t="shared" si="89"/>
        <v>711678.67874999996</v>
      </c>
      <c r="M199" s="64">
        <f t="shared" si="89"/>
        <v>711678.67874999996</v>
      </c>
      <c r="N199" s="64">
        <f t="shared" si="89"/>
        <v>711678.67874999996</v>
      </c>
      <c r="O199" s="64">
        <f t="shared" si="89"/>
        <v>711678.67874999996</v>
      </c>
      <c r="P199" s="2">
        <f t="shared" si="90"/>
        <v>8540144.1449999996</v>
      </c>
      <c r="Q199" s="2">
        <f>'working capital and def tax 21'!Q199*1.035</f>
        <v>656934.16499999992</v>
      </c>
      <c r="R199" s="2">
        <f t="shared" si="52"/>
        <v>0</v>
      </c>
      <c r="S199" s="15" t="s">
        <v>503</v>
      </c>
      <c r="T199" s="15" t="s">
        <v>34</v>
      </c>
      <c r="U199" s="15">
        <f t="shared" si="91"/>
        <v>-126131.35967999999</v>
      </c>
      <c r="V199" s="15">
        <f t="shared" si="91"/>
        <v>-260211.62275649997</v>
      </c>
      <c r="W199" s="15">
        <f t="shared" si="91"/>
        <v>-89999.98060499999</v>
      </c>
      <c r="X199" s="15">
        <f t="shared" si="91"/>
        <v>-2102.1893279999999</v>
      </c>
      <c r="Y199" s="15">
        <f t="shared" si="91"/>
        <v>-1445.2551629999998</v>
      </c>
      <c r="Z199" s="15">
        <f t="shared" si="91"/>
        <v>-177043.75746749999</v>
      </c>
      <c r="AA199" s="15"/>
      <c r="AB199" s="15" t="s">
        <v>34</v>
      </c>
      <c r="AC199" s="15">
        <f>-$O199*AC$7</f>
        <v>-136642.30632</v>
      </c>
      <c r="AD199" s="15">
        <f t="shared" si="92"/>
        <v>-281895.92465287499</v>
      </c>
      <c r="AE199" s="15">
        <f t="shared" si="92"/>
        <v>-97499.978988750008</v>
      </c>
      <c r="AF199" s="15">
        <f t="shared" si="92"/>
        <v>-2277.371772</v>
      </c>
      <c r="AG199" s="15">
        <f t="shared" si="92"/>
        <v>-1565.6930932499999</v>
      </c>
      <c r="AH199" s="15">
        <f t="shared" si="92"/>
        <v>-191797.40392312501</v>
      </c>
      <c r="AI199" s="27"/>
    </row>
    <row r="200" spans="1:35" x14ac:dyDescent="0.25">
      <c r="A200" s="31" t="s">
        <v>279</v>
      </c>
      <c r="B200" s="31" t="s">
        <v>280</v>
      </c>
      <c r="C200" s="64">
        <v>0</v>
      </c>
      <c r="D200" s="64">
        <f t="shared" si="89"/>
        <v>33909.963749999995</v>
      </c>
      <c r="E200" s="64">
        <f t="shared" si="89"/>
        <v>33909.963749999995</v>
      </c>
      <c r="F200" s="64">
        <f t="shared" si="89"/>
        <v>33909.963749999995</v>
      </c>
      <c r="G200" s="64">
        <f t="shared" si="89"/>
        <v>33909.963749999995</v>
      </c>
      <c r="H200" s="64">
        <f t="shared" si="89"/>
        <v>33909.963749999995</v>
      </c>
      <c r="I200" s="64">
        <f t="shared" si="89"/>
        <v>33909.963749999995</v>
      </c>
      <c r="J200" s="64">
        <f t="shared" si="89"/>
        <v>33909.963749999995</v>
      </c>
      <c r="K200" s="64">
        <f t="shared" si="89"/>
        <v>33909.963749999995</v>
      </c>
      <c r="L200" s="64">
        <f t="shared" si="89"/>
        <v>33909.963749999995</v>
      </c>
      <c r="M200" s="64">
        <f t="shared" si="89"/>
        <v>33909.963749999995</v>
      </c>
      <c r="N200" s="64">
        <f t="shared" si="89"/>
        <v>33909.963749999995</v>
      </c>
      <c r="O200" s="64">
        <f t="shared" si="89"/>
        <v>33909.963749999995</v>
      </c>
      <c r="P200" s="2">
        <f t="shared" si="90"/>
        <v>406919.56499999994</v>
      </c>
      <c r="Q200" s="2">
        <f>'working capital and def tax 21'!Q200*1.035</f>
        <v>31301.504999999997</v>
      </c>
      <c r="R200" s="2">
        <f t="shared" si="52"/>
        <v>0</v>
      </c>
      <c r="S200" s="15" t="s">
        <v>503</v>
      </c>
      <c r="T200" s="15" t="s">
        <v>34</v>
      </c>
      <c r="U200" s="15">
        <f t="shared" si="91"/>
        <v>-6009.8889599999993</v>
      </c>
      <c r="V200" s="15">
        <f t="shared" si="91"/>
        <v>-12398.526130499999</v>
      </c>
      <c r="W200" s="15">
        <f t="shared" si="91"/>
        <v>-4288.3061850000004</v>
      </c>
      <c r="X200" s="15">
        <f t="shared" si="91"/>
        <v>-100.164816</v>
      </c>
      <c r="Y200" s="15">
        <f t="shared" si="91"/>
        <v>-68.863310999999996</v>
      </c>
      <c r="Z200" s="15">
        <f t="shared" si="91"/>
        <v>-8435.7555974999996</v>
      </c>
      <c r="AA200" s="15"/>
      <c r="AB200" s="15" t="s">
        <v>34</v>
      </c>
      <c r="AC200" s="15">
        <f>-$O200*AC$7</f>
        <v>-6510.7130399999996</v>
      </c>
      <c r="AD200" s="15">
        <f t="shared" si="92"/>
        <v>-13431.736641374999</v>
      </c>
      <c r="AE200" s="15">
        <f t="shared" si="92"/>
        <v>-4645.6650337499996</v>
      </c>
      <c r="AF200" s="15">
        <f t="shared" si="92"/>
        <v>-108.51188399999999</v>
      </c>
      <c r="AG200" s="15">
        <f t="shared" si="92"/>
        <v>-74.601920249999992</v>
      </c>
      <c r="AH200" s="15">
        <f t="shared" si="92"/>
        <v>-9138.7352306249995</v>
      </c>
      <c r="AI200" s="27"/>
    </row>
    <row r="201" spans="1:35" x14ac:dyDescent="0.25">
      <c r="A201" s="35"/>
      <c r="B201" s="35"/>
      <c r="C201" s="36" t="s">
        <v>67</v>
      </c>
      <c r="D201" s="36" t="s">
        <v>67</v>
      </c>
      <c r="E201" s="36" t="s">
        <v>67</v>
      </c>
      <c r="F201" s="36" t="s">
        <v>67</v>
      </c>
      <c r="G201" s="36" t="s">
        <v>67</v>
      </c>
      <c r="H201" s="36" t="s">
        <v>67</v>
      </c>
      <c r="I201" s="36" t="s">
        <v>67</v>
      </c>
      <c r="J201" s="36" t="s">
        <v>67</v>
      </c>
      <c r="K201" s="36" t="s">
        <v>67</v>
      </c>
      <c r="L201" s="36" t="s">
        <v>67</v>
      </c>
      <c r="M201" s="36" t="s">
        <v>67</v>
      </c>
      <c r="N201" s="36" t="s">
        <v>67</v>
      </c>
      <c r="O201" s="36" t="s">
        <v>67</v>
      </c>
      <c r="P201" s="36" t="s">
        <v>67</v>
      </c>
      <c r="Q201" s="36" t="s">
        <v>67</v>
      </c>
      <c r="R201" s="2" t="e">
        <f t="shared" si="52"/>
        <v>#VALUE!</v>
      </c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27"/>
    </row>
    <row r="202" spans="1:35" x14ac:dyDescent="0.25">
      <c r="A202" s="37" t="s">
        <v>281</v>
      </c>
      <c r="B202" s="38"/>
      <c r="C202" s="147">
        <v>743956</v>
      </c>
      <c r="D202" s="147">
        <f t="shared" ref="D202:O202" si="93">SUM(D195:D200)</f>
        <v>1857006.2229166669</v>
      </c>
      <c r="E202" s="147">
        <f t="shared" si="93"/>
        <v>1857006.2229166669</v>
      </c>
      <c r="F202" s="39">
        <f t="shared" si="93"/>
        <v>1857006.2229166669</v>
      </c>
      <c r="G202" s="39">
        <f t="shared" si="93"/>
        <v>1857006.2229166669</v>
      </c>
      <c r="H202" s="39">
        <f t="shared" si="93"/>
        <v>1857006.2229166669</v>
      </c>
      <c r="I202" s="39">
        <f t="shared" si="93"/>
        <v>1857006.2229166669</v>
      </c>
      <c r="J202" s="39">
        <f t="shared" si="93"/>
        <v>1857006.2229166669</v>
      </c>
      <c r="K202" s="39">
        <f t="shared" si="93"/>
        <v>1857006.2229166669</v>
      </c>
      <c r="L202" s="39">
        <f t="shared" si="93"/>
        <v>1857006.2229166669</v>
      </c>
      <c r="M202" s="39">
        <f t="shared" si="93"/>
        <v>1857006.2229166669</v>
      </c>
      <c r="N202" s="39">
        <f t="shared" si="93"/>
        <v>1857006.2229166669</v>
      </c>
      <c r="O202" s="39">
        <f t="shared" si="93"/>
        <v>1857006.2229166669</v>
      </c>
      <c r="P202" s="39">
        <f t="shared" ref="P202:Q202" si="94">SUM(P197:P200)</f>
        <v>23028030.675000001</v>
      </c>
      <c r="Q202" s="39">
        <f t="shared" si="94"/>
        <v>1771386.9749999996</v>
      </c>
      <c r="R202" s="2">
        <f t="shared" si="52"/>
        <v>0</v>
      </c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27"/>
    </row>
    <row r="203" spans="1:35" x14ac:dyDescent="0.25">
      <c r="A203" s="35"/>
      <c r="B203" s="35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">
        <f t="shared" si="52"/>
        <v>0</v>
      </c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27"/>
    </row>
    <row r="204" spans="1:35" x14ac:dyDescent="0.25">
      <c r="A204" s="37" t="s">
        <v>282</v>
      </c>
      <c r="B204" s="38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2">
        <f t="shared" si="52"/>
        <v>0</v>
      </c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27"/>
    </row>
    <row r="205" spans="1:35" x14ac:dyDescent="0.25">
      <c r="A205" s="31" t="s">
        <v>283</v>
      </c>
      <c r="B205" s="31" t="s">
        <v>284</v>
      </c>
      <c r="C205" s="64">
        <v>154852</v>
      </c>
      <c r="D205" s="64">
        <f t="shared" ref="D205:O205" si="95">(($P205-$C205)/12)</f>
        <v>160723.47166666665</v>
      </c>
      <c r="E205" s="64">
        <f t="shared" si="95"/>
        <v>160723.47166666665</v>
      </c>
      <c r="F205" s="64">
        <f t="shared" si="95"/>
        <v>160723.47166666665</v>
      </c>
      <c r="G205" s="64">
        <f t="shared" si="95"/>
        <v>160723.47166666665</v>
      </c>
      <c r="H205" s="64">
        <f t="shared" si="95"/>
        <v>160723.47166666665</v>
      </c>
      <c r="I205" s="64">
        <f t="shared" si="95"/>
        <v>160723.47166666665</v>
      </c>
      <c r="J205" s="64">
        <f t="shared" si="95"/>
        <v>160723.47166666665</v>
      </c>
      <c r="K205" s="64">
        <f t="shared" si="95"/>
        <v>160723.47166666665</v>
      </c>
      <c r="L205" s="64">
        <f t="shared" si="95"/>
        <v>160723.47166666665</v>
      </c>
      <c r="M205" s="64">
        <f t="shared" si="95"/>
        <v>160723.47166666665</v>
      </c>
      <c r="N205" s="64">
        <f t="shared" si="95"/>
        <v>160723.47166666665</v>
      </c>
      <c r="O205" s="64">
        <f t="shared" si="95"/>
        <v>160723.47166666665</v>
      </c>
      <c r="P205" s="2">
        <f t="shared" ref="P205" si="96">Q205*13</f>
        <v>2083533.6599999997</v>
      </c>
      <c r="Q205" s="2">
        <f>'working capital and def tax 21'!Q205*1.035</f>
        <v>160271.81999999998</v>
      </c>
      <c r="R205" s="2">
        <f t="shared" si="52"/>
        <v>0</v>
      </c>
      <c r="S205" s="15" t="s">
        <v>503</v>
      </c>
      <c r="T205" s="15" t="s">
        <v>34</v>
      </c>
      <c r="U205" s="15">
        <f>-$Q205*0.28</f>
        <v>-44876.109599999996</v>
      </c>
      <c r="V205" s="15">
        <f>-$Q205*0.65</f>
        <v>-104176.68299999999</v>
      </c>
      <c r="W205" s="15">
        <f t="shared" ref="W205:Y205" si="97">-$Q205*W$6</f>
        <v>0</v>
      </c>
      <c r="X205" s="15">
        <f t="shared" si="97"/>
        <v>0</v>
      </c>
      <c r="Y205" s="15">
        <f t="shared" si="97"/>
        <v>0</v>
      </c>
      <c r="Z205" s="15">
        <f>-$Q205*0.07</f>
        <v>-11219.027399999999</v>
      </c>
      <c r="AA205" s="15"/>
      <c r="AB205" s="15" t="s">
        <v>34</v>
      </c>
      <c r="AC205" s="15">
        <f>-$O205*AC$6</f>
        <v>-40502.314859999999</v>
      </c>
      <c r="AD205" s="15">
        <f t="shared" ref="AD205:AI205" si="98">-$O205*AD$6</f>
        <v>-83576.205266666657</v>
      </c>
      <c r="AE205" s="15">
        <f t="shared" si="98"/>
        <v>0</v>
      </c>
      <c r="AF205" s="15">
        <f t="shared" si="98"/>
        <v>0</v>
      </c>
      <c r="AG205" s="15">
        <f t="shared" si="98"/>
        <v>0</v>
      </c>
      <c r="AH205" s="15">
        <f>-$O205*AH$6</f>
        <v>-36644.951539999995</v>
      </c>
      <c r="AI205" s="15">
        <f t="shared" si="98"/>
        <v>0</v>
      </c>
    </row>
    <row r="206" spans="1:35" x14ac:dyDescent="0.25">
      <c r="A206" s="31" t="s">
        <v>285</v>
      </c>
      <c r="B206" s="31" t="s">
        <v>286</v>
      </c>
      <c r="C206" s="64">
        <v>161538</v>
      </c>
      <c r="D206" s="150">
        <v>161668.9</v>
      </c>
      <c r="E206" s="64">
        <v>69268.600000000006</v>
      </c>
      <c r="F206" s="64">
        <v>69400.820000000007</v>
      </c>
      <c r="G206" s="64">
        <v>69533.31</v>
      </c>
      <c r="H206" s="64">
        <v>69666.19</v>
      </c>
      <c r="I206" s="64">
        <v>69799.510000000009</v>
      </c>
      <c r="J206" s="64">
        <v>69933.22</v>
      </c>
      <c r="K206" s="64">
        <v>70067.360000000001</v>
      </c>
      <c r="L206" s="64">
        <v>70201.91</v>
      </c>
      <c r="M206" s="64">
        <v>70336.87</v>
      </c>
      <c r="N206" s="64">
        <v>70472.260000000009</v>
      </c>
      <c r="O206" s="64">
        <v>70608.070000000007</v>
      </c>
      <c r="P206" s="2">
        <f t="shared" ref="P206" si="99">SUM(C206:O206)</f>
        <v>1092495.02</v>
      </c>
      <c r="Q206" s="2">
        <f t="shared" ref="Q206" si="100">P206/13</f>
        <v>84038.078461538462</v>
      </c>
      <c r="R206" s="2">
        <f t="shared" si="52"/>
        <v>0</v>
      </c>
      <c r="S206" s="15" t="s">
        <v>504</v>
      </c>
      <c r="T206" s="15" t="s">
        <v>34</v>
      </c>
      <c r="U206" s="15">
        <f t="shared" ref="U206:Z210" si="101">-$Q206*U$7</f>
        <v>-16135.311064615385</v>
      </c>
      <c r="V206" s="15">
        <f t="shared" si="101"/>
        <v>-33287.482878615388</v>
      </c>
      <c r="W206" s="151">
        <f t="shared" si="101"/>
        <v>-11513.216749230771</v>
      </c>
      <c r="X206" s="151">
        <f t="shared" si="101"/>
        <v>-268.92185107692308</v>
      </c>
      <c r="Y206" s="151">
        <f t="shared" si="101"/>
        <v>-184.88377261538463</v>
      </c>
      <c r="Z206" s="15">
        <f t="shared" si="101"/>
        <v>-22648.262145384619</v>
      </c>
      <c r="AA206" s="15"/>
      <c r="AB206" s="15" t="s">
        <v>34</v>
      </c>
      <c r="AC206" s="15">
        <f t="shared" ref="AC206:AH210" si="102">-$O206*AC$7</f>
        <v>-13556.749440000001</v>
      </c>
      <c r="AD206" s="15">
        <f t="shared" si="102"/>
        <v>-27967.856527000004</v>
      </c>
      <c r="AE206" s="15">
        <f t="shared" si="102"/>
        <v>-9673.3055900000018</v>
      </c>
      <c r="AF206" s="15">
        <f t="shared" si="102"/>
        <v>-225.94582400000004</v>
      </c>
      <c r="AG206" s="15">
        <f t="shared" si="102"/>
        <v>-155.33775400000002</v>
      </c>
      <c r="AH206" s="15">
        <f t="shared" si="102"/>
        <v>-19028.874865000002</v>
      </c>
      <c r="AI206" s="27">
        <f t="shared" ref="AI206:AI210" si="103">SUM(AC206:AH206)+O206</f>
        <v>0</v>
      </c>
    </row>
    <row r="207" spans="1:35" x14ac:dyDescent="0.25">
      <c r="A207" s="31" t="s">
        <v>287</v>
      </c>
      <c r="B207" s="31" t="s">
        <v>288</v>
      </c>
      <c r="C207" s="64">
        <v>1081</v>
      </c>
      <c r="D207" s="64">
        <f t="shared" ref="D207:O210" si="104">(($P207-$C207)/12)</f>
        <v>30358.581666666665</v>
      </c>
      <c r="E207" s="64">
        <f t="shared" si="104"/>
        <v>30358.581666666665</v>
      </c>
      <c r="F207" s="64">
        <f t="shared" si="104"/>
        <v>30358.581666666665</v>
      </c>
      <c r="G207" s="64">
        <f t="shared" si="104"/>
        <v>30358.581666666665</v>
      </c>
      <c r="H207" s="64">
        <f t="shared" si="104"/>
        <v>30358.581666666665</v>
      </c>
      <c r="I207" s="64">
        <f t="shared" si="104"/>
        <v>30358.581666666665</v>
      </c>
      <c r="J207" s="64">
        <f t="shared" si="104"/>
        <v>30358.581666666665</v>
      </c>
      <c r="K207" s="64">
        <f t="shared" si="104"/>
        <v>30358.581666666665</v>
      </c>
      <c r="L207" s="64">
        <f t="shared" si="104"/>
        <v>30358.581666666665</v>
      </c>
      <c r="M207" s="64">
        <f t="shared" si="104"/>
        <v>30358.581666666665</v>
      </c>
      <c r="N207" s="64">
        <f t="shared" si="104"/>
        <v>30358.581666666665</v>
      </c>
      <c r="O207" s="64">
        <f t="shared" si="104"/>
        <v>30358.581666666665</v>
      </c>
      <c r="P207" s="2">
        <f t="shared" ref="P207:P210" si="105">Q207*13</f>
        <v>365383.98</v>
      </c>
      <c r="Q207" s="2">
        <f>'working capital and def tax 21'!Q207*1.035</f>
        <v>28106.46</v>
      </c>
      <c r="R207" s="2">
        <f t="shared" si="52"/>
        <v>0</v>
      </c>
      <c r="S207" s="15" t="s">
        <v>503</v>
      </c>
      <c r="T207" s="15" t="s">
        <v>34</v>
      </c>
      <c r="U207" s="15">
        <f t="shared" si="101"/>
        <v>-5396.4403199999997</v>
      </c>
      <c r="V207" s="15">
        <f t="shared" si="101"/>
        <v>-11132.968806000001</v>
      </c>
      <c r="W207" s="151">
        <f t="shared" si="101"/>
        <v>-3850.58502</v>
      </c>
      <c r="X207" s="15">
        <f t="shared" si="101"/>
        <v>-89.940672000000006</v>
      </c>
      <c r="Y207" s="15">
        <f t="shared" si="101"/>
        <v>-61.834212000000001</v>
      </c>
      <c r="Z207" s="15">
        <f t="shared" si="101"/>
        <v>-7574.6909700000006</v>
      </c>
      <c r="AA207" s="15"/>
      <c r="AB207" s="15" t="s">
        <v>34</v>
      </c>
      <c r="AC207" s="15">
        <f t="shared" si="102"/>
        <v>-5828.8476799999999</v>
      </c>
      <c r="AD207" s="15">
        <f t="shared" si="102"/>
        <v>-12025.034198166666</v>
      </c>
      <c r="AE207" s="15">
        <f t="shared" si="102"/>
        <v>-4159.1256883333335</v>
      </c>
      <c r="AF207" s="15">
        <f t="shared" si="102"/>
        <v>-97.147461333333339</v>
      </c>
      <c r="AG207" s="15">
        <f t="shared" si="102"/>
        <v>-66.788879666666674</v>
      </c>
      <c r="AH207" s="15">
        <f t="shared" si="102"/>
        <v>-8181.6377591666669</v>
      </c>
      <c r="AI207" s="27">
        <f t="shared" si="103"/>
        <v>0</v>
      </c>
    </row>
    <row r="208" spans="1:35" x14ac:dyDescent="0.25">
      <c r="A208" s="31" t="s">
        <v>289</v>
      </c>
      <c r="B208" s="31" t="s">
        <v>290</v>
      </c>
      <c r="C208" s="64">
        <v>-10</v>
      </c>
      <c r="D208" s="64">
        <f t="shared" si="104"/>
        <v>-249.20541666666665</v>
      </c>
      <c r="E208" s="64">
        <f t="shared" si="104"/>
        <v>-249.20541666666665</v>
      </c>
      <c r="F208" s="64">
        <f t="shared" si="104"/>
        <v>-249.20541666666665</v>
      </c>
      <c r="G208" s="64">
        <f t="shared" si="104"/>
        <v>-249.20541666666665</v>
      </c>
      <c r="H208" s="64">
        <f t="shared" si="104"/>
        <v>-249.20541666666665</v>
      </c>
      <c r="I208" s="64">
        <f t="shared" si="104"/>
        <v>-249.20541666666665</v>
      </c>
      <c r="J208" s="64">
        <f t="shared" si="104"/>
        <v>-249.20541666666665</v>
      </c>
      <c r="K208" s="64">
        <f t="shared" si="104"/>
        <v>-249.20541666666665</v>
      </c>
      <c r="L208" s="64">
        <f t="shared" si="104"/>
        <v>-249.20541666666665</v>
      </c>
      <c r="M208" s="64">
        <f t="shared" si="104"/>
        <v>-249.20541666666665</v>
      </c>
      <c r="N208" s="64">
        <f t="shared" si="104"/>
        <v>-249.20541666666665</v>
      </c>
      <c r="O208" s="64">
        <f t="shared" si="104"/>
        <v>-249.20541666666665</v>
      </c>
      <c r="P208" s="2">
        <f t="shared" si="105"/>
        <v>-3000.4649999999997</v>
      </c>
      <c r="Q208" s="2">
        <f>'working capital and def tax 21'!Q208*1.035</f>
        <v>-230.80499999999998</v>
      </c>
      <c r="R208" s="2">
        <f t="shared" si="52"/>
        <v>0</v>
      </c>
      <c r="S208" s="15" t="s">
        <v>503</v>
      </c>
      <c r="T208" s="15" t="s">
        <v>34</v>
      </c>
      <c r="U208" s="15">
        <f t="shared" si="101"/>
        <v>44.31456</v>
      </c>
      <c r="V208" s="15">
        <f t="shared" si="101"/>
        <v>91.421860499999994</v>
      </c>
      <c r="W208" s="151">
        <f t="shared" si="101"/>
        <v>31.620284999999999</v>
      </c>
      <c r="X208" s="15">
        <f t="shared" si="101"/>
        <v>0.73857600000000001</v>
      </c>
      <c r="Y208" s="15">
        <f t="shared" si="101"/>
        <v>0.50777099999999997</v>
      </c>
      <c r="Z208" s="15">
        <f t="shared" si="101"/>
        <v>62.201947499999996</v>
      </c>
      <c r="AA208" s="15"/>
      <c r="AB208" s="15" t="s">
        <v>34</v>
      </c>
      <c r="AC208" s="15">
        <f t="shared" si="102"/>
        <v>47.847439999999999</v>
      </c>
      <c r="AD208" s="15">
        <f t="shared" si="102"/>
        <v>98.710265541666658</v>
      </c>
      <c r="AE208" s="15">
        <f t="shared" si="102"/>
        <v>34.141142083333335</v>
      </c>
      <c r="AF208" s="15">
        <f t="shared" si="102"/>
        <v>0.79745733333333335</v>
      </c>
      <c r="AG208" s="15">
        <f t="shared" si="102"/>
        <v>0.54825191666666662</v>
      </c>
      <c r="AH208" s="15">
        <f t="shared" si="102"/>
        <v>67.160859791666667</v>
      </c>
      <c r="AI208" s="27">
        <f t="shared" si="103"/>
        <v>0</v>
      </c>
    </row>
    <row r="209" spans="1:35" x14ac:dyDescent="0.25">
      <c r="A209" s="31" t="s">
        <v>291</v>
      </c>
      <c r="B209" s="31" t="s">
        <v>292</v>
      </c>
      <c r="C209" s="64">
        <v>-9971</v>
      </c>
      <c r="D209" s="64">
        <f t="shared" si="104"/>
        <v>-18405.248333333333</v>
      </c>
      <c r="E209" s="64">
        <f t="shared" si="104"/>
        <v>-18405.248333333333</v>
      </c>
      <c r="F209" s="64">
        <f t="shared" si="104"/>
        <v>-18405.248333333333</v>
      </c>
      <c r="G209" s="64">
        <f t="shared" si="104"/>
        <v>-18405.248333333333</v>
      </c>
      <c r="H209" s="64">
        <f t="shared" si="104"/>
        <v>-18405.248333333333</v>
      </c>
      <c r="I209" s="64">
        <f t="shared" si="104"/>
        <v>-18405.248333333333</v>
      </c>
      <c r="J209" s="64">
        <f t="shared" si="104"/>
        <v>-18405.248333333333</v>
      </c>
      <c r="K209" s="64">
        <f t="shared" si="104"/>
        <v>-18405.248333333333</v>
      </c>
      <c r="L209" s="64">
        <f t="shared" si="104"/>
        <v>-18405.248333333333</v>
      </c>
      <c r="M209" s="64">
        <f t="shared" si="104"/>
        <v>-18405.248333333333</v>
      </c>
      <c r="N209" s="64">
        <f t="shared" si="104"/>
        <v>-18405.248333333333</v>
      </c>
      <c r="O209" s="64">
        <f t="shared" si="104"/>
        <v>-18405.248333333333</v>
      </c>
      <c r="P209" s="2">
        <f t="shared" si="105"/>
        <v>-230833.97999999998</v>
      </c>
      <c r="Q209" s="2">
        <f>'working capital and def tax 21'!Q209*1.035</f>
        <v>-17756.46</v>
      </c>
      <c r="R209" s="2">
        <f t="shared" ref="R209:R272" si="106">(SUM(C209:O209)/13)-Q209</f>
        <v>0</v>
      </c>
      <c r="S209" s="15" t="s">
        <v>503</v>
      </c>
      <c r="T209" s="15" t="s">
        <v>34</v>
      </c>
      <c r="U209" s="15">
        <f t="shared" si="101"/>
        <v>3409.2403199999999</v>
      </c>
      <c r="V209" s="15">
        <f t="shared" si="101"/>
        <v>7033.3338059999996</v>
      </c>
      <c r="W209" s="151">
        <f t="shared" si="101"/>
        <v>2432.6350200000002</v>
      </c>
      <c r="X209" s="15">
        <f t="shared" si="101"/>
        <v>56.820672000000002</v>
      </c>
      <c r="Y209" s="15">
        <f t="shared" si="101"/>
        <v>39.064211999999998</v>
      </c>
      <c r="Z209" s="15">
        <f t="shared" si="101"/>
        <v>4785.3659699999998</v>
      </c>
      <c r="AA209" s="15"/>
      <c r="AB209" s="15" t="s">
        <v>34</v>
      </c>
      <c r="AC209" s="15">
        <f t="shared" si="102"/>
        <v>3533.8076799999999</v>
      </c>
      <c r="AD209" s="15">
        <f t="shared" si="102"/>
        <v>7290.3188648333335</v>
      </c>
      <c r="AE209" s="15">
        <f t="shared" si="102"/>
        <v>2521.519021666667</v>
      </c>
      <c r="AF209" s="15">
        <f t="shared" si="102"/>
        <v>58.896794666666665</v>
      </c>
      <c r="AG209" s="15">
        <f t="shared" si="102"/>
        <v>40.491546333333332</v>
      </c>
      <c r="AH209" s="15">
        <f t="shared" si="102"/>
        <v>4960.2144258333337</v>
      </c>
      <c r="AI209" s="27">
        <f t="shared" si="103"/>
        <v>0</v>
      </c>
    </row>
    <row r="210" spans="1:35" x14ac:dyDescent="0.25">
      <c r="A210" s="31" t="s">
        <v>293</v>
      </c>
      <c r="B210" s="31" t="s">
        <v>294</v>
      </c>
      <c r="C210" s="64">
        <v>-1269</v>
      </c>
      <c r="D210" s="64">
        <f t="shared" si="104"/>
        <v>-19290.75375</v>
      </c>
      <c r="E210" s="64">
        <f t="shared" si="104"/>
        <v>-19290.75375</v>
      </c>
      <c r="F210" s="64">
        <f t="shared" si="104"/>
        <v>-19290.75375</v>
      </c>
      <c r="G210" s="64">
        <f t="shared" si="104"/>
        <v>-19290.75375</v>
      </c>
      <c r="H210" s="64">
        <f t="shared" si="104"/>
        <v>-19290.75375</v>
      </c>
      <c r="I210" s="64">
        <f t="shared" si="104"/>
        <v>-19290.75375</v>
      </c>
      <c r="J210" s="64">
        <f t="shared" si="104"/>
        <v>-19290.75375</v>
      </c>
      <c r="K210" s="64">
        <f t="shared" si="104"/>
        <v>-19290.75375</v>
      </c>
      <c r="L210" s="64">
        <f t="shared" si="104"/>
        <v>-19290.75375</v>
      </c>
      <c r="M210" s="64">
        <f t="shared" si="104"/>
        <v>-19290.75375</v>
      </c>
      <c r="N210" s="64">
        <f t="shared" si="104"/>
        <v>-19290.75375</v>
      </c>
      <c r="O210" s="64">
        <f t="shared" si="104"/>
        <v>-19290.75375</v>
      </c>
      <c r="P210" s="2">
        <f t="shared" si="105"/>
        <v>-232758.04500000001</v>
      </c>
      <c r="Q210" s="2">
        <f>'working capital and def tax 21'!Q210*1.035</f>
        <v>-17904.465</v>
      </c>
      <c r="R210" s="2">
        <f t="shared" si="106"/>
        <v>0</v>
      </c>
      <c r="S210" s="15" t="s">
        <v>503</v>
      </c>
      <c r="T210" s="15" t="s">
        <v>34</v>
      </c>
      <c r="U210" s="15">
        <f t="shared" si="101"/>
        <v>3437.6572799999999</v>
      </c>
      <c r="V210" s="15">
        <f t="shared" si="101"/>
        <v>7091.9585864999999</v>
      </c>
      <c r="W210" s="151">
        <f t="shared" si="101"/>
        <v>2452.911705</v>
      </c>
      <c r="X210" s="15">
        <f t="shared" si="101"/>
        <v>57.294288000000002</v>
      </c>
      <c r="Y210" s="15">
        <f t="shared" si="101"/>
        <v>39.389823</v>
      </c>
      <c r="Z210" s="15">
        <f t="shared" si="101"/>
        <v>4825.2533175000008</v>
      </c>
      <c r="AA210" s="15"/>
      <c r="AB210" s="15" t="s">
        <v>34</v>
      </c>
      <c r="AC210" s="15">
        <f t="shared" si="102"/>
        <v>3703.8247200000001</v>
      </c>
      <c r="AD210" s="15">
        <f t="shared" si="102"/>
        <v>7641.0675603750005</v>
      </c>
      <c r="AE210" s="15">
        <f t="shared" si="102"/>
        <v>2642.8332637500002</v>
      </c>
      <c r="AF210" s="15">
        <f t="shared" si="102"/>
        <v>61.730412000000001</v>
      </c>
      <c r="AG210" s="15">
        <f t="shared" si="102"/>
        <v>42.439658250000001</v>
      </c>
      <c r="AH210" s="15">
        <f t="shared" si="102"/>
        <v>5198.8581356250006</v>
      </c>
      <c r="AI210" s="27">
        <f t="shared" si="103"/>
        <v>0</v>
      </c>
    </row>
    <row r="211" spans="1:35" x14ac:dyDescent="0.25">
      <c r="A211" s="35"/>
      <c r="B211" s="35"/>
      <c r="C211" s="36" t="s">
        <v>67</v>
      </c>
      <c r="D211" s="36" t="s">
        <v>67</v>
      </c>
      <c r="E211" s="36" t="s">
        <v>67</v>
      </c>
      <c r="F211" s="36" t="s">
        <v>67</v>
      </c>
      <c r="G211" s="36" t="s">
        <v>67</v>
      </c>
      <c r="H211" s="36" t="s">
        <v>67</v>
      </c>
      <c r="I211" s="36" t="s">
        <v>67</v>
      </c>
      <c r="J211" s="36" t="s">
        <v>67</v>
      </c>
      <c r="K211" s="36" t="s">
        <v>67</v>
      </c>
      <c r="L211" s="36" t="s">
        <v>67</v>
      </c>
      <c r="M211" s="36" t="s">
        <v>67</v>
      </c>
      <c r="N211" s="36" t="s">
        <v>67</v>
      </c>
      <c r="O211" s="36" t="s">
        <v>67</v>
      </c>
      <c r="P211" s="36" t="s">
        <v>67</v>
      </c>
      <c r="Q211" s="36" t="s">
        <v>67</v>
      </c>
      <c r="R211" s="2" t="e">
        <f t="shared" si="106"/>
        <v>#VALUE!</v>
      </c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27"/>
    </row>
    <row r="212" spans="1:35" x14ac:dyDescent="0.25">
      <c r="A212" s="37" t="s">
        <v>295</v>
      </c>
      <c r="B212" s="38"/>
      <c r="C212" s="39">
        <v>306220</v>
      </c>
      <c r="D212" s="39">
        <f t="shared" ref="D212:Q212" si="107">SUM(D205:D210)</f>
        <v>314805.74583333329</v>
      </c>
      <c r="E212" s="39">
        <f t="shared" si="107"/>
        <v>222405.44583333333</v>
      </c>
      <c r="F212" s="39">
        <f t="shared" si="107"/>
        <v>222537.66583333333</v>
      </c>
      <c r="G212" s="39">
        <f t="shared" si="107"/>
        <v>222670.15583333332</v>
      </c>
      <c r="H212" s="39">
        <f t="shared" si="107"/>
        <v>222803.03583333333</v>
      </c>
      <c r="I212" s="39">
        <f t="shared" si="107"/>
        <v>222936.35583333333</v>
      </c>
      <c r="J212" s="39">
        <f t="shared" si="107"/>
        <v>223070.06583333333</v>
      </c>
      <c r="K212" s="39">
        <f t="shared" si="107"/>
        <v>223204.20583333334</v>
      </c>
      <c r="L212" s="39">
        <f t="shared" si="107"/>
        <v>223338.75583333333</v>
      </c>
      <c r="M212" s="39">
        <f t="shared" si="107"/>
        <v>223473.71583333332</v>
      </c>
      <c r="N212" s="39">
        <f t="shared" si="107"/>
        <v>223609.10583333333</v>
      </c>
      <c r="O212" s="39">
        <f t="shared" si="107"/>
        <v>223744.91583333333</v>
      </c>
      <c r="P212" s="39">
        <f t="shared" si="107"/>
        <v>3074820.17</v>
      </c>
      <c r="Q212" s="39">
        <f t="shared" si="107"/>
        <v>236524.62846153846</v>
      </c>
      <c r="R212" s="2">
        <f t="shared" si="106"/>
        <v>-7.692307690740563E-2</v>
      </c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27"/>
    </row>
    <row r="213" spans="1:35" x14ac:dyDescent="0.25">
      <c r="A213" s="35"/>
      <c r="B213" s="35"/>
      <c r="C213" s="24">
        <f>SUM(C207:C210)</f>
        <v>-10169</v>
      </c>
      <c r="D213" s="24">
        <f t="shared" ref="D213:O213" si="108">SUM(D207:D210)</f>
        <v>-7586.6258333333353</v>
      </c>
      <c r="E213" s="155">
        <f t="shared" si="108"/>
        <v>-7586.6258333333353</v>
      </c>
      <c r="F213" s="24">
        <f t="shared" si="108"/>
        <v>-7586.6258333333353</v>
      </c>
      <c r="G213" s="24">
        <f t="shared" si="108"/>
        <v>-7586.6258333333353</v>
      </c>
      <c r="H213" s="24">
        <f t="shared" si="108"/>
        <v>-7586.6258333333353</v>
      </c>
      <c r="I213" s="24">
        <f t="shared" si="108"/>
        <v>-7586.6258333333353</v>
      </c>
      <c r="J213" s="24">
        <f t="shared" si="108"/>
        <v>-7586.6258333333353</v>
      </c>
      <c r="K213" s="24">
        <f t="shared" si="108"/>
        <v>-7586.6258333333353</v>
      </c>
      <c r="L213" s="24">
        <f t="shared" si="108"/>
        <v>-7586.6258333333353</v>
      </c>
      <c r="M213" s="24">
        <f t="shared" si="108"/>
        <v>-7586.6258333333353</v>
      </c>
      <c r="N213" s="24">
        <f t="shared" si="108"/>
        <v>-7586.6258333333353</v>
      </c>
      <c r="O213" s="24">
        <f t="shared" si="108"/>
        <v>-7586.6258333333353</v>
      </c>
      <c r="P213" s="24"/>
      <c r="Q213" s="24"/>
      <c r="R213" s="2">
        <f t="shared" si="106"/>
        <v>-7785.2700000000041</v>
      </c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27"/>
    </row>
    <row r="214" spans="1:35" ht="15.75" x14ac:dyDescent="0.3">
      <c r="A214" s="56" t="s">
        <v>296</v>
      </c>
      <c r="B214" s="54"/>
      <c r="C214" s="55">
        <v>3779071</v>
      </c>
      <c r="D214" s="55">
        <f t="shared" ref="D214:Q214" si="109">D212+D202+D194+D184+D178</f>
        <v>9399573.7862999998</v>
      </c>
      <c r="E214" s="55">
        <f t="shared" si="109"/>
        <v>9307173.4863000009</v>
      </c>
      <c r="F214" s="55">
        <f t="shared" si="109"/>
        <v>9307305.7063000016</v>
      </c>
      <c r="G214" s="55">
        <f t="shared" si="109"/>
        <v>9307438.1963</v>
      </c>
      <c r="H214" s="55">
        <f t="shared" si="109"/>
        <v>9307571.0763000008</v>
      </c>
      <c r="I214" s="55">
        <f t="shared" si="109"/>
        <v>9307704.3963000011</v>
      </c>
      <c r="J214" s="55">
        <f t="shared" si="109"/>
        <v>9307838.1063000001</v>
      </c>
      <c r="K214" s="55">
        <f t="shared" si="109"/>
        <v>9307972.2463000007</v>
      </c>
      <c r="L214" s="55">
        <f t="shared" si="109"/>
        <v>9308106.7963000014</v>
      </c>
      <c r="M214" s="55">
        <f t="shared" si="109"/>
        <v>9308241.7563000023</v>
      </c>
      <c r="N214" s="55">
        <f t="shared" si="109"/>
        <v>9308377.1463000011</v>
      </c>
      <c r="O214" s="55">
        <f t="shared" si="109"/>
        <v>9308512.9563000016</v>
      </c>
      <c r="P214" s="55">
        <f t="shared" si="109"/>
        <v>115564888.65560001</v>
      </c>
      <c r="Q214" s="55">
        <f t="shared" si="109"/>
        <v>8889606.819661539</v>
      </c>
      <c r="R214" s="2">
        <f t="shared" si="106"/>
        <v>-0.15384615398943424</v>
      </c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27"/>
    </row>
    <row r="215" spans="1:35" x14ac:dyDescent="0.25">
      <c r="A215" s="35"/>
      <c r="B215" s="35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">
        <f t="shared" si="106"/>
        <v>0</v>
      </c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27"/>
    </row>
    <row r="216" spans="1:35" ht="15.75" x14ac:dyDescent="0.3">
      <c r="A216" s="56" t="s">
        <v>297</v>
      </c>
      <c r="B216" s="54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2">
        <f t="shared" si="106"/>
        <v>0</v>
      </c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27"/>
    </row>
    <row r="217" spans="1:35" x14ac:dyDescent="0.25">
      <c r="A217" s="37" t="s">
        <v>298</v>
      </c>
      <c r="B217" s="38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2">
        <f t="shared" si="106"/>
        <v>0</v>
      </c>
      <c r="S217" s="15"/>
      <c r="T217" s="15" t="s">
        <v>299</v>
      </c>
      <c r="U217" s="15"/>
      <c r="V217" s="15"/>
      <c r="W217" s="15"/>
      <c r="X217" s="15"/>
      <c r="Y217" s="15"/>
      <c r="Z217" s="15"/>
      <c r="AA217" s="15"/>
      <c r="AB217" s="15" t="s">
        <v>299</v>
      </c>
      <c r="AC217" s="15"/>
      <c r="AD217" s="15"/>
      <c r="AE217" s="15"/>
      <c r="AF217" s="15"/>
      <c r="AG217" s="15"/>
      <c r="AH217" s="15"/>
      <c r="AI217" s="27">
        <f>SUM(AC217:AH217)+O217</f>
        <v>0</v>
      </c>
    </row>
    <row r="218" spans="1:35" x14ac:dyDescent="0.25">
      <c r="A218" s="57" t="s">
        <v>300</v>
      </c>
      <c r="B218" s="58" t="s">
        <v>301</v>
      </c>
      <c r="C218" s="64">
        <v>478666</v>
      </c>
      <c r="D218" s="153">
        <v>-58106.789999999994</v>
      </c>
      <c r="E218" s="153">
        <v>-46259.789999999994</v>
      </c>
      <c r="F218" s="153">
        <v>-34412.789999999994</v>
      </c>
      <c r="G218" s="153">
        <v>-22565.789999999994</v>
      </c>
      <c r="H218" s="153">
        <v>-10718.789999999994</v>
      </c>
      <c r="I218" s="153">
        <v>1128.2100000000064</v>
      </c>
      <c r="J218" s="153">
        <v>12975.210000000006</v>
      </c>
      <c r="K218" s="153">
        <v>24822.210000000006</v>
      </c>
      <c r="L218" s="153">
        <v>36669.210000000006</v>
      </c>
      <c r="M218" s="153">
        <v>48516.210000000006</v>
      </c>
      <c r="N218" s="153">
        <v>60363.210000000006</v>
      </c>
      <c r="O218" s="153">
        <v>72210.210000000006</v>
      </c>
      <c r="P218" s="2">
        <f t="shared" ref="P218:P233" si="110">SUM(C218:O218)</f>
        <v>563286.52000000025</v>
      </c>
      <c r="Q218" s="2">
        <f t="shared" ref="Q218:Q233" si="111">P218/13</f>
        <v>43329.732307692328</v>
      </c>
      <c r="R218" s="2">
        <f t="shared" si="106"/>
        <v>0</v>
      </c>
      <c r="S218" s="15" t="s">
        <v>504</v>
      </c>
      <c r="T218" s="15" t="s">
        <v>13</v>
      </c>
      <c r="U218" s="60">
        <f t="shared" ref="U218:Z225" si="112">-$Q218*U$3</f>
        <v>-7025.9160936923108</v>
      </c>
      <c r="V218" s="60">
        <f t="shared" si="112"/>
        <v>-16972.689442246163</v>
      </c>
      <c r="W218" s="60">
        <f t="shared" si="112"/>
        <v>-7967.4711767384642</v>
      </c>
      <c r="X218" s="60">
        <f t="shared" si="112"/>
        <v>-153.82054969230776</v>
      </c>
      <c r="Y218" s="60">
        <f t="shared" si="112"/>
        <v>-48.096002861538487</v>
      </c>
      <c r="Z218" s="60">
        <f t="shared" si="112"/>
        <v>-11162.605637107697</v>
      </c>
      <c r="AA218" s="15"/>
      <c r="AB218" s="15" t="s">
        <v>13</v>
      </c>
      <c r="AC218" s="60">
        <f t="shared" ref="AC218:AH225" si="113">-$O218*AC$3</f>
        <v>-11708.8855515</v>
      </c>
      <c r="AD218" s="60">
        <v>23</v>
      </c>
      <c r="AE218" s="60">
        <f t="shared" si="113"/>
        <v>-13278.0134148</v>
      </c>
      <c r="AF218" s="60">
        <f t="shared" si="113"/>
        <v>-256.34624550000001</v>
      </c>
      <c r="AG218" s="60">
        <f t="shared" si="113"/>
        <v>-80.153333100000012</v>
      </c>
      <c r="AH218" s="60">
        <f t="shared" si="113"/>
        <v>-18602.794300200003</v>
      </c>
      <c r="AI218" s="27">
        <f>SUM(AC218:AH218)+O218</f>
        <v>28307.017154900008</v>
      </c>
    </row>
    <row r="219" spans="1:35" x14ac:dyDescent="0.25">
      <c r="A219" s="31" t="s">
        <v>302</v>
      </c>
      <c r="B219" s="31" t="s">
        <v>303</v>
      </c>
      <c r="C219" s="64">
        <v>-645706</v>
      </c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2">
        <f t="shared" si="110"/>
        <v>-645706</v>
      </c>
      <c r="Q219" s="2">
        <f t="shared" si="111"/>
        <v>-49669.692307692305</v>
      </c>
      <c r="R219" s="2">
        <f t="shared" si="106"/>
        <v>0</v>
      </c>
      <c r="S219" s="15" t="s">
        <v>504</v>
      </c>
      <c r="T219" s="15" t="s">
        <v>13</v>
      </c>
      <c r="U219" s="60">
        <f t="shared" si="112"/>
        <v>8053.9406076923069</v>
      </c>
      <c r="V219" s="60">
        <f t="shared" si="112"/>
        <v>19456.115173846152</v>
      </c>
      <c r="W219" s="60">
        <f t="shared" si="112"/>
        <v>9133.2630215384597</v>
      </c>
      <c r="X219" s="60">
        <f t="shared" si="112"/>
        <v>176.3274076923077</v>
      </c>
      <c r="Y219" s="60">
        <f t="shared" si="112"/>
        <v>55.133358461538464</v>
      </c>
      <c r="Z219" s="60">
        <f t="shared" si="112"/>
        <v>12795.906132307693</v>
      </c>
      <c r="AA219" s="15"/>
      <c r="AB219" s="15" t="s">
        <v>13</v>
      </c>
      <c r="AC219" s="60">
        <f t="shared" si="113"/>
        <v>0</v>
      </c>
      <c r="AD219" s="60">
        <f t="shared" si="113"/>
        <v>0</v>
      </c>
      <c r="AE219" s="60">
        <f t="shared" si="113"/>
        <v>0</v>
      </c>
      <c r="AF219" s="60">
        <f t="shared" si="113"/>
        <v>0</v>
      </c>
      <c r="AG219" s="60">
        <f t="shared" si="113"/>
        <v>0</v>
      </c>
      <c r="AH219" s="60">
        <f t="shared" si="113"/>
        <v>0</v>
      </c>
      <c r="AI219" s="27"/>
    </row>
    <row r="220" spans="1:35" x14ac:dyDescent="0.25">
      <c r="A220" s="31" t="s">
        <v>304</v>
      </c>
      <c r="B220" s="31" t="s">
        <v>305</v>
      </c>
      <c r="C220" s="64">
        <v>132661</v>
      </c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2">
        <f t="shared" si="110"/>
        <v>132661</v>
      </c>
      <c r="Q220" s="2">
        <f t="shared" si="111"/>
        <v>10204.692307692309</v>
      </c>
      <c r="R220" s="2">
        <f t="shared" si="106"/>
        <v>0</v>
      </c>
      <c r="S220" s="15" t="s">
        <v>504</v>
      </c>
      <c r="T220" s="15" t="s">
        <v>13</v>
      </c>
      <c r="U220" s="60">
        <f t="shared" si="112"/>
        <v>-1654.6908576923076</v>
      </c>
      <c r="V220" s="60">
        <f t="shared" si="112"/>
        <v>-3997.2800238461541</v>
      </c>
      <c r="W220" s="60">
        <f t="shared" si="112"/>
        <v>-1876.4388215384615</v>
      </c>
      <c r="X220" s="60">
        <f t="shared" si="112"/>
        <v>-36.226657692307697</v>
      </c>
      <c r="Y220" s="60">
        <f t="shared" si="112"/>
        <v>-11.327208461538463</v>
      </c>
      <c r="Z220" s="60">
        <f t="shared" si="112"/>
        <v>-2628.9328323076925</v>
      </c>
      <c r="AA220" s="15"/>
      <c r="AB220" s="15" t="s">
        <v>13</v>
      </c>
      <c r="AC220" s="60">
        <f t="shared" si="113"/>
        <v>0</v>
      </c>
      <c r="AD220" s="60">
        <f t="shared" si="113"/>
        <v>0</v>
      </c>
      <c r="AE220" s="60">
        <f t="shared" si="113"/>
        <v>0</v>
      </c>
      <c r="AF220" s="60">
        <f t="shared" si="113"/>
        <v>0</v>
      </c>
      <c r="AG220" s="60">
        <f t="shared" si="113"/>
        <v>0</v>
      </c>
      <c r="AH220" s="60">
        <f t="shared" si="113"/>
        <v>0</v>
      </c>
      <c r="AI220" s="27">
        <f t="shared" ref="AI220:AI230" si="114">SUM(AC220:AH220)+O220</f>
        <v>0</v>
      </c>
    </row>
    <row r="221" spans="1:35" x14ac:dyDescent="0.25">
      <c r="A221" s="31" t="s">
        <v>306</v>
      </c>
      <c r="B221" s="31" t="s">
        <v>307</v>
      </c>
      <c r="C221" s="64">
        <v>-178954</v>
      </c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2">
        <f t="shared" si="110"/>
        <v>-178954</v>
      </c>
      <c r="Q221" s="2">
        <f t="shared" si="111"/>
        <v>-13765.692307692309</v>
      </c>
      <c r="R221" s="2">
        <f t="shared" si="106"/>
        <v>0</v>
      </c>
      <c r="S221" s="15" t="s">
        <v>504</v>
      </c>
      <c r="T221" s="15" t="s">
        <v>13</v>
      </c>
      <c r="U221" s="60">
        <f t="shared" si="112"/>
        <v>2232.1070076923079</v>
      </c>
      <c r="V221" s="60">
        <f t="shared" si="112"/>
        <v>5392.1593338461544</v>
      </c>
      <c r="W221" s="60">
        <f t="shared" si="112"/>
        <v>2531.2355015384614</v>
      </c>
      <c r="X221" s="60">
        <f t="shared" si="112"/>
        <v>48.868207692307699</v>
      </c>
      <c r="Y221" s="60">
        <f t="shared" si="112"/>
        <v>15.279918461538463</v>
      </c>
      <c r="Z221" s="60">
        <f t="shared" si="112"/>
        <v>3546.3176523076927</v>
      </c>
      <c r="AA221" s="15"/>
      <c r="AB221" s="15" t="s">
        <v>13</v>
      </c>
      <c r="AC221" s="60">
        <f t="shared" si="113"/>
        <v>0</v>
      </c>
      <c r="AD221" s="60">
        <f t="shared" si="113"/>
        <v>0</v>
      </c>
      <c r="AE221" s="60">
        <f t="shared" si="113"/>
        <v>0</v>
      </c>
      <c r="AF221" s="60">
        <f t="shared" si="113"/>
        <v>0</v>
      </c>
      <c r="AG221" s="60">
        <f t="shared" si="113"/>
        <v>0</v>
      </c>
      <c r="AH221" s="60">
        <f t="shared" si="113"/>
        <v>0</v>
      </c>
      <c r="AI221" s="27">
        <f t="shared" si="114"/>
        <v>0</v>
      </c>
    </row>
    <row r="222" spans="1:35" x14ac:dyDescent="0.25">
      <c r="A222" s="31" t="s">
        <v>308</v>
      </c>
      <c r="B222" s="31" t="s">
        <v>309</v>
      </c>
      <c r="C222" s="64">
        <v>0</v>
      </c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2">
        <f t="shared" si="110"/>
        <v>0</v>
      </c>
      <c r="Q222" s="2">
        <f t="shared" si="111"/>
        <v>0</v>
      </c>
      <c r="R222" s="2">
        <f t="shared" si="106"/>
        <v>0</v>
      </c>
      <c r="S222" s="15" t="s">
        <v>504</v>
      </c>
      <c r="T222" s="15" t="s">
        <v>13</v>
      </c>
      <c r="U222" s="60">
        <f t="shared" si="112"/>
        <v>0</v>
      </c>
      <c r="V222" s="60">
        <f t="shared" si="112"/>
        <v>0</v>
      </c>
      <c r="W222" s="60">
        <f t="shared" si="112"/>
        <v>0</v>
      </c>
      <c r="X222" s="60">
        <f t="shared" si="112"/>
        <v>0</v>
      </c>
      <c r="Y222" s="60">
        <f t="shared" si="112"/>
        <v>0</v>
      </c>
      <c r="Z222" s="60">
        <f t="shared" si="112"/>
        <v>0</v>
      </c>
      <c r="AA222" s="15"/>
      <c r="AB222" s="15" t="s">
        <v>13</v>
      </c>
      <c r="AC222" s="60">
        <f t="shared" si="113"/>
        <v>0</v>
      </c>
      <c r="AD222" s="60">
        <f t="shared" si="113"/>
        <v>0</v>
      </c>
      <c r="AE222" s="60">
        <f t="shared" si="113"/>
        <v>0</v>
      </c>
      <c r="AF222" s="60">
        <f t="shared" si="113"/>
        <v>0</v>
      </c>
      <c r="AG222" s="60">
        <f t="shared" si="113"/>
        <v>0</v>
      </c>
      <c r="AH222" s="60">
        <f t="shared" si="113"/>
        <v>0</v>
      </c>
      <c r="AI222" s="27">
        <f t="shared" si="114"/>
        <v>0</v>
      </c>
    </row>
    <row r="223" spans="1:35" x14ac:dyDescent="0.25">
      <c r="A223" s="31" t="s">
        <v>310</v>
      </c>
      <c r="B223" s="31" t="s">
        <v>311</v>
      </c>
      <c r="C223" s="64">
        <v>0</v>
      </c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2">
        <f t="shared" si="110"/>
        <v>0</v>
      </c>
      <c r="Q223" s="2">
        <f t="shared" si="111"/>
        <v>0</v>
      </c>
      <c r="R223" s="2">
        <f t="shared" si="106"/>
        <v>0</v>
      </c>
      <c r="S223" s="15" t="s">
        <v>504</v>
      </c>
      <c r="T223" s="15" t="s">
        <v>13</v>
      </c>
      <c r="U223" s="60">
        <f t="shared" si="112"/>
        <v>0</v>
      </c>
      <c r="V223" s="60">
        <f t="shared" si="112"/>
        <v>0</v>
      </c>
      <c r="W223" s="60">
        <f t="shared" si="112"/>
        <v>0</v>
      </c>
      <c r="X223" s="60">
        <f t="shared" si="112"/>
        <v>0</v>
      </c>
      <c r="Y223" s="60">
        <f t="shared" si="112"/>
        <v>0</v>
      </c>
      <c r="Z223" s="60">
        <f t="shared" si="112"/>
        <v>0</v>
      </c>
      <c r="AA223" s="15"/>
      <c r="AB223" s="15" t="s">
        <v>13</v>
      </c>
      <c r="AC223" s="60">
        <f t="shared" si="113"/>
        <v>0</v>
      </c>
      <c r="AD223" s="60">
        <f t="shared" si="113"/>
        <v>0</v>
      </c>
      <c r="AE223" s="60">
        <f t="shared" si="113"/>
        <v>0</v>
      </c>
      <c r="AF223" s="60">
        <f t="shared" si="113"/>
        <v>0</v>
      </c>
      <c r="AG223" s="60">
        <f t="shared" si="113"/>
        <v>0</v>
      </c>
      <c r="AH223" s="60">
        <f t="shared" si="113"/>
        <v>0</v>
      </c>
      <c r="AI223" s="27">
        <f t="shared" si="114"/>
        <v>0</v>
      </c>
    </row>
    <row r="224" spans="1:35" x14ac:dyDescent="0.25">
      <c r="A224" s="31" t="s">
        <v>312</v>
      </c>
      <c r="B224" s="31" t="s">
        <v>313</v>
      </c>
      <c r="C224" s="64">
        <v>0</v>
      </c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2">
        <f t="shared" si="110"/>
        <v>0</v>
      </c>
      <c r="Q224" s="2">
        <f t="shared" si="111"/>
        <v>0</v>
      </c>
      <c r="R224" s="2">
        <f t="shared" si="106"/>
        <v>0</v>
      </c>
      <c r="S224" s="15" t="s">
        <v>504</v>
      </c>
      <c r="T224" s="15" t="s">
        <v>13</v>
      </c>
      <c r="U224" s="60">
        <f>-$Q224*U$3</f>
        <v>0</v>
      </c>
      <c r="V224" s="60">
        <f t="shared" si="112"/>
        <v>0</v>
      </c>
      <c r="W224" s="60">
        <f t="shared" si="112"/>
        <v>0</v>
      </c>
      <c r="X224" s="60">
        <f t="shared" si="112"/>
        <v>0</v>
      </c>
      <c r="Y224" s="60">
        <f t="shared" si="112"/>
        <v>0</v>
      </c>
      <c r="Z224" s="60">
        <f t="shared" si="112"/>
        <v>0</v>
      </c>
      <c r="AA224" s="15"/>
      <c r="AB224" s="15" t="s">
        <v>13</v>
      </c>
      <c r="AC224" s="60">
        <f>-$O224*AC$3</f>
        <v>0</v>
      </c>
      <c r="AD224" s="60">
        <f t="shared" si="113"/>
        <v>0</v>
      </c>
      <c r="AE224" s="60">
        <f t="shared" si="113"/>
        <v>0</v>
      </c>
      <c r="AF224" s="60">
        <f t="shared" si="113"/>
        <v>0</v>
      </c>
      <c r="AG224" s="60">
        <f t="shared" si="113"/>
        <v>0</v>
      </c>
      <c r="AH224" s="60">
        <f t="shared" si="113"/>
        <v>0</v>
      </c>
      <c r="AI224" s="27">
        <f t="shared" si="114"/>
        <v>0</v>
      </c>
    </row>
    <row r="225" spans="1:35" x14ac:dyDescent="0.25">
      <c r="A225" s="31" t="s">
        <v>314</v>
      </c>
      <c r="B225" s="31" t="s">
        <v>315</v>
      </c>
      <c r="C225" s="64">
        <v>0</v>
      </c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2">
        <f t="shared" si="110"/>
        <v>0</v>
      </c>
      <c r="Q225" s="2">
        <f t="shared" si="111"/>
        <v>0</v>
      </c>
      <c r="R225" s="2">
        <f t="shared" si="106"/>
        <v>0</v>
      </c>
      <c r="S225" s="15" t="s">
        <v>504</v>
      </c>
      <c r="T225" s="15" t="s">
        <v>13</v>
      </c>
      <c r="U225" s="60">
        <f>-$Q225*U$3</f>
        <v>0</v>
      </c>
      <c r="V225" s="60">
        <f t="shared" si="112"/>
        <v>0</v>
      </c>
      <c r="W225" s="60">
        <f t="shared" si="112"/>
        <v>0</v>
      </c>
      <c r="X225" s="60">
        <f t="shared" si="112"/>
        <v>0</v>
      </c>
      <c r="Y225" s="60">
        <f t="shared" si="112"/>
        <v>0</v>
      </c>
      <c r="Z225" s="60">
        <f t="shared" si="112"/>
        <v>0</v>
      </c>
      <c r="AA225" s="15"/>
      <c r="AB225" s="15" t="s">
        <v>13</v>
      </c>
      <c r="AC225" s="60">
        <f>-$O225*AC$3</f>
        <v>0</v>
      </c>
      <c r="AD225" s="60">
        <f t="shared" si="113"/>
        <v>0</v>
      </c>
      <c r="AE225" s="60">
        <f t="shared" si="113"/>
        <v>0</v>
      </c>
      <c r="AF225" s="60">
        <f t="shared" si="113"/>
        <v>0</v>
      </c>
      <c r="AG225" s="60">
        <f t="shared" si="113"/>
        <v>0</v>
      </c>
      <c r="AH225" s="60">
        <f t="shared" si="113"/>
        <v>0</v>
      </c>
      <c r="AI225" s="27">
        <f t="shared" si="114"/>
        <v>0</v>
      </c>
    </row>
    <row r="226" spans="1:35" x14ac:dyDescent="0.25">
      <c r="A226" s="31" t="s">
        <v>316</v>
      </c>
      <c r="B226" s="31" t="s">
        <v>317</v>
      </c>
      <c r="C226" s="64">
        <v>0</v>
      </c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2">
        <f t="shared" si="110"/>
        <v>0</v>
      </c>
      <c r="Q226" s="2">
        <f t="shared" si="111"/>
        <v>0</v>
      </c>
      <c r="R226" s="2">
        <f t="shared" si="106"/>
        <v>0</v>
      </c>
      <c r="S226" s="15" t="s">
        <v>504</v>
      </c>
      <c r="T226" s="15" t="s">
        <v>13</v>
      </c>
      <c r="U226" s="60">
        <f t="shared" ref="U226:Z233" si="115">-$Q226*U$3</f>
        <v>0</v>
      </c>
      <c r="V226" s="60">
        <f t="shared" si="115"/>
        <v>0</v>
      </c>
      <c r="W226" s="60">
        <f t="shared" si="115"/>
        <v>0</v>
      </c>
      <c r="X226" s="60">
        <f t="shared" si="115"/>
        <v>0</v>
      </c>
      <c r="Y226" s="60">
        <f t="shared" si="115"/>
        <v>0</v>
      </c>
      <c r="Z226" s="60">
        <f t="shared" si="115"/>
        <v>0</v>
      </c>
      <c r="AA226" s="15"/>
      <c r="AB226" s="15" t="s">
        <v>13</v>
      </c>
      <c r="AC226" s="60">
        <f t="shared" ref="AC226:AH233" si="116">-$O226*AC$3</f>
        <v>0</v>
      </c>
      <c r="AD226" s="60">
        <f t="shared" si="116"/>
        <v>0</v>
      </c>
      <c r="AE226" s="60">
        <f t="shared" si="116"/>
        <v>0</v>
      </c>
      <c r="AF226" s="60">
        <f t="shared" si="116"/>
        <v>0</v>
      </c>
      <c r="AG226" s="60">
        <f t="shared" si="116"/>
        <v>0</v>
      </c>
      <c r="AH226" s="60">
        <f t="shared" si="116"/>
        <v>0</v>
      </c>
      <c r="AI226" s="27">
        <f t="shared" si="114"/>
        <v>0</v>
      </c>
    </row>
    <row r="227" spans="1:35" x14ac:dyDescent="0.25">
      <c r="A227" s="31" t="s">
        <v>318</v>
      </c>
      <c r="B227" s="31" t="s">
        <v>319</v>
      </c>
      <c r="C227" s="64">
        <v>0</v>
      </c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2">
        <f t="shared" si="110"/>
        <v>0</v>
      </c>
      <c r="Q227" s="2">
        <f t="shared" si="111"/>
        <v>0</v>
      </c>
      <c r="R227" s="2">
        <f t="shared" si="106"/>
        <v>0</v>
      </c>
      <c r="S227" s="15" t="s">
        <v>504</v>
      </c>
      <c r="T227" s="15" t="s">
        <v>13</v>
      </c>
      <c r="U227" s="60">
        <f t="shared" si="115"/>
        <v>0</v>
      </c>
      <c r="V227" s="60">
        <f t="shared" si="115"/>
        <v>0</v>
      </c>
      <c r="W227" s="60">
        <f t="shared" si="115"/>
        <v>0</v>
      </c>
      <c r="X227" s="60">
        <f t="shared" si="115"/>
        <v>0</v>
      </c>
      <c r="Y227" s="60">
        <f t="shared" si="115"/>
        <v>0</v>
      </c>
      <c r="Z227" s="60">
        <f t="shared" si="115"/>
        <v>0</v>
      </c>
      <c r="AA227" s="15"/>
      <c r="AB227" s="15" t="s">
        <v>13</v>
      </c>
      <c r="AC227" s="60">
        <f t="shared" si="116"/>
        <v>0</v>
      </c>
      <c r="AD227" s="60">
        <f t="shared" si="116"/>
        <v>0</v>
      </c>
      <c r="AE227" s="60">
        <f t="shared" si="116"/>
        <v>0</v>
      </c>
      <c r="AF227" s="60">
        <f t="shared" si="116"/>
        <v>0</v>
      </c>
      <c r="AG227" s="60">
        <f t="shared" si="116"/>
        <v>0</v>
      </c>
      <c r="AH227" s="60">
        <f t="shared" si="116"/>
        <v>0</v>
      </c>
      <c r="AI227" s="27">
        <f t="shared" si="114"/>
        <v>0</v>
      </c>
    </row>
    <row r="228" spans="1:35" x14ac:dyDescent="0.25">
      <c r="A228" s="31" t="s">
        <v>320</v>
      </c>
      <c r="B228" s="31" t="s">
        <v>321</v>
      </c>
      <c r="C228" s="64">
        <v>146357</v>
      </c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2">
        <f t="shared" si="110"/>
        <v>146357</v>
      </c>
      <c r="Q228" s="2">
        <f t="shared" si="111"/>
        <v>11258.23076923077</v>
      </c>
      <c r="R228" s="2">
        <f t="shared" si="106"/>
        <v>0</v>
      </c>
      <c r="S228" s="15" t="s">
        <v>504</v>
      </c>
      <c r="T228" s="15" t="s">
        <v>13</v>
      </c>
      <c r="U228" s="60">
        <f t="shared" si="115"/>
        <v>-1825.5221192307692</v>
      </c>
      <c r="V228" s="60">
        <f t="shared" si="115"/>
        <v>-4409.961574615385</v>
      </c>
      <c r="W228" s="60">
        <f t="shared" si="115"/>
        <v>-2070.1634738461539</v>
      </c>
      <c r="X228" s="60">
        <f t="shared" si="115"/>
        <v>-39.966719230769236</v>
      </c>
      <c r="Y228" s="60">
        <f t="shared" si="115"/>
        <v>-12.496636153846156</v>
      </c>
      <c r="Z228" s="60">
        <f t="shared" si="115"/>
        <v>-2900.345410769231</v>
      </c>
      <c r="AA228" s="15"/>
      <c r="AB228" s="15" t="s">
        <v>13</v>
      </c>
      <c r="AC228" s="60">
        <f t="shared" si="116"/>
        <v>0</v>
      </c>
      <c r="AD228" s="60">
        <f t="shared" si="116"/>
        <v>0</v>
      </c>
      <c r="AE228" s="60">
        <f t="shared" si="116"/>
        <v>0</v>
      </c>
      <c r="AF228" s="60">
        <f t="shared" si="116"/>
        <v>0</v>
      </c>
      <c r="AG228" s="60">
        <f t="shared" si="116"/>
        <v>0</v>
      </c>
      <c r="AH228" s="60">
        <f t="shared" si="116"/>
        <v>0</v>
      </c>
      <c r="AI228" s="27">
        <f t="shared" si="114"/>
        <v>0</v>
      </c>
    </row>
    <row r="229" spans="1:35" x14ac:dyDescent="0.25">
      <c r="A229" s="31" t="s">
        <v>322</v>
      </c>
      <c r="B229" s="31" t="s">
        <v>323</v>
      </c>
      <c r="C229" s="64">
        <v>0</v>
      </c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2">
        <f t="shared" si="110"/>
        <v>0</v>
      </c>
      <c r="Q229" s="2">
        <f t="shared" si="111"/>
        <v>0</v>
      </c>
      <c r="R229" s="2">
        <f t="shared" si="106"/>
        <v>0</v>
      </c>
      <c r="S229" s="15" t="s">
        <v>504</v>
      </c>
      <c r="T229" s="15" t="s">
        <v>13</v>
      </c>
      <c r="U229" s="60">
        <f t="shared" si="115"/>
        <v>0</v>
      </c>
      <c r="V229" s="60">
        <f t="shared" si="115"/>
        <v>0</v>
      </c>
      <c r="W229" s="60">
        <f t="shared" si="115"/>
        <v>0</v>
      </c>
      <c r="X229" s="60">
        <f t="shared" si="115"/>
        <v>0</v>
      </c>
      <c r="Y229" s="60">
        <f t="shared" si="115"/>
        <v>0</v>
      </c>
      <c r="Z229" s="60">
        <f t="shared" si="115"/>
        <v>0</v>
      </c>
      <c r="AA229" s="15"/>
      <c r="AB229" s="15" t="s">
        <v>13</v>
      </c>
      <c r="AC229" s="60">
        <f t="shared" si="116"/>
        <v>0</v>
      </c>
      <c r="AD229" s="60">
        <f t="shared" si="116"/>
        <v>0</v>
      </c>
      <c r="AE229" s="60">
        <f t="shared" si="116"/>
        <v>0</v>
      </c>
      <c r="AF229" s="60">
        <f t="shared" si="116"/>
        <v>0</v>
      </c>
      <c r="AG229" s="60">
        <f t="shared" si="116"/>
        <v>0</v>
      </c>
      <c r="AH229" s="60">
        <f t="shared" si="116"/>
        <v>0</v>
      </c>
      <c r="AI229" s="27">
        <f t="shared" si="114"/>
        <v>0</v>
      </c>
    </row>
    <row r="230" spans="1:35" x14ac:dyDescent="0.25">
      <c r="A230" s="31" t="s">
        <v>324</v>
      </c>
      <c r="B230" s="31" t="s">
        <v>325</v>
      </c>
      <c r="C230" s="64">
        <v>0</v>
      </c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2">
        <f t="shared" si="110"/>
        <v>0</v>
      </c>
      <c r="Q230" s="2">
        <f t="shared" si="111"/>
        <v>0</v>
      </c>
      <c r="R230" s="2">
        <f t="shared" si="106"/>
        <v>0</v>
      </c>
      <c r="S230" s="15" t="s">
        <v>504</v>
      </c>
      <c r="T230" s="15" t="s">
        <v>13</v>
      </c>
      <c r="U230" s="60">
        <f t="shared" si="115"/>
        <v>0</v>
      </c>
      <c r="V230" s="60">
        <f t="shared" si="115"/>
        <v>0</v>
      </c>
      <c r="W230" s="60">
        <f t="shared" si="115"/>
        <v>0</v>
      </c>
      <c r="X230" s="60">
        <f t="shared" si="115"/>
        <v>0</v>
      </c>
      <c r="Y230" s="60">
        <f t="shared" si="115"/>
        <v>0</v>
      </c>
      <c r="Z230" s="60">
        <f t="shared" si="115"/>
        <v>0</v>
      </c>
      <c r="AA230" s="15"/>
      <c r="AB230" s="15" t="s">
        <v>13</v>
      </c>
      <c r="AC230" s="60">
        <f t="shared" si="116"/>
        <v>0</v>
      </c>
      <c r="AD230" s="60">
        <f t="shared" si="116"/>
        <v>0</v>
      </c>
      <c r="AE230" s="60">
        <f t="shared" si="116"/>
        <v>0</v>
      </c>
      <c r="AF230" s="60">
        <f t="shared" si="116"/>
        <v>0</v>
      </c>
      <c r="AG230" s="60">
        <f t="shared" si="116"/>
        <v>0</v>
      </c>
      <c r="AH230" s="60">
        <f t="shared" si="116"/>
        <v>0</v>
      </c>
      <c r="AI230" s="27">
        <f t="shared" si="114"/>
        <v>0</v>
      </c>
    </row>
    <row r="231" spans="1:35" x14ac:dyDescent="0.25">
      <c r="A231" s="31" t="s">
        <v>326</v>
      </c>
      <c r="B231" s="31" t="s">
        <v>327</v>
      </c>
      <c r="C231" s="64">
        <v>0</v>
      </c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2">
        <f t="shared" si="110"/>
        <v>0</v>
      </c>
      <c r="Q231" s="2">
        <f t="shared" si="111"/>
        <v>0</v>
      </c>
      <c r="R231" s="2">
        <f t="shared" si="106"/>
        <v>0</v>
      </c>
      <c r="S231" s="15" t="s">
        <v>504</v>
      </c>
      <c r="T231" s="15" t="s">
        <v>13</v>
      </c>
      <c r="U231" s="60">
        <f t="shared" si="115"/>
        <v>0</v>
      </c>
      <c r="V231" s="60">
        <f t="shared" si="115"/>
        <v>0</v>
      </c>
      <c r="W231" s="60">
        <f t="shared" si="115"/>
        <v>0</v>
      </c>
      <c r="X231" s="60">
        <f t="shared" si="115"/>
        <v>0</v>
      </c>
      <c r="Y231" s="60">
        <f t="shared" si="115"/>
        <v>0</v>
      </c>
      <c r="Z231" s="60">
        <f t="shared" si="115"/>
        <v>0</v>
      </c>
      <c r="AA231" s="15"/>
      <c r="AB231" s="15" t="s">
        <v>13</v>
      </c>
      <c r="AC231" s="60">
        <f t="shared" si="116"/>
        <v>0</v>
      </c>
      <c r="AD231" s="60">
        <f t="shared" si="116"/>
        <v>0</v>
      </c>
      <c r="AE231" s="60">
        <f t="shared" si="116"/>
        <v>0</v>
      </c>
      <c r="AF231" s="60">
        <f t="shared" si="116"/>
        <v>0</v>
      </c>
      <c r="AG231" s="60">
        <f t="shared" si="116"/>
        <v>0</v>
      </c>
      <c r="AH231" s="60">
        <f t="shared" si="116"/>
        <v>0</v>
      </c>
      <c r="AI231" s="27"/>
    </row>
    <row r="232" spans="1:35" x14ac:dyDescent="0.25">
      <c r="A232" s="31" t="s">
        <v>328</v>
      </c>
      <c r="B232" s="31" t="s">
        <v>329</v>
      </c>
      <c r="C232" s="64">
        <v>874</v>
      </c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2">
        <f t="shared" si="110"/>
        <v>874</v>
      </c>
      <c r="Q232" s="2">
        <f t="shared" si="111"/>
        <v>67.230769230769226</v>
      </c>
      <c r="R232" s="2">
        <f t="shared" si="106"/>
        <v>0</v>
      </c>
      <c r="S232" s="15" t="s">
        <v>504</v>
      </c>
      <c r="T232" s="15" t="s">
        <v>13</v>
      </c>
      <c r="U232" s="60">
        <f t="shared" si="115"/>
        <v>-10.90146923076923</v>
      </c>
      <c r="V232" s="60">
        <f t="shared" si="115"/>
        <v>-26.334964615384614</v>
      </c>
      <c r="W232" s="60">
        <f t="shared" si="115"/>
        <v>-12.362393846153845</v>
      </c>
      <c r="X232" s="60">
        <f t="shared" si="115"/>
        <v>-0.23866923076923077</v>
      </c>
      <c r="Y232" s="60">
        <f t="shared" si="115"/>
        <v>-7.4626153846153842E-2</v>
      </c>
      <c r="Z232" s="60">
        <f t="shared" si="115"/>
        <v>-17.31999076923077</v>
      </c>
      <c r="AA232" s="15"/>
      <c r="AB232" s="15" t="s">
        <v>13</v>
      </c>
      <c r="AC232" s="60">
        <f t="shared" si="116"/>
        <v>0</v>
      </c>
      <c r="AD232" s="60">
        <f t="shared" si="116"/>
        <v>0</v>
      </c>
      <c r="AE232" s="60">
        <f t="shared" si="116"/>
        <v>0</v>
      </c>
      <c r="AF232" s="60">
        <f t="shared" si="116"/>
        <v>0</v>
      </c>
      <c r="AG232" s="60">
        <f t="shared" si="116"/>
        <v>0</v>
      </c>
      <c r="AH232" s="60">
        <f t="shared" si="116"/>
        <v>0</v>
      </c>
      <c r="AI232" s="27"/>
    </row>
    <row r="233" spans="1:35" x14ac:dyDescent="0.25">
      <c r="A233" s="31" t="s">
        <v>330</v>
      </c>
      <c r="B233" s="31" t="s">
        <v>331</v>
      </c>
      <c r="C233" s="64">
        <v>-3849</v>
      </c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2">
        <f t="shared" si="110"/>
        <v>-3849</v>
      </c>
      <c r="Q233" s="2">
        <f t="shared" si="111"/>
        <v>-296.07692307692309</v>
      </c>
      <c r="R233" s="2">
        <f t="shared" si="106"/>
        <v>0</v>
      </c>
      <c r="S233" s="15" t="s">
        <v>504</v>
      </c>
      <c r="T233" s="15" t="s">
        <v>13</v>
      </c>
      <c r="U233" s="60">
        <f t="shared" si="115"/>
        <v>48.008873076923074</v>
      </c>
      <c r="V233" s="60">
        <f t="shared" si="115"/>
        <v>115.97629153846155</v>
      </c>
      <c r="W233" s="60">
        <f t="shared" si="115"/>
        <v>54.442624615384617</v>
      </c>
      <c r="X233" s="60">
        <f t="shared" si="115"/>
        <v>1.0510730769230769</v>
      </c>
      <c r="Y233" s="60">
        <f t="shared" si="115"/>
        <v>0.32864538461538467</v>
      </c>
      <c r="Z233" s="60">
        <f t="shared" si="115"/>
        <v>76.275336923076935</v>
      </c>
      <c r="AA233" s="15"/>
      <c r="AB233" s="15" t="s">
        <v>13</v>
      </c>
      <c r="AC233" s="60">
        <f t="shared" si="116"/>
        <v>0</v>
      </c>
      <c r="AD233" s="60">
        <f t="shared" si="116"/>
        <v>0</v>
      </c>
      <c r="AE233" s="60">
        <f t="shared" si="116"/>
        <v>0</v>
      </c>
      <c r="AF233" s="60">
        <f t="shared" si="116"/>
        <v>0</v>
      </c>
      <c r="AG233" s="60">
        <f t="shared" si="116"/>
        <v>0</v>
      </c>
      <c r="AH233" s="60">
        <f t="shared" si="116"/>
        <v>0</v>
      </c>
      <c r="AI233" s="27"/>
    </row>
    <row r="234" spans="1:35" x14ac:dyDescent="0.25">
      <c r="A234" s="35"/>
      <c r="B234" s="35"/>
      <c r="C234" s="36" t="s">
        <v>67</v>
      </c>
      <c r="D234" s="36" t="s">
        <v>67</v>
      </c>
      <c r="E234" s="36" t="s">
        <v>67</v>
      </c>
      <c r="F234" s="36" t="s">
        <v>67</v>
      </c>
      <c r="G234" s="36" t="s">
        <v>67</v>
      </c>
      <c r="H234" s="36" t="s">
        <v>67</v>
      </c>
      <c r="I234" s="36" t="s">
        <v>67</v>
      </c>
      <c r="J234" s="36" t="s">
        <v>67</v>
      </c>
      <c r="K234" s="36" t="s">
        <v>67</v>
      </c>
      <c r="L234" s="36" t="s">
        <v>67</v>
      </c>
      <c r="M234" s="36" t="s">
        <v>67</v>
      </c>
      <c r="N234" s="36" t="s">
        <v>67</v>
      </c>
      <c r="O234" s="36" t="s">
        <v>67</v>
      </c>
      <c r="P234" s="36" t="s">
        <v>67</v>
      </c>
      <c r="Q234" s="36" t="s">
        <v>67</v>
      </c>
      <c r="R234" s="2" t="e">
        <f t="shared" si="106"/>
        <v>#VALUE!</v>
      </c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27"/>
    </row>
    <row r="235" spans="1:35" x14ac:dyDescent="0.25">
      <c r="A235" s="37" t="s">
        <v>332</v>
      </c>
      <c r="B235" s="38"/>
      <c r="C235" s="39">
        <f>SUM(C217:C233)</f>
        <v>-69951</v>
      </c>
      <c r="D235" s="147">
        <f t="shared" ref="D235:Q235" si="117">SUM(D218:D233)</f>
        <v>-58106.789999999994</v>
      </c>
      <c r="E235" s="147">
        <f t="shared" si="117"/>
        <v>-46259.789999999994</v>
      </c>
      <c r="F235" s="39">
        <f t="shared" si="117"/>
        <v>-34412.789999999994</v>
      </c>
      <c r="G235" s="39">
        <f t="shared" si="117"/>
        <v>-22565.789999999994</v>
      </c>
      <c r="H235" s="39">
        <f t="shared" si="117"/>
        <v>-10718.789999999994</v>
      </c>
      <c r="I235" s="39">
        <f t="shared" si="117"/>
        <v>1128.2100000000064</v>
      </c>
      <c r="J235" s="39">
        <f t="shared" si="117"/>
        <v>12975.210000000006</v>
      </c>
      <c r="K235" s="39">
        <f t="shared" si="117"/>
        <v>24822.210000000006</v>
      </c>
      <c r="L235" s="39">
        <f t="shared" si="117"/>
        <v>36669.210000000006</v>
      </c>
      <c r="M235" s="39">
        <f t="shared" si="117"/>
        <v>48516.210000000006</v>
      </c>
      <c r="N235" s="39">
        <f t="shared" si="117"/>
        <v>60363.210000000006</v>
      </c>
      <c r="O235" s="39">
        <f t="shared" si="117"/>
        <v>72210.210000000006</v>
      </c>
      <c r="P235" s="39">
        <f t="shared" si="117"/>
        <v>14669.520000000251</v>
      </c>
      <c r="Q235" s="39">
        <f t="shared" si="117"/>
        <v>1128.4246153846384</v>
      </c>
      <c r="R235" s="2">
        <f t="shared" si="106"/>
        <v>-1.1596057447604835E-11</v>
      </c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27"/>
    </row>
    <row r="236" spans="1:35" x14ac:dyDescent="0.25">
      <c r="A236" s="35"/>
      <c r="B236" s="35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">
        <f t="shared" si="106"/>
        <v>0</v>
      </c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27"/>
    </row>
    <row r="237" spans="1:35" x14ac:dyDescent="0.25">
      <c r="A237" s="37" t="s">
        <v>333</v>
      </c>
      <c r="B237" s="38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2">
        <f t="shared" si="106"/>
        <v>0</v>
      </c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27"/>
    </row>
    <row r="238" spans="1:35" x14ac:dyDescent="0.25">
      <c r="A238" s="31" t="s">
        <v>334</v>
      </c>
      <c r="B238" s="31" t="s">
        <v>335</v>
      </c>
      <c r="C238" s="64">
        <v>-288770</v>
      </c>
      <c r="D238" s="64">
        <f>C238+4011</f>
        <v>-284759</v>
      </c>
      <c r="E238" s="64">
        <f t="shared" ref="E238:O238" si="118">D238+4011</f>
        <v>-280748</v>
      </c>
      <c r="F238" s="64">
        <f t="shared" si="118"/>
        <v>-276737</v>
      </c>
      <c r="G238" s="64">
        <f t="shared" si="118"/>
        <v>-272726</v>
      </c>
      <c r="H238" s="64">
        <f t="shared" si="118"/>
        <v>-268715</v>
      </c>
      <c r="I238" s="64">
        <f t="shared" si="118"/>
        <v>-264704</v>
      </c>
      <c r="J238" s="64">
        <f t="shared" si="118"/>
        <v>-260693</v>
      </c>
      <c r="K238" s="64">
        <f t="shared" si="118"/>
        <v>-256682</v>
      </c>
      <c r="L238" s="64">
        <f t="shared" si="118"/>
        <v>-252671</v>
      </c>
      <c r="M238" s="64">
        <f t="shared" si="118"/>
        <v>-248660</v>
      </c>
      <c r="N238" s="64">
        <f t="shared" si="118"/>
        <v>-244649</v>
      </c>
      <c r="O238" s="64">
        <f t="shared" si="118"/>
        <v>-240638</v>
      </c>
      <c r="P238" s="2">
        <f t="shared" ref="P238:P239" si="119">SUM(C238:O238)</f>
        <v>-3441152</v>
      </c>
      <c r="Q238" s="2">
        <f t="shared" ref="Q238:Q239" si="120">P238/13</f>
        <v>-264704</v>
      </c>
      <c r="R238" s="2">
        <f t="shared" si="106"/>
        <v>0</v>
      </c>
      <c r="S238" s="15" t="s">
        <v>504</v>
      </c>
      <c r="T238" s="15" t="s">
        <v>13</v>
      </c>
      <c r="U238" s="60">
        <f t="shared" ref="U238:Z239" si="121">-$Q238*U$3</f>
        <v>42921.753599999996</v>
      </c>
      <c r="V238" s="60">
        <f t="shared" si="121"/>
        <v>103687.20384</v>
      </c>
      <c r="W238" s="60">
        <f t="shared" si="121"/>
        <v>48673.771519999995</v>
      </c>
      <c r="X238" s="60">
        <f t="shared" si="121"/>
        <v>939.69920000000002</v>
      </c>
      <c r="Y238" s="60">
        <f t="shared" si="121"/>
        <v>293.82144000000005</v>
      </c>
      <c r="Z238" s="60">
        <f t="shared" si="121"/>
        <v>68193.044480000011</v>
      </c>
      <c r="AA238" s="15"/>
      <c r="AB238" s="15" t="s">
        <v>13</v>
      </c>
      <c r="AC238" s="60">
        <f t="shared" ref="AC238:AH239" si="122">-$O238*AC$3</f>
        <v>39019.451699999998</v>
      </c>
      <c r="AD238" s="60">
        <f t="shared" si="122"/>
        <v>94260.310979999995</v>
      </c>
      <c r="AE238" s="60">
        <f t="shared" si="122"/>
        <v>44248.515439999996</v>
      </c>
      <c r="AF238" s="60">
        <f t="shared" si="122"/>
        <v>854.26490000000001</v>
      </c>
      <c r="AG238" s="60">
        <f t="shared" si="122"/>
        <v>267.10818</v>
      </c>
      <c r="AH238" s="60">
        <f t="shared" si="122"/>
        <v>61993.16156</v>
      </c>
      <c r="AI238" s="27">
        <f>SUM(AC238:AH238)+O238</f>
        <v>4.8127600000007078</v>
      </c>
    </row>
    <row r="239" spans="1:35" x14ac:dyDescent="0.25">
      <c r="A239" s="31" t="s">
        <v>336</v>
      </c>
      <c r="B239" s="31" t="s">
        <v>337</v>
      </c>
      <c r="C239" s="64">
        <v>285385</v>
      </c>
      <c r="D239" s="64">
        <f>C239-1366</f>
        <v>284019</v>
      </c>
      <c r="E239" s="64">
        <f t="shared" ref="E239:O239" si="123">D239-1366</f>
        <v>282653</v>
      </c>
      <c r="F239" s="64">
        <f t="shared" si="123"/>
        <v>281287</v>
      </c>
      <c r="G239" s="64">
        <f t="shared" si="123"/>
        <v>279921</v>
      </c>
      <c r="H239" s="64">
        <f t="shared" si="123"/>
        <v>278555</v>
      </c>
      <c r="I239" s="64">
        <f t="shared" si="123"/>
        <v>277189</v>
      </c>
      <c r="J239" s="64">
        <f t="shared" si="123"/>
        <v>275823</v>
      </c>
      <c r="K239" s="64">
        <f t="shared" si="123"/>
        <v>274457</v>
      </c>
      <c r="L239" s="64">
        <f t="shared" si="123"/>
        <v>273091</v>
      </c>
      <c r="M239" s="64">
        <f t="shared" si="123"/>
        <v>271725</v>
      </c>
      <c r="N239" s="64">
        <f t="shared" si="123"/>
        <v>270359</v>
      </c>
      <c r="O239" s="64">
        <f t="shared" si="123"/>
        <v>268993</v>
      </c>
      <c r="P239" s="2">
        <f t="shared" si="119"/>
        <v>3603457</v>
      </c>
      <c r="Q239" s="2">
        <f t="shared" si="120"/>
        <v>277189</v>
      </c>
      <c r="R239" s="2">
        <f t="shared" si="106"/>
        <v>0</v>
      </c>
      <c r="S239" s="15" t="s">
        <v>504</v>
      </c>
      <c r="T239" s="15" t="s">
        <v>13</v>
      </c>
      <c r="U239" s="60">
        <f t="shared" si="121"/>
        <v>-44946.196349999998</v>
      </c>
      <c r="V239" s="60">
        <f t="shared" si="121"/>
        <v>-108577.70319</v>
      </c>
      <c r="W239" s="60">
        <f t="shared" si="121"/>
        <v>-50969.513319999998</v>
      </c>
      <c r="X239" s="60">
        <f t="shared" si="121"/>
        <v>-984.02095000000008</v>
      </c>
      <c r="Y239" s="60">
        <f t="shared" si="121"/>
        <v>-307.67979000000003</v>
      </c>
      <c r="Z239" s="60">
        <f t="shared" si="121"/>
        <v>-71409.43018000001</v>
      </c>
      <c r="AA239" s="15"/>
      <c r="AB239" s="15" t="s">
        <v>13</v>
      </c>
      <c r="AC239" s="60">
        <f t="shared" si="122"/>
        <v>-43617.214949999994</v>
      </c>
      <c r="AD239" s="60">
        <f t="shared" si="122"/>
        <v>-105367.24803</v>
      </c>
      <c r="AE239" s="60">
        <f t="shared" si="122"/>
        <v>-49462.432839999994</v>
      </c>
      <c r="AF239" s="60">
        <f t="shared" si="122"/>
        <v>-954.92515000000003</v>
      </c>
      <c r="AG239" s="60">
        <f t="shared" si="122"/>
        <v>-298.58223000000004</v>
      </c>
      <c r="AH239" s="60">
        <f t="shared" si="122"/>
        <v>-69297.97666</v>
      </c>
      <c r="AI239" s="27">
        <f>SUM(AC239:AH239)+O239</f>
        <v>-5.3798599999863654</v>
      </c>
    </row>
    <row r="240" spans="1:35" x14ac:dyDescent="0.25">
      <c r="A240" s="35"/>
      <c r="B240" s="35"/>
      <c r="C240" s="36" t="s">
        <v>67</v>
      </c>
      <c r="D240" s="36" t="s">
        <v>67</v>
      </c>
      <c r="E240" s="36" t="s">
        <v>67</v>
      </c>
      <c r="F240" s="36" t="s">
        <v>67</v>
      </c>
      <c r="G240" s="36" t="s">
        <v>67</v>
      </c>
      <c r="H240" s="36" t="s">
        <v>67</v>
      </c>
      <c r="I240" s="36" t="s">
        <v>67</v>
      </c>
      <c r="J240" s="36" t="s">
        <v>67</v>
      </c>
      <c r="K240" s="36" t="s">
        <v>67</v>
      </c>
      <c r="L240" s="36" t="s">
        <v>67</v>
      </c>
      <c r="M240" s="36" t="s">
        <v>67</v>
      </c>
      <c r="N240" s="36" t="s">
        <v>67</v>
      </c>
      <c r="O240" s="36" t="s">
        <v>67</v>
      </c>
      <c r="P240" s="36" t="s">
        <v>67</v>
      </c>
      <c r="Q240" s="36" t="s">
        <v>67</v>
      </c>
      <c r="R240" s="2" t="e">
        <f t="shared" si="106"/>
        <v>#VALUE!</v>
      </c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27"/>
    </row>
    <row r="241" spans="1:35" x14ac:dyDescent="0.25">
      <c r="A241" s="37" t="s">
        <v>338</v>
      </c>
      <c r="B241" s="38"/>
      <c r="C241" s="39">
        <v>-3384</v>
      </c>
      <c r="D241" s="147">
        <f t="shared" ref="D241:Q241" si="124">SUM(D238:D239)</f>
        <v>-740</v>
      </c>
      <c r="E241" s="147">
        <f t="shared" si="124"/>
        <v>1905</v>
      </c>
      <c r="F241" s="39">
        <f t="shared" si="124"/>
        <v>4550</v>
      </c>
      <c r="G241" s="39">
        <f t="shared" si="124"/>
        <v>7195</v>
      </c>
      <c r="H241" s="39">
        <f t="shared" si="124"/>
        <v>9840</v>
      </c>
      <c r="I241" s="39">
        <f t="shared" si="124"/>
        <v>12485</v>
      </c>
      <c r="J241" s="39">
        <f t="shared" si="124"/>
        <v>15130</v>
      </c>
      <c r="K241" s="39">
        <f t="shared" si="124"/>
        <v>17775</v>
      </c>
      <c r="L241" s="39">
        <f t="shared" si="124"/>
        <v>20420</v>
      </c>
      <c r="M241" s="39">
        <f t="shared" si="124"/>
        <v>23065</v>
      </c>
      <c r="N241" s="39">
        <f t="shared" si="124"/>
        <v>25710</v>
      </c>
      <c r="O241" s="39">
        <f t="shared" si="124"/>
        <v>28355</v>
      </c>
      <c r="P241" s="39">
        <f t="shared" si="124"/>
        <v>162305</v>
      </c>
      <c r="Q241" s="39">
        <f t="shared" si="124"/>
        <v>12485</v>
      </c>
      <c r="R241" s="2">
        <f t="shared" si="106"/>
        <v>7.6923076923776534E-2</v>
      </c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27"/>
    </row>
    <row r="242" spans="1:35" x14ac:dyDescent="0.25">
      <c r="A242" s="35"/>
      <c r="B242" s="35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">
        <f t="shared" si="106"/>
        <v>0</v>
      </c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27"/>
    </row>
    <row r="243" spans="1:35" x14ac:dyDescent="0.25">
      <c r="A243" s="21" t="s">
        <v>339</v>
      </c>
      <c r="B243" s="22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">
        <f t="shared" si="106"/>
        <v>0</v>
      </c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27"/>
    </row>
    <row r="244" spans="1:35" x14ac:dyDescent="0.25">
      <c r="A244" s="13" t="s">
        <v>340</v>
      </c>
      <c r="B244" s="13" t="s">
        <v>341</v>
      </c>
      <c r="C244" s="64">
        <v>-13579024</v>
      </c>
      <c r="D244" s="64">
        <f>(($O244-$C244)/12)+C244</f>
        <v>-13466997.583333334</v>
      </c>
      <c r="E244" s="64">
        <f t="shared" ref="E244:N244" si="125">(($O244-$C244)/12)+D244</f>
        <v>-13354971.166666668</v>
      </c>
      <c r="F244" s="64">
        <f t="shared" si="125"/>
        <v>-13242944.750000002</v>
      </c>
      <c r="G244" s="64">
        <f t="shared" si="125"/>
        <v>-13130918.333333336</v>
      </c>
      <c r="H244" s="64">
        <f t="shared" si="125"/>
        <v>-13018891.91666667</v>
      </c>
      <c r="I244" s="64">
        <f t="shared" si="125"/>
        <v>-12906865.500000004</v>
      </c>
      <c r="J244" s="64">
        <f t="shared" si="125"/>
        <v>-12794839.083333338</v>
      </c>
      <c r="K244" s="64">
        <f t="shared" si="125"/>
        <v>-12682812.666666672</v>
      </c>
      <c r="L244" s="64">
        <f t="shared" si="125"/>
        <v>-12570786.250000006</v>
      </c>
      <c r="M244" s="64">
        <f t="shared" si="125"/>
        <v>-12458759.83333334</v>
      </c>
      <c r="N244" s="64">
        <f t="shared" si="125"/>
        <v>-12346733.416666673</v>
      </c>
      <c r="O244" s="64">
        <v>-12234707</v>
      </c>
      <c r="P244" s="2">
        <f>SUM(C244:O244)</f>
        <v>-167789251.50000003</v>
      </c>
      <c r="Q244" s="2">
        <f t="shared" ref="Q244:Q246" si="126">P244/13</f>
        <v>-12906865.500000002</v>
      </c>
      <c r="R244" s="2">
        <f t="shared" si="106"/>
        <v>0</v>
      </c>
      <c r="S244" s="15" t="s">
        <v>508</v>
      </c>
      <c r="T244" s="15" t="s">
        <v>29</v>
      </c>
      <c r="U244" s="15">
        <f>-Q244*0.28</f>
        <v>3613922.3400000008</v>
      </c>
      <c r="V244" s="15">
        <f>-Q244*0.65</f>
        <v>8389462.5750000011</v>
      </c>
      <c r="W244" s="15">
        <f t="shared" ref="W244:Y249" si="127">-$Q244*W$6</f>
        <v>0</v>
      </c>
      <c r="X244" s="15">
        <f t="shared" si="127"/>
        <v>0</v>
      </c>
      <c r="Y244" s="15">
        <f t="shared" si="127"/>
        <v>0</v>
      </c>
      <c r="Z244" s="15">
        <f>-Q244*0.07</f>
        <v>903480.5850000002</v>
      </c>
      <c r="AA244" s="15"/>
      <c r="AB244" s="15" t="s">
        <v>29</v>
      </c>
      <c r="AC244" s="15">
        <f>-O244*0.28</f>
        <v>3425717.9600000004</v>
      </c>
      <c r="AD244" s="15">
        <f>-O244*0.65</f>
        <v>7952559.5499999998</v>
      </c>
      <c r="AE244" s="15">
        <f t="shared" ref="AC244:AH249" si="128">-$O244*AE$6</f>
        <v>0</v>
      </c>
      <c r="AF244" s="15">
        <f t="shared" si="128"/>
        <v>0</v>
      </c>
      <c r="AG244" s="15">
        <f t="shared" si="128"/>
        <v>0</v>
      </c>
      <c r="AH244" s="15">
        <f>-O244*0.07</f>
        <v>856429.49000000011</v>
      </c>
      <c r="AI244" s="27">
        <f t="shared" ref="AI244:AI249" si="129">SUM(AC244:AH244)+O244</f>
        <v>0</v>
      </c>
    </row>
    <row r="245" spans="1:35" x14ac:dyDescent="0.25">
      <c r="A245" s="13" t="s">
        <v>342</v>
      </c>
      <c r="B245" s="13" t="s">
        <v>343</v>
      </c>
      <c r="C245" s="64">
        <v>7455</v>
      </c>
      <c r="D245" s="64">
        <f t="shared" ref="D245:O245" si="130">(($P245-$C245)/12)</f>
        <v>-83453.59375</v>
      </c>
      <c r="E245" s="64">
        <f t="shared" si="130"/>
        <v>-83453.59375</v>
      </c>
      <c r="F245" s="64">
        <f t="shared" si="130"/>
        <v>-83453.59375</v>
      </c>
      <c r="G245" s="64">
        <f t="shared" si="130"/>
        <v>-83453.59375</v>
      </c>
      <c r="H245" s="64">
        <f t="shared" si="130"/>
        <v>-83453.59375</v>
      </c>
      <c r="I245" s="64">
        <f t="shared" si="130"/>
        <v>-83453.59375</v>
      </c>
      <c r="J245" s="64">
        <f t="shared" si="130"/>
        <v>-83453.59375</v>
      </c>
      <c r="K245" s="64">
        <f t="shared" si="130"/>
        <v>-83453.59375</v>
      </c>
      <c r="L245" s="64">
        <f t="shared" si="130"/>
        <v>-83453.59375</v>
      </c>
      <c r="M245" s="64">
        <f t="shared" si="130"/>
        <v>-83453.59375</v>
      </c>
      <c r="N245" s="64">
        <f t="shared" si="130"/>
        <v>-83453.59375</v>
      </c>
      <c r="O245" s="64">
        <f t="shared" si="130"/>
        <v>-83453.59375</v>
      </c>
      <c r="P245" s="2">
        <f t="shared" ref="P245" si="131">Q245*13</f>
        <v>-993988.125</v>
      </c>
      <c r="Q245" s="2">
        <f>'working capital and def tax 21'!Q245*1.035</f>
        <v>-76460.625</v>
      </c>
      <c r="R245" s="2">
        <f t="shared" si="106"/>
        <v>0</v>
      </c>
      <c r="S245" s="15" t="s">
        <v>508</v>
      </c>
      <c r="T245" s="15" t="s">
        <v>29</v>
      </c>
      <c r="U245" s="15">
        <f t="shared" ref="U245:U249" si="132">-Q245*0.28</f>
        <v>21408.975000000002</v>
      </c>
      <c r="V245" s="15">
        <f t="shared" ref="V245:V249" si="133">-Q245*0.65</f>
        <v>49699.40625</v>
      </c>
      <c r="W245" s="15">
        <f t="shared" si="127"/>
        <v>0</v>
      </c>
      <c r="X245" s="15">
        <f t="shared" si="127"/>
        <v>0</v>
      </c>
      <c r="Y245" s="15">
        <f t="shared" si="127"/>
        <v>0</v>
      </c>
      <c r="Z245" s="15">
        <f t="shared" ref="Z245:Z249" si="134">-Q245*0.07</f>
        <v>5352.2437500000005</v>
      </c>
      <c r="AA245" s="15"/>
      <c r="AB245" s="15" t="s">
        <v>29</v>
      </c>
      <c r="AC245" s="15">
        <f t="shared" si="128"/>
        <v>21030.305625000001</v>
      </c>
      <c r="AD245" s="15">
        <f t="shared" si="128"/>
        <v>43395.868750000001</v>
      </c>
      <c r="AE245" s="15">
        <f t="shared" si="128"/>
        <v>0</v>
      </c>
      <c r="AF245" s="15">
        <f t="shared" si="128"/>
        <v>0</v>
      </c>
      <c r="AG245" s="15">
        <f t="shared" si="128"/>
        <v>0</v>
      </c>
      <c r="AH245" s="15">
        <f t="shared" si="128"/>
        <v>19027.419375000001</v>
      </c>
      <c r="AI245" s="27">
        <f t="shared" si="129"/>
        <v>0</v>
      </c>
    </row>
    <row r="246" spans="1:35" x14ac:dyDescent="0.25">
      <c r="A246" s="13" t="s">
        <v>344</v>
      </c>
      <c r="B246" s="13" t="s">
        <v>345</v>
      </c>
      <c r="C246" s="64">
        <v>-598688</v>
      </c>
      <c r="D246" s="64">
        <f>C246</f>
        <v>-598688</v>
      </c>
      <c r="E246" s="64">
        <f t="shared" ref="E246:O246" si="135">D246</f>
        <v>-598688</v>
      </c>
      <c r="F246" s="64">
        <f t="shared" si="135"/>
        <v>-598688</v>
      </c>
      <c r="G246" s="64">
        <f t="shared" si="135"/>
        <v>-598688</v>
      </c>
      <c r="H246" s="64">
        <f t="shared" si="135"/>
        <v>-598688</v>
      </c>
      <c r="I246" s="64">
        <f t="shared" si="135"/>
        <v>-598688</v>
      </c>
      <c r="J246" s="64">
        <f t="shared" si="135"/>
        <v>-598688</v>
      </c>
      <c r="K246" s="64">
        <f t="shared" si="135"/>
        <v>-598688</v>
      </c>
      <c r="L246" s="64">
        <f t="shared" si="135"/>
        <v>-598688</v>
      </c>
      <c r="M246" s="64">
        <f t="shared" si="135"/>
        <v>-598688</v>
      </c>
      <c r="N246" s="64">
        <f t="shared" si="135"/>
        <v>-598688</v>
      </c>
      <c r="O246" s="64">
        <f t="shared" si="135"/>
        <v>-598688</v>
      </c>
      <c r="P246" s="2">
        <f t="shared" ref="P246" si="136">SUM(C246:O246)</f>
        <v>-7782944</v>
      </c>
      <c r="Q246" s="2">
        <f t="shared" si="126"/>
        <v>-598688</v>
      </c>
      <c r="R246" s="2">
        <f t="shared" si="106"/>
        <v>0</v>
      </c>
      <c r="S246" s="15" t="s">
        <v>508</v>
      </c>
      <c r="T246" s="15" t="s">
        <v>29</v>
      </c>
      <c r="U246" s="15">
        <f t="shared" si="132"/>
        <v>167632.64000000001</v>
      </c>
      <c r="V246" s="15">
        <f t="shared" si="133"/>
        <v>389147.2</v>
      </c>
      <c r="W246" s="15">
        <f t="shared" si="127"/>
        <v>0</v>
      </c>
      <c r="X246" s="15">
        <f t="shared" si="127"/>
        <v>0</v>
      </c>
      <c r="Y246" s="15">
        <f t="shared" si="127"/>
        <v>0</v>
      </c>
      <c r="Z246" s="15">
        <f t="shared" si="134"/>
        <v>41908.160000000003</v>
      </c>
      <c r="AA246" s="15"/>
      <c r="AB246" s="15" t="s">
        <v>29</v>
      </c>
      <c r="AC246" s="15">
        <f t="shared" si="128"/>
        <v>150869.37599999999</v>
      </c>
      <c r="AD246" s="15">
        <f t="shared" si="128"/>
        <v>311317.76000000001</v>
      </c>
      <c r="AE246" s="15">
        <f t="shared" si="128"/>
        <v>0</v>
      </c>
      <c r="AF246" s="15">
        <f t="shared" si="128"/>
        <v>0</v>
      </c>
      <c r="AG246" s="15">
        <f t="shared" si="128"/>
        <v>0</v>
      </c>
      <c r="AH246" s="15">
        <f t="shared" si="128"/>
        <v>136500.864</v>
      </c>
      <c r="AI246" s="27">
        <f t="shared" si="129"/>
        <v>0</v>
      </c>
    </row>
    <row r="247" spans="1:35" x14ac:dyDescent="0.25">
      <c r="A247" s="13" t="s">
        <v>346</v>
      </c>
      <c r="B247" s="13" t="s">
        <v>347</v>
      </c>
      <c r="C247" s="64">
        <v>-102586</v>
      </c>
      <c r="D247" s="64">
        <f t="shared" ref="D247:O249" si="137">(($P247-$C247)/12)</f>
        <v>-105552.93041666666</v>
      </c>
      <c r="E247" s="64">
        <f t="shared" si="137"/>
        <v>-105552.93041666666</v>
      </c>
      <c r="F247" s="64">
        <f t="shared" si="137"/>
        <v>-105552.93041666666</v>
      </c>
      <c r="G247" s="64">
        <f t="shared" si="137"/>
        <v>-105552.93041666666</v>
      </c>
      <c r="H247" s="64">
        <f t="shared" si="137"/>
        <v>-105552.93041666666</v>
      </c>
      <c r="I247" s="64">
        <f t="shared" si="137"/>
        <v>-105552.93041666666</v>
      </c>
      <c r="J247" s="64">
        <f t="shared" si="137"/>
        <v>-105552.93041666666</v>
      </c>
      <c r="K247" s="64">
        <f t="shared" si="137"/>
        <v>-105552.93041666666</v>
      </c>
      <c r="L247" s="64">
        <f t="shared" si="137"/>
        <v>-105552.93041666666</v>
      </c>
      <c r="M247" s="64">
        <f t="shared" si="137"/>
        <v>-105552.93041666666</v>
      </c>
      <c r="N247" s="64">
        <f t="shared" si="137"/>
        <v>-105552.93041666666</v>
      </c>
      <c r="O247" s="64">
        <f t="shared" si="137"/>
        <v>-105552.93041666666</v>
      </c>
      <c r="P247" s="2">
        <f t="shared" ref="P247:P249" si="138">Q247*13</f>
        <v>-1369221.1649999998</v>
      </c>
      <c r="Q247" s="2">
        <f>'working capital and def tax 21'!Q247*1.035</f>
        <v>-105324.70499999999</v>
      </c>
      <c r="R247" s="2">
        <f t="shared" si="106"/>
        <v>0</v>
      </c>
      <c r="S247" s="15" t="s">
        <v>508</v>
      </c>
      <c r="T247" s="15" t="s">
        <v>29</v>
      </c>
      <c r="U247" s="15">
        <f t="shared" si="132"/>
        <v>29490.917399999998</v>
      </c>
      <c r="V247" s="15">
        <f t="shared" si="133"/>
        <v>68461.058249999987</v>
      </c>
      <c r="W247" s="15">
        <f t="shared" si="127"/>
        <v>0</v>
      </c>
      <c r="X247" s="15">
        <f t="shared" si="127"/>
        <v>0</v>
      </c>
      <c r="Y247" s="15">
        <f t="shared" si="127"/>
        <v>0</v>
      </c>
      <c r="Z247" s="15">
        <f t="shared" si="134"/>
        <v>7372.7293499999996</v>
      </c>
      <c r="AA247" s="15"/>
      <c r="AB247" s="15" t="s">
        <v>29</v>
      </c>
      <c r="AC247" s="15">
        <f t="shared" si="128"/>
        <v>26599.338464999997</v>
      </c>
      <c r="AD247" s="15">
        <f t="shared" si="128"/>
        <v>54887.52381666666</v>
      </c>
      <c r="AE247" s="15">
        <f t="shared" si="128"/>
        <v>0</v>
      </c>
      <c r="AF247" s="15">
        <f t="shared" si="128"/>
        <v>0</v>
      </c>
      <c r="AG247" s="15">
        <f t="shared" si="128"/>
        <v>0</v>
      </c>
      <c r="AH247" s="15">
        <f t="shared" si="128"/>
        <v>24066.068134999998</v>
      </c>
      <c r="AI247" s="27">
        <f t="shared" si="129"/>
        <v>0</v>
      </c>
    </row>
    <row r="248" spans="1:35" x14ac:dyDescent="0.25">
      <c r="A248" s="13" t="s">
        <v>348</v>
      </c>
      <c r="B248" s="13" t="s">
        <v>349</v>
      </c>
      <c r="C248" s="64">
        <v>-8652</v>
      </c>
      <c r="D248" s="64">
        <f t="shared" si="137"/>
        <v>-7121.0224999999991</v>
      </c>
      <c r="E248" s="64">
        <f t="shared" si="137"/>
        <v>-7121.0224999999991</v>
      </c>
      <c r="F248" s="64">
        <f t="shared" si="137"/>
        <v>-7121.0224999999991</v>
      </c>
      <c r="G248" s="64">
        <f t="shared" si="137"/>
        <v>-7121.0224999999991</v>
      </c>
      <c r="H248" s="64">
        <f t="shared" si="137"/>
        <v>-7121.0224999999991</v>
      </c>
      <c r="I248" s="64">
        <f t="shared" si="137"/>
        <v>-7121.0224999999991</v>
      </c>
      <c r="J248" s="64">
        <f t="shared" si="137"/>
        <v>-7121.0224999999991</v>
      </c>
      <c r="K248" s="64">
        <f t="shared" si="137"/>
        <v>-7121.0224999999991</v>
      </c>
      <c r="L248" s="64">
        <f t="shared" si="137"/>
        <v>-7121.0224999999991</v>
      </c>
      <c r="M248" s="64">
        <f t="shared" si="137"/>
        <v>-7121.0224999999991</v>
      </c>
      <c r="N248" s="64">
        <f t="shared" si="137"/>
        <v>-7121.0224999999991</v>
      </c>
      <c r="O248" s="64">
        <f t="shared" si="137"/>
        <v>-7121.0224999999991</v>
      </c>
      <c r="P248" s="2">
        <f t="shared" si="138"/>
        <v>-94104.26999999999</v>
      </c>
      <c r="Q248" s="2">
        <f>'working capital and def tax 21'!Q248*1.035</f>
        <v>-7238.7899999999991</v>
      </c>
      <c r="R248" s="2">
        <f t="shared" si="106"/>
        <v>0</v>
      </c>
      <c r="S248" s="15" t="s">
        <v>508</v>
      </c>
      <c r="T248" s="15" t="s">
        <v>29</v>
      </c>
      <c r="U248" s="15">
        <f t="shared" si="132"/>
        <v>2026.8611999999998</v>
      </c>
      <c r="V248" s="15">
        <f t="shared" si="133"/>
        <v>4705.2134999999998</v>
      </c>
      <c r="W248" s="15">
        <f t="shared" si="127"/>
        <v>0</v>
      </c>
      <c r="X248" s="15">
        <f t="shared" si="127"/>
        <v>0</v>
      </c>
      <c r="Y248" s="15">
        <f t="shared" si="127"/>
        <v>0</v>
      </c>
      <c r="Z248" s="15">
        <f t="shared" si="134"/>
        <v>506.71529999999996</v>
      </c>
      <c r="AA248" s="15"/>
      <c r="AB248" s="15" t="s">
        <v>29</v>
      </c>
      <c r="AC248" s="15">
        <f t="shared" si="128"/>
        <v>1794.4976699999997</v>
      </c>
      <c r="AD248" s="15">
        <f t="shared" si="128"/>
        <v>3702.9316999999996</v>
      </c>
      <c r="AE248" s="15">
        <f t="shared" si="128"/>
        <v>0</v>
      </c>
      <c r="AF248" s="15">
        <f t="shared" si="128"/>
        <v>0</v>
      </c>
      <c r="AG248" s="15">
        <f t="shared" si="128"/>
        <v>0</v>
      </c>
      <c r="AH248" s="15">
        <f t="shared" si="128"/>
        <v>1623.5931299999997</v>
      </c>
      <c r="AI248" s="27">
        <f t="shared" si="129"/>
        <v>0</v>
      </c>
    </row>
    <row r="249" spans="1:35" x14ac:dyDescent="0.25">
      <c r="A249" s="13" t="s">
        <v>350</v>
      </c>
      <c r="B249" s="13" t="s">
        <v>351</v>
      </c>
      <c r="C249" s="64">
        <v>259223</v>
      </c>
      <c r="D249" s="64">
        <f t="shared" si="137"/>
        <v>264209.1933333333</v>
      </c>
      <c r="E249" s="64">
        <f t="shared" si="137"/>
        <v>264209.1933333333</v>
      </c>
      <c r="F249" s="64">
        <f t="shared" si="137"/>
        <v>264209.1933333333</v>
      </c>
      <c r="G249" s="64">
        <f t="shared" si="137"/>
        <v>264209.1933333333</v>
      </c>
      <c r="H249" s="64">
        <f t="shared" si="137"/>
        <v>264209.1933333333</v>
      </c>
      <c r="I249" s="64">
        <f t="shared" si="137"/>
        <v>264209.1933333333</v>
      </c>
      <c r="J249" s="64">
        <f t="shared" si="137"/>
        <v>264209.1933333333</v>
      </c>
      <c r="K249" s="64">
        <f t="shared" si="137"/>
        <v>264209.1933333333</v>
      </c>
      <c r="L249" s="64">
        <f t="shared" si="137"/>
        <v>264209.1933333333</v>
      </c>
      <c r="M249" s="64">
        <f t="shared" si="137"/>
        <v>264209.1933333333</v>
      </c>
      <c r="N249" s="64">
        <f t="shared" si="137"/>
        <v>264209.1933333333</v>
      </c>
      <c r="O249" s="64">
        <f t="shared" si="137"/>
        <v>264209.1933333333</v>
      </c>
      <c r="P249" s="2">
        <f t="shared" si="138"/>
        <v>3429733.3199999994</v>
      </c>
      <c r="Q249" s="2">
        <f>'working capital and def tax 21'!Q249*1.035</f>
        <v>263825.63999999996</v>
      </c>
      <c r="R249" s="2">
        <f t="shared" si="106"/>
        <v>0</v>
      </c>
      <c r="S249" s="15" t="s">
        <v>508</v>
      </c>
      <c r="T249" s="15" t="s">
        <v>29</v>
      </c>
      <c r="U249" s="15">
        <f t="shared" si="132"/>
        <v>-73871.179199999999</v>
      </c>
      <c r="V249" s="15">
        <f t="shared" si="133"/>
        <v>-171486.66599999997</v>
      </c>
      <c r="W249" s="15">
        <f t="shared" si="127"/>
        <v>0</v>
      </c>
      <c r="X249" s="15">
        <f t="shared" si="127"/>
        <v>0</v>
      </c>
      <c r="Y249" s="15">
        <f t="shared" si="127"/>
        <v>0</v>
      </c>
      <c r="Z249" s="15">
        <f t="shared" si="134"/>
        <v>-18467.7948</v>
      </c>
      <c r="AA249" s="15"/>
      <c r="AB249" s="15" t="s">
        <v>29</v>
      </c>
      <c r="AC249" s="15">
        <f t="shared" si="128"/>
        <v>-66580.716719999997</v>
      </c>
      <c r="AD249" s="15">
        <f t="shared" si="128"/>
        <v>-137388.78053333331</v>
      </c>
      <c r="AE249" s="15">
        <f t="shared" si="128"/>
        <v>0</v>
      </c>
      <c r="AF249" s="15">
        <f t="shared" si="128"/>
        <v>0</v>
      </c>
      <c r="AG249" s="15">
        <f t="shared" si="128"/>
        <v>0</v>
      </c>
      <c r="AH249" s="15">
        <f t="shared" si="128"/>
        <v>-60239.696079999994</v>
      </c>
      <c r="AI249" s="27">
        <f t="shared" si="129"/>
        <v>0</v>
      </c>
    </row>
    <row r="250" spans="1:35" x14ac:dyDescent="0.25">
      <c r="C250" s="26" t="s">
        <v>67</v>
      </c>
      <c r="D250" s="26" t="s">
        <v>67</v>
      </c>
      <c r="E250" s="26" t="s">
        <v>67</v>
      </c>
      <c r="F250" s="26" t="s">
        <v>67</v>
      </c>
      <c r="G250" s="26" t="s">
        <v>67</v>
      </c>
      <c r="H250" s="26" t="s">
        <v>67</v>
      </c>
      <c r="I250" s="26" t="s">
        <v>67</v>
      </c>
      <c r="J250" s="26" t="s">
        <v>67</v>
      </c>
      <c r="K250" s="26" t="s">
        <v>67</v>
      </c>
      <c r="L250" s="26" t="s">
        <v>67</v>
      </c>
      <c r="M250" s="26" t="s">
        <v>67</v>
      </c>
      <c r="N250" s="26" t="s">
        <v>67</v>
      </c>
      <c r="O250" s="26" t="s">
        <v>67</v>
      </c>
      <c r="P250" s="26" t="s">
        <v>67</v>
      </c>
      <c r="Q250" s="26" t="s">
        <v>67</v>
      </c>
      <c r="R250" s="2" t="e">
        <f t="shared" si="106"/>
        <v>#VALUE!</v>
      </c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27"/>
    </row>
    <row r="251" spans="1:35" x14ac:dyDescent="0.25">
      <c r="A251" s="21" t="s">
        <v>352</v>
      </c>
      <c r="B251" s="22"/>
      <c r="C251" s="23">
        <v>-14022271</v>
      </c>
      <c r="D251" s="146">
        <f t="shared" ref="D251:Q251" si="139">SUM(D244:D249)</f>
        <v>-13997603.936666667</v>
      </c>
      <c r="E251" s="23">
        <f t="shared" si="139"/>
        <v>-13885577.520000001</v>
      </c>
      <c r="F251" s="23">
        <f t="shared" si="139"/>
        <v>-13773551.103333335</v>
      </c>
      <c r="G251" s="23">
        <f t="shared" si="139"/>
        <v>-13661524.686666669</v>
      </c>
      <c r="H251" s="23">
        <f t="shared" si="139"/>
        <v>-13549498.270000003</v>
      </c>
      <c r="I251" s="23">
        <f t="shared" si="139"/>
        <v>-13437471.853333337</v>
      </c>
      <c r="J251" s="23">
        <f t="shared" si="139"/>
        <v>-13325445.436666671</v>
      </c>
      <c r="K251" s="23">
        <f t="shared" si="139"/>
        <v>-13213419.020000005</v>
      </c>
      <c r="L251" s="23">
        <f t="shared" si="139"/>
        <v>-13101392.603333339</v>
      </c>
      <c r="M251" s="23">
        <f t="shared" si="139"/>
        <v>-12989366.186666673</v>
      </c>
      <c r="N251" s="23">
        <f t="shared" si="139"/>
        <v>-12877339.770000007</v>
      </c>
      <c r="O251" s="23">
        <f t="shared" si="139"/>
        <v>-12765313.353333334</v>
      </c>
      <c r="P251" s="23">
        <f t="shared" si="139"/>
        <v>-174599775.74000004</v>
      </c>
      <c r="Q251" s="23">
        <f t="shared" si="139"/>
        <v>-13430751.98</v>
      </c>
      <c r="R251" s="2">
        <f t="shared" si="106"/>
        <v>7.6923074200749397E-2</v>
      </c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27"/>
    </row>
    <row r="252" spans="1:35" x14ac:dyDescent="0.25">
      <c r="C252" s="2"/>
      <c r="D252" s="2">
        <f>D251+D205</f>
        <v>-13836880.465000002</v>
      </c>
      <c r="E252" s="150">
        <f t="shared" ref="E252:O252" si="140">E251+E205</f>
        <v>-13724854.048333336</v>
      </c>
      <c r="F252" s="2">
        <f t="shared" si="140"/>
        <v>-13612827.63166667</v>
      </c>
      <c r="G252" s="2">
        <f t="shared" si="140"/>
        <v>-13500801.215000004</v>
      </c>
      <c r="H252" s="2">
        <f t="shared" si="140"/>
        <v>-13388774.798333338</v>
      </c>
      <c r="I252" s="2">
        <f t="shared" si="140"/>
        <v>-13276748.381666671</v>
      </c>
      <c r="J252" s="2">
        <f t="shared" si="140"/>
        <v>-13164721.965000005</v>
      </c>
      <c r="K252" s="2">
        <f t="shared" si="140"/>
        <v>-13052695.548333339</v>
      </c>
      <c r="L252" s="2">
        <f t="shared" si="140"/>
        <v>-12940669.131666673</v>
      </c>
      <c r="M252" s="2">
        <f t="shared" si="140"/>
        <v>-12828642.715000007</v>
      </c>
      <c r="N252" s="2">
        <f t="shared" si="140"/>
        <v>-12716616.298333341</v>
      </c>
      <c r="O252" s="2">
        <f t="shared" si="140"/>
        <v>-12604589.881666668</v>
      </c>
      <c r="P252" s="2"/>
      <c r="Q252" s="2"/>
      <c r="R252" s="2">
        <f t="shared" si="106"/>
        <v>-12203755.544615388</v>
      </c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3"/>
    </row>
    <row r="253" spans="1:35" x14ac:dyDescent="0.25">
      <c r="A253" s="21" t="s">
        <v>353</v>
      </c>
      <c r="B253" s="22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">
        <f t="shared" si="106"/>
        <v>0</v>
      </c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3"/>
    </row>
    <row r="254" spans="1:35" x14ac:dyDescent="0.25">
      <c r="A254" s="13" t="s">
        <v>354</v>
      </c>
      <c r="B254" s="13" t="s">
        <v>355</v>
      </c>
      <c r="C254" s="64">
        <v>411149</v>
      </c>
      <c r="D254" s="150">
        <v>407548.72</v>
      </c>
      <c r="E254" s="150">
        <v>127413.64</v>
      </c>
      <c r="F254" s="64">
        <v>123791.29000000001</v>
      </c>
      <c r="G254" s="64">
        <v>120157.72</v>
      </c>
      <c r="H254" s="64">
        <v>116512.89</v>
      </c>
      <c r="I254" s="64">
        <v>112856.75</v>
      </c>
      <c r="J254" s="64">
        <v>109189.29000000001</v>
      </c>
      <c r="K254" s="64">
        <v>105510.45</v>
      </c>
      <c r="L254" s="64">
        <v>101820.21</v>
      </c>
      <c r="M254" s="64">
        <v>98118.53</v>
      </c>
      <c r="N254" s="64">
        <v>94405.37</v>
      </c>
      <c r="O254" s="64">
        <v>90680.7</v>
      </c>
      <c r="P254" s="2">
        <f t="shared" ref="P254" si="141">SUM(C254:O254)</f>
        <v>2019154.5599999998</v>
      </c>
      <c r="Q254" s="2">
        <f t="shared" ref="Q254" si="142">P254/13</f>
        <v>155319.58153846153</v>
      </c>
      <c r="R254" s="2">
        <f t="shared" si="106"/>
        <v>0</v>
      </c>
      <c r="S254" s="15" t="s">
        <v>504</v>
      </c>
      <c r="T254" s="15" t="s">
        <v>225</v>
      </c>
      <c r="U254" s="15">
        <f t="shared" ref="U254:Z254" si="143">-$Q254*U$3</f>
        <v>-25185.070146461534</v>
      </c>
      <c r="V254" s="15">
        <f t="shared" si="143"/>
        <v>-60840.233284430768</v>
      </c>
      <c r="W254" s="151">
        <f t="shared" si="143"/>
        <v>-28560.164653292304</v>
      </c>
      <c r="X254" s="15">
        <f t="shared" si="143"/>
        <v>-551.3845144615384</v>
      </c>
      <c r="Y254" s="15">
        <f t="shared" si="143"/>
        <v>-172.40473550769232</v>
      </c>
      <c r="Z254" s="15">
        <f t="shared" si="143"/>
        <v>-40013.430595938458</v>
      </c>
      <c r="AA254" s="15"/>
      <c r="AB254" s="15" t="s">
        <v>225</v>
      </c>
      <c r="AC254" s="15">
        <f t="shared" ref="AC254:AH254" si="144">-$O254*AC$3</f>
        <v>-14703.875504999998</v>
      </c>
      <c r="AD254" s="15">
        <f t="shared" si="144"/>
        <v>-35520.536996999996</v>
      </c>
      <c r="AE254" s="15">
        <f t="shared" si="144"/>
        <v>-16674.367115999998</v>
      </c>
      <c r="AF254" s="15">
        <f t="shared" si="144"/>
        <v>-321.91648500000002</v>
      </c>
      <c r="AG254" s="15">
        <f t="shared" si="144"/>
        <v>-100.65557700000001</v>
      </c>
      <c r="AH254" s="15">
        <f t="shared" si="144"/>
        <v>-23361.161934</v>
      </c>
      <c r="AI254" s="27">
        <f>SUM(AC254:AH254)+O254</f>
        <v>-1.8136139999842271</v>
      </c>
    </row>
    <row r="255" spans="1:35" x14ac:dyDescent="0.25"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>
        <f t="shared" si="106"/>
        <v>0</v>
      </c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27"/>
    </row>
    <row r="256" spans="1:35" ht="15.75" x14ac:dyDescent="0.3">
      <c r="A256" s="18" t="s">
        <v>356</v>
      </c>
      <c r="B256" s="19"/>
      <c r="C256" s="20">
        <f t="shared" ref="C256:Q256" si="145">C254+C251+C241+C235</f>
        <v>-13684457</v>
      </c>
      <c r="D256" s="20">
        <f t="shared" si="145"/>
        <v>-13648902.006666666</v>
      </c>
      <c r="E256" s="20">
        <f t="shared" si="145"/>
        <v>-13802518.67</v>
      </c>
      <c r="F256" s="20">
        <f t="shared" si="145"/>
        <v>-13679622.603333335</v>
      </c>
      <c r="G256" s="20">
        <f t="shared" si="145"/>
        <v>-13556737.756666668</v>
      </c>
      <c r="H256" s="20">
        <f t="shared" si="145"/>
        <v>-13433864.170000002</v>
      </c>
      <c r="I256" s="20">
        <f t="shared" si="145"/>
        <v>-13311001.893333336</v>
      </c>
      <c r="J256" s="20">
        <f t="shared" si="145"/>
        <v>-13188150.936666671</v>
      </c>
      <c r="K256" s="20">
        <f t="shared" si="145"/>
        <v>-13065311.360000005</v>
      </c>
      <c r="L256" s="20">
        <f t="shared" si="145"/>
        <v>-12942483.183333337</v>
      </c>
      <c r="M256" s="20">
        <f t="shared" si="145"/>
        <v>-12819666.446666673</v>
      </c>
      <c r="N256" s="20">
        <f t="shared" si="145"/>
        <v>-12696861.190000007</v>
      </c>
      <c r="O256" s="20">
        <f t="shared" si="145"/>
        <v>-12574067.443333333</v>
      </c>
      <c r="P256" s="20">
        <f t="shared" si="145"/>
        <v>-172403646.66000003</v>
      </c>
      <c r="Q256" s="20">
        <f t="shared" si="145"/>
        <v>-13261818.973846154</v>
      </c>
      <c r="R256" s="2">
        <f t="shared" si="106"/>
        <v>0.15384615771472454</v>
      </c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3"/>
    </row>
    <row r="257" spans="1:35" x14ac:dyDescent="0.25"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>
        <f t="shared" si="106"/>
        <v>0</v>
      </c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3"/>
    </row>
    <row r="258" spans="1:35" ht="15.75" x14ac:dyDescent="0.3">
      <c r="A258" s="18" t="s">
        <v>357</v>
      </c>
      <c r="B258" s="19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">
        <f t="shared" si="106"/>
        <v>0</v>
      </c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3"/>
    </row>
    <row r="259" spans="1:35" x14ac:dyDescent="0.25"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>
        <f t="shared" si="106"/>
        <v>0</v>
      </c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3"/>
    </row>
    <row r="260" spans="1:35" x14ac:dyDescent="0.25">
      <c r="A260" s="21" t="s">
        <v>358</v>
      </c>
      <c r="B260" s="22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">
        <f t="shared" si="106"/>
        <v>0</v>
      </c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3"/>
    </row>
    <row r="261" spans="1:35" x14ac:dyDescent="0.25">
      <c r="A261" s="13" t="s">
        <v>359</v>
      </c>
      <c r="B261" s="13" t="s">
        <v>360</v>
      </c>
      <c r="C261" s="64">
        <v>-2500241</v>
      </c>
      <c r="D261" s="64">
        <f>C261</f>
        <v>-2500241</v>
      </c>
      <c r="E261" s="64">
        <f t="shared" ref="E261:O261" si="146">D261</f>
        <v>-2500241</v>
      </c>
      <c r="F261" s="64">
        <f t="shared" si="146"/>
        <v>-2500241</v>
      </c>
      <c r="G261" s="64">
        <f t="shared" si="146"/>
        <v>-2500241</v>
      </c>
      <c r="H261" s="64">
        <f t="shared" si="146"/>
        <v>-2500241</v>
      </c>
      <c r="I261" s="64">
        <f t="shared" si="146"/>
        <v>-2500241</v>
      </c>
      <c r="J261" s="64">
        <f t="shared" si="146"/>
        <v>-2500241</v>
      </c>
      <c r="K261" s="64">
        <f t="shared" si="146"/>
        <v>-2500241</v>
      </c>
      <c r="L261" s="64">
        <f t="shared" si="146"/>
        <v>-2500241</v>
      </c>
      <c r="M261" s="64">
        <f t="shared" si="146"/>
        <v>-2500241</v>
      </c>
      <c r="N261" s="64">
        <f t="shared" si="146"/>
        <v>-2500241</v>
      </c>
      <c r="O261" s="64">
        <f t="shared" si="146"/>
        <v>-2500241</v>
      </c>
      <c r="P261" s="2">
        <f t="shared" ref="P261:P263" si="147">SUM(C261:O261)</f>
        <v>-32503133</v>
      </c>
      <c r="Q261" s="2">
        <f t="shared" ref="Q261:Q263" si="148">P261/13</f>
        <v>-2500241</v>
      </c>
      <c r="R261" s="2">
        <f t="shared" si="106"/>
        <v>0</v>
      </c>
      <c r="S261" s="15" t="s">
        <v>504</v>
      </c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3"/>
    </row>
    <row r="262" spans="1:35" x14ac:dyDescent="0.25">
      <c r="A262" s="13" t="s">
        <v>361</v>
      </c>
      <c r="B262" s="13" t="s">
        <v>362</v>
      </c>
      <c r="C262" s="64">
        <v>-590721</v>
      </c>
      <c r="D262" s="64">
        <f t="shared" ref="D262:O263" si="149">C262</f>
        <v>-590721</v>
      </c>
      <c r="E262" s="64">
        <f t="shared" si="149"/>
        <v>-590721</v>
      </c>
      <c r="F262" s="64">
        <f t="shared" si="149"/>
        <v>-590721</v>
      </c>
      <c r="G262" s="64">
        <f t="shared" si="149"/>
        <v>-590721</v>
      </c>
      <c r="H262" s="64">
        <f t="shared" si="149"/>
        <v>-590721</v>
      </c>
      <c r="I262" s="64">
        <f t="shared" si="149"/>
        <v>-590721</v>
      </c>
      <c r="J262" s="64">
        <f t="shared" si="149"/>
        <v>-590721</v>
      </c>
      <c r="K262" s="64">
        <f t="shared" si="149"/>
        <v>-590721</v>
      </c>
      <c r="L262" s="64">
        <f t="shared" si="149"/>
        <v>-590721</v>
      </c>
      <c r="M262" s="64">
        <f t="shared" si="149"/>
        <v>-590721</v>
      </c>
      <c r="N262" s="64">
        <f t="shared" si="149"/>
        <v>-590721</v>
      </c>
      <c r="O262" s="64">
        <f t="shared" si="149"/>
        <v>-590721</v>
      </c>
      <c r="P262" s="2">
        <f t="shared" si="147"/>
        <v>-7679373</v>
      </c>
      <c r="Q262" s="2">
        <f t="shared" si="148"/>
        <v>-590721</v>
      </c>
      <c r="R262" s="2">
        <f t="shared" si="106"/>
        <v>0</v>
      </c>
      <c r="S262" s="15" t="s">
        <v>504</v>
      </c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3"/>
    </row>
    <row r="263" spans="1:35" x14ac:dyDescent="0.25">
      <c r="A263" s="13" t="s">
        <v>363</v>
      </c>
      <c r="B263" s="13" t="s">
        <v>364</v>
      </c>
      <c r="C263" s="64">
        <v>73044291</v>
      </c>
      <c r="D263" s="64">
        <f t="shared" si="149"/>
        <v>73044291</v>
      </c>
      <c r="E263" s="64">
        <f t="shared" si="149"/>
        <v>73044291</v>
      </c>
      <c r="F263" s="64">
        <f t="shared" si="149"/>
        <v>73044291</v>
      </c>
      <c r="G263" s="64">
        <f t="shared" si="149"/>
        <v>73044291</v>
      </c>
      <c r="H263" s="64">
        <f t="shared" si="149"/>
        <v>73044291</v>
      </c>
      <c r="I263" s="64">
        <f t="shared" si="149"/>
        <v>73044291</v>
      </c>
      <c r="J263" s="64">
        <f t="shared" si="149"/>
        <v>73044291</v>
      </c>
      <c r="K263" s="64">
        <f t="shared" si="149"/>
        <v>73044291</v>
      </c>
      <c r="L263" s="64">
        <f t="shared" si="149"/>
        <v>73044291</v>
      </c>
      <c r="M263" s="64">
        <f t="shared" si="149"/>
        <v>73044291</v>
      </c>
      <c r="N263" s="64">
        <f t="shared" si="149"/>
        <v>73044291</v>
      </c>
      <c r="O263" s="64">
        <f t="shared" si="149"/>
        <v>73044291</v>
      </c>
      <c r="P263" s="2">
        <f t="shared" si="147"/>
        <v>949575783</v>
      </c>
      <c r="Q263" s="2">
        <f t="shared" si="148"/>
        <v>73044291</v>
      </c>
      <c r="R263" s="2">
        <f t="shared" si="106"/>
        <v>0</v>
      </c>
      <c r="S263" s="15" t="s">
        <v>504</v>
      </c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3"/>
    </row>
    <row r="264" spans="1:35" x14ac:dyDescent="0.25">
      <c r="C264" s="26" t="s">
        <v>67</v>
      </c>
      <c r="D264" s="26" t="s">
        <v>67</v>
      </c>
      <c r="E264" s="26" t="s">
        <v>67</v>
      </c>
      <c r="F264" s="26" t="s">
        <v>67</v>
      </c>
      <c r="G264" s="26" t="s">
        <v>67</v>
      </c>
      <c r="H264" s="26" t="s">
        <v>67</v>
      </c>
      <c r="I264" s="26" t="s">
        <v>67</v>
      </c>
      <c r="J264" s="26" t="s">
        <v>67</v>
      </c>
      <c r="K264" s="26" t="s">
        <v>67</v>
      </c>
      <c r="L264" s="26" t="s">
        <v>67</v>
      </c>
      <c r="M264" s="26" t="s">
        <v>67</v>
      </c>
      <c r="N264" s="26" t="s">
        <v>67</v>
      </c>
      <c r="O264" s="26" t="s">
        <v>67</v>
      </c>
      <c r="P264" s="26" t="s">
        <v>67</v>
      </c>
      <c r="Q264" s="26" t="s">
        <v>67</v>
      </c>
      <c r="R264" s="2" t="e">
        <f t="shared" si="106"/>
        <v>#VALUE!</v>
      </c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3"/>
    </row>
    <row r="265" spans="1:35" x14ac:dyDescent="0.25">
      <c r="A265" s="21" t="s">
        <v>365</v>
      </c>
      <c r="B265" s="22"/>
      <c r="C265" s="146">
        <v>69953330</v>
      </c>
      <c r="D265" s="146">
        <f t="shared" ref="D265:Q265" si="150">SUM(D261:D263)</f>
        <v>69953329</v>
      </c>
      <c r="E265" s="23">
        <f t="shared" si="150"/>
        <v>69953329</v>
      </c>
      <c r="F265" s="23">
        <f t="shared" si="150"/>
        <v>69953329</v>
      </c>
      <c r="G265" s="23">
        <f t="shared" si="150"/>
        <v>69953329</v>
      </c>
      <c r="H265" s="23">
        <f t="shared" si="150"/>
        <v>69953329</v>
      </c>
      <c r="I265" s="23">
        <f t="shared" si="150"/>
        <v>69953329</v>
      </c>
      <c r="J265" s="23">
        <f t="shared" si="150"/>
        <v>69953329</v>
      </c>
      <c r="K265" s="23">
        <f t="shared" si="150"/>
        <v>69953329</v>
      </c>
      <c r="L265" s="23">
        <f t="shared" si="150"/>
        <v>69953329</v>
      </c>
      <c r="M265" s="23">
        <f t="shared" si="150"/>
        <v>69953329</v>
      </c>
      <c r="N265" s="23">
        <f t="shared" si="150"/>
        <v>69953329</v>
      </c>
      <c r="O265" s="23">
        <f t="shared" si="150"/>
        <v>69953329</v>
      </c>
      <c r="P265" s="23">
        <f t="shared" si="150"/>
        <v>909393277</v>
      </c>
      <c r="Q265" s="23">
        <f t="shared" si="150"/>
        <v>69953329</v>
      </c>
      <c r="R265" s="2">
        <f t="shared" si="106"/>
        <v>7.6923072338104248E-2</v>
      </c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3"/>
    </row>
    <row r="266" spans="1:35" x14ac:dyDescent="0.25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>
        <f t="shared" si="106"/>
        <v>0</v>
      </c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3"/>
    </row>
    <row r="267" spans="1:35" ht="15.75" x14ac:dyDescent="0.3">
      <c r="A267" s="18" t="s">
        <v>366</v>
      </c>
      <c r="B267" s="19"/>
      <c r="C267" s="20">
        <v>69953330</v>
      </c>
      <c r="D267" s="20">
        <f t="shared" ref="D267:Q267" si="151">D265+D256+D214</f>
        <v>65704000.779633328</v>
      </c>
      <c r="E267" s="20">
        <f t="shared" si="151"/>
        <v>65457983.816299997</v>
      </c>
      <c r="F267" s="20">
        <f t="shared" si="151"/>
        <v>65581012.102966666</v>
      </c>
      <c r="G267" s="20">
        <f t="shared" si="151"/>
        <v>65704029.439633332</v>
      </c>
      <c r="H267" s="20">
        <f t="shared" si="151"/>
        <v>65827035.906300001</v>
      </c>
      <c r="I267" s="20">
        <f t="shared" si="151"/>
        <v>65950031.502966665</v>
      </c>
      <c r="J267" s="20">
        <f t="shared" si="151"/>
        <v>66073016.169633329</v>
      </c>
      <c r="K267" s="20">
        <f t="shared" si="151"/>
        <v>66195989.886299998</v>
      </c>
      <c r="L267" s="20">
        <f t="shared" si="151"/>
        <v>66318952.612966664</v>
      </c>
      <c r="M267" s="20">
        <f t="shared" si="151"/>
        <v>66441904.30963333</v>
      </c>
      <c r="N267" s="20">
        <f t="shared" si="151"/>
        <v>66564844.956299998</v>
      </c>
      <c r="O267" s="20">
        <f t="shared" si="151"/>
        <v>66687774.512966663</v>
      </c>
      <c r="P267" s="20">
        <f t="shared" si="151"/>
        <v>852554518.99559999</v>
      </c>
      <c r="Q267" s="20">
        <f t="shared" si="151"/>
        <v>65581116.84581539</v>
      </c>
      <c r="R267" s="2">
        <f t="shared" si="106"/>
        <v>761952.84615384042</v>
      </c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3"/>
    </row>
    <row r="268" spans="1:35" x14ac:dyDescent="0.25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>
        <f t="shared" si="106"/>
        <v>0</v>
      </c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3"/>
    </row>
    <row r="269" spans="1:35" ht="19.5" x14ac:dyDescent="0.4">
      <c r="A269" s="5" t="s">
        <v>367</v>
      </c>
      <c r="B269" s="16"/>
      <c r="C269" s="17">
        <v>60047940</v>
      </c>
      <c r="D269" s="17">
        <f t="shared" ref="D269:Q269" si="152">D267</f>
        <v>65704000.779633328</v>
      </c>
      <c r="E269" s="17">
        <f t="shared" si="152"/>
        <v>65457983.816299997</v>
      </c>
      <c r="F269" s="17">
        <f t="shared" si="152"/>
        <v>65581012.102966666</v>
      </c>
      <c r="G269" s="17">
        <f t="shared" si="152"/>
        <v>65704029.439633332</v>
      </c>
      <c r="H269" s="17">
        <f t="shared" si="152"/>
        <v>65827035.906300001</v>
      </c>
      <c r="I269" s="17">
        <f t="shared" si="152"/>
        <v>65950031.502966665</v>
      </c>
      <c r="J269" s="17">
        <f t="shared" si="152"/>
        <v>66073016.169633329</v>
      </c>
      <c r="K269" s="17">
        <f t="shared" si="152"/>
        <v>66195989.886299998</v>
      </c>
      <c r="L269" s="17">
        <f t="shared" si="152"/>
        <v>66318952.612966664</v>
      </c>
      <c r="M269" s="17">
        <f t="shared" si="152"/>
        <v>66441904.30963333</v>
      </c>
      <c r="N269" s="17">
        <f t="shared" si="152"/>
        <v>66564844.956299998</v>
      </c>
      <c r="O269" s="17">
        <f t="shared" si="152"/>
        <v>66687774.512966663</v>
      </c>
      <c r="P269" s="17">
        <f t="shared" si="152"/>
        <v>852554518.99559999</v>
      </c>
      <c r="Q269" s="17">
        <f t="shared" si="152"/>
        <v>65581116.84581539</v>
      </c>
      <c r="R269" s="2">
        <f t="shared" si="106"/>
        <v>-0.23076923936605453</v>
      </c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3"/>
    </row>
    <row r="270" spans="1:35" x14ac:dyDescent="0.25">
      <c r="C270" s="26" t="s">
        <v>231</v>
      </c>
      <c r="D270" s="26" t="s">
        <v>231</v>
      </c>
      <c r="E270" s="26" t="s">
        <v>231</v>
      </c>
      <c r="F270" s="26" t="s">
        <v>231</v>
      </c>
      <c r="G270" s="26" t="s">
        <v>231</v>
      </c>
      <c r="H270" s="26" t="s">
        <v>231</v>
      </c>
      <c r="I270" s="26" t="s">
        <v>231</v>
      </c>
      <c r="J270" s="26" t="s">
        <v>231</v>
      </c>
      <c r="K270" s="26" t="s">
        <v>231</v>
      </c>
      <c r="L270" s="26" t="s">
        <v>231</v>
      </c>
      <c r="M270" s="26" t="s">
        <v>231</v>
      </c>
      <c r="N270" s="26" t="s">
        <v>231</v>
      </c>
      <c r="O270" s="26" t="s">
        <v>231</v>
      </c>
      <c r="P270" s="26" t="s">
        <v>231</v>
      </c>
      <c r="Q270" s="26" t="s">
        <v>231</v>
      </c>
      <c r="R270" s="2" t="e">
        <f t="shared" si="106"/>
        <v>#VALUE!</v>
      </c>
      <c r="S270" s="15"/>
      <c r="T270" s="15"/>
      <c r="U270" s="61">
        <f t="shared" ref="U270:Z270" si="153">SUM(U79:U269)-SUM(U217:U233)-U238-U239</f>
        <v>2787182.8509913781</v>
      </c>
      <c r="V270" s="61">
        <f t="shared" si="153"/>
        <v>6960677.815501661</v>
      </c>
      <c r="W270" s="61">
        <f t="shared" si="153"/>
        <v>-636289.21417769219</v>
      </c>
      <c r="X270" s="61">
        <f t="shared" si="153"/>
        <v>-8541.2365950415387</v>
      </c>
      <c r="Y270" s="61">
        <f t="shared" si="153"/>
        <v>-6807.2631087953832</v>
      </c>
      <c r="Z270" s="61">
        <f t="shared" si="153"/>
        <v>-356221.04818404606</v>
      </c>
      <c r="AA270" s="61"/>
      <c r="AB270" s="61"/>
      <c r="AC270" s="61">
        <f t="shared" ref="AC270:AH270" si="154">SUM(AC79:AC269)-SUM(AC217:AC233)-AC238-AC239</f>
        <v>2515267.8782697008</v>
      </c>
      <c r="AD270" s="61">
        <f t="shared" si="154"/>
        <v>6349705.6607010411</v>
      </c>
      <c r="AE270" s="61">
        <f t="shared" si="154"/>
        <v>-688688.87775073363</v>
      </c>
      <c r="AF270" s="61">
        <f t="shared" si="154"/>
        <v>-9087.1416787533344</v>
      </c>
      <c r="AG270" s="61">
        <f t="shared" si="154"/>
        <v>-7250.0492682866688</v>
      </c>
      <c r="AH270" s="61">
        <f t="shared" si="154"/>
        <v>-448598.69419156614</v>
      </c>
      <c r="AI270" s="3"/>
    </row>
    <row r="271" spans="1:35" x14ac:dyDescent="0.25">
      <c r="C271" s="2">
        <f t="shared" ref="C271" si="155">C161-C269</f>
        <v>0</v>
      </c>
      <c r="D271" s="2">
        <f t="shared" ref="D271:Q271" si="156">D161-D269</f>
        <v>0</v>
      </c>
      <c r="E271" s="2">
        <f t="shared" si="156"/>
        <v>0</v>
      </c>
      <c r="F271" s="2">
        <f t="shared" si="156"/>
        <v>0</v>
      </c>
      <c r="G271" s="2">
        <f t="shared" si="156"/>
        <v>0</v>
      </c>
      <c r="H271" s="2">
        <f t="shared" si="156"/>
        <v>0</v>
      </c>
      <c r="I271" s="2">
        <f t="shared" si="156"/>
        <v>0</v>
      </c>
      <c r="J271" s="2">
        <f t="shared" si="156"/>
        <v>0</v>
      </c>
      <c r="K271" s="2">
        <f t="shared" si="156"/>
        <v>0</v>
      </c>
      <c r="L271" s="2">
        <f t="shared" si="156"/>
        <v>0</v>
      </c>
      <c r="M271" s="2">
        <f t="shared" si="156"/>
        <v>0</v>
      </c>
      <c r="N271" s="2">
        <f t="shared" si="156"/>
        <v>0</v>
      </c>
      <c r="O271" s="2">
        <f t="shared" si="156"/>
        <v>0</v>
      </c>
      <c r="P271" s="2">
        <f t="shared" si="156"/>
        <v>0</v>
      </c>
      <c r="Q271" s="2">
        <f t="shared" si="156"/>
        <v>0</v>
      </c>
      <c r="R271" s="2">
        <f t="shared" si="106"/>
        <v>0</v>
      </c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3"/>
    </row>
    <row r="272" spans="1:35" x14ac:dyDescent="0.25">
      <c r="C272" s="2">
        <f>-C271</f>
        <v>0</v>
      </c>
      <c r="D272" s="2">
        <f>-D271</f>
        <v>0</v>
      </c>
      <c r="E272" s="2">
        <f t="shared" ref="E272:Q272" si="157">-E271</f>
        <v>0</v>
      </c>
      <c r="F272" s="2">
        <f t="shared" si="157"/>
        <v>0</v>
      </c>
      <c r="G272" s="2">
        <f t="shared" si="157"/>
        <v>0</v>
      </c>
      <c r="H272" s="2">
        <f t="shared" si="157"/>
        <v>0</v>
      </c>
      <c r="I272" s="2">
        <f t="shared" si="157"/>
        <v>0</v>
      </c>
      <c r="J272" s="2">
        <f t="shared" si="157"/>
        <v>0</v>
      </c>
      <c r="K272" s="2">
        <f t="shared" si="157"/>
        <v>0</v>
      </c>
      <c r="L272" s="2">
        <f t="shared" si="157"/>
        <v>0</v>
      </c>
      <c r="M272" s="2">
        <f t="shared" si="157"/>
        <v>0</v>
      </c>
      <c r="N272" s="2">
        <f t="shared" si="157"/>
        <v>0</v>
      </c>
      <c r="O272" s="2">
        <f t="shared" si="157"/>
        <v>0</v>
      </c>
      <c r="P272" s="2">
        <f t="shared" si="157"/>
        <v>0</v>
      </c>
      <c r="Q272" s="2">
        <f t="shared" si="157"/>
        <v>0</v>
      </c>
      <c r="R272" s="2">
        <f t="shared" si="106"/>
        <v>0</v>
      </c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3"/>
    </row>
    <row r="273" spans="1:35" x14ac:dyDescent="0.25"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>
        <f t="shared" ref="R273:R308" si="158">(SUM(C273:O273)/13)-Q273</f>
        <v>0</v>
      </c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</row>
    <row r="274" spans="1:35" x14ac:dyDescent="0.25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>
        <f t="shared" si="158"/>
        <v>0</v>
      </c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</row>
    <row r="275" spans="1:35" x14ac:dyDescent="0.25">
      <c r="A275" s="13" t="s">
        <v>368</v>
      </c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62" t="s">
        <v>369</v>
      </c>
      <c r="R275" s="2">
        <f t="shared" si="158"/>
        <v>-44594</v>
      </c>
      <c r="S275" s="3"/>
      <c r="T275" s="3"/>
      <c r="U275" s="3"/>
      <c r="V275" s="3" t="s">
        <v>370</v>
      </c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</row>
    <row r="276" spans="1:35" x14ac:dyDescent="0.25">
      <c r="A276" s="13" t="s">
        <v>371</v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62" t="s">
        <v>372</v>
      </c>
      <c r="R276" s="2">
        <f t="shared" si="158"/>
        <v>-0.58611111111111114</v>
      </c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</row>
    <row r="277" spans="1:35" x14ac:dyDescent="0.25"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>
        <f t="shared" si="158"/>
        <v>0</v>
      </c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</row>
    <row r="278" spans="1:35" x14ac:dyDescent="0.25">
      <c r="A278" s="35"/>
      <c r="B278" s="35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2">
        <f t="shared" si="158"/>
        <v>0</v>
      </c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</row>
    <row r="279" spans="1:35" x14ac:dyDescent="0.25">
      <c r="A279" s="35"/>
      <c r="B279" s="35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2">
        <f t="shared" si="158"/>
        <v>0</v>
      </c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</row>
    <row r="280" spans="1:35" x14ac:dyDescent="0.25">
      <c r="A280" s="35"/>
      <c r="B280" s="35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2">
        <f t="shared" si="158"/>
        <v>0</v>
      </c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</row>
    <row r="281" spans="1:35" x14ac:dyDescent="0.25">
      <c r="A281" s="35"/>
      <c r="B281" s="35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2">
        <f t="shared" si="158"/>
        <v>0</v>
      </c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</row>
    <row r="282" spans="1:35" x14ac:dyDescent="0.25">
      <c r="A282" s="35"/>
      <c r="B282" s="35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2">
        <f t="shared" si="158"/>
        <v>0</v>
      </c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</row>
    <row r="283" spans="1:35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24"/>
      <c r="P283" s="24"/>
      <c r="Q283" s="24"/>
      <c r="R283" s="2">
        <f t="shared" si="158"/>
        <v>0</v>
      </c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</row>
    <row r="284" spans="1:35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24"/>
      <c r="P284" s="24"/>
      <c r="Q284" s="24"/>
      <c r="R284" s="2">
        <f t="shared" si="158"/>
        <v>0</v>
      </c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</row>
    <row r="285" spans="1:35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24"/>
      <c r="P285" s="24"/>
      <c r="Q285" s="24"/>
      <c r="R285" s="2">
        <f t="shared" si="158"/>
        <v>0</v>
      </c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</row>
    <row r="286" spans="1:35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24"/>
      <c r="P286" s="24"/>
      <c r="Q286" s="24"/>
      <c r="R286" s="2">
        <f t="shared" si="158"/>
        <v>0</v>
      </c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</row>
    <row r="287" spans="1:35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24"/>
      <c r="P287" s="24"/>
      <c r="Q287" s="24"/>
      <c r="R287" s="2">
        <f t="shared" si="158"/>
        <v>0</v>
      </c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</row>
    <row r="288" spans="1:35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24"/>
      <c r="P288" s="24"/>
      <c r="Q288" s="24"/>
      <c r="R288" s="2">
        <f t="shared" si="158"/>
        <v>0</v>
      </c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</row>
    <row r="289" spans="1:35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24"/>
      <c r="P289" s="24"/>
      <c r="Q289" s="24"/>
      <c r="R289" s="2">
        <f t="shared" si="158"/>
        <v>0</v>
      </c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</row>
    <row r="290" spans="1:35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24"/>
      <c r="P290" s="24"/>
      <c r="Q290" s="24"/>
      <c r="R290" s="2">
        <f t="shared" si="158"/>
        <v>0</v>
      </c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</row>
    <row r="291" spans="1:35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24"/>
      <c r="P291" s="24"/>
      <c r="Q291" s="24"/>
      <c r="R291" s="2">
        <f t="shared" si="158"/>
        <v>0</v>
      </c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</row>
    <row r="292" spans="1:35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24"/>
      <c r="P292" s="24"/>
      <c r="Q292" s="24"/>
      <c r="R292" s="2">
        <f t="shared" si="158"/>
        <v>0</v>
      </c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</row>
    <row r="293" spans="1:35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24"/>
      <c r="P293" s="24"/>
      <c r="Q293" s="24"/>
      <c r="R293" s="2">
        <f t="shared" si="158"/>
        <v>0</v>
      </c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</row>
    <row r="294" spans="1:35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24"/>
      <c r="P294" s="24"/>
      <c r="Q294" s="24"/>
      <c r="R294" s="2">
        <f t="shared" si="158"/>
        <v>0</v>
      </c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</row>
    <row r="295" spans="1:35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24"/>
      <c r="P295" s="24"/>
      <c r="Q295" s="24"/>
      <c r="R295" s="2">
        <f t="shared" si="158"/>
        <v>0</v>
      </c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</row>
    <row r="296" spans="1:35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24"/>
      <c r="P296" s="24"/>
      <c r="Q296" s="24"/>
      <c r="R296" s="2">
        <f t="shared" si="158"/>
        <v>0</v>
      </c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</row>
    <row r="297" spans="1:35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24"/>
      <c r="P297" s="24"/>
      <c r="Q297" s="24"/>
      <c r="R297" s="2">
        <f t="shared" si="158"/>
        <v>0</v>
      </c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</row>
    <row r="298" spans="1:35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24"/>
      <c r="P298" s="24"/>
      <c r="Q298" s="24"/>
      <c r="R298" s="2">
        <f t="shared" si="158"/>
        <v>0</v>
      </c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</row>
    <row r="299" spans="1:35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24"/>
      <c r="P299" s="24"/>
      <c r="Q299" s="24"/>
      <c r="R299" s="2">
        <f t="shared" si="158"/>
        <v>0</v>
      </c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</row>
    <row r="300" spans="1:35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24"/>
      <c r="P300" s="24"/>
      <c r="Q300" s="24"/>
      <c r="R300" s="2">
        <f t="shared" si="158"/>
        <v>0</v>
      </c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</row>
    <row r="301" spans="1:35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24"/>
      <c r="P301" s="24"/>
      <c r="Q301" s="24"/>
      <c r="R301" s="2">
        <f t="shared" si="158"/>
        <v>0</v>
      </c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</row>
    <row r="302" spans="1:35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24"/>
      <c r="P302" s="24"/>
      <c r="Q302" s="24"/>
      <c r="R302" s="2">
        <f t="shared" si="158"/>
        <v>0</v>
      </c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</row>
    <row r="303" spans="1:35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24"/>
      <c r="P303" s="24"/>
      <c r="Q303" s="24"/>
      <c r="R303" s="2">
        <f t="shared" si="158"/>
        <v>0</v>
      </c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</row>
    <row r="304" spans="1:35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24"/>
      <c r="P304" s="24"/>
      <c r="Q304" s="24"/>
      <c r="R304" s="2">
        <f t="shared" si="158"/>
        <v>0</v>
      </c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</row>
    <row r="305" spans="1:35" x14ac:dyDescent="0.25">
      <c r="A305" s="35"/>
      <c r="B305" s="35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2">
        <f t="shared" si="158"/>
        <v>0</v>
      </c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</row>
    <row r="306" spans="1:35" x14ac:dyDescent="0.25">
      <c r="A306" s="35"/>
      <c r="B306" s="35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2">
        <f t="shared" si="158"/>
        <v>0</v>
      </c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</row>
    <row r="307" spans="1:35" x14ac:dyDescent="0.25">
      <c r="A307" s="35"/>
      <c r="B307" s="35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2">
        <f t="shared" si="158"/>
        <v>0</v>
      </c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</row>
    <row r="308" spans="1:35" x14ac:dyDescent="0.25">
      <c r="A308" s="35"/>
      <c r="B308" s="35"/>
      <c r="C308" s="64"/>
      <c r="D308" s="64"/>
      <c r="E308" s="64"/>
      <c r="F308" s="64"/>
      <c r="G308" s="64"/>
      <c r="H308" s="64"/>
      <c r="I308" s="64"/>
      <c r="J308" s="64"/>
      <c r="K308" s="64"/>
      <c r="L308" s="64"/>
      <c r="M308" s="64"/>
      <c r="N308" s="64"/>
      <c r="O308" s="64"/>
      <c r="P308" s="64"/>
      <c r="Q308" s="64"/>
      <c r="R308" s="2">
        <f t="shared" si="158"/>
        <v>0</v>
      </c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</row>
    <row r="309" spans="1:35" x14ac:dyDescent="0.25">
      <c r="A309" s="35"/>
      <c r="B309" s="35"/>
      <c r="C309" s="64"/>
      <c r="D309" s="64"/>
      <c r="E309" s="64"/>
      <c r="F309" s="64"/>
      <c r="G309" s="64"/>
      <c r="H309" s="64"/>
      <c r="I309" s="64"/>
      <c r="J309" s="64"/>
      <c r="K309" s="64"/>
      <c r="L309" s="64"/>
      <c r="M309" s="64"/>
      <c r="N309" s="64"/>
      <c r="O309" s="64"/>
      <c r="P309" s="64"/>
      <c r="Q309" s="64"/>
      <c r="R309" s="64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</row>
    <row r="310" spans="1:3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64"/>
      <c r="P310" s="64"/>
      <c r="Q310" s="64"/>
      <c r="R310" s="64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</row>
    <row r="311" spans="1:3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</row>
  </sheetData>
  <pageMargins left="0.7" right="0.7" top="0.75" bottom="0.75" header="0.3" footer="0.3"/>
  <pageSetup orientation="portrait" horizontalDpi="90" verticalDpi="9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11"/>
  <sheetViews>
    <sheetView topLeftCell="B121" zoomScale="73" zoomScaleNormal="73" workbookViewId="0">
      <selection activeCell="C136" sqref="C136"/>
    </sheetView>
  </sheetViews>
  <sheetFormatPr defaultRowHeight="15" x14ac:dyDescent="0.25"/>
  <cols>
    <col min="1" max="1" width="59.28515625" customWidth="1"/>
    <col min="2" max="2" width="10" bestFit="1" customWidth="1"/>
    <col min="3" max="15" width="15.42578125" bestFit="1" customWidth="1"/>
    <col min="16" max="16" width="17" bestFit="1" customWidth="1"/>
    <col min="17" max="17" width="15.42578125" bestFit="1" customWidth="1"/>
    <col min="18" max="18" width="17.28515625" customWidth="1"/>
    <col min="19" max="19" width="15.140625" bestFit="1" customWidth="1"/>
    <col min="20" max="20" width="13.140625" bestFit="1" customWidth="1"/>
    <col min="21" max="21" width="18.140625" customWidth="1"/>
    <col min="22" max="22" width="13.85546875" customWidth="1"/>
    <col min="23" max="23" width="11.5703125" customWidth="1"/>
    <col min="24" max="24" width="11.28515625" customWidth="1"/>
    <col min="25" max="25" width="16.7109375" customWidth="1"/>
    <col min="27" max="27" width="8.42578125" bestFit="1" customWidth="1"/>
    <col min="28" max="28" width="10.85546875" customWidth="1"/>
    <col min="29" max="29" width="16" customWidth="1"/>
    <col min="30" max="30" width="7.85546875" bestFit="1" customWidth="1"/>
    <col min="31" max="31" width="6.140625" bestFit="1" customWidth="1"/>
    <col min="32" max="32" width="8" bestFit="1" customWidth="1"/>
    <col min="33" max="33" width="8.7109375" bestFit="1" customWidth="1"/>
    <col min="34" max="34" width="7.42578125" bestFit="1" customWidth="1"/>
  </cols>
  <sheetData>
    <row r="1" spans="1:34" ht="22.5" x14ac:dyDescent="0.45">
      <c r="A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 t="s">
        <v>1</v>
      </c>
      <c r="T1" s="4" t="s">
        <v>2</v>
      </c>
      <c r="U1" s="4"/>
      <c r="V1" s="4"/>
      <c r="W1" s="4"/>
      <c r="X1" s="4"/>
      <c r="Y1" s="4"/>
      <c r="Z1" s="4"/>
      <c r="AA1" s="4" t="s">
        <v>1</v>
      </c>
      <c r="AB1" s="4" t="s">
        <v>3</v>
      </c>
      <c r="AC1" s="4"/>
      <c r="AD1" s="4"/>
      <c r="AE1" s="4"/>
      <c r="AF1" s="4"/>
      <c r="AG1" s="4"/>
      <c r="AH1" s="3"/>
    </row>
    <row r="2" spans="1:34" ht="19.5" x14ac:dyDescent="0.4">
      <c r="A2" s="5" t="s">
        <v>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4" t="s">
        <v>5</v>
      </c>
      <c r="T2" s="4" t="s">
        <v>6</v>
      </c>
      <c r="U2" s="4" t="s">
        <v>7</v>
      </c>
      <c r="V2" s="4" t="s">
        <v>8</v>
      </c>
      <c r="W2" s="4" t="s">
        <v>9</v>
      </c>
      <c r="X2" s="4" t="s">
        <v>10</v>
      </c>
      <c r="Y2" s="4" t="s">
        <v>11</v>
      </c>
      <c r="Z2" s="4"/>
      <c r="AA2" s="4" t="s">
        <v>5</v>
      </c>
      <c r="AB2" s="4" t="s">
        <v>6</v>
      </c>
      <c r="AC2" s="4" t="s">
        <v>7</v>
      </c>
      <c r="AD2" s="4" t="s">
        <v>8</v>
      </c>
      <c r="AE2" s="4" t="s">
        <v>9</v>
      </c>
      <c r="AF2" s="4" t="s">
        <v>10</v>
      </c>
      <c r="AG2" s="4" t="s">
        <v>11</v>
      </c>
      <c r="AH2" s="3"/>
    </row>
    <row r="3" spans="1:34" ht="19.5" x14ac:dyDescent="0.4">
      <c r="A3" s="5" t="s">
        <v>12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4" t="s">
        <v>13</v>
      </c>
      <c r="T3" s="6">
        <v>0.16214999999999999</v>
      </c>
      <c r="U3" s="6">
        <v>0.39171</v>
      </c>
      <c r="V3" s="6">
        <v>0.18387999999999999</v>
      </c>
      <c r="W3" s="6">
        <v>3.5500000000000002E-3</v>
      </c>
      <c r="X3" s="6">
        <v>1.1100000000000001E-3</v>
      </c>
      <c r="Y3" s="6">
        <v>0.25762000000000002</v>
      </c>
      <c r="Z3" s="4"/>
      <c r="AA3" s="4" t="s">
        <v>13</v>
      </c>
      <c r="AB3" s="6">
        <v>0.16214999999999999</v>
      </c>
      <c r="AC3" s="6">
        <v>0.39171</v>
      </c>
      <c r="AD3" s="6">
        <v>0.18387999999999999</v>
      </c>
      <c r="AE3" s="6">
        <v>3.5500000000000002E-3</v>
      </c>
      <c r="AF3" s="6">
        <v>1.1100000000000001E-3</v>
      </c>
      <c r="AG3" s="6">
        <v>0.25762000000000002</v>
      </c>
      <c r="AH3" s="7"/>
    </row>
    <row r="4" spans="1:34" ht="19.5" x14ac:dyDescent="0.4">
      <c r="A4" s="5" t="s">
        <v>500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4" t="s">
        <v>15</v>
      </c>
      <c r="T4" s="8">
        <v>0.2928</v>
      </c>
      <c r="U4" s="8">
        <v>0.70720000000000005</v>
      </c>
      <c r="V4" s="8"/>
      <c r="W4" s="8"/>
      <c r="X4" s="8"/>
      <c r="Y4" s="9"/>
      <c r="Z4" s="4"/>
      <c r="AA4" s="4" t="s">
        <v>15</v>
      </c>
      <c r="AB4" s="8">
        <v>0.2928</v>
      </c>
      <c r="AC4" s="8">
        <v>0.70720000000000005</v>
      </c>
      <c r="AD4" s="8"/>
      <c r="AE4" s="8"/>
      <c r="AF4" s="8"/>
      <c r="AG4" s="9"/>
      <c r="AH4" s="7"/>
    </row>
    <row r="5" spans="1:34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4" t="s">
        <v>16</v>
      </c>
      <c r="T5" s="8">
        <v>0.21299999999999999</v>
      </c>
      <c r="U5" s="8">
        <v>0.34799999999999998</v>
      </c>
      <c r="V5" s="8">
        <v>0.14399999999999999</v>
      </c>
      <c r="W5" s="8">
        <v>1E-3</v>
      </c>
      <c r="X5" s="8">
        <v>1E-3</v>
      </c>
      <c r="Y5" s="8">
        <v>0.29299999999999998</v>
      </c>
      <c r="Z5" s="4"/>
      <c r="AA5" s="4" t="s">
        <v>16</v>
      </c>
      <c r="AB5" s="8">
        <v>0.21299999999999999</v>
      </c>
      <c r="AC5" s="8">
        <v>0.34799999999999998</v>
      </c>
      <c r="AD5" s="8">
        <v>0.14399999999999999</v>
      </c>
      <c r="AE5" s="8">
        <v>1E-3</v>
      </c>
      <c r="AF5" s="8">
        <v>1E-3</v>
      </c>
      <c r="AG5" s="8">
        <v>0.29299999999999998</v>
      </c>
      <c r="AH5" s="7"/>
    </row>
    <row r="6" spans="1:34" x14ac:dyDescent="0.25">
      <c r="C6" s="10" t="s">
        <v>17</v>
      </c>
      <c r="D6" s="10" t="s">
        <v>18</v>
      </c>
      <c r="E6" s="10" t="s">
        <v>19</v>
      </c>
      <c r="F6" s="10" t="s">
        <v>20</v>
      </c>
      <c r="G6" s="10" t="s">
        <v>21</v>
      </c>
      <c r="H6" s="10" t="s">
        <v>22</v>
      </c>
      <c r="I6" s="10" t="s">
        <v>23</v>
      </c>
      <c r="J6" s="10" t="s">
        <v>24</v>
      </c>
      <c r="K6" s="10" t="s">
        <v>25</v>
      </c>
      <c r="L6" s="10" t="s">
        <v>26</v>
      </c>
      <c r="M6" s="10" t="s">
        <v>27</v>
      </c>
      <c r="N6" s="10" t="s">
        <v>28</v>
      </c>
      <c r="O6" s="10" t="s">
        <v>17</v>
      </c>
      <c r="P6" s="2"/>
      <c r="Q6" s="2"/>
      <c r="R6" s="3"/>
      <c r="S6" s="4" t="s">
        <v>29</v>
      </c>
      <c r="T6" s="8">
        <v>0.252</v>
      </c>
      <c r="U6" s="8">
        <v>0.52</v>
      </c>
      <c r="V6" s="8"/>
      <c r="W6" s="8"/>
      <c r="X6" s="8"/>
      <c r="Y6" s="8">
        <v>0.22800000000000001</v>
      </c>
      <c r="Z6" s="4"/>
      <c r="AA6" s="4" t="s">
        <v>29</v>
      </c>
      <c r="AB6" s="8">
        <v>0.252</v>
      </c>
      <c r="AC6" s="8">
        <v>0.52</v>
      </c>
      <c r="AD6" s="8"/>
      <c r="AE6" s="8"/>
      <c r="AF6" s="8"/>
      <c r="AG6" s="8">
        <v>0.22800000000000001</v>
      </c>
      <c r="AH6" s="7"/>
    </row>
    <row r="7" spans="1:34" x14ac:dyDescent="0.25">
      <c r="C7" s="11" t="s">
        <v>497</v>
      </c>
      <c r="D7" s="11" t="s">
        <v>501</v>
      </c>
      <c r="E7" s="11" t="s">
        <v>501</v>
      </c>
      <c r="F7" s="11" t="s">
        <v>501</v>
      </c>
      <c r="G7" s="11" t="s">
        <v>501</v>
      </c>
      <c r="H7" s="11" t="s">
        <v>501</v>
      </c>
      <c r="I7" s="11" t="s">
        <v>501</v>
      </c>
      <c r="J7" s="11" t="s">
        <v>501</v>
      </c>
      <c r="K7" s="11" t="s">
        <v>501</v>
      </c>
      <c r="L7" s="11" t="s">
        <v>501</v>
      </c>
      <c r="M7" s="11" t="s">
        <v>501</v>
      </c>
      <c r="N7" s="11" t="s">
        <v>501</v>
      </c>
      <c r="O7" s="11" t="s">
        <v>501</v>
      </c>
      <c r="P7" s="12" t="s">
        <v>32</v>
      </c>
      <c r="Q7" s="12" t="s">
        <v>33</v>
      </c>
      <c r="R7" s="3"/>
      <c r="S7" s="4" t="s">
        <v>34</v>
      </c>
      <c r="T7" s="8">
        <v>0.192</v>
      </c>
      <c r="U7" s="8">
        <v>0.39610000000000001</v>
      </c>
      <c r="V7" s="8">
        <v>0.13700000000000001</v>
      </c>
      <c r="W7" s="8">
        <v>3.2000000000000002E-3</v>
      </c>
      <c r="X7" s="8">
        <v>2.2000000000000001E-3</v>
      </c>
      <c r="Y7" s="8">
        <v>0.26950000000000002</v>
      </c>
      <c r="Z7" s="4"/>
      <c r="AA7" s="4" t="s">
        <v>34</v>
      </c>
      <c r="AB7" s="8">
        <v>0.192</v>
      </c>
      <c r="AC7" s="8">
        <v>0.39610000000000001</v>
      </c>
      <c r="AD7" s="8">
        <v>0.13700000000000001</v>
      </c>
      <c r="AE7" s="8">
        <v>3.2000000000000002E-3</v>
      </c>
      <c r="AF7" s="8">
        <v>2.2000000000000001E-3</v>
      </c>
      <c r="AG7" s="8">
        <v>0.26950000000000002</v>
      </c>
      <c r="AH7" s="7"/>
    </row>
    <row r="8" spans="1:34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3"/>
    </row>
    <row r="9" spans="1:34" x14ac:dyDescent="0.25">
      <c r="A9" s="13" t="s">
        <v>35</v>
      </c>
      <c r="B9" s="13" t="s">
        <v>36</v>
      </c>
      <c r="C9" s="14">
        <v>-53473801</v>
      </c>
      <c r="D9" s="14">
        <v>-52927683</v>
      </c>
      <c r="E9" s="14">
        <v>-50782991</v>
      </c>
      <c r="F9" s="14">
        <v>-53728742</v>
      </c>
      <c r="G9" s="14">
        <v>-52528295</v>
      </c>
      <c r="H9" s="14">
        <v>-54546955</v>
      </c>
      <c r="I9" s="14">
        <v>-53198317</v>
      </c>
      <c r="J9" s="14">
        <v>-56088549</v>
      </c>
      <c r="K9" s="14">
        <v>-57339401</v>
      </c>
      <c r="L9" s="14">
        <v>-53454763</v>
      </c>
      <c r="M9" s="14">
        <v>-55104746</v>
      </c>
      <c r="N9" s="14">
        <v>-47993900</v>
      </c>
      <c r="O9" s="14">
        <v>-62628904</v>
      </c>
      <c r="P9" s="14">
        <v>-703797045</v>
      </c>
      <c r="Q9" s="14">
        <v>-54138234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3"/>
    </row>
    <row r="10" spans="1:34" x14ac:dyDescent="0.25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3"/>
    </row>
    <row r="11" spans="1:34" ht="19.5" x14ac:dyDescent="0.4">
      <c r="A11" s="5" t="s">
        <v>37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3"/>
    </row>
    <row r="12" spans="1:34" x14ac:dyDescent="0.25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3"/>
    </row>
    <row r="13" spans="1:34" ht="15.75" x14ac:dyDescent="0.3">
      <c r="A13" s="18" t="s">
        <v>38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3"/>
    </row>
    <row r="14" spans="1:34" x14ac:dyDescent="0.25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3"/>
    </row>
    <row r="15" spans="1:34" x14ac:dyDescent="0.25">
      <c r="A15" s="21" t="s">
        <v>39</v>
      </c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3"/>
    </row>
    <row r="16" spans="1:34" x14ac:dyDescent="0.25">
      <c r="A16" s="13" t="s">
        <v>40</v>
      </c>
      <c r="B16" s="13" t="s">
        <v>41</v>
      </c>
      <c r="C16" s="2">
        <v>11639282.23</v>
      </c>
      <c r="D16" s="2">
        <v>11639282.23</v>
      </c>
      <c r="E16" s="2">
        <v>11639282.23</v>
      </c>
      <c r="F16" s="2">
        <v>11639282.23</v>
      </c>
      <c r="G16" s="2">
        <v>11639282.23</v>
      </c>
      <c r="H16" s="2">
        <v>11639282.23</v>
      </c>
      <c r="I16" s="2">
        <v>11639282.23</v>
      </c>
      <c r="J16" s="2">
        <v>11639282.23</v>
      </c>
      <c r="K16" s="2">
        <v>11639282.23</v>
      </c>
      <c r="L16" s="2">
        <v>11639282.23</v>
      </c>
      <c r="M16" s="2">
        <v>11639282.23</v>
      </c>
      <c r="N16" s="2">
        <v>11639282.23</v>
      </c>
      <c r="O16" s="2">
        <v>11639282.23</v>
      </c>
      <c r="P16" s="2">
        <f>SUM(C16:O16)</f>
        <v>151310668.99000001</v>
      </c>
      <c r="Q16" s="2">
        <f>P16/13</f>
        <v>11639282.23</v>
      </c>
      <c r="R16" s="24"/>
      <c r="S16" s="25" t="s">
        <v>42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3"/>
    </row>
    <row r="17" spans="1:34" x14ac:dyDescent="0.25">
      <c r="A17" s="13" t="s">
        <v>43</v>
      </c>
      <c r="B17" s="13" t="s">
        <v>44</v>
      </c>
      <c r="C17" s="2">
        <f>'WC def tax 22'!O17</f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 t="shared" ref="P17:P28" si="0">SUM(C17:O17)</f>
        <v>0</v>
      </c>
      <c r="Q17" s="2">
        <f t="shared" ref="Q17:Q28" si="1">P17/13</f>
        <v>0</v>
      </c>
      <c r="R17" s="1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3"/>
    </row>
    <row r="18" spans="1:34" x14ac:dyDescent="0.25">
      <c r="A18" s="13" t="s">
        <v>45</v>
      </c>
      <c r="B18" s="13" t="s">
        <v>46</v>
      </c>
      <c r="C18" s="2">
        <f>'WC def tax 22'!O18</f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f t="shared" si="0"/>
        <v>0</v>
      </c>
      <c r="Q18" s="2">
        <f t="shared" si="1"/>
        <v>0</v>
      </c>
      <c r="R18" s="1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3"/>
    </row>
    <row r="19" spans="1:34" x14ac:dyDescent="0.25">
      <c r="A19" s="13" t="s">
        <v>47</v>
      </c>
      <c r="B19" s="13" t="s">
        <v>48</v>
      </c>
      <c r="C19" s="2">
        <f>'WC def tax 22'!O19</f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f t="shared" si="0"/>
        <v>0</v>
      </c>
      <c r="Q19" s="2">
        <f t="shared" si="1"/>
        <v>0</v>
      </c>
      <c r="R19" s="1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3"/>
    </row>
    <row r="20" spans="1:34" x14ac:dyDescent="0.25">
      <c r="A20" s="13" t="s">
        <v>49</v>
      </c>
      <c r="B20" s="13" t="s">
        <v>50</v>
      </c>
      <c r="C20" s="2">
        <f>'WC def tax 22'!O20</f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f t="shared" si="0"/>
        <v>0</v>
      </c>
      <c r="Q20" s="2">
        <f t="shared" si="1"/>
        <v>0</v>
      </c>
      <c r="R20" s="1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3"/>
    </row>
    <row r="21" spans="1:34" x14ac:dyDescent="0.25">
      <c r="A21" s="13" t="s">
        <v>51</v>
      </c>
      <c r="B21" s="13" t="s">
        <v>52</v>
      </c>
      <c r="C21" s="2">
        <f>'WC def tax 22'!O21</f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f t="shared" si="0"/>
        <v>0</v>
      </c>
      <c r="Q21" s="2">
        <f t="shared" si="1"/>
        <v>0</v>
      </c>
      <c r="R21" s="1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3"/>
    </row>
    <row r="22" spans="1:34" x14ac:dyDescent="0.25">
      <c r="A22" s="13" t="s">
        <v>53</v>
      </c>
      <c r="B22" s="13" t="s">
        <v>54</v>
      </c>
      <c r="C22" s="2">
        <f>'WC def tax 22'!O22</f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f t="shared" si="0"/>
        <v>0</v>
      </c>
      <c r="Q22" s="2">
        <f t="shared" si="1"/>
        <v>0</v>
      </c>
      <c r="R22" s="1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3"/>
    </row>
    <row r="23" spans="1:34" x14ac:dyDescent="0.25">
      <c r="A23" s="13" t="s">
        <v>55</v>
      </c>
      <c r="B23" s="13" t="s">
        <v>56</v>
      </c>
      <c r="C23" s="2">
        <f>'WC def tax 22'!O23</f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f t="shared" si="0"/>
        <v>0</v>
      </c>
      <c r="Q23" s="2">
        <f t="shared" si="1"/>
        <v>0</v>
      </c>
      <c r="R23" s="1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3"/>
    </row>
    <row r="24" spans="1:34" x14ac:dyDescent="0.25">
      <c r="A24" s="13" t="s">
        <v>57</v>
      </c>
      <c r="B24" s="13" t="s">
        <v>58</v>
      </c>
      <c r="C24" s="2">
        <f>'WC def tax 22'!O24</f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f t="shared" si="0"/>
        <v>0</v>
      </c>
      <c r="Q24" s="2">
        <f t="shared" si="1"/>
        <v>0</v>
      </c>
      <c r="R24" s="1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3"/>
    </row>
    <row r="25" spans="1:34" x14ac:dyDescent="0.25">
      <c r="A25" s="13" t="s">
        <v>59</v>
      </c>
      <c r="B25" s="13" t="s">
        <v>60</v>
      </c>
      <c r="C25" s="2">
        <f>'WC def tax 22'!O25</f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f t="shared" si="0"/>
        <v>0</v>
      </c>
      <c r="Q25" s="2">
        <f t="shared" si="1"/>
        <v>0</v>
      </c>
      <c r="R25" s="1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3"/>
    </row>
    <row r="26" spans="1:34" x14ac:dyDescent="0.25">
      <c r="A26" s="13" t="s">
        <v>61</v>
      </c>
      <c r="B26" s="13" t="s">
        <v>62</v>
      </c>
      <c r="C26" s="2">
        <f>'WC def tax 22'!O26</f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f t="shared" si="0"/>
        <v>0</v>
      </c>
      <c r="Q26" s="2">
        <f t="shared" si="1"/>
        <v>0</v>
      </c>
      <c r="R26" s="1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3"/>
    </row>
    <row r="27" spans="1:34" x14ac:dyDescent="0.25">
      <c r="A27" s="13" t="s">
        <v>63</v>
      </c>
      <c r="B27" s="13" t="s">
        <v>64</v>
      </c>
      <c r="C27" s="2">
        <f>'WC def tax 22'!O27</f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f t="shared" si="0"/>
        <v>0</v>
      </c>
      <c r="Q27" s="2">
        <f t="shared" si="1"/>
        <v>0</v>
      </c>
      <c r="R27" s="1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3"/>
    </row>
    <row r="28" spans="1:34" x14ac:dyDescent="0.25">
      <c r="A28" s="13" t="s">
        <v>65</v>
      </c>
      <c r="B28" s="13" t="s">
        <v>66</v>
      </c>
      <c r="C28" s="2">
        <f>'WC def tax 22'!O28</f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f t="shared" si="0"/>
        <v>0</v>
      </c>
      <c r="Q28" s="2">
        <f t="shared" si="1"/>
        <v>0</v>
      </c>
      <c r="R28" s="1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3"/>
    </row>
    <row r="29" spans="1:34" x14ac:dyDescent="0.25">
      <c r="C29" s="26" t="s">
        <v>67</v>
      </c>
      <c r="D29" s="26" t="s">
        <v>67</v>
      </c>
      <c r="E29" s="26" t="s">
        <v>67</v>
      </c>
      <c r="F29" s="26" t="s">
        <v>67</v>
      </c>
      <c r="G29" s="26" t="s">
        <v>67</v>
      </c>
      <c r="H29" s="26" t="s">
        <v>67</v>
      </c>
      <c r="I29" s="26" t="s">
        <v>67</v>
      </c>
      <c r="J29" s="26" t="s">
        <v>67</v>
      </c>
      <c r="K29" s="26" t="s">
        <v>67</v>
      </c>
      <c r="L29" s="26" t="s">
        <v>67</v>
      </c>
      <c r="M29" s="26" t="s">
        <v>67</v>
      </c>
      <c r="N29" s="26" t="s">
        <v>67</v>
      </c>
      <c r="O29" s="26" t="s">
        <v>67</v>
      </c>
      <c r="P29" s="26" t="s">
        <v>67</v>
      </c>
      <c r="Q29" s="26" t="s">
        <v>67</v>
      </c>
      <c r="R29" s="1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3"/>
    </row>
    <row r="30" spans="1:34" x14ac:dyDescent="0.25">
      <c r="A30" s="21" t="s">
        <v>68</v>
      </c>
      <c r="B30" s="22"/>
      <c r="C30" s="23">
        <f t="shared" ref="C30:Q30" si="2">SUM(C16:C28)</f>
        <v>11639282.23</v>
      </c>
      <c r="D30" s="23">
        <f t="shared" si="2"/>
        <v>11639282.23</v>
      </c>
      <c r="E30" s="23">
        <f t="shared" si="2"/>
        <v>11639282.23</v>
      </c>
      <c r="F30" s="23">
        <f t="shared" si="2"/>
        <v>11639282.23</v>
      </c>
      <c r="G30" s="23">
        <f t="shared" si="2"/>
        <v>11639282.23</v>
      </c>
      <c r="H30" s="23">
        <f t="shared" si="2"/>
        <v>11639282.23</v>
      </c>
      <c r="I30" s="23">
        <f t="shared" si="2"/>
        <v>11639282.23</v>
      </c>
      <c r="J30" s="23">
        <f t="shared" si="2"/>
        <v>11639282.23</v>
      </c>
      <c r="K30" s="23">
        <f t="shared" si="2"/>
        <v>11639282.23</v>
      </c>
      <c r="L30" s="23">
        <f t="shared" si="2"/>
        <v>11639282.23</v>
      </c>
      <c r="M30" s="23">
        <f t="shared" si="2"/>
        <v>11639282.23</v>
      </c>
      <c r="N30" s="23">
        <f t="shared" si="2"/>
        <v>11639282.23</v>
      </c>
      <c r="O30" s="23">
        <f t="shared" si="2"/>
        <v>11639282.23</v>
      </c>
      <c r="P30" s="23">
        <f t="shared" si="2"/>
        <v>151310668.99000001</v>
      </c>
      <c r="Q30" s="23">
        <f t="shared" si="2"/>
        <v>11639282.23</v>
      </c>
      <c r="R30" s="1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7"/>
    </row>
    <row r="31" spans="1:34" x14ac:dyDescent="0.2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1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3"/>
    </row>
    <row r="32" spans="1:34" x14ac:dyDescent="0.25">
      <c r="A32" s="21" t="s">
        <v>69</v>
      </c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3"/>
    </row>
    <row r="33" spans="1:34" x14ac:dyDescent="0.25">
      <c r="A33" s="13" t="s">
        <v>70</v>
      </c>
      <c r="B33" s="13" t="s">
        <v>71</v>
      </c>
      <c r="C33" s="2">
        <f>'WC def tax 22'!O33</f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f>SUM(C33:O33)</f>
        <v>0</v>
      </c>
      <c r="Q33" s="2">
        <f>P33/13</f>
        <v>0</v>
      </c>
      <c r="R33" s="15"/>
      <c r="S33" s="25" t="s">
        <v>42</v>
      </c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3"/>
    </row>
    <row r="34" spans="1:34" x14ac:dyDescent="0.25">
      <c r="C34" s="26" t="s">
        <v>67</v>
      </c>
      <c r="D34" s="26" t="s">
        <v>67</v>
      </c>
      <c r="E34" s="26" t="s">
        <v>67</v>
      </c>
      <c r="F34" s="26" t="s">
        <v>67</v>
      </c>
      <c r="G34" s="26" t="s">
        <v>67</v>
      </c>
      <c r="H34" s="26" t="s">
        <v>67</v>
      </c>
      <c r="I34" s="26" t="s">
        <v>67</v>
      </c>
      <c r="J34" s="26" t="s">
        <v>67</v>
      </c>
      <c r="K34" s="26" t="s">
        <v>67</v>
      </c>
      <c r="L34" s="26" t="s">
        <v>67</v>
      </c>
      <c r="M34" s="26" t="s">
        <v>67</v>
      </c>
      <c r="N34" s="26" t="s">
        <v>67</v>
      </c>
      <c r="O34" s="26" t="s">
        <v>67</v>
      </c>
      <c r="P34" s="26" t="s">
        <v>67</v>
      </c>
      <c r="Q34" s="26" t="s">
        <v>67</v>
      </c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3"/>
    </row>
    <row r="35" spans="1:34" x14ac:dyDescent="0.25">
      <c r="A35" s="21" t="s">
        <v>72</v>
      </c>
      <c r="B35" s="22"/>
      <c r="C35" s="23">
        <f>SUM(C33:C34)</f>
        <v>0</v>
      </c>
      <c r="D35" s="23">
        <f t="shared" ref="D35:Q35" si="3">SUM(D33:D34)</f>
        <v>0</v>
      </c>
      <c r="E35" s="23">
        <f t="shared" si="3"/>
        <v>0</v>
      </c>
      <c r="F35" s="23">
        <f t="shared" si="3"/>
        <v>0</v>
      </c>
      <c r="G35" s="23">
        <f t="shared" si="3"/>
        <v>0</v>
      </c>
      <c r="H35" s="23">
        <f t="shared" si="3"/>
        <v>0</v>
      </c>
      <c r="I35" s="23">
        <f t="shared" si="3"/>
        <v>0</v>
      </c>
      <c r="J35" s="23">
        <f t="shared" si="3"/>
        <v>0</v>
      </c>
      <c r="K35" s="23">
        <f t="shared" si="3"/>
        <v>0</v>
      </c>
      <c r="L35" s="23">
        <f t="shared" si="3"/>
        <v>0</v>
      </c>
      <c r="M35" s="23">
        <f t="shared" si="3"/>
        <v>0</v>
      </c>
      <c r="N35" s="23">
        <f t="shared" si="3"/>
        <v>0</v>
      </c>
      <c r="O35" s="23">
        <f t="shared" si="3"/>
        <v>0</v>
      </c>
      <c r="P35" s="23">
        <f t="shared" si="3"/>
        <v>0</v>
      </c>
      <c r="Q35" s="23">
        <f t="shared" si="3"/>
        <v>0</v>
      </c>
      <c r="R35" s="15">
        <f>SUM(T35:Y35)-Q35</f>
        <v>0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27"/>
    </row>
    <row r="36" spans="1:34" x14ac:dyDescent="0.25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3"/>
    </row>
    <row r="37" spans="1:34" x14ac:dyDescent="0.25">
      <c r="A37" s="21" t="s">
        <v>73</v>
      </c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3"/>
    </row>
    <row r="38" spans="1:34" x14ac:dyDescent="0.25">
      <c r="A38" s="13" t="s">
        <v>74</v>
      </c>
      <c r="B38" s="13" t="s">
        <v>75</v>
      </c>
      <c r="C38" s="2">
        <f>'WC def tax 22'!O38</f>
        <v>-886103.73967663909</v>
      </c>
      <c r="D38" s="64">
        <f>'FC common pl 23'!H49</f>
        <v>-917080.43992746982</v>
      </c>
      <c r="E38" s="64">
        <f>'FC common pl 23'!I49</f>
        <v>-948057.14017830079</v>
      </c>
      <c r="F38" s="64">
        <f>'FC common pl 23'!J49</f>
        <v>-979033.84042913164</v>
      </c>
      <c r="G38" s="64">
        <f>'FC common pl 23'!K49</f>
        <v>-1010010.5406799626</v>
      </c>
      <c r="H38" s="64">
        <f>'FC common pl 23'!L49</f>
        <v>-1040987.2409307936</v>
      </c>
      <c r="I38" s="64">
        <f>'FC common pl 23'!M49</f>
        <v>-1071963.9411816245</v>
      </c>
      <c r="J38" s="64">
        <f>'FC common pl 23'!N49</f>
        <v>-1102940.6414324555</v>
      </c>
      <c r="K38" s="64">
        <f>'FC common pl 23'!O49</f>
        <v>-1133917.3416832865</v>
      </c>
      <c r="L38" s="64">
        <f>'FC common pl 23'!P49</f>
        <v>-1164894.0419341174</v>
      </c>
      <c r="M38" s="64">
        <f>'FC common pl 23'!Q49</f>
        <v>-1195870.7421849482</v>
      </c>
      <c r="N38" s="64">
        <f>'FC common pl 23'!R49</f>
        <v>-1226847.4424357789</v>
      </c>
      <c r="O38" s="64">
        <f>'FC common pl 23'!S49</f>
        <v>-1257824.1426866099</v>
      </c>
      <c r="P38" s="2">
        <f t="shared" ref="P38:P51" si="4">SUM(C38:O38)</f>
        <v>-13935531.235361118</v>
      </c>
      <c r="Q38" s="2">
        <f t="shared" ref="Q38:Q51" si="5">P38/13</f>
        <v>-1071963.9411816245</v>
      </c>
      <c r="R38" s="24"/>
      <c r="S38" s="25" t="s">
        <v>42</v>
      </c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3"/>
    </row>
    <row r="39" spans="1:34" x14ac:dyDescent="0.25">
      <c r="A39" s="13" t="s">
        <v>45</v>
      </c>
      <c r="B39" s="13" t="s">
        <v>76</v>
      </c>
      <c r="C39" s="2">
        <f>'WC def tax 22'!O39</f>
        <v>0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2">
        <f t="shared" si="4"/>
        <v>0</v>
      </c>
      <c r="Q39" s="2">
        <f t="shared" si="5"/>
        <v>0</v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3"/>
    </row>
    <row r="40" spans="1:34" x14ac:dyDescent="0.25">
      <c r="A40" s="13" t="s">
        <v>47</v>
      </c>
      <c r="B40" s="13" t="s">
        <v>77</v>
      </c>
      <c r="C40" s="2">
        <f>'WC def tax 22'!O40</f>
        <v>0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2">
        <f t="shared" si="4"/>
        <v>0</v>
      </c>
      <c r="Q40" s="2">
        <f t="shared" si="5"/>
        <v>0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3"/>
    </row>
    <row r="41" spans="1:34" x14ac:dyDescent="0.25">
      <c r="A41" s="13" t="s">
        <v>49</v>
      </c>
      <c r="B41" s="13" t="s">
        <v>78</v>
      </c>
      <c r="C41" s="2">
        <f>'WC def tax 22'!O41</f>
        <v>0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2">
        <f t="shared" si="4"/>
        <v>0</v>
      </c>
      <c r="Q41" s="2">
        <f t="shared" si="5"/>
        <v>0</v>
      </c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3"/>
    </row>
    <row r="42" spans="1:34" x14ac:dyDescent="0.25">
      <c r="A42" s="13" t="s">
        <v>51</v>
      </c>
      <c r="B42" s="13" t="s">
        <v>79</v>
      </c>
      <c r="C42" s="2">
        <f>'WC def tax 22'!O42</f>
        <v>0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2">
        <f t="shared" si="4"/>
        <v>0</v>
      </c>
      <c r="Q42" s="2">
        <f t="shared" si="5"/>
        <v>0</v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3"/>
    </row>
    <row r="43" spans="1:34" x14ac:dyDescent="0.25">
      <c r="A43" s="13" t="s">
        <v>53</v>
      </c>
      <c r="B43" s="13" t="s">
        <v>80</v>
      </c>
      <c r="C43" s="2">
        <f>'WC def tax 22'!O43</f>
        <v>0</v>
      </c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2">
        <f t="shared" si="4"/>
        <v>0</v>
      </c>
      <c r="Q43" s="2">
        <f t="shared" si="5"/>
        <v>0</v>
      </c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3"/>
    </row>
    <row r="44" spans="1:34" x14ac:dyDescent="0.25">
      <c r="A44" s="13" t="s">
        <v>55</v>
      </c>
      <c r="B44" s="13" t="s">
        <v>81</v>
      </c>
      <c r="C44" s="2">
        <f>'WC def tax 22'!O44</f>
        <v>0</v>
      </c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2">
        <f t="shared" si="4"/>
        <v>0</v>
      </c>
      <c r="Q44" s="2">
        <f t="shared" si="5"/>
        <v>0</v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3"/>
    </row>
    <row r="45" spans="1:34" x14ac:dyDescent="0.25">
      <c r="A45" s="13" t="s">
        <v>57</v>
      </c>
      <c r="B45" s="13" t="s">
        <v>82</v>
      </c>
      <c r="C45" s="2">
        <f>'WC def tax 22'!O45</f>
        <v>0</v>
      </c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2">
        <f t="shared" si="4"/>
        <v>0</v>
      </c>
      <c r="Q45" s="2">
        <f t="shared" si="5"/>
        <v>0</v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3"/>
    </row>
    <row r="46" spans="1:34" x14ac:dyDescent="0.25">
      <c r="A46" s="13" t="s">
        <v>59</v>
      </c>
      <c r="B46" s="13" t="s">
        <v>83</v>
      </c>
      <c r="C46" s="2">
        <f>'WC def tax 22'!O46</f>
        <v>0</v>
      </c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2">
        <f t="shared" si="4"/>
        <v>0</v>
      </c>
      <c r="Q46" s="2">
        <f t="shared" si="5"/>
        <v>0</v>
      </c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3"/>
    </row>
    <row r="47" spans="1:34" x14ac:dyDescent="0.25">
      <c r="A47" s="13" t="s">
        <v>61</v>
      </c>
      <c r="B47" s="13" t="s">
        <v>84</v>
      </c>
      <c r="C47" s="2">
        <f>'WC def tax 22'!O47</f>
        <v>0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2">
        <f t="shared" si="4"/>
        <v>0</v>
      </c>
      <c r="Q47" s="2">
        <f t="shared" si="5"/>
        <v>0</v>
      </c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3"/>
    </row>
    <row r="48" spans="1:34" x14ac:dyDescent="0.25">
      <c r="A48" s="13" t="s">
        <v>63</v>
      </c>
      <c r="B48" s="13" t="s">
        <v>85</v>
      </c>
      <c r="C48" s="2">
        <f>'WC def tax 22'!O48</f>
        <v>0</v>
      </c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2">
        <f t="shared" si="4"/>
        <v>0</v>
      </c>
      <c r="Q48" s="2">
        <f t="shared" si="5"/>
        <v>0</v>
      </c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3"/>
    </row>
    <row r="49" spans="1:34" x14ac:dyDescent="0.25">
      <c r="A49" s="140" t="s">
        <v>86</v>
      </c>
      <c r="B49" s="140" t="s">
        <v>87</v>
      </c>
      <c r="C49" s="2">
        <f>'WC def tax 22'!O49</f>
        <v>0</v>
      </c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2">
        <f t="shared" si="4"/>
        <v>0</v>
      </c>
      <c r="Q49" s="2">
        <f t="shared" si="5"/>
        <v>0</v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3"/>
    </row>
    <row r="50" spans="1:34" x14ac:dyDescent="0.25">
      <c r="A50" s="140" t="s">
        <v>88</v>
      </c>
      <c r="B50" s="140" t="s">
        <v>89</v>
      </c>
      <c r="C50" s="2">
        <f>'WC def tax 22'!O50</f>
        <v>0</v>
      </c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2">
        <f t="shared" si="4"/>
        <v>0</v>
      </c>
      <c r="Q50" s="2">
        <f t="shared" si="5"/>
        <v>0</v>
      </c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3"/>
    </row>
    <row r="51" spans="1:34" x14ac:dyDescent="0.25">
      <c r="A51" s="140" t="s">
        <v>90</v>
      </c>
      <c r="B51" s="140" t="s">
        <v>91</v>
      </c>
      <c r="C51" s="2">
        <f>'WC def tax 22'!O51</f>
        <v>0</v>
      </c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2">
        <f t="shared" si="4"/>
        <v>0</v>
      </c>
      <c r="Q51" s="2">
        <f t="shared" si="5"/>
        <v>0</v>
      </c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3"/>
    </row>
    <row r="52" spans="1:34" x14ac:dyDescent="0.25">
      <c r="C52" s="26" t="s">
        <v>67</v>
      </c>
      <c r="D52" s="26" t="s">
        <v>67</v>
      </c>
      <c r="E52" s="26" t="s">
        <v>67</v>
      </c>
      <c r="F52" s="26" t="s">
        <v>67</v>
      </c>
      <c r="G52" s="26" t="s">
        <v>67</v>
      </c>
      <c r="H52" s="26" t="s">
        <v>67</v>
      </c>
      <c r="I52" s="26" t="s">
        <v>67</v>
      </c>
      <c r="J52" s="26" t="s">
        <v>67</v>
      </c>
      <c r="K52" s="26" t="s">
        <v>67</v>
      </c>
      <c r="L52" s="26" t="s">
        <v>67</v>
      </c>
      <c r="M52" s="26" t="s">
        <v>67</v>
      </c>
      <c r="N52" s="26" t="s">
        <v>67</v>
      </c>
      <c r="O52" s="26" t="s">
        <v>67</v>
      </c>
      <c r="P52" s="26" t="s">
        <v>67</v>
      </c>
      <c r="Q52" s="26" t="s">
        <v>67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3"/>
    </row>
    <row r="53" spans="1:34" x14ac:dyDescent="0.25">
      <c r="A53" s="21" t="s">
        <v>92</v>
      </c>
      <c r="B53" s="22"/>
      <c r="C53" s="23">
        <f>SUM(C38:C51)</f>
        <v>-886103.73967663909</v>
      </c>
      <c r="D53" s="23">
        <f t="shared" ref="D53:Q53" si="6">SUM(D38:D51)</f>
        <v>-917080.43992746982</v>
      </c>
      <c r="E53" s="23">
        <f t="shared" si="6"/>
        <v>-948057.14017830079</v>
      </c>
      <c r="F53" s="23">
        <f t="shared" si="6"/>
        <v>-979033.84042913164</v>
      </c>
      <c r="G53" s="23">
        <f t="shared" si="6"/>
        <v>-1010010.5406799626</v>
      </c>
      <c r="H53" s="23">
        <f t="shared" si="6"/>
        <v>-1040987.2409307936</v>
      </c>
      <c r="I53" s="23">
        <f t="shared" si="6"/>
        <v>-1071963.9411816245</v>
      </c>
      <c r="J53" s="23">
        <f t="shared" si="6"/>
        <v>-1102940.6414324555</v>
      </c>
      <c r="K53" s="23">
        <f t="shared" si="6"/>
        <v>-1133917.3416832865</v>
      </c>
      <c r="L53" s="23">
        <f t="shared" si="6"/>
        <v>-1164894.0419341174</v>
      </c>
      <c r="M53" s="23">
        <f t="shared" si="6"/>
        <v>-1195870.7421849482</v>
      </c>
      <c r="N53" s="23">
        <f t="shared" si="6"/>
        <v>-1226847.4424357789</v>
      </c>
      <c r="O53" s="23">
        <f t="shared" si="6"/>
        <v>-1257824.1426866099</v>
      </c>
      <c r="P53" s="23">
        <f t="shared" si="6"/>
        <v>-13935531.235361118</v>
      </c>
      <c r="Q53" s="23">
        <f t="shared" si="6"/>
        <v>-1071963.9411816245</v>
      </c>
      <c r="R53" s="15">
        <f>SUM(T53:Y53)-Q53</f>
        <v>1071963.9411816245</v>
      </c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27"/>
    </row>
    <row r="54" spans="1:34" x14ac:dyDescent="0.2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3"/>
    </row>
    <row r="55" spans="1:34" ht="15.75" x14ac:dyDescent="0.3">
      <c r="A55" s="18" t="s">
        <v>93</v>
      </c>
      <c r="B55" s="19"/>
      <c r="C55" s="20">
        <f>C53+C35+C30</f>
        <v>10753178.490323361</v>
      </c>
      <c r="D55" s="20">
        <f t="shared" ref="D55:Q55" si="7">D53+D35+D30</f>
        <v>10722201.790072531</v>
      </c>
      <c r="E55" s="20">
        <f t="shared" si="7"/>
        <v>10691225.0898217</v>
      </c>
      <c r="F55" s="20">
        <f t="shared" si="7"/>
        <v>10660248.38957087</v>
      </c>
      <c r="G55" s="20">
        <f t="shared" si="7"/>
        <v>10629271.689320037</v>
      </c>
      <c r="H55" s="20">
        <f t="shared" si="7"/>
        <v>10598294.989069207</v>
      </c>
      <c r="I55" s="20">
        <f t="shared" si="7"/>
        <v>10567318.288818376</v>
      </c>
      <c r="J55" s="20">
        <f t="shared" si="7"/>
        <v>10536341.588567546</v>
      </c>
      <c r="K55" s="20">
        <f t="shared" si="7"/>
        <v>10505364.888316713</v>
      </c>
      <c r="L55" s="20">
        <f t="shared" si="7"/>
        <v>10474388.188065883</v>
      </c>
      <c r="M55" s="20">
        <f t="shared" si="7"/>
        <v>10443411.487815052</v>
      </c>
      <c r="N55" s="20">
        <f t="shared" si="7"/>
        <v>10412434.787564222</v>
      </c>
      <c r="O55" s="20">
        <f t="shared" si="7"/>
        <v>10381458.087313391</v>
      </c>
      <c r="P55" s="20">
        <f t="shared" si="7"/>
        <v>137375137.75463888</v>
      </c>
      <c r="Q55" s="20">
        <f t="shared" si="7"/>
        <v>10567318.288818376</v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3"/>
    </row>
    <row r="56" spans="1:34" ht="15.75" x14ac:dyDescent="0.3">
      <c r="A56" s="18" t="s">
        <v>94</v>
      </c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3"/>
    </row>
    <row r="57" spans="1:34" x14ac:dyDescent="0.25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3"/>
    </row>
    <row r="58" spans="1:34" x14ac:dyDescent="0.25">
      <c r="A58" s="21" t="s">
        <v>95</v>
      </c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3"/>
    </row>
    <row r="59" spans="1:34" x14ac:dyDescent="0.25">
      <c r="A59" s="13" t="s">
        <v>96</v>
      </c>
      <c r="B59" s="13" t="s">
        <v>97</v>
      </c>
      <c r="C59" s="2">
        <f>'WC def tax 22'!O59</f>
        <v>19699280</v>
      </c>
      <c r="D59" s="2">
        <v>19699280</v>
      </c>
      <c r="E59" s="2">
        <v>19699280</v>
      </c>
      <c r="F59" s="2">
        <v>19699280</v>
      </c>
      <c r="G59" s="2">
        <v>19699280</v>
      </c>
      <c r="H59" s="2">
        <v>19699280</v>
      </c>
      <c r="I59" s="2">
        <v>19699280</v>
      </c>
      <c r="J59" s="2">
        <v>19699280</v>
      </c>
      <c r="K59" s="2">
        <v>19699280</v>
      </c>
      <c r="L59" s="2">
        <v>19699280</v>
      </c>
      <c r="M59" s="2">
        <v>19699280</v>
      </c>
      <c r="N59" s="2">
        <v>19699280</v>
      </c>
      <c r="O59" s="2">
        <v>19699280</v>
      </c>
      <c r="P59" s="2">
        <f t="shared" ref="P59:P64" si="8">SUM(C59:O59)</f>
        <v>256090640</v>
      </c>
      <c r="Q59" s="2">
        <f t="shared" ref="Q59:Q64" si="9">P59/13</f>
        <v>19699280</v>
      </c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3"/>
    </row>
    <row r="60" spans="1:34" x14ac:dyDescent="0.25">
      <c r="A60" s="13" t="s">
        <v>98</v>
      </c>
      <c r="B60" s="13" t="s">
        <v>99</v>
      </c>
      <c r="C60" s="2">
        <f>'WC def tax 22'!O60</f>
        <v>9502865</v>
      </c>
      <c r="D60" s="2">
        <v>9502865</v>
      </c>
      <c r="E60" s="2">
        <v>9502865</v>
      </c>
      <c r="F60" s="2">
        <v>9502865</v>
      </c>
      <c r="G60" s="2">
        <v>9502865</v>
      </c>
      <c r="H60" s="2">
        <v>9502865</v>
      </c>
      <c r="I60" s="2">
        <v>9502865</v>
      </c>
      <c r="J60" s="2">
        <v>9502865</v>
      </c>
      <c r="K60" s="2">
        <v>9502865</v>
      </c>
      <c r="L60" s="2">
        <v>9502865</v>
      </c>
      <c r="M60" s="2">
        <v>9502865</v>
      </c>
      <c r="N60" s="2">
        <v>9502865</v>
      </c>
      <c r="O60" s="2">
        <v>9502865</v>
      </c>
      <c r="P60" s="2">
        <f t="shared" si="8"/>
        <v>123537245</v>
      </c>
      <c r="Q60" s="2">
        <f t="shared" si="9"/>
        <v>9502865</v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3"/>
    </row>
    <row r="61" spans="1:34" x14ac:dyDescent="0.25">
      <c r="A61" s="13" t="s">
        <v>100</v>
      </c>
      <c r="B61" s="13" t="s">
        <v>101</v>
      </c>
      <c r="C61" s="2">
        <f>'WC def tax 22'!O61</f>
        <v>-234850</v>
      </c>
      <c r="D61" s="2">
        <v>-234850</v>
      </c>
      <c r="E61" s="2">
        <v>-234850</v>
      </c>
      <c r="F61" s="2">
        <v>-234850</v>
      </c>
      <c r="G61" s="2">
        <v>-234850</v>
      </c>
      <c r="H61" s="2">
        <v>-234850</v>
      </c>
      <c r="I61" s="2">
        <v>-234850</v>
      </c>
      <c r="J61" s="2">
        <v>-234850</v>
      </c>
      <c r="K61" s="2">
        <v>-234850</v>
      </c>
      <c r="L61" s="2">
        <v>-234850</v>
      </c>
      <c r="M61" s="2">
        <v>-234850</v>
      </c>
      <c r="N61" s="2">
        <v>-234850</v>
      </c>
      <c r="O61" s="2">
        <v>-234850</v>
      </c>
      <c r="P61" s="2">
        <f t="shared" si="8"/>
        <v>-3053050</v>
      </c>
      <c r="Q61" s="2">
        <f t="shared" si="9"/>
        <v>-234850</v>
      </c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3"/>
    </row>
    <row r="62" spans="1:34" x14ac:dyDescent="0.25">
      <c r="A62" s="13" t="s">
        <v>102</v>
      </c>
      <c r="B62" s="13" t="s">
        <v>103</v>
      </c>
      <c r="C62" s="2">
        <f>'WC def tax 22'!O62</f>
        <v>2980568</v>
      </c>
      <c r="D62" s="2">
        <v>2980568</v>
      </c>
      <c r="E62" s="2">
        <v>2980568</v>
      </c>
      <c r="F62" s="2">
        <v>2980568</v>
      </c>
      <c r="G62" s="2">
        <v>2980568</v>
      </c>
      <c r="H62" s="2">
        <v>2980568</v>
      </c>
      <c r="I62" s="2">
        <v>2980568</v>
      </c>
      <c r="J62" s="2">
        <v>2980568</v>
      </c>
      <c r="K62" s="2">
        <v>2980568</v>
      </c>
      <c r="L62" s="2">
        <v>2980568</v>
      </c>
      <c r="M62" s="2">
        <v>2980568</v>
      </c>
      <c r="N62" s="2">
        <v>2980568</v>
      </c>
      <c r="O62" s="2">
        <v>2980568</v>
      </c>
      <c r="P62" s="2">
        <f t="shared" si="8"/>
        <v>38747384</v>
      </c>
      <c r="Q62" s="2">
        <f t="shared" si="9"/>
        <v>2980568</v>
      </c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3"/>
    </row>
    <row r="63" spans="1:34" x14ac:dyDescent="0.25">
      <c r="A63" s="13" t="s">
        <v>104</v>
      </c>
      <c r="B63" s="13" t="s">
        <v>105</v>
      </c>
      <c r="C63" s="2">
        <f>'WC def tax 22'!O63</f>
        <v>77756946</v>
      </c>
      <c r="D63" s="2">
        <v>77756946</v>
      </c>
      <c r="E63" s="2">
        <v>77756946</v>
      </c>
      <c r="F63" s="2">
        <v>77756946</v>
      </c>
      <c r="G63" s="2">
        <v>77756946</v>
      </c>
      <c r="H63" s="2">
        <v>77756946</v>
      </c>
      <c r="I63" s="2">
        <v>77756946</v>
      </c>
      <c r="J63" s="2">
        <v>77756946</v>
      </c>
      <c r="K63" s="2">
        <v>77756946</v>
      </c>
      <c r="L63" s="2">
        <v>77756946</v>
      </c>
      <c r="M63" s="2">
        <v>77756946</v>
      </c>
      <c r="N63" s="2">
        <v>77756946</v>
      </c>
      <c r="O63" s="2">
        <v>77756946</v>
      </c>
      <c r="P63" s="2">
        <f t="shared" si="8"/>
        <v>1010840298</v>
      </c>
      <c r="Q63" s="2">
        <f t="shared" si="9"/>
        <v>77756946</v>
      </c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3"/>
    </row>
    <row r="64" spans="1:34" x14ac:dyDescent="0.25">
      <c r="A64" s="13" t="s">
        <v>106</v>
      </c>
      <c r="B64" s="13" t="s">
        <v>107</v>
      </c>
      <c r="C64" s="2">
        <f>'WC def tax 22'!O64</f>
        <v>-388179</v>
      </c>
      <c r="D64" s="2">
        <v>-388179</v>
      </c>
      <c r="E64" s="2">
        <v>-388179</v>
      </c>
      <c r="F64" s="2">
        <v>-388179</v>
      </c>
      <c r="G64" s="2">
        <v>-388179</v>
      </c>
      <c r="H64" s="2">
        <v>-388179</v>
      </c>
      <c r="I64" s="2">
        <v>-388179</v>
      </c>
      <c r="J64" s="2">
        <v>-388179</v>
      </c>
      <c r="K64" s="2">
        <v>-388179</v>
      </c>
      <c r="L64" s="2">
        <v>-388179</v>
      </c>
      <c r="M64" s="2">
        <v>-388179</v>
      </c>
      <c r="N64" s="2">
        <v>-388179</v>
      </c>
      <c r="O64" s="2">
        <v>-388179</v>
      </c>
      <c r="P64" s="2">
        <f t="shared" si="8"/>
        <v>-5046327</v>
      </c>
      <c r="Q64" s="2">
        <f t="shared" si="9"/>
        <v>-388179</v>
      </c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3"/>
    </row>
    <row r="65" spans="1:34" x14ac:dyDescent="0.25">
      <c r="C65" s="26" t="s">
        <v>67</v>
      </c>
      <c r="D65" s="26" t="s">
        <v>67</v>
      </c>
      <c r="E65" s="26" t="s">
        <v>67</v>
      </c>
      <c r="F65" s="26" t="s">
        <v>67</v>
      </c>
      <c r="G65" s="26" t="s">
        <v>67</v>
      </c>
      <c r="H65" s="26" t="s">
        <v>67</v>
      </c>
      <c r="I65" s="26" t="s">
        <v>67</v>
      </c>
      <c r="J65" s="26" t="s">
        <v>67</v>
      </c>
      <c r="K65" s="26" t="s">
        <v>67</v>
      </c>
      <c r="L65" s="26" t="s">
        <v>67</v>
      </c>
      <c r="M65" s="26" t="s">
        <v>67</v>
      </c>
      <c r="N65" s="26" t="s">
        <v>67</v>
      </c>
      <c r="O65" s="26" t="s">
        <v>67</v>
      </c>
      <c r="P65" s="26" t="s">
        <v>67</v>
      </c>
      <c r="Q65" s="26" t="s">
        <v>67</v>
      </c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3"/>
    </row>
    <row r="66" spans="1:34" x14ac:dyDescent="0.25">
      <c r="A66" s="21" t="s">
        <v>108</v>
      </c>
      <c r="B66" s="22"/>
      <c r="C66" s="23">
        <f>SUM(C59:C64)</f>
        <v>109316630</v>
      </c>
      <c r="D66" s="23">
        <f t="shared" ref="D66:P66" si="10">SUM(D59:D64)</f>
        <v>109316630</v>
      </c>
      <c r="E66" s="23">
        <f t="shared" si="10"/>
        <v>109316630</v>
      </c>
      <c r="F66" s="23">
        <f t="shared" si="10"/>
        <v>109316630</v>
      </c>
      <c r="G66" s="23">
        <f t="shared" si="10"/>
        <v>109316630</v>
      </c>
      <c r="H66" s="23">
        <f t="shared" si="10"/>
        <v>109316630</v>
      </c>
      <c r="I66" s="23">
        <f t="shared" si="10"/>
        <v>109316630</v>
      </c>
      <c r="J66" s="23">
        <f t="shared" si="10"/>
        <v>109316630</v>
      </c>
      <c r="K66" s="23">
        <f t="shared" si="10"/>
        <v>109316630</v>
      </c>
      <c r="L66" s="23">
        <f t="shared" si="10"/>
        <v>109316630</v>
      </c>
      <c r="M66" s="23">
        <f t="shared" si="10"/>
        <v>109316630</v>
      </c>
      <c r="N66" s="23">
        <f t="shared" si="10"/>
        <v>109316630</v>
      </c>
      <c r="O66" s="23">
        <f t="shared" si="10"/>
        <v>109316630</v>
      </c>
      <c r="P66" s="23">
        <f t="shared" si="10"/>
        <v>1421116190</v>
      </c>
      <c r="Q66" s="23">
        <v>109316630</v>
      </c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3"/>
    </row>
    <row r="67" spans="1:34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3"/>
    </row>
    <row r="68" spans="1:34" ht="15.75" x14ac:dyDescent="0.3">
      <c r="A68" s="18" t="s">
        <v>109</v>
      </c>
      <c r="B68" s="19"/>
      <c r="C68" s="20">
        <f>C66</f>
        <v>109316630</v>
      </c>
      <c r="D68" s="20">
        <f t="shared" ref="D68:Q68" si="11">D66</f>
        <v>109316630</v>
      </c>
      <c r="E68" s="20">
        <f t="shared" si="11"/>
        <v>109316630</v>
      </c>
      <c r="F68" s="20">
        <f t="shared" si="11"/>
        <v>109316630</v>
      </c>
      <c r="G68" s="20">
        <f t="shared" si="11"/>
        <v>109316630</v>
      </c>
      <c r="H68" s="20">
        <f t="shared" si="11"/>
        <v>109316630</v>
      </c>
      <c r="I68" s="20">
        <f t="shared" si="11"/>
        <v>109316630</v>
      </c>
      <c r="J68" s="20">
        <f t="shared" si="11"/>
        <v>109316630</v>
      </c>
      <c r="K68" s="20">
        <f t="shared" si="11"/>
        <v>109316630</v>
      </c>
      <c r="L68" s="20">
        <f t="shared" si="11"/>
        <v>109316630</v>
      </c>
      <c r="M68" s="20">
        <f t="shared" si="11"/>
        <v>109316630</v>
      </c>
      <c r="N68" s="20">
        <f t="shared" si="11"/>
        <v>109316630</v>
      </c>
      <c r="O68" s="20">
        <f t="shared" si="11"/>
        <v>109316630</v>
      </c>
      <c r="P68" s="20">
        <f t="shared" si="11"/>
        <v>1421116190</v>
      </c>
      <c r="Q68" s="20">
        <f t="shared" si="11"/>
        <v>109316630</v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3"/>
    </row>
    <row r="69" spans="1:34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3"/>
    </row>
    <row r="70" spans="1:34" ht="15.75" x14ac:dyDescent="0.3">
      <c r="A70" s="18" t="s">
        <v>110</v>
      </c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3"/>
    </row>
    <row r="71" spans="1:34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3"/>
    </row>
    <row r="72" spans="1:34" x14ac:dyDescent="0.25">
      <c r="A72" s="21" t="s">
        <v>111</v>
      </c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3"/>
    </row>
    <row r="73" spans="1:34" x14ac:dyDescent="0.25">
      <c r="A73" s="13" t="s">
        <v>112</v>
      </c>
      <c r="B73" s="13" t="s">
        <v>113</v>
      </c>
      <c r="C73" s="2">
        <f>'WC def tax 22'!O73</f>
        <v>-1150900.5657166666</v>
      </c>
      <c r="D73" s="64">
        <f>(($P73-$C73)/12)</f>
        <v>-1096191.4661992709</v>
      </c>
      <c r="E73" s="64">
        <f t="shared" ref="E73:O77" si="12">(($P73-$C73)/12)</f>
        <v>-1096191.4661992709</v>
      </c>
      <c r="F73" s="64">
        <f t="shared" si="12"/>
        <v>-1096191.4661992709</v>
      </c>
      <c r="G73" s="64">
        <f t="shared" si="12"/>
        <v>-1096191.4661992709</v>
      </c>
      <c r="H73" s="64">
        <f t="shared" si="12"/>
        <v>-1096191.4661992709</v>
      </c>
      <c r="I73" s="64">
        <f t="shared" si="12"/>
        <v>-1096191.4661992709</v>
      </c>
      <c r="J73" s="64">
        <f t="shared" si="12"/>
        <v>-1096191.4661992709</v>
      </c>
      <c r="K73" s="64">
        <f t="shared" si="12"/>
        <v>-1096191.4661992709</v>
      </c>
      <c r="L73" s="64">
        <f t="shared" si="12"/>
        <v>-1096191.4661992709</v>
      </c>
      <c r="M73" s="64">
        <f t="shared" si="12"/>
        <v>-1096191.4661992709</v>
      </c>
      <c r="N73" s="64">
        <f t="shared" si="12"/>
        <v>-1096191.4661992709</v>
      </c>
      <c r="O73" s="64">
        <f t="shared" si="12"/>
        <v>-1096191.4661992709</v>
      </c>
      <c r="P73" s="2">
        <f>Q73*13</f>
        <v>-14305198.160107918</v>
      </c>
      <c r="Q73" s="2">
        <f>'WC def tax 22'!Q73*1.0572</f>
        <v>-1100399.8584698399</v>
      </c>
      <c r="R73" s="15" t="s">
        <v>502</v>
      </c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3"/>
    </row>
    <row r="74" spans="1:34" x14ac:dyDescent="0.25">
      <c r="A74" s="13" t="s">
        <v>114</v>
      </c>
      <c r="B74" s="13" t="s">
        <v>115</v>
      </c>
      <c r="C74" s="2">
        <f>'WC def tax 22'!O74</f>
        <v>-1141606.1260000002</v>
      </c>
      <c r="D74" s="64">
        <f t="shared" ref="D74:D77" si="13">(($P74-$C74)/12)</f>
        <v>-1158704.4321738668</v>
      </c>
      <c r="E74" s="64">
        <f t="shared" si="12"/>
        <v>-1158704.4321738668</v>
      </c>
      <c r="F74" s="64">
        <f t="shared" si="12"/>
        <v>-1158704.4321738668</v>
      </c>
      <c r="G74" s="64">
        <f t="shared" si="12"/>
        <v>-1158704.4321738668</v>
      </c>
      <c r="H74" s="64">
        <f t="shared" si="12"/>
        <v>-1158704.4321738668</v>
      </c>
      <c r="I74" s="64">
        <f t="shared" si="12"/>
        <v>-1158704.4321738668</v>
      </c>
      <c r="J74" s="64">
        <f t="shared" si="12"/>
        <v>-1158704.4321738668</v>
      </c>
      <c r="K74" s="64">
        <f t="shared" si="12"/>
        <v>-1158704.4321738668</v>
      </c>
      <c r="L74" s="64">
        <f t="shared" si="12"/>
        <v>-1158704.4321738668</v>
      </c>
      <c r="M74" s="64">
        <f t="shared" si="12"/>
        <v>-1158704.4321738668</v>
      </c>
      <c r="N74" s="64">
        <f t="shared" si="12"/>
        <v>-1158704.4321738668</v>
      </c>
      <c r="O74" s="64">
        <f t="shared" si="12"/>
        <v>-1158704.4321738668</v>
      </c>
      <c r="P74" s="2">
        <f t="shared" ref="P74:P77" si="14">Q74*13</f>
        <v>-15046059.312086402</v>
      </c>
      <c r="Q74" s="2">
        <f>'WC def tax 22'!Q74*1.0572</f>
        <v>-1157389.1778528001</v>
      </c>
      <c r="R74" s="15" t="s">
        <v>502</v>
      </c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3"/>
    </row>
    <row r="75" spans="1:34" x14ac:dyDescent="0.25">
      <c r="A75" s="13" t="s">
        <v>116</v>
      </c>
      <c r="B75" s="13" t="s">
        <v>117</v>
      </c>
      <c r="C75" s="2">
        <f>'WC def tax 22'!O75</f>
        <v>-6429.6214166666678</v>
      </c>
      <c r="D75" s="64">
        <f t="shared" si="13"/>
        <v>-6612.2319769777778</v>
      </c>
      <c r="E75" s="64">
        <f t="shared" si="12"/>
        <v>-6612.2319769777778</v>
      </c>
      <c r="F75" s="64">
        <f t="shared" si="12"/>
        <v>-6612.2319769777778</v>
      </c>
      <c r="G75" s="64">
        <f t="shared" si="12"/>
        <v>-6612.2319769777778</v>
      </c>
      <c r="H75" s="64">
        <f t="shared" si="12"/>
        <v>-6612.2319769777778</v>
      </c>
      <c r="I75" s="64">
        <f t="shared" si="12"/>
        <v>-6612.2319769777778</v>
      </c>
      <c r="J75" s="64">
        <f t="shared" si="12"/>
        <v>-6612.2319769777778</v>
      </c>
      <c r="K75" s="64">
        <f t="shared" si="12"/>
        <v>-6612.2319769777778</v>
      </c>
      <c r="L75" s="64">
        <f t="shared" si="12"/>
        <v>-6612.2319769777778</v>
      </c>
      <c r="M75" s="64">
        <f t="shared" si="12"/>
        <v>-6612.2319769777778</v>
      </c>
      <c r="N75" s="64">
        <f t="shared" si="12"/>
        <v>-6612.2319769777778</v>
      </c>
      <c r="O75" s="64">
        <f t="shared" si="12"/>
        <v>-6612.2319769777778</v>
      </c>
      <c r="P75" s="2">
        <f t="shared" si="14"/>
        <v>-85776.405140399991</v>
      </c>
      <c r="Q75" s="2">
        <f>'WC def tax 22'!Q75*1.0572</f>
        <v>-6598.1850107999999</v>
      </c>
      <c r="R75" s="15" t="s">
        <v>502</v>
      </c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3"/>
    </row>
    <row r="76" spans="1:34" x14ac:dyDescent="0.25">
      <c r="A76" s="13" t="s">
        <v>118</v>
      </c>
      <c r="B76" s="13" t="s">
        <v>119</v>
      </c>
      <c r="C76" s="2">
        <f>'WC def tax 22'!O76</f>
        <v>2424042.3954500002</v>
      </c>
      <c r="D76" s="64">
        <f t="shared" si="13"/>
        <v>2507160.778015573</v>
      </c>
      <c r="E76" s="64">
        <f t="shared" si="12"/>
        <v>2507160.778015573</v>
      </c>
      <c r="F76" s="64">
        <f t="shared" si="12"/>
        <v>2507160.778015573</v>
      </c>
      <c r="G76" s="64">
        <f t="shared" si="12"/>
        <v>2507160.778015573</v>
      </c>
      <c r="H76" s="64">
        <f t="shared" si="12"/>
        <v>2507160.778015573</v>
      </c>
      <c r="I76" s="64">
        <f t="shared" si="12"/>
        <v>2507160.778015573</v>
      </c>
      <c r="J76" s="64">
        <f t="shared" si="12"/>
        <v>2507160.778015573</v>
      </c>
      <c r="K76" s="64">
        <f t="shared" si="12"/>
        <v>2507160.778015573</v>
      </c>
      <c r="L76" s="64">
        <f t="shared" si="12"/>
        <v>2507160.778015573</v>
      </c>
      <c r="M76" s="64">
        <f t="shared" si="12"/>
        <v>2507160.778015573</v>
      </c>
      <c r="N76" s="64">
        <f t="shared" si="12"/>
        <v>2507160.778015573</v>
      </c>
      <c r="O76" s="64">
        <f t="shared" si="12"/>
        <v>2507160.778015573</v>
      </c>
      <c r="P76" s="2">
        <f t="shared" si="14"/>
        <v>32509971.731636878</v>
      </c>
      <c r="Q76" s="2">
        <f>'WC def tax 22'!Q76*1.0572</f>
        <v>2500767.0562797599</v>
      </c>
      <c r="R76" s="15" t="s">
        <v>502</v>
      </c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3"/>
    </row>
    <row r="77" spans="1:34" x14ac:dyDescent="0.25">
      <c r="A77" s="30" t="s">
        <v>120</v>
      </c>
      <c r="B77" s="31"/>
      <c r="C77" s="2">
        <f>'WC def tax 22'!O77</f>
        <v>948901.06520000007</v>
      </c>
      <c r="D77" s="64">
        <f t="shared" si="13"/>
        <v>924103.1173627734</v>
      </c>
      <c r="E77" s="64">
        <f t="shared" si="12"/>
        <v>924103.1173627734</v>
      </c>
      <c r="F77" s="64">
        <f t="shared" si="12"/>
        <v>924103.1173627734</v>
      </c>
      <c r="G77" s="64">
        <f t="shared" si="12"/>
        <v>924103.1173627734</v>
      </c>
      <c r="H77" s="64">
        <f t="shared" si="12"/>
        <v>924103.1173627734</v>
      </c>
      <c r="I77" s="64">
        <f t="shared" si="12"/>
        <v>924103.1173627734</v>
      </c>
      <c r="J77" s="64">
        <f t="shared" si="12"/>
        <v>924103.1173627734</v>
      </c>
      <c r="K77" s="64">
        <f t="shared" si="12"/>
        <v>924103.1173627734</v>
      </c>
      <c r="L77" s="64">
        <f t="shared" si="12"/>
        <v>924103.1173627734</v>
      </c>
      <c r="M77" s="64">
        <f t="shared" si="12"/>
        <v>924103.1173627734</v>
      </c>
      <c r="N77" s="64">
        <f t="shared" si="12"/>
        <v>924103.1173627734</v>
      </c>
      <c r="O77" s="64">
        <f t="shared" si="12"/>
        <v>924103.1173627734</v>
      </c>
      <c r="P77" s="2">
        <f t="shared" si="14"/>
        <v>12038138.473553279</v>
      </c>
      <c r="Q77" s="2">
        <f>'WC def tax 22'!Q77*1.0572</f>
        <v>926010.65181179077</v>
      </c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4"/>
    </row>
    <row r="78" spans="1:34" x14ac:dyDescent="0.25">
      <c r="A78" s="35"/>
      <c r="B78" s="35"/>
      <c r="C78" s="36" t="s">
        <v>67</v>
      </c>
      <c r="D78" s="36" t="s">
        <v>67</v>
      </c>
      <c r="E78" s="36" t="s">
        <v>67</v>
      </c>
      <c r="F78" s="36" t="s">
        <v>67</v>
      </c>
      <c r="G78" s="36" t="s">
        <v>67</v>
      </c>
      <c r="H78" s="36" t="s">
        <v>67</v>
      </c>
      <c r="I78" s="36" t="s">
        <v>67</v>
      </c>
      <c r="J78" s="36" t="s">
        <v>67</v>
      </c>
      <c r="K78" s="36" t="s">
        <v>67</v>
      </c>
      <c r="L78" s="36" t="s">
        <v>67</v>
      </c>
      <c r="M78" s="36" t="s">
        <v>67</v>
      </c>
      <c r="N78" s="36" t="s">
        <v>67</v>
      </c>
      <c r="O78" s="36" t="s">
        <v>67</v>
      </c>
      <c r="P78" s="36" t="s">
        <v>67</v>
      </c>
      <c r="Q78" s="36" t="s">
        <v>67</v>
      </c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3"/>
    </row>
    <row r="79" spans="1:34" x14ac:dyDescent="0.25">
      <c r="A79" s="37" t="s">
        <v>121</v>
      </c>
      <c r="B79" s="38"/>
      <c r="C79" s="39">
        <f>SUM(C73:C77)</f>
        <v>1074007.1475166669</v>
      </c>
      <c r="D79" s="39">
        <f t="shared" ref="D79:Q79" si="15">SUM(D73:D77)</f>
        <v>1169755.7650282313</v>
      </c>
      <c r="E79" s="39">
        <f t="shared" si="15"/>
        <v>1169755.7650282313</v>
      </c>
      <c r="F79" s="39">
        <f t="shared" si="15"/>
        <v>1169755.7650282313</v>
      </c>
      <c r="G79" s="39">
        <f t="shared" si="15"/>
        <v>1169755.7650282313</v>
      </c>
      <c r="H79" s="39">
        <f t="shared" si="15"/>
        <v>1169755.7650282313</v>
      </c>
      <c r="I79" s="39">
        <f t="shared" si="15"/>
        <v>1169755.7650282313</v>
      </c>
      <c r="J79" s="39">
        <f t="shared" si="15"/>
        <v>1169755.7650282313</v>
      </c>
      <c r="K79" s="39">
        <f t="shared" si="15"/>
        <v>1169755.7650282313</v>
      </c>
      <c r="L79" s="39">
        <f t="shared" si="15"/>
        <v>1169755.7650282313</v>
      </c>
      <c r="M79" s="39">
        <f t="shared" si="15"/>
        <v>1169755.7650282313</v>
      </c>
      <c r="N79" s="39">
        <f t="shared" si="15"/>
        <v>1169755.7650282313</v>
      </c>
      <c r="O79" s="39">
        <f t="shared" si="15"/>
        <v>1169755.7650282313</v>
      </c>
      <c r="P79" s="39">
        <f t="shared" si="15"/>
        <v>15111076.327855436</v>
      </c>
      <c r="Q79" s="39">
        <f t="shared" si="15"/>
        <v>1162390.4867581101</v>
      </c>
      <c r="R79" s="15">
        <f>SUM(T79:Y79)-Q79</f>
        <v>0</v>
      </c>
      <c r="S79" s="15" t="s">
        <v>16</v>
      </c>
      <c r="T79" s="15">
        <f>$Q79*T$5</f>
        <v>247589.17367947745</v>
      </c>
      <c r="U79" s="15">
        <f t="shared" ref="U79:Y79" si="16">$Q79*U$5</f>
        <v>404511.88939182227</v>
      </c>
      <c r="V79" s="15">
        <f t="shared" si="16"/>
        <v>167384.23009316783</v>
      </c>
      <c r="W79" s="15">
        <f t="shared" si="16"/>
        <v>1162.3904867581102</v>
      </c>
      <c r="X79" s="15">
        <f t="shared" si="16"/>
        <v>1162.3904867581102</v>
      </c>
      <c r="Y79" s="15">
        <f t="shared" si="16"/>
        <v>340580.41262012627</v>
      </c>
      <c r="Z79" s="15"/>
      <c r="AA79" s="15" t="s">
        <v>16</v>
      </c>
      <c r="AB79" s="15">
        <f>$O79*AB$5</f>
        <v>249157.97795101325</v>
      </c>
      <c r="AC79" s="15">
        <f t="shared" ref="AC79:AG79" si="17">$O79*AC$5</f>
        <v>407075.00622982444</v>
      </c>
      <c r="AD79" s="15">
        <f t="shared" si="17"/>
        <v>168444.83016406529</v>
      </c>
      <c r="AE79" s="15">
        <f t="shared" si="17"/>
        <v>1169.7557650282313</v>
      </c>
      <c r="AF79" s="15">
        <f t="shared" si="17"/>
        <v>1169.7557650282313</v>
      </c>
      <c r="AG79" s="15">
        <f t="shared" si="17"/>
        <v>342738.43915327173</v>
      </c>
      <c r="AH79" s="27">
        <f>SUM(AB79:AG79)-O79</f>
        <v>0</v>
      </c>
    </row>
    <row r="80" spans="1:34" x14ac:dyDescent="0.25">
      <c r="A80" s="35"/>
      <c r="B80" s="35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3"/>
    </row>
    <row r="81" spans="1:34" x14ac:dyDescent="0.25">
      <c r="A81" s="21" t="s">
        <v>122</v>
      </c>
      <c r="B81" s="22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3"/>
    </row>
    <row r="82" spans="1:34" x14ac:dyDescent="0.25">
      <c r="A82" s="13" t="s">
        <v>123</v>
      </c>
      <c r="B82" s="13" t="s">
        <v>124</v>
      </c>
      <c r="C82" s="2">
        <f>'WC def tax 22'!O82</f>
        <v>-3234113.5564166666</v>
      </c>
      <c r="D82" s="64">
        <f t="shared" ref="D82:O84" si="18">(($P82-$C82)/12)</f>
        <v>-3366707.0906089772</v>
      </c>
      <c r="E82" s="64">
        <f t="shared" si="18"/>
        <v>-3366707.0906089772</v>
      </c>
      <c r="F82" s="64">
        <f t="shared" si="18"/>
        <v>-3366707.0906089772</v>
      </c>
      <c r="G82" s="64">
        <f t="shared" si="18"/>
        <v>-3366707.0906089772</v>
      </c>
      <c r="H82" s="64">
        <f t="shared" si="18"/>
        <v>-3366707.0906089772</v>
      </c>
      <c r="I82" s="64">
        <f t="shared" si="18"/>
        <v>-3366707.0906089772</v>
      </c>
      <c r="J82" s="64">
        <f t="shared" si="18"/>
        <v>-3366707.0906089772</v>
      </c>
      <c r="K82" s="64">
        <f t="shared" si="18"/>
        <v>-3366707.0906089772</v>
      </c>
      <c r="L82" s="64">
        <f t="shared" si="18"/>
        <v>-3366707.0906089772</v>
      </c>
      <c r="M82" s="64">
        <f t="shared" si="18"/>
        <v>-3366707.0906089772</v>
      </c>
      <c r="N82" s="64">
        <f t="shared" si="18"/>
        <v>-3366707.0906089772</v>
      </c>
      <c r="O82" s="64">
        <f t="shared" si="18"/>
        <v>-3366707.0906089772</v>
      </c>
      <c r="P82" s="2">
        <f t="shared" ref="P82:P84" si="19">Q82*13</f>
        <v>-43634598.643724397</v>
      </c>
      <c r="Q82" s="2">
        <f>'WC def tax 22'!Q82*1.0572</f>
        <v>-3356507.5879787998</v>
      </c>
      <c r="R82" s="15" t="s">
        <v>502</v>
      </c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3"/>
    </row>
    <row r="83" spans="1:34" x14ac:dyDescent="0.25">
      <c r="A83" s="13" t="s">
        <v>125</v>
      </c>
      <c r="B83" s="13" t="s">
        <v>126</v>
      </c>
      <c r="C83" s="2">
        <f>'WC def tax 22'!O83</f>
        <v>-353966.93404999998</v>
      </c>
      <c r="D83" s="64">
        <f t="shared" si="18"/>
        <v>-413577.93687349325</v>
      </c>
      <c r="E83" s="64">
        <f t="shared" si="18"/>
        <v>-413577.93687349325</v>
      </c>
      <c r="F83" s="64">
        <f t="shared" si="18"/>
        <v>-413577.93687349325</v>
      </c>
      <c r="G83" s="64">
        <f t="shared" si="18"/>
        <v>-413577.93687349325</v>
      </c>
      <c r="H83" s="64">
        <f t="shared" si="18"/>
        <v>-413577.93687349325</v>
      </c>
      <c r="I83" s="64">
        <f t="shared" si="18"/>
        <v>-413577.93687349325</v>
      </c>
      <c r="J83" s="64">
        <f t="shared" si="18"/>
        <v>-413577.93687349325</v>
      </c>
      <c r="K83" s="64">
        <f t="shared" si="18"/>
        <v>-413577.93687349325</v>
      </c>
      <c r="L83" s="64">
        <f t="shared" si="18"/>
        <v>-413577.93687349325</v>
      </c>
      <c r="M83" s="64">
        <f t="shared" si="18"/>
        <v>-413577.93687349325</v>
      </c>
      <c r="N83" s="64">
        <f t="shared" si="18"/>
        <v>-413577.93687349325</v>
      </c>
      <c r="O83" s="64">
        <f t="shared" si="18"/>
        <v>-413577.93687349325</v>
      </c>
      <c r="P83" s="2">
        <f t="shared" si="19"/>
        <v>-5316902.1765319193</v>
      </c>
      <c r="Q83" s="2">
        <f>'WC def tax 22'!Q83*1.0572</f>
        <v>-408992.47511783993</v>
      </c>
      <c r="R83" s="15" t="s">
        <v>502</v>
      </c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 spans="1:34" x14ac:dyDescent="0.25">
      <c r="A84" s="13" t="s">
        <v>127</v>
      </c>
      <c r="B84" s="13" t="s">
        <v>128</v>
      </c>
      <c r="C84" s="2">
        <f>'WC def tax 22'!O84</f>
        <v>3234113.5564166666</v>
      </c>
      <c r="D84" s="64">
        <f t="shared" si="18"/>
        <v>3366707.0906089772</v>
      </c>
      <c r="E84" s="64">
        <f t="shared" si="18"/>
        <v>3366707.0906089772</v>
      </c>
      <c r="F84" s="64">
        <f t="shared" si="18"/>
        <v>3366707.0906089772</v>
      </c>
      <c r="G84" s="64">
        <f t="shared" si="18"/>
        <v>3366707.0906089772</v>
      </c>
      <c r="H84" s="64">
        <f t="shared" si="18"/>
        <v>3366707.0906089772</v>
      </c>
      <c r="I84" s="64">
        <f t="shared" si="18"/>
        <v>3366707.0906089772</v>
      </c>
      <c r="J84" s="64">
        <f t="shared" si="18"/>
        <v>3366707.0906089772</v>
      </c>
      <c r="K84" s="64">
        <f t="shared" si="18"/>
        <v>3366707.0906089772</v>
      </c>
      <c r="L84" s="64">
        <f t="shared" si="18"/>
        <v>3366707.0906089772</v>
      </c>
      <c r="M84" s="64">
        <f t="shared" si="18"/>
        <v>3366707.0906089772</v>
      </c>
      <c r="N84" s="64">
        <f t="shared" si="18"/>
        <v>3366707.0906089772</v>
      </c>
      <c r="O84" s="64">
        <f t="shared" si="18"/>
        <v>3366707.0906089772</v>
      </c>
      <c r="P84" s="2">
        <f t="shared" si="19"/>
        <v>43634598.643724397</v>
      </c>
      <c r="Q84" s="2">
        <f>'WC def tax 22'!Q84*1.0572</f>
        <v>3356507.5879787998</v>
      </c>
      <c r="R84" s="15" t="s">
        <v>502</v>
      </c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3"/>
    </row>
    <row r="85" spans="1:34" x14ac:dyDescent="0.25">
      <c r="C85" s="26" t="s">
        <v>67</v>
      </c>
      <c r="D85" s="26" t="s">
        <v>67</v>
      </c>
      <c r="E85" s="26" t="s">
        <v>67</v>
      </c>
      <c r="F85" s="26" t="s">
        <v>67</v>
      </c>
      <c r="G85" s="26" t="s">
        <v>67</v>
      </c>
      <c r="H85" s="26" t="s">
        <v>67</v>
      </c>
      <c r="I85" s="26" t="s">
        <v>67</v>
      </c>
      <c r="J85" s="26" t="s">
        <v>67</v>
      </c>
      <c r="K85" s="26" t="s">
        <v>67</v>
      </c>
      <c r="L85" s="26" t="s">
        <v>67</v>
      </c>
      <c r="M85" s="26" t="s">
        <v>67</v>
      </c>
      <c r="N85" s="26" t="s">
        <v>67</v>
      </c>
      <c r="O85" s="26" t="s">
        <v>67</v>
      </c>
      <c r="P85" s="26" t="s">
        <v>67</v>
      </c>
      <c r="Q85" s="26" t="s">
        <v>67</v>
      </c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3"/>
    </row>
    <row r="86" spans="1:34" x14ac:dyDescent="0.25">
      <c r="A86" s="21" t="s">
        <v>129</v>
      </c>
      <c r="B86" s="22"/>
      <c r="C86" s="23">
        <f>SUM(C82:C84)</f>
        <v>-353966.93404999981</v>
      </c>
      <c r="D86" s="23">
        <f t="shared" ref="D86:Q86" si="20">SUM(D82:D84)</f>
        <v>-413577.93687349325</v>
      </c>
      <c r="E86" s="23">
        <f t="shared" si="20"/>
        <v>-413577.93687349325</v>
      </c>
      <c r="F86" s="23">
        <f t="shared" si="20"/>
        <v>-413577.93687349325</v>
      </c>
      <c r="G86" s="23">
        <f t="shared" si="20"/>
        <v>-413577.93687349325</v>
      </c>
      <c r="H86" s="23">
        <f t="shared" si="20"/>
        <v>-413577.93687349325</v>
      </c>
      <c r="I86" s="23">
        <f t="shared" si="20"/>
        <v>-413577.93687349325</v>
      </c>
      <c r="J86" s="23">
        <f t="shared" si="20"/>
        <v>-413577.93687349325</v>
      </c>
      <c r="K86" s="23">
        <f t="shared" si="20"/>
        <v>-413577.93687349325</v>
      </c>
      <c r="L86" s="23">
        <f t="shared" si="20"/>
        <v>-413577.93687349325</v>
      </c>
      <c r="M86" s="23">
        <f t="shared" si="20"/>
        <v>-413577.93687349325</v>
      </c>
      <c r="N86" s="23">
        <f t="shared" si="20"/>
        <v>-413577.93687349325</v>
      </c>
      <c r="O86" s="23">
        <f t="shared" si="20"/>
        <v>-413577.93687349325</v>
      </c>
      <c r="P86" s="23">
        <f t="shared" si="20"/>
        <v>-5316902.1765319183</v>
      </c>
      <c r="Q86" s="23">
        <f t="shared" si="20"/>
        <v>-408992.47511783987</v>
      </c>
      <c r="R86" s="15">
        <f>SUM(T86:Y86)-Q86</f>
        <v>0</v>
      </c>
      <c r="S86" s="15" t="s">
        <v>16</v>
      </c>
      <c r="T86" s="15">
        <f t="shared" ref="T86:Y86" si="21">$Q86*T5</f>
        <v>-87115.397200099891</v>
      </c>
      <c r="U86" s="15">
        <f t="shared" si="21"/>
        <v>-142329.38134100827</v>
      </c>
      <c r="V86" s="15">
        <f t="shared" si="21"/>
        <v>-58894.916416968939</v>
      </c>
      <c r="W86" s="15">
        <f t="shared" si="21"/>
        <v>-408.99247511783989</v>
      </c>
      <c r="X86" s="15">
        <f t="shared" si="21"/>
        <v>-408.99247511783989</v>
      </c>
      <c r="Y86" s="15">
        <f t="shared" si="21"/>
        <v>-119834.79520952707</v>
      </c>
      <c r="Z86" s="15"/>
      <c r="AA86" s="15" t="s">
        <v>16</v>
      </c>
      <c r="AB86" s="15">
        <f t="shared" ref="AB86:AG86" si="22">$O86*AB$5</f>
        <v>-88092.100554054065</v>
      </c>
      <c r="AC86" s="15">
        <f t="shared" si="22"/>
        <v>-143925.12203197565</v>
      </c>
      <c r="AD86" s="15">
        <f t="shared" si="22"/>
        <v>-59555.22290978302</v>
      </c>
      <c r="AE86" s="15">
        <f t="shared" si="22"/>
        <v>-413.57793687349329</v>
      </c>
      <c r="AF86" s="15">
        <f t="shared" si="22"/>
        <v>-413.57793687349329</v>
      </c>
      <c r="AG86" s="15">
        <f t="shared" si="22"/>
        <v>-121178.33550393351</v>
      </c>
      <c r="AH86" s="27">
        <f>SUM(AB86:AG86)-O86</f>
        <v>0</v>
      </c>
    </row>
    <row r="87" spans="1:34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3"/>
    </row>
    <row r="88" spans="1:34" x14ac:dyDescent="0.25">
      <c r="A88" s="21" t="s">
        <v>130</v>
      </c>
      <c r="B88" s="22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3"/>
    </row>
    <row r="89" spans="1:34" x14ac:dyDescent="0.25">
      <c r="A89" s="13" t="s">
        <v>131</v>
      </c>
      <c r="B89" s="13" t="s">
        <v>132</v>
      </c>
      <c r="C89" s="2">
        <f>'WC def tax 22'!O89</f>
        <v>16017.157216666666</v>
      </c>
      <c r="D89" s="64">
        <f t="shared" ref="D89:O90" si="23">(($P89-$C89)/12)</f>
        <v>15598.57550807111</v>
      </c>
      <c r="E89" s="64">
        <f t="shared" si="23"/>
        <v>15598.57550807111</v>
      </c>
      <c r="F89" s="64">
        <f t="shared" si="23"/>
        <v>15598.57550807111</v>
      </c>
      <c r="G89" s="64">
        <f t="shared" si="23"/>
        <v>15598.57550807111</v>
      </c>
      <c r="H89" s="64">
        <f t="shared" si="23"/>
        <v>15598.57550807111</v>
      </c>
      <c r="I89" s="64">
        <f t="shared" si="23"/>
        <v>15598.57550807111</v>
      </c>
      <c r="J89" s="64">
        <f t="shared" si="23"/>
        <v>15598.57550807111</v>
      </c>
      <c r="K89" s="64">
        <f t="shared" si="23"/>
        <v>15598.57550807111</v>
      </c>
      <c r="L89" s="64">
        <f t="shared" si="23"/>
        <v>15598.57550807111</v>
      </c>
      <c r="M89" s="64">
        <f t="shared" si="23"/>
        <v>15598.57550807111</v>
      </c>
      <c r="N89" s="64">
        <f t="shared" si="23"/>
        <v>15598.57550807111</v>
      </c>
      <c r="O89" s="64">
        <f t="shared" si="23"/>
        <v>15598.57550807111</v>
      </c>
      <c r="P89" s="2">
        <f t="shared" ref="P89:P90" si="24">Q89*13</f>
        <v>203200.06331351999</v>
      </c>
      <c r="Q89" s="2">
        <f>'WC def tax 22'!Q89*1.0572</f>
        <v>15630.774101039999</v>
      </c>
      <c r="R89" s="15" t="s">
        <v>502</v>
      </c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3"/>
    </row>
    <row r="90" spans="1:34" x14ac:dyDescent="0.25">
      <c r="A90" s="13" t="s">
        <v>133</v>
      </c>
      <c r="B90" s="13" t="s">
        <v>134</v>
      </c>
      <c r="C90" s="2">
        <f>'WC def tax 22'!O90</f>
        <v>-731.04331666666667</v>
      </c>
      <c r="D90" s="64">
        <f t="shared" si="23"/>
        <v>-771.05381799111103</v>
      </c>
      <c r="E90" s="64">
        <f t="shared" si="23"/>
        <v>-771.05381799111103</v>
      </c>
      <c r="F90" s="64">
        <f t="shared" si="23"/>
        <v>-771.05381799111103</v>
      </c>
      <c r="G90" s="64">
        <f t="shared" si="23"/>
        <v>-771.05381799111103</v>
      </c>
      <c r="H90" s="64">
        <f t="shared" si="23"/>
        <v>-771.05381799111103</v>
      </c>
      <c r="I90" s="64">
        <f t="shared" si="23"/>
        <v>-771.05381799111103</v>
      </c>
      <c r="J90" s="64">
        <f t="shared" si="23"/>
        <v>-771.05381799111103</v>
      </c>
      <c r="K90" s="64">
        <f t="shared" si="23"/>
        <v>-771.05381799111103</v>
      </c>
      <c r="L90" s="64">
        <f t="shared" si="23"/>
        <v>-771.05381799111103</v>
      </c>
      <c r="M90" s="64">
        <f t="shared" si="23"/>
        <v>-771.05381799111103</v>
      </c>
      <c r="N90" s="64">
        <f t="shared" si="23"/>
        <v>-771.05381799111103</v>
      </c>
      <c r="O90" s="64">
        <f t="shared" si="23"/>
        <v>-771.05381799111103</v>
      </c>
      <c r="P90" s="2">
        <f t="shared" si="24"/>
        <v>-9983.6891325599991</v>
      </c>
      <c r="Q90" s="2">
        <f>'WC def tax 22'!Q90*1.0572</f>
        <v>-767.97608711999999</v>
      </c>
      <c r="R90" s="15" t="s">
        <v>502</v>
      </c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3"/>
    </row>
    <row r="91" spans="1:34" x14ac:dyDescent="0.25">
      <c r="C91" s="26" t="s">
        <v>67</v>
      </c>
      <c r="D91" s="26" t="s">
        <v>67</v>
      </c>
      <c r="E91" s="26" t="s">
        <v>67</v>
      </c>
      <c r="F91" s="26" t="s">
        <v>67</v>
      </c>
      <c r="G91" s="26" t="s">
        <v>67</v>
      </c>
      <c r="H91" s="26" t="s">
        <v>67</v>
      </c>
      <c r="I91" s="26" t="s">
        <v>67</v>
      </c>
      <c r="J91" s="26" t="s">
        <v>67</v>
      </c>
      <c r="K91" s="26" t="s">
        <v>67</v>
      </c>
      <c r="L91" s="26" t="s">
        <v>67</v>
      </c>
      <c r="M91" s="26" t="s">
        <v>67</v>
      </c>
      <c r="N91" s="26" t="s">
        <v>67</v>
      </c>
      <c r="O91" s="26" t="s">
        <v>67</v>
      </c>
      <c r="P91" s="26" t="s">
        <v>67</v>
      </c>
      <c r="Q91" s="26" t="s">
        <v>67</v>
      </c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3"/>
    </row>
    <row r="92" spans="1:34" x14ac:dyDescent="0.25">
      <c r="A92" s="21" t="s">
        <v>135</v>
      </c>
      <c r="B92" s="22"/>
      <c r="C92" s="23">
        <f>SUM(C89:C90)</f>
        <v>15286.1139</v>
      </c>
      <c r="D92" s="23">
        <f t="shared" ref="D92:Q92" si="25">SUM(D89:D90)</f>
        <v>14827.521690079999</v>
      </c>
      <c r="E92" s="23">
        <f t="shared" si="25"/>
        <v>14827.521690079999</v>
      </c>
      <c r="F92" s="23">
        <f t="shared" si="25"/>
        <v>14827.521690079999</v>
      </c>
      <c r="G92" s="23">
        <f t="shared" si="25"/>
        <v>14827.521690079999</v>
      </c>
      <c r="H92" s="23">
        <f t="shared" si="25"/>
        <v>14827.521690079999</v>
      </c>
      <c r="I92" s="23">
        <f t="shared" si="25"/>
        <v>14827.521690079999</v>
      </c>
      <c r="J92" s="23">
        <f t="shared" si="25"/>
        <v>14827.521690079999</v>
      </c>
      <c r="K92" s="23">
        <f t="shared" si="25"/>
        <v>14827.521690079999</v>
      </c>
      <c r="L92" s="23">
        <f t="shared" si="25"/>
        <v>14827.521690079999</v>
      </c>
      <c r="M92" s="23">
        <f t="shared" si="25"/>
        <v>14827.521690079999</v>
      </c>
      <c r="N92" s="23">
        <f t="shared" si="25"/>
        <v>14827.521690079999</v>
      </c>
      <c r="O92" s="23">
        <f t="shared" si="25"/>
        <v>14827.521690079999</v>
      </c>
      <c r="P92" s="23">
        <f t="shared" si="25"/>
        <v>193216.37418096</v>
      </c>
      <c r="Q92" s="23">
        <f t="shared" si="25"/>
        <v>14862.798013919999</v>
      </c>
      <c r="R92" s="15">
        <f>SUM(T92:Y92)-Q92</f>
        <v>0</v>
      </c>
      <c r="S92" s="15" t="s">
        <v>16</v>
      </c>
      <c r="T92" s="15">
        <f t="shared" ref="T92:Y92" si="26">$Q92*T5</f>
        <v>3165.7759769649597</v>
      </c>
      <c r="U92" s="15">
        <f t="shared" si="26"/>
        <v>5172.2537088441595</v>
      </c>
      <c r="V92" s="15">
        <f t="shared" si="26"/>
        <v>2140.2429140044796</v>
      </c>
      <c r="W92" s="15">
        <f t="shared" si="26"/>
        <v>14.862798013919999</v>
      </c>
      <c r="X92" s="15">
        <f t="shared" si="26"/>
        <v>14.862798013919999</v>
      </c>
      <c r="Y92" s="15">
        <f t="shared" si="26"/>
        <v>4354.7998180785598</v>
      </c>
      <c r="Z92" s="15"/>
      <c r="AA92" s="15" t="s">
        <v>16</v>
      </c>
      <c r="AB92" s="15">
        <f t="shared" ref="AB92:AG92" si="27">$O92*AB$5</f>
        <v>3158.2621199870396</v>
      </c>
      <c r="AC92" s="15">
        <f t="shared" si="27"/>
        <v>5159.9775481478391</v>
      </c>
      <c r="AD92" s="15">
        <f t="shared" si="27"/>
        <v>2135.1631233715198</v>
      </c>
      <c r="AE92" s="15">
        <f t="shared" si="27"/>
        <v>14.827521690079999</v>
      </c>
      <c r="AF92" s="15">
        <f t="shared" si="27"/>
        <v>14.827521690079999</v>
      </c>
      <c r="AG92" s="15">
        <f t="shared" si="27"/>
        <v>4344.4638551934395</v>
      </c>
      <c r="AH92" s="27">
        <f>SUM(AB92:AG92)-O92</f>
        <v>0</v>
      </c>
    </row>
    <row r="93" spans="1:34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3"/>
    </row>
    <row r="94" spans="1:34" x14ac:dyDescent="0.25">
      <c r="A94" s="21" t="s">
        <v>136</v>
      </c>
      <c r="B94" s="22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3"/>
    </row>
    <row r="95" spans="1:34" x14ac:dyDescent="0.25">
      <c r="A95" s="13" t="s">
        <v>137</v>
      </c>
      <c r="B95" s="13" t="s">
        <v>138</v>
      </c>
      <c r="C95" s="2">
        <f>'WC def tax 22'!O95</f>
        <v>5587778</v>
      </c>
      <c r="D95" s="64">
        <f>C95</f>
        <v>5587778</v>
      </c>
      <c r="E95" s="64">
        <f t="shared" ref="E95:O95" si="28">D95</f>
        <v>5587778</v>
      </c>
      <c r="F95" s="64">
        <f t="shared" si="28"/>
        <v>5587778</v>
      </c>
      <c r="G95" s="64">
        <f t="shared" si="28"/>
        <v>5587778</v>
      </c>
      <c r="H95" s="64">
        <f t="shared" si="28"/>
        <v>5587778</v>
      </c>
      <c r="I95" s="64">
        <f t="shared" si="28"/>
        <v>5587778</v>
      </c>
      <c r="J95" s="64">
        <f t="shared" si="28"/>
        <v>5587778</v>
      </c>
      <c r="K95" s="64">
        <f t="shared" si="28"/>
        <v>5587778</v>
      </c>
      <c r="L95" s="64">
        <f t="shared" si="28"/>
        <v>5587778</v>
      </c>
      <c r="M95" s="64">
        <f t="shared" si="28"/>
        <v>5587778</v>
      </c>
      <c r="N95" s="64">
        <f t="shared" si="28"/>
        <v>5587778</v>
      </c>
      <c r="O95" s="64">
        <f t="shared" si="28"/>
        <v>5587778</v>
      </c>
      <c r="P95" s="2">
        <f t="shared" ref="P95:P129" si="29">SUM(C95:O95)</f>
        <v>72641114</v>
      </c>
      <c r="Q95" s="2">
        <f t="shared" ref="Q95:Q129" si="30">P95/13</f>
        <v>5587778</v>
      </c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3"/>
    </row>
    <row r="96" spans="1:34" x14ac:dyDescent="0.25">
      <c r="A96" s="13" t="s">
        <v>139</v>
      </c>
      <c r="B96" s="13" t="s">
        <v>140</v>
      </c>
      <c r="C96" s="2">
        <f>'WC def tax 22'!O96</f>
        <v>10140</v>
      </c>
      <c r="D96" s="64">
        <f t="shared" ref="D96:O129" si="31">C96</f>
        <v>10140</v>
      </c>
      <c r="E96" s="64">
        <f t="shared" si="31"/>
        <v>10140</v>
      </c>
      <c r="F96" s="64">
        <f t="shared" si="31"/>
        <v>10140</v>
      </c>
      <c r="G96" s="64">
        <f t="shared" si="31"/>
        <v>10140</v>
      </c>
      <c r="H96" s="64">
        <f t="shared" si="31"/>
        <v>10140</v>
      </c>
      <c r="I96" s="64">
        <f t="shared" si="31"/>
        <v>10140</v>
      </c>
      <c r="J96" s="64">
        <f t="shared" si="31"/>
        <v>10140</v>
      </c>
      <c r="K96" s="64">
        <f t="shared" si="31"/>
        <v>10140</v>
      </c>
      <c r="L96" s="64">
        <f t="shared" si="31"/>
        <v>10140</v>
      </c>
      <c r="M96" s="64">
        <f t="shared" si="31"/>
        <v>10140</v>
      </c>
      <c r="N96" s="64">
        <f t="shared" si="31"/>
        <v>10140</v>
      </c>
      <c r="O96" s="64">
        <f t="shared" si="31"/>
        <v>10140</v>
      </c>
      <c r="P96" s="2">
        <f t="shared" si="29"/>
        <v>131820</v>
      </c>
      <c r="Q96" s="2">
        <f t="shared" si="30"/>
        <v>10140</v>
      </c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3"/>
    </row>
    <row r="97" spans="1:34" x14ac:dyDescent="0.25">
      <c r="A97" s="13" t="s">
        <v>141</v>
      </c>
      <c r="B97" s="13" t="s">
        <v>142</v>
      </c>
      <c r="C97" s="2">
        <f>'WC def tax 22'!O98</f>
        <v>-878937</v>
      </c>
      <c r="D97" s="64">
        <f t="shared" si="31"/>
        <v>-878937</v>
      </c>
      <c r="E97" s="64">
        <f t="shared" si="31"/>
        <v>-878937</v>
      </c>
      <c r="F97" s="64">
        <f t="shared" si="31"/>
        <v>-878937</v>
      </c>
      <c r="G97" s="64">
        <f t="shared" si="31"/>
        <v>-878937</v>
      </c>
      <c r="H97" s="64">
        <f t="shared" si="31"/>
        <v>-878937</v>
      </c>
      <c r="I97" s="64">
        <f t="shared" si="31"/>
        <v>-878937</v>
      </c>
      <c r="J97" s="64">
        <f t="shared" si="31"/>
        <v>-878937</v>
      </c>
      <c r="K97" s="64">
        <f t="shared" si="31"/>
        <v>-878937</v>
      </c>
      <c r="L97" s="64">
        <f t="shared" si="31"/>
        <v>-878937</v>
      </c>
      <c r="M97" s="64">
        <f t="shared" si="31"/>
        <v>-878937</v>
      </c>
      <c r="N97" s="64">
        <f t="shared" si="31"/>
        <v>-878937</v>
      </c>
      <c r="O97" s="64">
        <f t="shared" si="31"/>
        <v>-878937</v>
      </c>
      <c r="P97" s="2">
        <f t="shared" si="29"/>
        <v>-11426181</v>
      </c>
      <c r="Q97" s="2">
        <f t="shared" si="30"/>
        <v>-878937</v>
      </c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3"/>
    </row>
    <row r="98" spans="1:34" x14ac:dyDescent="0.25">
      <c r="A98" s="13" t="s">
        <v>143</v>
      </c>
      <c r="B98" s="13" t="s">
        <v>144</v>
      </c>
      <c r="C98" s="2">
        <f>'WC def tax 22'!O97</f>
        <v>261061369</v>
      </c>
      <c r="D98" s="64">
        <f t="shared" si="31"/>
        <v>261061369</v>
      </c>
      <c r="E98" s="64">
        <f t="shared" si="31"/>
        <v>261061369</v>
      </c>
      <c r="F98" s="64">
        <f t="shared" si="31"/>
        <v>261061369</v>
      </c>
      <c r="G98" s="64">
        <f t="shared" si="31"/>
        <v>261061369</v>
      </c>
      <c r="H98" s="64">
        <f t="shared" si="31"/>
        <v>261061369</v>
      </c>
      <c r="I98" s="64">
        <f t="shared" si="31"/>
        <v>261061369</v>
      </c>
      <c r="J98" s="64">
        <f t="shared" si="31"/>
        <v>261061369</v>
      </c>
      <c r="K98" s="64">
        <f t="shared" si="31"/>
        <v>261061369</v>
      </c>
      <c r="L98" s="64">
        <f t="shared" si="31"/>
        <v>261061369</v>
      </c>
      <c r="M98" s="64">
        <f t="shared" si="31"/>
        <v>261061369</v>
      </c>
      <c r="N98" s="64">
        <f t="shared" si="31"/>
        <v>261061369</v>
      </c>
      <c r="O98" s="64">
        <f t="shared" si="31"/>
        <v>261061369</v>
      </c>
      <c r="P98" s="2">
        <f t="shared" si="29"/>
        <v>3393797797</v>
      </c>
      <c r="Q98" s="2">
        <f t="shared" si="30"/>
        <v>261061369</v>
      </c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3"/>
    </row>
    <row r="99" spans="1:34" x14ac:dyDescent="0.25">
      <c r="A99" s="13" t="s">
        <v>498</v>
      </c>
      <c r="B99" s="13"/>
      <c r="C99" s="2">
        <v>7510845.366509974</v>
      </c>
      <c r="D99" s="2">
        <v>7517612.1457246393</v>
      </c>
      <c r="E99" s="2">
        <v>7544709.0126421452</v>
      </c>
      <c r="F99" s="2">
        <v>7571805.8795596361</v>
      </c>
      <c r="G99" s="2">
        <v>7598902.7464771345</v>
      </c>
      <c r="H99" s="2">
        <v>7625999.6133946329</v>
      </c>
      <c r="I99" s="2">
        <v>7653096.4803121313</v>
      </c>
      <c r="J99" s="2">
        <v>7680193.3472296223</v>
      </c>
      <c r="K99" s="2">
        <v>7707290.2141471207</v>
      </c>
      <c r="L99" s="2">
        <v>7734387.0810646266</v>
      </c>
      <c r="M99" s="2">
        <v>7761483.9479821175</v>
      </c>
      <c r="N99" s="2">
        <v>7788580.8148996085</v>
      </c>
      <c r="O99" s="2">
        <v>7815677.6818171144</v>
      </c>
      <c r="P99" s="2">
        <f t="shared" ref="P99" si="32">SUM(C99:O99)</f>
        <v>99510584.331760511</v>
      </c>
      <c r="Q99" s="2">
        <f t="shared" ref="Q99" si="33">P99/13</f>
        <v>7654660.3332123468</v>
      </c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3"/>
    </row>
    <row r="100" spans="1:34" x14ac:dyDescent="0.25">
      <c r="A100" s="13" t="s">
        <v>145</v>
      </c>
      <c r="B100" s="13" t="s">
        <v>146</v>
      </c>
      <c r="C100" s="2">
        <f>'WC def tax 22'!O100</f>
        <v>2513</v>
      </c>
      <c r="D100" s="64">
        <f t="shared" si="31"/>
        <v>2513</v>
      </c>
      <c r="E100" s="64">
        <f t="shared" si="31"/>
        <v>2513</v>
      </c>
      <c r="F100" s="64">
        <f t="shared" si="31"/>
        <v>2513</v>
      </c>
      <c r="G100" s="64">
        <f t="shared" si="31"/>
        <v>2513</v>
      </c>
      <c r="H100" s="64">
        <f t="shared" si="31"/>
        <v>2513</v>
      </c>
      <c r="I100" s="64">
        <f t="shared" si="31"/>
        <v>2513</v>
      </c>
      <c r="J100" s="64">
        <f t="shared" si="31"/>
        <v>2513</v>
      </c>
      <c r="K100" s="64">
        <f t="shared" si="31"/>
        <v>2513</v>
      </c>
      <c r="L100" s="64">
        <f t="shared" si="31"/>
        <v>2513</v>
      </c>
      <c r="M100" s="64">
        <f t="shared" si="31"/>
        <v>2513</v>
      </c>
      <c r="N100" s="64">
        <f t="shared" si="31"/>
        <v>2513</v>
      </c>
      <c r="O100" s="64">
        <f t="shared" si="31"/>
        <v>2513</v>
      </c>
      <c r="P100" s="2">
        <f t="shared" si="29"/>
        <v>32669</v>
      </c>
      <c r="Q100" s="2">
        <f t="shared" si="30"/>
        <v>2513</v>
      </c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3"/>
    </row>
    <row r="101" spans="1:34" x14ac:dyDescent="0.25">
      <c r="A101" s="13" t="s">
        <v>147</v>
      </c>
      <c r="B101" s="13" t="s">
        <v>148</v>
      </c>
      <c r="C101" s="2">
        <f>'WC def tax 22'!O101</f>
        <v>717</v>
      </c>
      <c r="D101" s="64">
        <f t="shared" si="31"/>
        <v>717</v>
      </c>
      <c r="E101" s="64">
        <f t="shared" si="31"/>
        <v>717</v>
      </c>
      <c r="F101" s="64">
        <f t="shared" si="31"/>
        <v>717</v>
      </c>
      <c r="G101" s="64">
        <f t="shared" si="31"/>
        <v>717</v>
      </c>
      <c r="H101" s="64">
        <f t="shared" si="31"/>
        <v>717</v>
      </c>
      <c r="I101" s="64">
        <f t="shared" si="31"/>
        <v>717</v>
      </c>
      <c r="J101" s="64">
        <f t="shared" si="31"/>
        <v>717</v>
      </c>
      <c r="K101" s="64">
        <f t="shared" si="31"/>
        <v>717</v>
      </c>
      <c r="L101" s="64">
        <f t="shared" si="31"/>
        <v>717</v>
      </c>
      <c r="M101" s="64">
        <f t="shared" si="31"/>
        <v>717</v>
      </c>
      <c r="N101" s="64">
        <f t="shared" si="31"/>
        <v>717</v>
      </c>
      <c r="O101" s="64">
        <f t="shared" si="31"/>
        <v>717</v>
      </c>
      <c r="P101" s="2">
        <f t="shared" si="29"/>
        <v>9321</v>
      </c>
      <c r="Q101" s="2">
        <f t="shared" si="30"/>
        <v>717</v>
      </c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3"/>
    </row>
    <row r="102" spans="1:34" x14ac:dyDescent="0.25">
      <c r="A102" s="13" t="s">
        <v>149</v>
      </c>
      <c r="B102" s="13" t="s">
        <v>150</v>
      </c>
      <c r="C102" s="2">
        <f>'WC def tax 22'!O102</f>
        <v>28433</v>
      </c>
      <c r="D102" s="64">
        <f t="shared" si="31"/>
        <v>28433</v>
      </c>
      <c r="E102" s="64">
        <f t="shared" si="31"/>
        <v>28433</v>
      </c>
      <c r="F102" s="64">
        <f t="shared" si="31"/>
        <v>28433</v>
      </c>
      <c r="G102" s="64">
        <f t="shared" si="31"/>
        <v>28433</v>
      </c>
      <c r="H102" s="64">
        <f t="shared" si="31"/>
        <v>28433</v>
      </c>
      <c r="I102" s="64">
        <f t="shared" si="31"/>
        <v>28433</v>
      </c>
      <c r="J102" s="64">
        <f t="shared" si="31"/>
        <v>28433</v>
      </c>
      <c r="K102" s="64">
        <f t="shared" si="31"/>
        <v>28433</v>
      </c>
      <c r="L102" s="64">
        <f t="shared" si="31"/>
        <v>28433</v>
      </c>
      <c r="M102" s="64">
        <f t="shared" si="31"/>
        <v>28433</v>
      </c>
      <c r="N102" s="64">
        <f t="shared" si="31"/>
        <v>28433</v>
      </c>
      <c r="O102" s="64">
        <f t="shared" si="31"/>
        <v>28433</v>
      </c>
      <c r="P102" s="2">
        <f t="shared" si="29"/>
        <v>369629</v>
      </c>
      <c r="Q102" s="2">
        <f t="shared" si="30"/>
        <v>28433</v>
      </c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3"/>
    </row>
    <row r="103" spans="1:34" x14ac:dyDescent="0.25">
      <c r="A103" s="13" t="s">
        <v>151</v>
      </c>
      <c r="B103" s="13" t="s">
        <v>152</v>
      </c>
      <c r="C103" s="2">
        <f>'WC def tax 22'!O103</f>
        <v>-176556469</v>
      </c>
      <c r="D103" s="64">
        <f t="shared" si="31"/>
        <v>-176556469</v>
      </c>
      <c r="E103" s="64">
        <f t="shared" si="31"/>
        <v>-176556469</v>
      </c>
      <c r="F103" s="64">
        <f t="shared" si="31"/>
        <v>-176556469</v>
      </c>
      <c r="G103" s="64">
        <f t="shared" si="31"/>
        <v>-176556469</v>
      </c>
      <c r="H103" s="64">
        <f t="shared" si="31"/>
        <v>-176556469</v>
      </c>
      <c r="I103" s="64">
        <f t="shared" si="31"/>
        <v>-176556469</v>
      </c>
      <c r="J103" s="64">
        <f t="shared" si="31"/>
        <v>-176556469</v>
      </c>
      <c r="K103" s="64">
        <f t="shared" si="31"/>
        <v>-176556469</v>
      </c>
      <c r="L103" s="64">
        <f t="shared" si="31"/>
        <v>-176556469</v>
      </c>
      <c r="M103" s="64">
        <f t="shared" si="31"/>
        <v>-176556469</v>
      </c>
      <c r="N103" s="64">
        <f t="shared" si="31"/>
        <v>-176556469</v>
      </c>
      <c r="O103" s="64">
        <f t="shared" si="31"/>
        <v>-176556469</v>
      </c>
      <c r="P103" s="2">
        <f t="shared" si="29"/>
        <v>-2295234097</v>
      </c>
      <c r="Q103" s="2">
        <f t="shared" si="30"/>
        <v>-176556469</v>
      </c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3"/>
    </row>
    <row r="104" spans="1:34" x14ac:dyDescent="0.25">
      <c r="A104" s="13" t="s">
        <v>153</v>
      </c>
      <c r="B104" s="13" t="s">
        <v>154</v>
      </c>
      <c r="C104" s="2">
        <f>'WC def tax 22'!O104</f>
        <v>229881</v>
      </c>
      <c r="D104" s="64">
        <f t="shared" si="31"/>
        <v>229881</v>
      </c>
      <c r="E104" s="64">
        <f t="shared" si="31"/>
        <v>229881</v>
      </c>
      <c r="F104" s="64">
        <f t="shared" si="31"/>
        <v>229881</v>
      </c>
      <c r="G104" s="64">
        <f t="shared" si="31"/>
        <v>229881</v>
      </c>
      <c r="H104" s="64">
        <f t="shared" si="31"/>
        <v>229881</v>
      </c>
      <c r="I104" s="64">
        <f t="shared" si="31"/>
        <v>229881</v>
      </c>
      <c r="J104" s="64">
        <f t="shared" si="31"/>
        <v>229881</v>
      </c>
      <c r="K104" s="64">
        <f t="shared" si="31"/>
        <v>229881</v>
      </c>
      <c r="L104" s="64">
        <f t="shared" si="31"/>
        <v>229881</v>
      </c>
      <c r="M104" s="64">
        <f t="shared" si="31"/>
        <v>229881</v>
      </c>
      <c r="N104" s="64">
        <f t="shared" si="31"/>
        <v>229881</v>
      </c>
      <c r="O104" s="64">
        <f t="shared" si="31"/>
        <v>229881</v>
      </c>
      <c r="P104" s="2">
        <f t="shared" si="29"/>
        <v>2988453</v>
      </c>
      <c r="Q104" s="2">
        <f t="shared" si="30"/>
        <v>229881</v>
      </c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3"/>
    </row>
    <row r="105" spans="1:34" x14ac:dyDescent="0.25">
      <c r="A105" s="13" t="s">
        <v>155</v>
      </c>
      <c r="B105" s="13" t="s">
        <v>156</v>
      </c>
      <c r="C105" s="2">
        <f>'WC def tax 22'!O105</f>
        <v>205593022</v>
      </c>
      <c r="D105" s="64">
        <f t="shared" si="31"/>
        <v>205593022</v>
      </c>
      <c r="E105" s="64">
        <f t="shared" si="31"/>
        <v>205593022</v>
      </c>
      <c r="F105" s="64">
        <f t="shared" si="31"/>
        <v>205593022</v>
      </c>
      <c r="G105" s="64">
        <f t="shared" si="31"/>
        <v>205593022</v>
      </c>
      <c r="H105" s="64">
        <f t="shared" si="31"/>
        <v>205593022</v>
      </c>
      <c r="I105" s="64">
        <f t="shared" si="31"/>
        <v>205593022</v>
      </c>
      <c r="J105" s="64">
        <f t="shared" si="31"/>
        <v>205593022</v>
      </c>
      <c r="K105" s="64">
        <f t="shared" si="31"/>
        <v>205593022</v>
      </c>
      <c r="L105" s="64">
        <f t="shared" si="31"/>
        <v>205593022</v>
      </c>
      <c r="M105" s="64">
        <f t="shared" si="31"/>
        <v>205593022</v>
      </c>
      <c r="N105" s="64">
        <f t="shared" si="31"/>
        <v>205593022</v>
      </c>
      <c r="O105" s="64">
        <f t="shared" si="31"/>
        <v>205593022</v>
      </c>
      <c r="P105" s="2">
        <f t="shared" si="29"/>
        <v>2672709286</v>
      </c>
      <c r="Q105" s="2">
        <f t="shared" si="30"/>
        <v>205593022</v>
      </c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3"/>
    </row>
    <row r="106" spans="1:34" x14ac:dyDescent="0.25">
      <c r="A106" s="13" t="s">
        <v>157</v>
      </c>
      <c r="B106" s="13" t="s">
        <v>158</v>
      </c>
      <c r="C106" s="2">
        <f>'WC def tax 22'!O106</f>
        <v>1232745</v>
      </c>
      <c r="D106" s="64">
        <f t="shared" si="31"/>
        <v>1232745</v>
      </c>
      <c r="E106" s="64">
        <f t="shared" si="31"/>
        <v>1232745</v>
      </c>
      <c r="F106" s="64">
        <f t="shared" si="31"/>
        <v>1232745</v>
      </c>
      <c r="G106" s="64">
        <f t="shared" si="31"/>
        <v>1232745</v>
      </c>
      <c r="H106" s="64">
        <f t="shared" si="31"/>
        <v>1232745</v>
      </c>
      <c r="I106" s="64">
        <f t="shared" si="31"/>
        <v>1232745</v>
      </c>
      <c r="J106" s="64">
        <f t="shared" si="31"/>
        <v>1232745</v>
      </c>
      <c r="K106" s="64">
        <f t="shared" si="31"/>
        <v>1232745</v>
      </c>
      <c r="L106" s="64">
        <f t="shared" si="31"/>
        <v>1232745</v>
      </c>
      <c r="M106" s="64">
        <f t="shared" si="31"/>
        <v>1232745</v>
      </c>
      <c r="N106" s="64">
        <f t="shared" si="31"/>
        <v>1232745</v>
      </c>
      <c r="O106" s="64">
        <f t="shared" si="31"/>
        <v>1232745</v>
      </c>
      <c r="P106" s="2">
        <f t="shared" si="29"/>
        <v>16025685</v>
      </c>
      <c r="Q106" s="2">
        <f t="shared" si="30"/>
        <v>1232745</v>
      </c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3"/>
    </row>
    <row r="107" spans="1:34" x14ac:dyDescent="0.25">
      <c r="A107" s="13" t="s">
        <v>159</v>
      </c>
      <c r="B107" s="13" t="s">
        <v>160</v>
      </c>
      <c r="C107" s="2">
        <f>'WC def tax 22'!O107</f>
        <v>14639395</v>
      </c>
      <c r="D107" s="64">
        <f t="shared" si="31"/>
        <v>14639395</v>
      </c>
      <c r="E107" s="64">
        <f t="shared" si="31"/>
        <v>14639395</v>
      </c>
      <c r="F107" s="64">
        <f t="shared" si="31"/>
        <v>14639395</v>
      </c>
      <c r="G107" s="64">
        <f t="shared" si="31"/>
        <v>14639395</v>
      </c>
      <c r="H107" s="64">
        <f t="shared" si="31"/>
        <v>14639395</v>
      </c>
      <c r="I107" s="64">
        <f t="shared" si="31"/>
        <v>14639395</v>
      </c>
      <c r="J107" s="64">
        <f t="shared" si="31"/>
        <v>14639395</v>
      </c>
      <c r="K107" s="64">
        <f t="shared" si="31"/>
        <v>14639395</v>
      </c>
      <c r="L107" s="64">
        <f t="shared" si="31"/>
        <v>14639395</v>
      </c>
      <c r="M107" s="64">
        <f t="shared" si="31"/>
        <v>14639395</v>
      </c>
      <c r="N107" s="64">
        <f t="shared" si="31"/>
        <v>14639395</v>
      </c>
      <c r="O107" s="64">
        <f t="shared" si="31"/>
        <v>14639395</v>
      </c>
      <c r="P107" s="2">
        <f t="shared" si="29"/>
        <v>190312135</v>
      </c>
      <c r="Q107" s="2">
        <f t="shared" si="30"/>
        <v>14639395</v>
      </c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3"/>
    </row>
    <row r="108" spans="1:34" x14ac:dyDescent="0.25">
      <c r="A108" s="13" t="s">
        <v>161</v>
      </c>
      <c r="B108" s="13" t="s">
        <v>162</v>
      </c>
      <c r="C108" s="2">
        <f>'WC def tax 22'!O108</f>
        <v>20662</v>
      </c>
      <c r="D108" s="64">
        <f t="shared" si="31"/>
        <v>20662</v>
      </c>
      <c r="E108" s="64">
        <f t="shared" si="31"/>
        <v>20662</v>
      </c>
      <c r="F108" s="64">
        <f t="shared" si="31"/>
        <v>20662</v>
      </c>
      <c r="G108" s="64">
        <f t="shared" si="31"/>
        <v>20662</v>
      </c>
      <c r="H108" s="64">
        <f t="shared" si="31"/>
        <v>20662</v>
      </c>
      <c r="I108" s="64">
        <f t="shared" si="31"/>
        <v>20662</v>
      </c>
      <c r="J108" s="64">
        <f t="shared" si="31"/>
        <v>20662</v>
      </c>
      <c r="K108" s="64">
        <f t="shared" si="31"/>
        <v>20662</v>
      </c>
      <c r="L108" s="64">
        <f t="shared" si="31"/>
        <v>20662</v>
      </c>
      <c r="M108" s="64">
        <f t="shared" si="31"/>
        <v>20662</v>
      </c>
      <c r="N108" s="64">
        <f t="shared" si="31"/>
        <v>20662</v>
      </c>
      <c r="O108" s="64">
        <f t="shared" si="31"/>
        <v>20662</v>
      </c>
      <c r="P108" s="2">
        <f t="shared" si="29"/>
        <v>268606</v>
      </c>
      <c r="Q108" s="2">
        <f t="shared" si="30"/>
        <v>20662</v>
      </c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3"/>
    </row>
    <row r="109" spans="1:34" x14ac:dyDescent="0.25">
      <c r="A109" s="13" t="s">
        <v>163</v>
      </c>
      <c r="B109" s="13" t="s">
        <v>164</v>
      </c>
      <c r="C109" s="2">
        <f>'WC def tax 22'!O109</f>
        <v>76336</v>
      </c>
      <c r="D109" s="64">
        <f t="shared" si="31"/>
        <v>76336</v>
      </c>
      <c r="E109" s="64">
        <f t="shared" si="31"/>
        <v>76336</v>
      </c>
      <c r="F109" s="64">
        <f t="shared" si="31"/>
        <v>76336</v>
      </c>
      <c r="G109" s="64">
        <f t="shared" si="31"/>
        <v>76336</v>
      </c>
      <c r="H109" s="64">
        <f t="shared" si="31"/>
        <v>76336</v>
      </c>
      <c r="I109" s="64">
        <f t="shared" si="31"/>
        <v>76336</v>
      </c>
      <c r="J109" s="64">
        <f t="shared" si="31"/>
        <v>76336</v>
      </c>
      <c r="K109" s="64">
        <f t="shared" si="31"/>
        <v>76336</v>
      </c>
      <c r="L109" s="64">
        <f t="shared" si="31"/>
        <v>76336</v>
      </c>
      <c r="M109" s="64">
        <f t="shared" si="31"/>
        <v>76336</v>
      </c>
      <c r="N109" s="64">
        <f t="shared" si="31"/>
        <v>76336</v>
      </c>
      <c r="O109" s="64">
        <f t="shared" si="31"/>
        <v>76336</v>
      </c>
      <c r="P109" s="2">
        <f t="shared" si="29"/>
        <v>992368</v>
      </c>
      <c r="Q109" s="2">
        <f t="shared" si="30"/>
        <v>76336</v>
      </c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3"/>
    </row>
    <row r="110" spans="1:34" x14ac:dyDescent="0.25">
      <c r="A110" s="13" t="s">
        <v>165</v>
      </c>
      <c r="B110" s="13" t="s">
        <v>166</v>
      </c>
      <c r="C110" s="2">
        <f>'WC def tax 22'!O110</f>
        <v>69877</v>
      </c>
      <c r="D110" s="64">
        <f t="shared" si="31"/>
        <v>69877</v>
      </c>
      <c r="E110" s="64">
        <f t="shared" si="31"/>
        <v>69877</v>
      </c>
      <c r="F110" s="64">
        <f t="shared" si="31"/>
        <v>69877</v>
      </c>
      <c r="G110" s="64">
        <f t="shared" si="31"/>
        <v>69877</v>
      </c>
      <c r="H110" s="64">
        <f t="shared" si="31"/>
        <v>69877</v>
      </c>
      <c r="I110" s="64">
        <f t="shared" si="31"/>
        <v>69877</v>
      </c>
      <c r="J110" s="64">
        <f t="shared" si="31"/>
        <v>69877</v>
      </c>
      <c r="K110" s="64">
        <f t="shared" si="31"/>
        <v>69877</v>
      </c>
      <c r="L110" s="64">
        <f t="shared" si="31"/>
        <v>69877</v>
      </c>
      <c r="M110" s="64">
        <f t="shared" si="31"/>
        <v>69877</v>
      </c>
      <c r="N110" s="64">
        <f t="shared" si="31"/>
        <v>69877</v>
      </c>
      <c r="O110" s="64">
        <f t="shared" si="31"/>
        <v>69877</v>
      </c>
      <c r="P110" s="2">
        <f t="shared" si="29"/>
        <v>908401</v>
      </c>
      <c r="Q110" s="2">
        <f t="shared" si="30"/>
        <v>69877</v>
      </c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3"/>
    </row>
    <row r="111" spans="1:34" x14ac:dyDescent="0.25">
      <c r="A111" s="13" t="s">
        <v>167</v>
      </c>
      <c r="B111" s="13" t="s">
        <v>168</v>
      </c>
      <c r="C111" s="2">
        <f>'WC def tax 22'!O111</f>
        <v>-33020023</v>
      </c>
      <c r="D111" s="64">
        <f t="shared" si="31"/>
        <v>-33020023</v>
      </c>
      <c r="E111" s="64">
        <f t="shared" si="31"/>
        <v>-33020023</v>
      </c>
      <c r="F111" s="64">
        <f t="shared" si="31"/>
        <v>-33020023</v>
      </c>
      <c r="G111" s="64">
        <f t="shared" si="31"/>
        <v>-33020023</v>
      </c>
      <c r="H111" s="64">
        <f t="shared" si="31"/>
        <v>-33020023</v>
      </c>
      <c r="I111" s="64">
        <f t="shared" si="31"/>
        <v>-33020023</v>
      </c>
      <c r="J111" s="64">
        <f t="shared" si="31"/>
        <v>-33020023</v>
      </c>
      <c r="K111" s="64">
        <f t="shared" si="31"/>
        <v>-33020023</v>
      </c>
      <c r="L111" s="64">
        <f t="shared" si="31"/>
        <v>-33020023</v>
      </c>
      <c r="M111" s="64">
        <f t="shared" si="31"/>
        <v>-33020023</v>
      </c>
      <c r="N111" s="64">
        <f t="shared" si="31"/>
        <v>-33020023</v>
      </c>
      <c r="O111" s="64">
        <f t="shared" si="31"/>
        <v>-33020023</v>
      </c>
      <c r="P111" s="2">
        <f t="shared" si="29"/>
        <v>-429260299</v>
      </c>
      <c r="Q111" s="2">
        <f t="shared" si="30"/>
        <v>-33020023</v>
      </c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3"/>
    </row>
    <row r="112" spans="1:34" x14ac:dyDescent="0.25">
      <c r="A112" s="13" t="s">
        <v>169</v>
      </c>
      <c r="B112" s="13" t="s">
        <v>170</v>
      </c>
      <c r="C112" s="2">
        <f>'WC def tax 22'!O112</f>
        <v>-44354199</v>
      </c>
      <c r="D112" s="64">
        <f t="shared" si="31"/>
        <v>-44354199</v>
      </c>
      <c r="E112" s="64">
        <f t="shared" si="31"/>
        <v>-44354199</v>
      </c>
      <c r="F112" s="64">
        <f t="shared" si="31"/>
        <v>-44354199</v>
      </c>
      <c r="G112" s="64">
        <f t="shared" si="31"/>
        <v>-44354199</v>
      </c>
      <c r="H112" s="64">
        <f t="shared" si="31"/>
        <v>-44354199</v>
      </c>
      <c r="I112" s="64">
        <f t="shared" si="31"/>
        <v>-44354199</v>
      </c>
      <c r="J112" s="64">
        <f t="shared" si="31"/>
        <v>-44354199</v>
      </c>
      <c r="K112" s="64">
        <f t="shared" si="31"/>
        <v>-44354199</v>
      </c>
      <c r="L112" s="64">
        <f t="shared" si="31"/>
        <v>-44354199</v>
      </c>
      <c r="M112" s="64">
        <f t="shared" si="31"/>
        <v>-44354199</v>
      </c>
      <c r="N112" s="64">
        <f t="shared" si="31"/>
        <v>-44354199</v>
      </c>
      <c r="O112" s="64">
        <f t="shared" si="31"/>
        <v>-44354199</v>
      </c>
      <c r="P112" s="2">
        <f t="shared" si="29"/>
        <v>-576604587</v>
      </c>
      <c r="Q112" s="2">
        <f t="shared" si="30"/>
        <v>-44354199</v>
      </c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3"/>
    </row>
    <row r="113" spans="1:34" x14ac:dyDescent="0.25">
      <c r="A113" s="13" t="s">
        <v>171</v>
      </c>
      <c r="B113" s="13" t="s">
        <v>172</v>
      </c>
      <c r="C113" s="2">
        <f>'WC def tax 22'!O113</f>
        <v>139</v>
      </c>
      <c r="D113" s="64">
        <f t="shared" si="31"/>
        <v>139</v>
      </c>
      <c r="E113" s="64">
        <f t="shared" si="31"/>
        <v>139</v>
      </c>
      <c r="F113" s="64">
        <f t="shared" si="31"/>
        <v>139</v>
      </c>
      <c r="G113" s="64">
        <f t="shared" si="31"/>
        <v>139</v>
      </c>
      <c r="H113" s="64">
        <f t="shared" si="31"/>
        <v>139</v>
      </c>
      <c r="I113" s="64">
        <f t="shared" si="31"/>
        <v>139</v>
      </c>
      <c r="J113" s="64">
        <f t="shared" si="31"/>
        <v>139</v>
      </c>
      <c r="K113" s="64">
        <f t="shared" si="31"/>
        <v>139</v>
      </c>
      <c r="L113" s="64">
        <f t="shared" si="31"/>
        <v>139</v>
      </c>
      <c r="M113" s="64">
        <f t="shared" si="31"/>
        <v>139</v>
      </c>
      <c r="N113" s="64">
        <f t="shared" si="31"/>
        <v>139</v>
      </c>
      <c r="O113" s="64">
        <f t="shared" si="31"/>
        <v>139</v>
      </c>
      <c r="P113" s="2">
        <f t="shared" si="29"/>
        <v>1807</v>
      </c>
      <c r="Q113" s="2">
        <f t="shared" si="30"/>
        <v>139</v>
      </c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3"/>
    </row>
    <row r="114" spans="1:34" x14ac:dyDescent="0.25">
      <c r="A114" s="13" t="s">
        <v>173</v>
      </c>
      <c r="B114" s="13" t="s">
        <v>174</v>
      </c>
      <c r="C114" s="2">
        <f>'WC def tax 22'!O114</f>
        <v>-808476</v>
      </c>
      <c r="D114" s="64">
        <f t="shared" si="31"/>
        <v>-808476</v>
      </c>
      <c r="E114" s="64">
        <f t="shared" si="31"/>
        <v>-808476</v>
      </c>
      <c r="F114" s="64">
        <f t="shared" si="31"/>
        <v>-808476</v>
      </c>
      <c r="G114" s="64">
        <f t="shared" si="31"/>
        <v>-808476</v>
      </c>
      <c r="H114" s="64">
        <f t="shared" si="31"/>
        <v>-808476</v>
      </c>
      <c r="I114" s="64">
        <f t="shared" si="31"/>
        <v>-808476</v>
      </c>
      <c r="J114" s="64">
        <f t="shared" si="31"/>
        <v>-808476</v>
      </c>
      <c r="K114" s="64">
        <f t="shared" si="31"/>
        <v>-808476</v>
      </c>
      <c r="L114" s="64">
        <f t="shared" si="31"/>
        <v>-808476</v>
      </c>
      <c r="M114" s="64">
        <f t="shared" si="31"/>
        <v>-808476</v>
      </c>
      <c r="N114" s="64">
        <f t="shared" si="31"/>
        <v>-808476</v>
      </c>
      <c r="O114" s="64">
        <f t="shared" si="31"/>
        <v>-808476</v>
      </c>
      <c r="P114" s="2">
        <f t="shared" si="29"/>
        <v>-10510188</v>
      </c>
      <c r="Q114" s="2">
        <f t="shared" si="30"/>
        <v>-808476</v>
      </c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3"/>
    </row>
    <row r="115" spans="1:34" x14ac:dyDescent="0.25">
      <c r="A115" s="13" t="s">
        <v>175</v>
      </c>
      <c r="B115" s="13" t="s">
        <v>176</v>
      </c>
      <c r="C115" s="2">
        <f>'WC def tax 22'!O115</f>
        <v>-4598036</v>
      </c>
      <c r="D115" s="64">
        <f t="shared" si="31"/>
        <v>-4598036</v>
      </c>
      <c r="E115" s="64">
        <f t="shared" si="31"/>
        <v>-4598036</v>
      </c>
      <c r="F115" s="64">
        <f t="shared" si="31"/>
        <v>-4598036</v>
      </c>
      <c r="G115" s="64">
        <f t="shared" si="31"/>
        <v>-4598036</v>
      </c>
      <c r="H115" s="64">
        <f t="shared" si="31"/>
        <v>-4598036</v>
      </c>
      <c r="I115" s="64">
        <f t="shared" si="31"/>
        <v>-4598036</v>
      </c>
      <c r="J115" s="64">
        <f t="shared" si="31"/>
        <v>-4598036</v>
      </c>
      <c r="K115" s="64">
        <f t="shared" si="31"/>
        <v>-4598036</v>
      </c>
      <c r="L115" s="64">
        <f t="shared" si="31"/>
        <v>-4598036</v>
      </c>
      <c r="M115" s="64">
        <f t="shared" si="31"/>
        <v>-4598036</v>
      </c>
      <c r="N115" s="64">
        <f t="shared" si="31"/>
        <v>-4598036</v>
      </c>
      <c r="O115" s="64">
        <f t="shared" si="31"/>
        <v>-4598036</v>
      </c>
      <c r="P115" s="2">
        <f t="shared" si="29"/>
        <v>-59774468</v>
      </c>
      <c r="Q115" s="2">
        <f t="shared" si="30"/>
        <v>-4598036</v>
      </c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3"/>
    </row>
    <row r="116" spans="1:34" x14ac:dyDescent="0.25">
      <c r="A116" s="13" t="s">
        <v>177</v>
      </c>
      <c r="B116" s="13" t="s">
        <v>178</v>
      </c>
      <c r="C116" s="2">
        <f>'WC def tax 22'!O116</f>
        <v>-86351305</v>
      </c>
      <c r="D116" s="64">
        <f t="shared" si="31"/>
        <v>-86351305</v>
      </c>
      <c r="E116" s="64">
        <f t="shared" si="31"/>
        <v>-86351305</v>
      </c>
      <c r="F116" s="64">
        <f t="shared" ref="E116:O129" si="34">E116</f>
        <v>-86351305</v>
      </c>
      <c r="G116" s="64">
        <f t="shared" si="34"/>
        <v>-86351305</v>
      </c>
      <c r="H116" s="64">
        <f t="shared" si="34"/>
        <v>-86351305</v>
      </c>
      <c r="I116" s="64">
        <f t="shared" si="34"/>
        <v>-86351305</v>
      </c>
      <c r="J116" s="64">
        <f t="shared" si="34"/>
        <v>-86351305</v>
      </c>
      <c r="K116" s="64">
        <f t="shared" si="34"/>
        <v>-86351305</v>
      </c>
      <c r="L116" s="64">
        <f t="shared" si="34"/>
        <v>-86351305</v>
      </c>
      <c r="M116" s="64">
        <f t="shared" si="34"/>
        <v>-86351305</v>
      </c>
      <c r="N116" s="64">
        <f t="shared" si="34"/>
        <v>-86351305</v>
      </c>
      <c r="O116" s="64">
        <f t="shared" si="34"/>
        <v>-86351305</v>
      </c>
      <c r="P116" s="2">
        <f t="shared" si="29"/>
        <v>-1122566965</v>
      </c>
      <c r="Q116" s="2">
        <f t="shared" si="30"/>
        <v>-86351305</v>
      </c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3"/>
    </row>
    <row r="117" spans="1:34" x14ac:dyDescent="0.25">
      <c r="A117" s="13" t="s">
        <v>179</v>
      </c>
      <c r="B117" s="13" t="s">
        <v>180</v>
      </c>
      <c r="C117" s="2">
        <f>'WC def tax 22'!O117</f>
        <v>800877</v>
      </c>
      <c r="D117" s="64">
        <f t="shared" si="31"/>
        <v>800877</v>
      </c>
      <c r="E117" s="64">
        <f t="shared" si="34"/>
        <v>800877</v>
      </c>
      <c r="F117" s="64">
        <f t="shared" si="34"/>
        <v>800877</v>
      </c>
      <c r="G117" s="64">
        <f t="shared" si="34"/>
        <v>800877</v>
      </c>
      <c r="H117" s="64">
        <f t="shared" si="34"/>
        <v>800877</v>
      </c>
      <c r="I117" s="64">
        <f t="shared" si="34"/>
        <v>800877</v>
      </c>
      <c r="J117" s="64">
        <f t="shared" si="34"/>
        <v>800877</v>
      </c>
      <c r="K117" s="64">
        <f t="shared" si="34"/>
        <v>800877</v>
      </c>
      <c r="L117" s="64">
        <f t="shared" si="34"/>
        <v>800877</v>
      </c>
      <c r="M117" s="64">
        <f t="shared" si="34"/>
        <v>800877</v>
      </c>
      <c r="N117" s="64">
        <f t="shared" si="34"/>
        <v>800877</v>
      </c>
      <c r="O117" s="64">
        <f t="shared" si="34"/>
        <v>800877</v>
      </c>
      <c r="P117" s="2">
        <f t="shared" si="29"/>
        <v>10411401</v>
      </c>
      <c r="Q117" s="2">
        <f t="shared" si="30"/>
        <v>800877</v>
      </c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3"/>
    </row>
    <row r="118" spans="1:34" x14ac:dyDescent="0.25">
      <c r="A118" s="13" t="s">
        <v>181</v>
      </c>
      <c r="B118" s="13" t="s">
        <v>182</v>
      </c>
      <c r="C118" s="2">
        <f>'WC def tax 22'!O118</f>
        <v>169412</v>
      </c>
      <c r="D118" s="64">
        <f t="shared" si="31"/>
        <v>169412</v>
      </c>
      <c r="E118" s="64">
        <f t="shared" si="34"/>
        <v>169412</v>
      </c>
      <c r="F118" s="64">
        <f t="shared" si="34"/>
        <v>169412</v>
      </c>
      <c r="G118" s="64">
        <f t="shared" si="34"/>
        <v>169412</v>
      </c>
      <c r="H118" s="64">
        <f t="shared" si="34"/>
        <v>169412</v>
      </c>
      <c r="I118" s="64">
        <f t="shared" si="34"/>
        <v>169412</v>
      </c>
      <c r="J118" s="64">
        <f t="shared" si="34"/>
        <v>169412</v>
      </c>
      <c r="K118" s="64">
        <f t="shared" si="34"/>
        <v>169412</v>
      </c>
      <c r="L118" s="64">
        <f t="shared" si="34"/>
        <v>169412</v>
      </c>
      <c r="M118" s="64">
        <f t="shared" si="34"/>
        <v>169412</v>
      </c>
      <c r="N118" s="64">
        <f t="shared" si="34"/>
        <v>169412</v>
      </c>
      <c r="O118" s="64">
        <f t="shared" si="34"/>
        <v>169412</v>
      </c>
      <c r="P118" s="2">
        <f t="shared" si="29"/>
        <v>2202356</v>
      </c>
      <c r="Q118" s="2">
        <f t="shared" si="30"/>
        <v>169412</v>
      </c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3"/>
    </row>
    <row r="119" spans="1:34" x14ac:dyDescent="0.25">
      <c r="A119" s="13" t="s">
        <v>183</v>
      </c>
      <c r="B119" s="13" t="s">
        <v>184</v>
      </c>
      <c r="C119" s="2">
        <f>'WC def tax 22'!O119</f>
        <v>10638609</v>
      </c>
      <c r="D119" s="64">
        <f t="shared" si="31"/>
        <v>10638609</v>
      </c>
      <c r="E119" s="64">
        <f t="shared" si="34"/>
        <v>10638609</v>
      </c>
      <c r="F119" s="64">
        <f t="shared" si="34"/>
        <v>10638609</v>
      </c>
      <c r="G119" s="64">
        <f t="shared" si="34"/>
        <v>10638609</v>
      </c>
      <c r="H119" s="64">
        <f t="shared" si="34"/>
        <v>10638609</v>
      </c>
      <c r="I119" s="64">
        <f t="shared" si="34"/>
        <v>10638609</v>
      </c>
      <c r="J119" s="64">
        <f t="shared" si="34"/>
        <v>10638609</v>
      </c>
      <c r="K119" s="64">
        <f t="shared" si="34"/>
        <v>10638609</v>
      </c>
      <c r="L119" s="64">
        <f t="shared" si="34"/>
        <v>10638609</v>
      </c>
      <c r="M119" s="64">
        <f t="shared" si="34"/>
        <v>10638609</v>
      </c>
      <c r="N119" s="64">
        <f t="shared" si="34"/>
        <v>10638609</v>
      </c>
      <c r="O119" s="64">
        <f t="shared" si="34"/>
        <v>10638609</v>
      </c>
      <c r="P119" s="2">
        <f t="shared" si="29"/>
        <v>138301917</v>
      </c>
      <c r="Q119" s="2">
        <f t="shared" si="30"/>
        <v>10638609</v>
      </c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3"/>
    </row>
    <row r="120" spans="1:34" x14ac:dyDescent="0.25">
      <c r="A120" s="13" t="s">
        <v>185</v>
      </c>
      <c r="B120" s="13" t="s">
        <v>186</v>
      </c>
      <c r="C120" s="2">
        <f>'WC def tax 22'!O120</f>
        <v>38123553</v>
      </c>
      <c r="D120" s="64">
        <f t="shared" si="31"/>
        <v>38123553</v>
      </c>
      <c r="E120" s="64">
        <f t="shared" si="34"/>
        <v>38123553</v>
      </c>
      <c r="F120" s="64">
        <f t="shared" si="34"/>
        <v>38123553</v>
      </c>
      <c r="G120" s="64">
        <f t="shared" si="34"/>
        <v>38123553</v>
      </c>
      <c r="H120" s="64">
        <f t="shared" si="34"/>
        <v>38123553</v>
      </c>
      <c r="I120" s="64">
        <f t="shared" si="34"/>
        <v>38123553</v>
      </c>
      <c r="J120" s="64">
        <f t="shared" si="34"/>
        <v>38123553</v>
      </c>
      <c r="K120" s="64">
        <f t="shared" si="34"/>
        <v>38123553</v>
      </c>
      <c r="L120" s="64">
        <f t="shared" si="34"/>
        <v>38123553</v>
      </c>
      <c r="M120" s="64">
        <f t="shared" si="34"/>
        <v>38123553</v>
      </c>
      <c r="N120" s="64">
        <f t="shared" si="34"/>
        <v>38123553</v>
      </c>
      <c r="O120" s="64">
        <f t="shared" si="34"/>
        <v>38123553</v>
      </c>
      <c r="P120" s="2">
        <f t="shared" si="29"/>
        <v>495606189</v>
      </c>
      <c r="Q120" s="2">
        <f t="shared" si="30"/>
        <v>38123553</v>
      </c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3"/>
    </row>
    <row r="121" spans="1:34" x14ac:dyDescent="0.25">
      <c r="A121" s="13" t="s">
        <v>187</v>
      </c>
      <c r="B121" s="13" t="s">
        <v>188</v>
      </c>
      <c r="C121" s="2">
        <f>'WC def tax 22'!O121</f>
        <v>42173466</v>
      </c>
      <c r="D121" s="64">
        <f t="shared" si="31"/>
        <v>42173466</v>
      </c>
      <c r="E121" s="64">
        <f t="shared" si="34"/>
        <v>42173466</v>
      </c>
      <c r="F121" s="64">
        <f t="shared" si="34"/>
        <v>42173466</v>
      </c>
      <c r="G121" s="64">
        <f t="shared" si="34"/>
        <v>42173466</v>
      </c>
      <c r="H121" s="64">
        <f t="shared" si="34"/>
        <v>42173466</v>
      </c>
      <c r="I121" s="64">
        <f t="shared" si="34"/>
        <v>42173466</v>
      </c>
      <c r="J121" s="64">
        <f t="shared" si="34"/>
        <v>42173466</v>
      </c>
      <c r="K121" s="64">
        <f t="shared" si="34"/>
        <v>42173466</v>
      </c>
      <c r="L121" s="64">
        <f t="shared" si="34"/>
        <v>42173466</v>
      </c>
      <c r="M121" s="64">
        <f t="shared" si="34"/>
        <v>42173466</v>
      </c>
      <c r="N121" s="64">
        <f t="shared" si="34"/>
        <v>42173466</v>
      </c>
      <c r="O121" s="64">
        <f t="shared" si="34"/>
        <v>42173466</v>
      </c>
      <c r="P121" s="2">
        <f t="shared" si="29"/>
        <v>548255058</v>
      </c>
      <c r="Q121" s="2">
        <f t="shared" si="30"/>
        <v>42173466</v>
      </c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3"/>
    </row>
    <row r="122" spans="1:34" x14ac:dyDescent="0.25">
      <c r="A122" s="13" t="s">
        <v>189</v>
      </c>
      <c r="B122" s="13" t="s">
        <v>190</v>
      </c>
      <c r="C122" s="2">
        <f>'WC def tax 22'!O122</f>
        <v>-308270572</v>
      </c>
      <c r="D122" s="64">
        <f t="shared" si="31"/>
        <v>-308270572</v>
      </c>
      <c r="E122" s="64">
        <f t="shared" si="34"/>
        <v>-308270572</v>
      </c>
      <c r="F122" s="64">
        <f t="shared" si="34"/>
        <v>-308270572</v>
      </c>
      <c r="G122" s="64">
        <f t="shared" si="34"/>
        <v>-308270572</v>
      </c>
      <c r="H122" s="64">
        <f t="shared" si="34"/>
        <v>-308270572</v>
      </c>
      <c r="I122" s="64">
        <f t="shared" si="34"/>
        <v>-308270572</v>
      </c>
      <c r="J122" s="64">
        <f t="shared" si="34"/>
        <v>-308270572</v>
      </c>
      <c r="K122" s="64">
        <f t="shared" si="34"/>
        <v>-308270572</v>
      </c>
      <c r="L122" s="64">
        <f t="shared" si="34"/>
        <v>-308270572</v>
      </c>
      <c r="M122" s="64">
        <f t="shared" si="34"/>
        <v>-308270572</v>
      </c>
      <c r="N122" s="64">
        <f t="shared" si="34"/>
        <v>-308270572</v>
      </c>
      <c r="O122" s="64">
        <f t="shared" si="34"/>
        <v>-308270572</v>
      </c>
      <c r="P122" s="2">
        <f t="shared" si="29"/>
        <v>-4007517436</v>
      </c>
      <c r="Q122" s="2">
        <f t="shared" si="30"/>
        <v>-308270572</v>
      </c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3"/>
    </row>
    <row r="123" spans="1:34" x14ac:dyDescent="0.25">
      <c r="A123" s="13" t="s">
        <v>191</v>
      </c>
      <c r="B123" s="13" t="s">
        <v>192</v>
      </c>
      <c r="C123" s="2">
        <f>'WC def tax 22'!O123</f>
        <v>8670858</v>
      </c>
      <c r="D123" s="64">
        <f t="shared" si="31"/>
        <v>8670858</v>
      </c>
      <c r="E123" s="64">
        <f t="shared" si="34"/>
        <v>8670858</v>
      </c>
      <c r="F123" s="64">
        <f t="shared" si="34"/>
        <v>8670858</v>
      </c>
      <c r="G123" s="64">
        <f t="shared" si="34"/>
        <v>8670858</v>
      </c>
      <c r="H123" s="64">
        <f t="shared" si="34"/>
        <v>8670858</v>
      </c>
      <c r="I123" s="64">
        <f t="shared" si="34"/>
        <v>8670858</v>
      </c>
      <c r="J123" s="64">
        <f t="shared" si="34"/>
        <v>8670858</v>
      </c>
      <c r="K123" s="64">
        <f t="shared" si="34"/>
        <v>8670858</v>
      </c>
      <c r="L123" s="64">
        <f t="shared" si="34"/>
        <v>8670858</v>
      </c>
      <c r="M123" s="64">
        <f t="shared" si="34"/>
        <v>8670858</v>
      </c>
      <c r="N123" s="64">
        <f t="shared" si="34"/>
        <v>8670858</v>
      </c>
      <c r="O123" s="64">
        <f t="shared" si="34"/>
        <v>8670858</v>
      </c>
      <c r="P123" s="2">
        <f t="shared" si="29"/>
        <v>112721154</v>
      </c>
      <c r="Q123" s="2">
        <f t="shared" si="30"/>
        <v>8670858</v>
      </c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3"/>
    </row>
    <row r="124" spans="1:34" x14ac:dyDescent="0.25">
      <c r="A124" s="13" t="s">
        <v>193</v>
      </c>
      <c r="B124" s="13" t="s">
        <v>194</v>
      </c>
      <c r="C124" s="2">
        <f>'WC def tax 22'!O124</f>
        <v>3704</v>
      </c>
      <c r="D124" s="64">
        <f t="shared" si="31"/>
        <v>3704</v>
      </c>
      <c r="E124" s="64">
        <f t="shared" si="34"/>
        <v>3704</v>
      </c>
      <c r="F124" s="64">
        <f t="shared" si="34"/>
        <v>3704</v>
      </c>
      <c r="G124" s="64">
        <f t="shared" si="34"/>
        <v>3704</v>
      </c>
      <c r="H124" s="64">
        <f t="shared" si="34"/>
        <v>3704</v>
      </c>
      <c r="I124" s="64">
        <f t="shared" si="34"/>
        <v>3704</v>
      </c>
      <c r="J124" s="64">
        <f t="shared" si="34"/>
        <v>3704</v>
      </c>
      <c r="K124" s="64">
        <f t="shared" si="34"/>
        <v>3704</v>
      </c>
      <c r="L124" s="64">
        <f t="shared" si="34"/>
        <v>3704</v>
      </c>
      <c r="M124" s="64">
        <f t="shared" si="34"/>
        <v>3704</v>
      </c>
      <c r="N124" s="64">
        <f t="shared" si="34"/>
        <v>3704</v>
      </c>
      <c r="O124" s="64">
        <f t="shared" si="34"/>
        <v>3704</v>
      </c>
      <c r="P124" s="2">
        <f t="shared" si="29"/>
        <v>48152</v>
      </c>
      <c r="Q124" s="2">
        <f t="shared" si="30"/>
        <v>3704</v>
      </c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3"/>
    </row>
    <row r="125" spans="1:34" x14ac:dyDescent="0.25">
      <c r="A125" s="13" t="s">
        <v>195</v>
      </c>
      <c r="B125" s="13" t="s">
        <v>196</v>
      </c>
      <c r="C125" s="2">
        <f>'WC def tax 22'!O125</f>
        <v>-163</v>
      </c>
      <c r="D125" s="64">
        <f t="shared" si="31"/>
        <v>-163</v>
      </c>
      <c r="E125" s="64">
        <f t="shared" si="34"/>
        <v>-163</v>
      </c>
      <c r="F125" s="64">
        <f t="shared" si="34"/>
        <v>-163</v>
      </c>
      <c r="G125" s="64">
        <f t="shared" si="34"/>
        <v>-163</v>
      </c>
      <c r="H125" s="64">
        <f t="shared" si="34"/>
        <v>-163</v>
      </c>
      <c r="I125" s="64">
        <f t="shared" si="34"/>
        <v>-163</v>
      </c>
      <c r="J125" s="64">
        <f t="shared" si="34"/>
        <v>-163</v>
      </c>
      <c r="K125" s="64">
        <f t="shared" si="34"/>
        <v>-163</v>
      </c>
      <c r="L125" s="64">
        <f t="shared" si="34"/>
        <v>-163</v>
      </c>
      <c r="M125" s="64">
        <f t="shared" si="34"/>
        <v>-163</v>
      </c>
      <c r="N125" s="64">
        <f t="shared" si="34"/>
        <v>-163</v>
      </c>
      <c r="O125" s="64">
        <f t="shared" si="34"/>
        <v>-163</v>
      </c>
      <c r="P125" s="2">
        <f t="shared" si="29"/>
        <v>-2119</v>
      </c>
      <c r="Q125" s="2">
        <f t="shared" si="30"/>
        <v>-163</v>
      </c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3"/>
    </row>
    <row r="126" spans="1:34" x14ac:dyDescent="0.25">
      <c r="A126" s="13" t="s">
        <v>197</v>
      </c>
      <c r="B126" s="13" t="s">
        <v>198</v>
      </c>
      <c r="C126" s="2">
        <f>'WC def tax 22'!O126</f>
        <v>6500</v>
      </c>
      <c r="D126" s="64">
        <f t="shared" si="31"/>
        <v>6500</v>
      </c>
      <c r="E126" s="64">
        <f t="shared" si="34"/>
        <v>6500</v>
      </c>
      <c r="F126" s="64">
        <f t="shared" si="34"/>
        <v>6500</v>
      </c>
      <c r="G126" s="64">
        <f t="shared" si="34"/>
        <v>6500</v>
      </c>
      <c r="H126" s="64">
        <f t="shared" si="34"/>
        <v>6500</v>
      </c>
      <c r="I126" s="64">
        <f t="shared" si="34"/>
        <v>6500</v>
      </c>
      <c r="J126" s="64">
        <f t="shared" si="34"/>
        <v>6500</v>
      </c>
      <c r="K126" s="64">
        <f t="shared" si="34"/>
        <v>6500</v>
      </c>
      <c r="L126" s="64">
        <f t="shared" si="34"/>
        <v>6500</v>
      </c>
      <c r="M126" s="64">
        <f t="shared" si="34"/>
        <v>6500</v>
      </c>
      <c r="N126" s="64">
        <f t="shared" si="34"/>
        <v>6500</v>
      </c>
      <c r="O126" s="64">
        <f t="shared" si="34"/>
        <v>6500</v>
      </c>
      <c r="P126" s="2">
        <f t="shared" si="29"/>
        <v>84500</v>
      </c>
      <c r="Q126" s="2">
        <f t="shared" si="30"/>
        <v>6500</v>
      </c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3"/>
    </row>
    <row r="127" spans="1:34" x14ac:dyDescent="0.25">
      <c r="A127" s="13" t="s">
        <v>199</v>
      </c>
      <c r="B127" s="13" t="s">
        <v>200</v>
      </c>
      <c r="C127" s="2">
        <f>'WC def tax 22'!O127</f>
        <v>2775908</v>
      </c>
      <c r="D127" s="64">
        <f t="shared" si="31"/>
        <v>2775908</v>
      </c>
      <c r="E127" s="64">
        <f t="shared" si="34"/>
        <v>2775908</v>
      </c>
      <c r="F127" s="64">
        <f t="shared" si="34"/>
        <v>2775908</v>
      </c>
      <c r="G127" s="64">
        <f t="shared" si="34"/>
        <v>2775908</v>
      </c>
      <c r="H127" s="64">
        <f t="shared" si="34"/>
        <v>2775908</v>
      </c>
      <c r="I127" s="64">
        <f t="shared" si="34"/>
        <v>2775908</v>
      </c>
      <c r="J127" s="64">
        <f t="shared" si="34"/>
        <v>2775908</v>
      </c>
      <c r="K127" s="64">
        <f t="shared" si="34"/>
        <v>2775908</v>
      </c>
      <c r="L127" s="64">
        <f t="shared" si="34"/>
        <v>2775908</v>
      </c>
      <c r="M127" s="64">
        <f t="shared" si="34"/>
        <v>2775908</v>
      </c>
      <c r="N127" s="64">
        <f t="shared" si="34"/>
        <v>2775908</v>
      </c>
      <c r="O127" s="64">
        <f t="shared" si="34"/>
        <v>2775908</v>
      </c>
      <c r="P127" s="2">
        <f t="shared" si="29"/>
        <v>36086804</v>
      </c>
      <c r="Q127" s="2">
        <f t="shared" si="30"/>
        <v>2775908</v>
      </c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3"/>
    </row>
    <row r="128" spans="1:34" x14ac:dyDescent="0.25">
      <c r="A128" s="13" t="s">
        <v>201</v>
      </c>
      <c r="B128" s="13" t="s">
        <v>202</v>
      </c>
      <c r="C128" s="2">
        <f>'WC def tax 22'!O128</f>
        <v>109634</v>
      </c>
      <c r="D128" s="64">
        <f t="shared" si="31"/>
        <v>109634</v>
      </c>
      <c r="E128" s="64">
        <f t="shared" si="34"/>
        <v>109634</v>
      </c>
      <c r="F128" s="64">
        <f t="shared" si="34"/>
        <v>109634</v>
      </c>
      <c r="G128" s="64">
        <f t="shared" si="34"/>
        <v>109634</v>
      </c>
      <c r="H128" s="64">
        <f t="shared" si="34"/>
        <v>109634</v>
      </c>
      <c r="I128" s="64">
        <f t="shared" si="34"/>
        <v>109634</v>
      </c>
      <c r="J128" s="64">
        <f t="shared" si="34"/>
        <v>109634</v>
      </c>
      <c r="K128" s="64">
        <f t="shared" si="34"/>
        <v>109634</v>
      </c>
      <c r="L128" s="64">
        <f t="shared" si="34"/>
        <v>109634</v>
      </c>
      <c r="M128" s="64">
        <f t="shared" si="34"/>
        <v>109634</v>
      </c>
      <c r="N128" s="64">
        <f t="shared" si="34"/>
        <v>109634</v>
      </c>
      <c r="O128" s="64">
        <f t="shared" si="34"/>
        <v>109634</v>
      </c>
      <c r="P128" s="2">
        <f t="shared" si="29"/>
        <v>1425242</v>
      </c>
      <c r="Q128" s="2">
        <f t="shared" si="30"/>
        <v>109634</v>
      </c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3"/>
    </row>
    <row r="129" spans="1:34" x14ac:dyDescent="0.25">
      <c r="A129" s="13" t="s">
        <v>203</v>
      </c>
      <c r="B129" s="13" t="s">
        <v>204</v>
      </c>
      <c r="C129" s="2">
        <f>'WC def tax 22'!O129</f>
        <v>183748</v>
      </c>
      <c r="D129" s="64">
        <f t="shared" si="31"/>
        <v>183748</v>
      </c>
      <c r="E129" s="64">
        <f t="shared" si="34"/>
        <v>183748</v>
      </c>
      <c r="F129" s="64">
        <f t="shared" si="34"/>
        <v>183748</v>
      </c>
      <c r="G129" s="64">
        <f t="shared" si="34"/>
        <v>183748</v>
      </c>
      <c r="H129" s="64">
        <f t="shared" si="34"/>
        <v>183748</v>
      </c>
      <c r="I129" s="64">
        <f t="shared" si="34"/>
        <v>183748</v>
      </c>
      <c r="J129" s="64">
        <f t="shared" si="34"/>
        <v>183748</v>
      </c>
      <c r="K129" s="64">
        <f t="shared" si="34"/>
        <v>183748</v>
      </c>
      <c r="L129" s="64">
        <f t="shared" si="34"/>
        <v>183748</v>
      </c>
      <c r="M129" s="64">
        <f t="shared" si="34"/>
        <v>183748</v>
      </c>
      <c r="N129" s="64">
        <f t="shared" si="34"/>
        <v>183748</v>
      </c>
      <c r="O129" s="64">
        <f t="shared" si="34"/>
        <v>183748</v>
      </c>
      <c r="P129" s="2">
        <f t="shared" si="29"/>
        <v>2388724</v>
      </c>
      <c r="Q129" s="2">
        <f t="shared" si="30"/>
        <v>183748</v>
      </c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3"/>
    </row>
    <row r="130" spans="1:34" x14ac:dyDescent="0.25">
      <c r="C130" s="26" t="s">
        <v>67</v>
      </c>
      <c r="D130" s="26" t="s">
        <v>67</v>
      </c>
      <c r="E130" s="26" t="s">
        <v>67</v>
      </c>
      <c r="F130" s="26" t="s">
        <v>67</v>
      </c>
      <c r="G130" s="26" t="s">
        <v>67</v>
      </c>
      <c r="H130" s="26" t="s">
        <v>67</v>
      </c>
      <c r="I130" s="26" t="s">
        <v>67</v>
      </c>
      <c r="J130" s="26" t="s">
        <v>67</v>
      </c>
      <c r="K130" s="26" t="s">
        <v>67</v>
      </c>
      <c r="L130" s="26" t="s">
        <v>67</v>
      </c>
      <c r="M130" s="26" t="s">
        <v>67</v>
      </c>
      <c r="N130" s="26" t="s">
        <v>67</v>
      </c>
      <c r="O130" s="26" t="s">
        <v>67</v>
      </c>
      <c r="P130" s="26" t="s">
        <v>67</v>
      </c>
      <c r="Q130" s="26" t="s">
        <v>67</v>
      </c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3"/>
    </row>
    <row r="131" spans="1:34" x14ac:dyDescent="0.25">
      <c r="A131" s="21" t="s">
        <v>205</v>
      </c>
      <c r="B131" s="22"/>
      <c r="C131" s="23">
        <f t="shared" ref="C131:Q131" si="35">SUM(C95:C129)</f>
        <v>-55118058.633490026</v>
      </c>
      <c r="D131" s="23">
        <f t="shared" si="35"/>
        <v>-55111291.854275346</v>
      </c>
      <c r="E131" s="23">
        <f t="shared" si="35"/>
        <v>-55084194.987357855</v>
      </c>
      <c r="F131" s="23">
        <f t="shared" si="35"/>
        <v>-55057098.120440364</v>
      </c>
      <c r="G131" s="23">
        <f t="shared" si="35"/>
        <v>-55030001.253522873</v>
      </c>
      <c r="H131" s="23">
        <f t="shared" si="35"/>
        <v>-55002904.386605382</v>
      </c>
      <c r="I131" s="23">
        <f t="shared" si="35"/>
        <v>-54975807.519687891</v>
      </c>
      <c r="J131" s="23">
        <f t="shared" si="35"/>
        <v>-54948710.6527704</v>
      </c>
      <c r="K131" s="23">
        <f t="shared" si="35"/>
        <v>-54921613.785852909</v>
      </c>
      <c r="L131" s="23">
        <f t="shared" si="35"/>
        <v>-54894516.918935359</v>
      </c>
      <c r="M131" s="23">
        <f t="shared" si="35"/>
        <v>-54867420.052017868</v>
      </c>
      <c r="N131" s="23">
        <f t="shared" si="35"/>
        <v>-54840323.185100377</v>
      </c>
      <c r="O131" s="23">
        <f t="shared" si="35"/>
        <v>-54813226.318182886</v>
      </c>
      <c r="P131" s="23">
        <f t="shared" si="35"/>
        <v>-714665167.66823959</v>
      </c>
      <c r="Q131" s="23">
        <f t="shared" si="35"/>
        <v>-54974243.666787624</v>
      </c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3"/>
    </row>
    <row r="132" spans="1:34" x14ac:dyDescent="0.25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3"/>
    </row>
    <row r="133" spans="1:34" x14ac:dyDescent="0.25">
      <c r="A133" s="21" t="s">
        <v>206</v>
      </c>
      <c r="B133" s="22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3"/>
    </row>
    <row r="134" spans="1:34" x14ac:dyDescent="0.25">
      <c r="A134" s="13" t="s">
        <v>207</v>
      </c>
      <c r="B134" s="13" t="s">
        <v>208</v>
      </c>
      <c r="C134" s="2">
        <f>'WC def tax 22'!O134</f>
        <v>4954.504633333333</v>
      </c>
      <c r="D134" s="64">
        <f t="shared" ref="D134:O135" si="36">(($P134-$C134)/12)</f>
        <v>5367.5467122488881</v>
      </c>
      <c r="E134" s="64">
        <f t="shared" si="36"/>
        <v>5367.5467122488881</v>
      </c>
      <c r="F134" s="64">
        <f t="shared" si="36"/>
        <v>5367.5467122488881</v>
      </c>
      <c r="G134" s="64">
        <f t="shared" si="36"/>
        <v>5367.5467122488881</v>
      </c>
      <c r="H134" s="64">
        <f t="shared" si="36"/>
        <v>5367.5467122488881</v>
      </c>
      <c r="I134" s="64">
        <f t="shared" si="36"/>
        <v>5367.5467122488881</v>
      </c>
      <c r="J134" s="64">
        <f t="shared" si="36"/>
        <v>5367.5467122488881</v>
      </c>
      <c r="K134" s="64">
        <f t="shared" si="36"/>
        <v>5367.5467122488881</v>
      </c>
      <c r="L134" s="64">
        <f t="shared" si="36"/>
        <v>5367.5467122488881</v>
      </c>
      <c r="M134" s="64">
        <f t="shared" si="36"/>
        <v>5367.5467122488881</v>
      </c>
      <c r="N134" s="64">
        <f t="shared" si="36"/>
        <v>5367.5467122488881</v>
      </c>
      <c r="O134" s="64">
        <f t="shared" si="36"/>
        <v>5367.5467122488881</v>
      </c>
      <c r="P134" s="2">
        <f t="shared" ref="P134:P135" si="37">Q134*13</f>
        <v>69365.065180319987</v>
      </c>
      <c r="Q134" s="2">
        <f>'WC def tax 22'!Q134*1.0572</f>
        <v>5335.7742446399989</v>
      </c>
      <c r="R134" s="15" t="s">
        <v>502</v>
      </c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3"/>
    </row>
    <row r="135" spans="1:34" x14ac:dyDescent="0.25">
      <c r="A135" s="13" t="s">
        <v>209</v>
      </c>
      <c r="B135" s="13" t="s">
        <v>210</v>
      </c>
      <c r="C135" s="2">
        <f>'WC def tax 22'!O135</f>
        <v>80591.663833333339</v>
      </c>
      <c r="D135" s="64">
        <f t="shared" si="36"/>
        <v>81403.847518488867</v>
      </c>
      <c r="E135" s="64">
        <f t="shared" si="36"/>
        <v>81403.847518488867</v>
      </c>
      <c r="F135" s="64">
        <f t="shared" si="36"/>
        <v>81403.847518488867</v>
      </c>
      <c r="G135" s="64">
        <f t="shared" si="36"/>
        <v>81403.847518488867</v>
      </c>
      <c r="H135" s="64">
        <f t="shared" si="36"/>
        <v>81403.847518488867</v>
      </c>
      <c r="I135" s="64">
        <f t="shared" si="36"/>
        <v>81403.847518488867</v>
      </c>
      <c r="J135" s="64">
        <f t="shared" si="36"/>
        <v>81403.847518488867</v>
      </c>
      <c r="K135" s="64">
        <f t="shared" si="36"/>
        <v>81403.847518488867</v>
      </c>
      <c r="L135" s="64">
        <f t="shared" si="36"/>
        <v>81403.847518488867</v>
      </c>
      <c r="M135" s="64">
        <f t="shared" si="36"/>
        <v>81403.847518488867</v>
      </c>
      <c r="N135" s="64">
        <f t="shared" si="36"/>
        <v>81403.847518488867</v>
      </c>
      <c r="O135" s="64">
        <f t="shared" si="36"/>
        <v>81403.847518488867</v>
      </c>
      <c r="P135" s="2">
        <f t="shared" si="37"/>
        <v>1057437.8340551998</v>
      </c>
      <c r="Q135" s="2">
        <f>'WC def tax 22'!Q135*1.0572</f>
        <v>81341.371850399984</v>
      </c>
      <c r="R135" s="15" t="s">
        <v>502</v>
      </c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27">
        <f>SUM(AB135:AG135)-O135</f>
        <v>-81403.847518488867</v>
      </c>
    </row>
    <row r="136" spans="1:34" x14ac:dyDescent="0.25">
      <c r="C136" s="26" t="s">
        <v>67</v>
      </c>
      <c r="D136" s="26" t="s">
        <v>67</v>
      </c>
      <c r="E136" s="26" t="s">
        <v>67</v>
      </c>
      <c r="F136" s="26" t="s">
        <v>67</v>
      </c>
      <c r="G136" s="26" t="s">
        <v>67</v>
      </c>
      <c r="H136" s="26" t="s">
        <v>67</v>
      </c>
      <c r="I136" s="26" t="s">
        <v>67</v>
      </c>
      <c r="J136" s="26" t="s">
        <v>67</v>
      </c>
      <c r="K136" s="26" t="s">
        <v>67</v>
      </c>
      <c r="L136" s="26" t="s">
        <v>67</v>
      </c>
      <c r="M136" s="26" t="s">
        <v>67</v>
      </c>
      <c r="N136" s="26" t="s">
        <v>67</v>
      </c>
      <c r="O136" s="26" t="s">
        <v>67</v>
      </c>
      <c r="P136" s="26" t="s">
        <v>67</v>
      </c>
      <c r="Q136" s="26" t="s">
        <v>67</v>
      </c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3"/>
    </row>
    <row r="137" spans="1:34" x14ac:dyDescent="0.25">
      <c r="A137" s="21" t="s">
        <v>211</v>
      </c>
      <c r="B137" s="22"/>
      <c r="C137" s="23">
        <f>SUM(C134:C135)</f>
        <v>85546.16846666667</v>
      </c>
      <c r="D137" s="23">
        <f t="shared" ref="D137:Q137" si="38">SUM(D134:D135)</f>
        <v>86771.394230737758</v>
      </c>
      <c r="E137" s="23">
        <f t="shared" si="38"/>
        <v>86771.394230737758</v>
      </c>
      <c r="F137" s="23">
        <f t="shared" si="38"/>
        <v>86771.394230737758</v>
      </c>
      <c r="G137" s="23">
        <f t="shared" si="38"/>
        <v>86771.394230737758</v>
      </c>
      <c r="H137" s="23">
        <f t="shared" si="38"/>
        <v>86771.394230737758</v>
      </c>
      <c r="I137" s="23">
        <f t="shared" si="38"/>
        <v>86771.394230737758</v>
      </c>
      <c r="J137" s="23">
        <f t="shared" si="38"/>
        <v>86771.394230737758</v>
      </c>
      <c r="K137" s="23">
        <f t="shared" si="38"/>
        <v>86771.394230737758</v>
      </c>
      <c r="L137" s="23">
        <f t="shared" si="38"/>
        <v>86771.394230737758</v>
      </c>
      <c r="M137" s="23">
        <f t="shared" si="38"/>
        <v>86771.394230737758</v>
      </c>
      <c r="N137" s="23">
        <f t="shared" si="38"/>
        <v>86771.394230737758</v>
      </c>
      <c r="O137" s="23">
        <f t="shared" si="38"/>
        <v>86771.394230737758</v>
      </c>
      <c r="P137" s="23">
        <f t="shared" si="38"/>
        <v>1126802.8992355198</v>
      </c>
      <c r="Q137" s="23">
        <f t="shared" si="38"/>
        <v>86677.146095039978</v>
      </c>
      <c r="R137" s="15">
        <f>SUM(T137:Y137)-Q137</f>
        <v>0</v>
      </c>
      <c r="S137" s="15" t="s">
        <v>16</v>
      </c>
      <c r="T137" s="15">
        <f t="shared" ref="T137:Y137" si="39">$Q137*T5</f>
        <v>18462.232118243515</v>
      </c>
      <c r="U137" s="15">
        <f t="shared" si="39"/>
        <v>30163.646841073911</v>
      </c>
      <c r="V137" s="15">
        <f t="shared" si="39"/>
        <v>12481.509037685755</v>
      </c>
      <c r="W137" s="15">
        <f t="shared" si="39"/>
        <v>86.677146095039973</v>
      </c>
      <c r="X137" s="15">
        <f t="shared" si="39"/>
        <v>86.677146095039973</v>
      </c>
      <c r="Y137" s="15">
        <f t="shared" si="39"/>
        <v>25396.403805846712</v>
      </c>
      <c r="Z137" s="15"/>
      <c r="AA137" s="15" t="s">
        <v>16</v>
      </c>
      <c r="AB137" s="15">
        <f t="shared" ref="AB137:AG137" si="40">$O137*AB$5</f>
        <v>18482.306971147143</v>
      </c>
      <c r="AC137" s="15">
        <f t="shared" si="40"/>
        <v>30196.445192296738</v>
      </c>
      <c r="AD137" s="15">
        <f t="shared" si="40"/>
        <v>12495.080769226237</v>
      </c>
      <c r="AE137" s="15">
        <f t="shared" si="40"/>
        <v>86.771394230737755</v>
      </c>
      <c r="AF137" s="15">
        <f t="shared" si="40"/>
        <v>86.771394230737755</v>
      </c>
      <c r="AG137" s="15">
        <f t="shared" si="40"/>
        <v>25424.018509606161</v>
      </c>
      <c r="AH137" s="3"/>
    </row>
    <row r="138" spans="1:34" x14ac:dyDescent="0.25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27">
        <f>SUM(AB138:AG138)-O138</f>
        <v>0</v>
      </c>
    </row>
    <row r="139" spans="1:34" x14ac:dyDescent="0.25">
      <c r="A139" s="21" t="s">
        <v>212</v>
      </c>
      <c r="B139" s="22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3"/>
    </row>
    <row r="140" spans="1:34" x14ac:dyDescent="0.25">
      <c r="A140" s="13" t="s">
        <v>213</v>
      </c>
      <c r="B140" s="13" t="s">
        <v>214</v>
      </c>
      <c r="C140" s="2">
        <f>'WC def tax 22'!O140</f>
        <v>122776.39030000001</v>
      </c>
      <c r="D140" s="64">
        <f t="shared" ref="D140:O140" si="41">(($P140-$C140)/12)</f>
        <v>130772.74436682665</v>
      </c>
      <c r="E140" s="64">
        <f t="shared" si="41"/>
        <v>130772.74436682665</v>
      </c>
      <c r="F140" s="64">
        <f t="shared" si="41"/>
        <v>130772.74436682665</v>
      </c>
      <c r="G140" s="64">
        <f t="shared" si="41"/>
        <v>130772.74436682665</v>
      </c>
      <c r="H140" s="64">
        <f t="shared" si="41"/>
        <v>130772.74436682665</v>
      </c>
      <c r="I140" s="64">
        <f t="shared" si="41"/>
        <v>130772.74436682665</v>
      </c>
      <c r="J140" s="64">
        <f t="shared" si="41"/>
        <v>130772.74436682665</v>
      </c>
      <c r="K140" s="64">
        <f t="shared" si="41"/>
        <v>130772.74436682665</v>
      </c>
      <c r="L140" s="64">
        <f t="shared" si="41"/>
        <v>130772.74436682665</v>
      </c>
      <c r="M140" s="64">
        <f t="shared" si="41"/>
        <v>130772.74436682665</v>
      </c>
      <c r="N140" s="64">
        <f t="shared" si="41"/>
        <v>130772.74436682665</v>
      </c>
      <c r="O140" s="64">
        <f t="shared" si="41"/>
        <v>130772.74436682665</v>
      </c>
      <c r="P140" s="2">
        <f t="shared" ref="P140" si="42">Q140*13</f>
        <v>1692049.3227019198</v>
      </c>
      <c r="Q140" s="2">
        <f>'WC def tax 22'!Q140*1.0572</f>
        <v>130157.64020783998</v>
      </c>
      <c r="R140" s="15" t="s">
        <v>502</v>
      </c>
      <c r="S140" s="15" t="s">
        <v>16</v>
      </c>
      <c r="T140" s="15">
        <f t="shared" ref="T140:Y140" si="43">$Q140*T5</f>
        <v>27723.577364269917</v>
      </c>
      <c r="U140" s="15">
        <f t="shared" si="43"/>
        <v>45294.858792328312</v>
      </c>
      <c r="V140" s="15">
        <f t="shared" si="43"/>
        <v>18742.700189928957</v>
      </c>
      <c r="W140" s="15">
        <f t="shared" si="43"/>
        <v>130.15764020783999</v>
      </c>
      <c r="X140" s="15">
        <f t="shared" si="43"/>
        <v>130.15764020783999</v>
      </c>
      <c r="Y140" s="15">
        <f t="shared" si="43"/>
        <v>38136.188580897113</v>
      </c>
      <c r="Z140" s="15"/>
      <c r="AA140" s="15" t="s">
        <v>16</v>
      </c>
      <c r="AB140" s="15">
        <f t="shared" ref="AB140:AG140" si="44">$O140*AB$5</f>
        <v>27854.594550134076</v>
      </c>
      <c r="AC140" s="15">
        <f t="shared" si="44"/>
        <v>45508.915039655672</v>
      </c>
      <c r="AD140" s="15">
        <f t="shared" si="44"/>
        <v>18831.275188823038</v>
      </c>
      <c r="AE140" s="15">
        <f t="shared" si="44"/>
        <v>130.77274436682666</v>
      </c>
      <c r="AF140" s="15">
        <f t="shared" si="44"/>
        <v>130.77274436682666</v>
      </c>
      <c r="AG140" s="15">
        <f t="shared" si="44"/>
        <v>38316.414099480207</v>
      </c>
      <c r="AH140" s="3"/>
    </row>
    <row r="141" spans="1:34" x14ac:dyDescent="0.25">
      <c r="C141" s="26" t="s">
        <v>67</v>
      </c>
      <c r="D141" s="26" t="s">
        <v>67</v>
      </c>
      <c r="E141" s="26" t="s">
        <v>67</v>
      </c>
      <c r="F141" s="26" t="s">
        <v>67</v>
      </c>
      <c r="G141" s="26" t="s">
        <v>67</v>
      </c>
      <c r="H141" s="26" t="s">
        <v>67</v>
      </c>
      <c r="I141" s="26" t="s">
        <v>67</v>
      </c>
      <c r="J141" s="26" t="s">
        <v>67</v>
      </c>
      <c r="K141" s="26" t="s">
        <v>67</v>
      </c>
      <c r="L141" s="26" t="s">
        <v>67</v>
      </c>
      <c r="M141" s="26" t="s">
        <v>67</v>
      </c>
      <c r="N141" s="26" t="s">
        <v>67</v>
      </c>
      <c r="O141" s="26" t="s">
        <v>67</v>
      </c>
      <c r="P141" s="26" t="s">
        <v>67</v>
      </c>
      <c r="Q141" s="26" t="s">
        <v>67</v>
      </c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3"/>
    </row>
    <row r="142" spans="1:34" x14ac:dyDescent="0.25">
      <c r="A142" s="21" t="s">
        <v>215</v>
      </c>
      <c r="B142" s="22"/>
      <c r="C142" s="23">
        <f>C140</f>
        <v>122776.39030000001</v>
      </c>
      <c r="D142" s="23">
        <f t="shared" ref="D142:Q142" si="45">D140</f>
        <v>130772.74436682665</v>
      </c>
      <c r="E142" s="23">
        <f t="shared" si="45"/>
        <v>130772.74436682665</v>
      </c>
      <c r="F142" s="23">
        <f t="shared" si="45"/>
        <v>130772.74436682665</v>
      </c>
      <c r="G142" s="23">
        <f t="shared" si="45"/>
        <v>130772.74436682665</v>
      </c>
      <c r="H142" s="23">
        <f t="shared" si="45"/>
        <v>130772.74436682665</v>
      </c>
      <c r="I142" s="23">
        <f t="shared" si="45"/>
        <v>130772.74436682665</v>
      </c>
      <c r="J142" s="23">
        <f t="shared" si="45"/>
        <v>130772.74436682665</v>
      </c>
      <c r="K142" s="23">
        <f t="shared" si="45"/>
        <v>130772.74436682665</v>
      </c>
      <c r="L142" s="23">
        <f t="shared" si="45"/>
        <v>130772.74436682665</v>
      </c>
      <c r="M142" s="23">
        <f t="shared" si="45"/>
        <v>130772.74436682665</v>
      </c>
      <c r="N142" s="23">
        <f t="shared" si="45"/>
        <v>130772.74436682665</v>
      </c>
      <c r="O142" s="23">
        <f t="shared" si="45"/>
        <v>130772.74436682665</v>
      </c>
      <c r="P142" s="23">
        <f t="shared" si="45"/>
        <v>1692049.3227019198</v>
      </c>
      <c r="Q142" s="23">
        <f t="shared" si="45"/>
        <v>130157.64020783998</v>
      </c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3"/>
    </row>
    <row r="143" spans="1:34" x14ac:dyDescent="0.25">
      <c r="A143" s="40"/>
      <c r="B143" s="40"/>
      <c r="C143" s="41"/>
      <c r="D143" s="41">
        <f>D137+D142</f>
        <v>217544.13859756442</v>
      </c>
      <c r="E143" s="41">
        <f t="shared" ref="E143:O143" si="46">E137+E142</f>
        <v>217544.13859756442</v>
      </c>
      <c r="F143" s="41">
        <f t="shared" si="46"/>
        <v>217544.13859756442</v>
      </c>
      <c r="G143" s="41">
        <f t="shared" si="46"/>
        <v>217544.13859756442</v>
      </c>
      <c r="H143" s="41">
        <f t="shared" si="46"/>
        <v>217544.13859756442</v>
      </c>
      <c r="I143" s="41">
        <f t="shared" si="46"/>
        <v>217544.13859756442</v>
      </c>
      <c r="J143" s="41">
        <f t="shared" si="46"/>
        <v>217544.13859756442</v>
      </c>
      <c r="K143" s="41">
        <f t="shared" si="46"/>
        <v>217544.13859756442</v>
      </c>
      <c r="L143" s="41">
        <f t="shared" si="46"/>
        <v>217544.13859756442</v>
      </c>
      <c r="M143" s="41">
        <f t="shared" si="46"/>
        <v>217544.13859756442</v>
      </c>
      <c r="N143" s="41">
        <f t="shared" si="46"/>
        <v>217544.13859756442</v>
      </c>
      <c r="O143" s="41">
        <f t="shared" si="46"/>
        <v>217544.13859756442</v>
      </c>
      <c r="P143" s="41"/>
      <c r="Q143" s="41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3"/>
    </row>
    <row r="144" spans="1:34" ht="15.75" x14ac:dyDescent="0.3">
      <c r="A144" s="42" t="s">
        <v>216</v>
      </c>
      <c r="B144" s="43"/>
      <c r="C144" s="44">
        <f t="shared" ref="C144:Q144" si="47">C142+C137+C131+C92+C86+C79</f>
        <v>-54174409.747356698</v>
      </c>
      <c r="D144" s="44">
        <f t="shared" si="47"/>
        <v>-54122742.36583297</v>
      </c>
      <c r="E144" s="44">
        <f t="shared" si="47"/>
        <v>-54095645.498915479</v>
      </c>
      <c r="F144" s="44">
        <f t="shared" si="47"/>
        <v>-54068548.631997988</v>
      </c>
      <c r="G144" s="44">
        <f t="shared" si="47"/>
        <v>-54041451.765080497</v>
      </c>
      <c r="H144" s="44">
        <f t="shared" si="47"/>
        <v>-54014354.898163006</v>
      </c>
      <c r="I144" s="44">
        <f t="shared" si="47"/>
        <v>-53987258.031245515</v>
      </c>
      <c r="J144" s="44">
        <f t="shared" si="47"/>
        <v>-53960161.164328024</v>
      </c>
      <c r="K144" s="44">
        <f t="shared" si="47"/>
        <v>-53933064.297410533</v>
      </c>
      <c r="L144" s="44">
        <f t="shared" si="47"/>
        <v>-53905967.430492982</v>
      </c>
      <c r="M144" s="44">
        <f t="shared" si="47"/>
        <v>-53878870.563575491</v>
      </c>
      <c r="N144" s="44">
        <f t="shared" si="47"/>
        <v>-53851773.696658</v>
      </c>
      <c r="O144" s="44">
        <f t="shared" si="47"/>
        <v>-53824676.829740509</v>
      </c>
      <c r="P144" s="44">
        <f t="shared" si="47"/>
        <v>-701858924.92079771</v>
      </c>
      <c r="Q144" s="44">
        <f t="shared" si="47"/>
        <v>-53989148.070830554</v>
      </c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3"/>
    </row>
    <row r="145" spans="1:34" x14ac:dyDescent="0.25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3"/>
    </row>
    <row r="146" spans="1:34" ht="15.75" x14ac:dyDescent="0.3">
      <c r="A146" s="18" t="s">
        <v>217</v>
      </c>
      <c r="B146" s="19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3"/>
    </row>
    <row r="147" spans="1:34" x14ac:dyDescent="0.25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3"/>
    </row>
    <row r="148" spans="1:34" x14ac:dyDescent="0.25">
      <c r="A148" s="45" t="s">
        <v>218</v>
      </c>
      <c r="B148" s="46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3"/>
    </row>
    <row r="149" spans="1:34" x14ac:dyDescent="0.25">
      <c r="A149" s="48" t="s">
        <v>219</v>
      </c>
      <c r="B149" s="48" t="s">
        <v>220</v>
      </c>
      <c r="C149" s="2">
        <f>'WC def tax 22'!O149</f>
        <v>647651</v>
      </c>
      <c r="D149" s="64">
        <f>C149-6142</f>
        <v>641509</v>
      </c>
      <c r="E149" s="64">
        <f t="shared" ref="E149:O149" si="48">D149-6142</f>
        <v>635367</v>
      </c>
      <c r="F149" s="64">
        <f t="shared" si="48"/>
        <v>629225</v>
      </c>
      <c r="G149" s="64">
        <f t="shared" si="48"/>
        <v>623083</v>
      </c>
      <c r="H149" s="64">
        <f t="shared" si="48"/>
        <v>616941</v>
      </c>
      <c r="I149" s="64">
        <f t="shared" si="48"/>
        <v>610799</v>
      </c>
      <c r="J149" s="64">
        <f t="shared" si="48"/>
        <v>604657</v>
      </c>
      <c r="K149" s="64">
        <f t="shared" si="48"/>
        <v>598515</v>
      </c>
      <c r="L149" s="64">
        <f t="shared" si="48"/>
        <v>592373</v>
      </c>
      <c r="M149" s="64">
        <f t="shared" si="48"/>
        <v>586231</v>
      </c>
      <c r="N149" s="64">
        <f t="shared" si="48"/>
        <v>580089</v>
      </c>
      <c r="O149" s="64">
        <f t="shared" si="48"/>
        <v>573947</v>
      </c>
      <c r="P149" s="2">
        <f>SUM(C149:O149)</f>
        <v>7940387</v>
      </c>
      <c r="Q149" s="2">
        <f>P149/13</f>
        <v>610799</v>
      </c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3"/>
    </row>
    <row r="150" spans="1:34" x14ac:dyDescent="0.25">
      <c r="C150" s="26" t="s">
        <v>67</v>
      </c>
      <c r="D150" s="26" t="s">
        <v>67</v>
      </c>
      <c r="E150" s="26" t="s">
        <v>67</v>
      </c>
      <c r="F150" s="26" t="s">
        <v>67</v>
      </c>
      <c r="G150" s="26" t="s">
        <v>67</v>
      </c>
      <c r="H150" s="26" t="s">
        <v>67</v>
      </c>
      <c r="I150" s="26" t="s">
        <v>67</v>
      </c>
      <c r="J150" s="26" t="s">
        <v>67</v>
      </c>
      <c r="K150" s="26" t="s">
        <v>67</v>
      </c>
      <c r="L150" s="26" t="s">
        <v>67</v>
      </c>
      <c r="M150" s="26" t="s">
        <v>67</v>
      </c>
      <c r="N150" s="26" t="s">
        <v>67</v>
      </c>
      <c r="O150" s="26" t="s">
        <v>67</v>
      </c>
      <c r="P150" s="26" t="s">
        <v>67</v>
      </c>
      <c r="Q150" s="26" t="s">
        <v>67</v>
      </c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3"/>
    </row>
    <row r="151" spans="1:34" x14ac:dyDescent="0.25">
      <c r="A151" s="21" t="s">
        <v>221</v>
      </c>
      <c r="B151" s="22"/>
      <c r="C151" s="23">
        <f>C149</f>
        <v>647651</v>
      </c>
      <c r="D151" s="23">
        <f t="shared" ref="D151:Q151" si="49">D149</f>
        <v>641509</v>
      </c>
      <c r="E151" s="23">
        <f t="shared" si="49"/>
        <v>635367</v>
      </c>
      <c r="F151" s="23">
        <f t="shared" si="49"/>
        <v>629225</v>
      </c>
      <c r="G151" s="23">
        <f t="shared" si="49"/>
        <v>623083</v>
      </c>
      <c r="H151" s="23">
        <f t="shared" si="49"/>
        <v>616941</v>
      </c>
      <c r="I151" s="23">
        <f t="shared" si="49"/>
        <v>610799</v>
      </c>
      <c r="J151" s="23">
        <f t="shared" si="49"/>
        <v>604657</v>
      </c>
      <c r="K151" s="23">
        <f t="shared" si="49"/>
        <v>598515</v>
      </c>
      <c r="L151" s="23">
        <f t="shared" si="49"/>
        <v>592373</v>
      </c>
      <c r="M151" s="23">
        <f t="shared" si="49"/>
        <v>586231</v>
      </c>
      <c r="N151" s="23">
        <f t="shared" si="49"/>
        <v>580089</v>
      </c>
      <c r="O151" s="23">
        <f t="shared" si="49"/>
        <v>573947</v>
      </c>
      <c r="P151" s="23">
        <f t="shared" si="49"/>
        <v>7940387</v>
      </c>
      <c r="Q151" s="23">
        <f t="shared" si="49"/>
        <v>610799</v>
      </c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3"/>
    </row>
    <row r="152" spans="1:34" x14ac:dyDescent="0.25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3"/>
    </row>
    <row r="153" spans="1:34" x14ac:dyDescent="0.25">
      <c r="A153" s="21" t="s">
        <v>222</v>
      </c>
      <c r="B153" s="22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3"/>
    </row>
    <row r="154" spans="1:34" x14ac:dyDescent="0.25">
      <c r="A154" s="13" t="s">
        <v>223</v>
      </c>
      <c r="B154" s="13" t="s">
        <v>224</v>
      </c>
      <c r="C154" s="2">
        <f>'WC def tax 22'!O154</f>
        <v>144724.76999999999</v>
      </c>
      <c r="D154" s="152">
        <v>133283.78</v>
      </c>
      <c r="E154" s="152">
        <v>129672.64</v>
      </c>
      <c r="F154" s="152">
        <v>126050.29000000001</v>
      </c>
      <c r="G154" s="152">
        <v>122416.72</v>
      </c>
      <c r="H154" s="152">
        <v>118771.89</v>
      </c>
      <c r="I154" s="152">
        <v>115115.75</v>
      </c>
      <c r="J154" s="152">
        <v>111448.29000000001</v>
      </c>
      <c r="K154" s="152">
        <v>107769.45</v>
      </c>
      <c r="L154" s="152">
        <v>104079.21</v>
      </c>
      <c r="M154" s="152">
        <v>100377.53</v>
      </c>
      <c r="N154" s="152">
        <v>96664.37</v>
      </c>
      <c r="O154" s="152">
        <v>92939.7</v>
      </c>
      <c r="P154" s="2">
        <f t="shared" ref="P154:P155" si="50">SUM(C154:O154)</f>
        <v>1503314.39</v>
      </c>
      <c r="Q154" s="2">
        <f t="shared" ref="Q154:Q155" si="51">P154/13</f>
        <v>115639.56846153845</v>
      </c>
      <c r="R154" s="15" t="s">
        <v>504</v>
      </c>
      <c r="S154" s="15" t="s">
        <v>225</v>
      </c>
      <c r="T154" s="15">
        <f>$Q154*T$3</f>
        <v>18750.956026038461</v>
      </c>
      <c r="U154" s="15">
        <f t="shared" ref="U154:Y154" si="52">$Q154*U$3</f>
        <v>45297.175362069225</v>
      </c>
      <c r="V154" s="15">
        <f t="shared" si="52"/>
        <v>21263.803848707688</v>
      </c>
      <c r="W154" s="15">
        <f t="shared" si="52"/>
        <v>410.52046803846156</v>
      </c>
      <c r="X154" s="15">
        <f t="shared" si="52"/>
        <v>128.35992099230771</v>
      </c>
      <c r="Y154" s="15">
        <f t="shared" si="52"/>
        <v>29791.065627061536</v>
      </c>
      <c r="Z154" s="15"/>
      <c r="AA154" s="15"/>
      <c r="AB154" s="15">
        <f>$O154*AB$3</f>
        <v>15070.172354999999</v>
      </c>
      <c r="AC154" s="15">
        <f t="shared" ref="AC154:AG154" si="53">$O154*AC$3</f>
        <v>36405.409887000002</v>
      </c>
      <c r="AD154" s="15">
        <f t="shared" si="53"/>
        <v>17089.752035999998</v>
      </c>
      <c r="AE154" s="15">
        <f t="shared" si="53"/>
        <v>329.93593500000003</v>
      </c>
      <c r="AF154" s="15">
        <f t="shared" si="53"/>
        <v>103.16306700000001</v>
      </c>
      <c r="AG154" s="15">
        <f t="shared" si="53"/>
        <v>23943.125513999999</v>
      </c>
      <c r="AH154" s="3"/>
    </row>
    <row r="155" spans="1:34" x14ac:dyDescent="0.25">
      <c r="A155" s="13" t="s">
        <v>226</v>
      </c>
      <c r="B155" s="13" t="s">
        <v>227</v>
      </c>
      <c r="C155" s="2">
        <f>'WC def tax 22'!O155</f>
        <v>0</v>
      </c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2">
        <f t="shared" si="50"/>
        <v>0</v>
      </c>
      <c r="Q155" s="2">
        <f t="shared" si="51"/>
        <v>0</v>
      </c>
      <c r="R155" s="15" t="s">
        <v>504</v>
      </c>
      <c r="S155" s="15" t="s">
        <v>225</v>
      </c>
      <c r="T155" s="15">
        <f t="shared" ref="T155:Y155" si="54">$Q155*T$3</f>
        <v>0</v>
      </c>
      <c r="U155" s="15">
        <f t="shared" si="54"/>
        <v>0</v>
      </c>
      <c r="V155" s="15">
        <f t="shared" si="54"/>
        <v>0</v>
      </c>
      <c r="W155" s="15">
        <f t="shared" si="54"/>
        <v>0</v>
      </c>
      <c r="X155" s="15">
        <f t="shared" si="54"/>
        <v>0</v>
      </c>
      <c r="Y155" s="15">
        <f t="shared" si="54"/>
        <v>0</v>
      </c>
      <c r="Z155" s="15"/>
      <c r="AA155" s="15"/>
      <c r="AB155" s="15">
        <f t="shared" ref="AB155:AG155" si="55">$O155*AB$3</f>
        <v>0</v>
      </c>
      <c r="AC155" s="15">
        <f t="shared" si="55"/>
        <v>0</v>
      </c>
      <c r="AD155" s="15">
        <f t="shared" si="55"/>
        <v>0</v>
      </c>
      <c r="AE155" s="15">
        <f t="shared" si="55"/>
        <v>0</v>
      </c>
      <c r="AF155" s="15">
        <f t="shared" si="55"/>
        <v>0</v>
      </c>
      <c r="AG155" s="15">
        <f t="shared" si="55"/>
        <v>0</v>
      </c>
      <c r="AH155" s="3"/>
    </row>
    <row r="156" spans="1:34" x14ac:dyDescent="0.25">
      <c r="C156" s="26" t="s">
        <v>67</v>
      </c>
      <c r="D156" s="26" t="s">
        <v>67</v>
      </c>
      <c r="E156" s="26" t="s">
        <v>67</v>
      </c>
      <c r="F156" s="26" t="s">
        <v>67</v>
      </c>
      <c r="G156" s="26" t="s">
        <v>67</v>
      </c>
      <c r="H156" s="26" t="s">
        <v>67</v>
      </c>
      <c r="I156" s="26" t="s">
        <v>67</v>
      </c>
      <c r="J156" s="26" t="s">
        <v>67</v>
      </c>
      <c r="K156" s="26" t="s">
        <v>67</v>
      </c>
      <c r="L156" s="26" t="s">
        <v>67</v>
      </c>
      <c r="M156" s="26" t="s">
        <v>67</v>
      </c>
      <c r="N156" s="26" t="s">
        <v>67</v>
      </c>
      <c r="O156" s="26" t="s">
        <v>67</v>
      </c>
      <c r="P156" s="26" t="s">
        <v>67</v>
      </c>
      <c r="Q156" s="26" t="s">
        <v>67</v>
      </c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3"/>
    </row>
    <row r="157" spans="1:34" x14ac:dyDescent="0.25">
      <c r="A157" s="21" t="s">
        <v>228</v>
      </c>
      <c r="B157" s="22"/>
      <c r="C157" s="23">
        <f>SUM(C154:C155)</f>
        <v>144724.76999999999</v>
      </c>
      <c r="D157" s="23">
        <f t="shared" ref="D157:Q157" si="56">SUM(D154:D155)</f>
        <v>133283.78</v>
      </c>
      <c r="E157" s="23">
        <f t="shared" si="56"/>
        <v>129672.64</v>
      </c>
      <c r="F157" s="23">
        <f t="shared" si="56"/>
        <v>126050.29000000001</v>
      </c>
      <c r="G157" s="23">
        <f t="shared" si="56"/>
        <v>122416.72</v>
      </c>
      <c r="H157" s="23">
        <f t="shared" si="56"/>
        <v>118771.89</v>
      </c>
      <c r="I157" s="23">
        <f t="shared" si="56"/>
        <v>115115.75</v>
      </c>
      <c r="J157" s="23">
        <f t="shared" si="56"/>
        <v>111448.29000000001</v>
      </c>
      <c r="K157" s="23">
        <f t="shared" si="56"/>
        <v>107769.45</v>
      </c>
      <c r="L157" s="23">
        <f t="shared" si="56"/>
        <v>104079.21</v>
      </c>
      <c r="M157" s="23">
        <f t="shared" si="56"/>
        <v>100377.53</v>
      </c>
      <c r="N157" s="23">
        <f t="shared" si="56"/>
        <v>96664.37</v>
      </c>
      <c r="O157" s="23">
        <f t="shared" si="56"/>
        <v>92939.7</v>
      </c>
      <c r="P157" s="23">
        <f t="shared" si="56"/>
        <v>1503314.39</v>
      </c>
      <c r="Q157" s="23">
        <f t="shared" si="56"/>
        <v>115639.56846153845</v>
      </c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3"/>
    </row>
    <row r="158" spans="1:34" x14ac:dyDescent="0.25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3"/>
    </row>
    <row r="159" spans="1:34" ht="15.75" x14ac:dyDescent="0.3">
      <c r="A159" s="18" t="s">
        <v>229</v>
      </c>
      <c r="B159" s="19"/>
      <c r="C159" s="20">
        <f>C157+C151</f>
        <v>792375.77</v>
      </c>
      <c r="D159" s="20">
        <f t="shared" ref="D159:Q159" si="57">D157+D151</f>
        <v>774792.78</v>
      </c>
      <c r="E159" s="20">
        <f t="shared" si="57"/>
        <v>765039.64</v>
      </c>
      <c r="F159" s="20">
        <f t="shared" si="57"/>
        <v>755275.29</v>
      </c>
      <c r="G159" s="20">
        <f t="shared" si="57"/>
        <v>745499.72</v>
      </c>
      <c r="H159" s="20">
        <f t="shared" si="57"/>
        <v>735712.89</v>
      </c>
      <c r="I159" s="20">
        <f t="shared" si="57"/>
        <v>725914.75</v>
      </c>
      <c r="J159" s="20">
        <f t="shared" si="57"/>
        <v>716105.29</v>
      </c>
      <c r="K159" s="20">
        <f t="shared" si="57"/>
        <v>706284.45</v>
      </c>
      <c r="L159" s="20">
        <f t="shared" si="57"/>
        <v>696452.21</v>
      </c>
      <c r="M159" s="20">
        <f t="shared" si="57"/>
        <v>686608.53</v>
      </c>
      <c r="N159" s="20">
        <f t="shared" si="57"/>
        <v>676753.37</v>
      </c>
      <c r="O159" s="20">
        <f t="shared" si="57"/>
        <v>666886.69999999995</v>
      </c>
      <c r="P159" s="20">
        <f t="shared" si="57"/>
        <v>9443701.3900000006</v>
      </c>
      <c r="Q159" s="20">
        <f t="shared" si="57"/>
        <v>726438.56846153841</v>
      </c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3"/>
    </row>
    <row r="160" spans="1:34" x14ac:dyDescent="0.25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3"/>
    </row>
    <row r="161" spans="1:34" ht="19.5" x14ac:dyDescent="0.4">
      <c r="A161" s="5" t="s">
        <v>230</v>
      </c>
      <c r="B161" s="16"/>
      <c r="C161" s="17">
        <f t="shared" ref="C161:Q161" si="58">C159+C144+C68+C55</f>
        <v>66687774.512966663</v>
      </c>
      <c r="D161" s="17">
        <f t="shared" si="58"/>
        <v>66690882.204239562</v>
      </c>
      <c r="E161" s="17">
        <f t="shared" si="58"/>
        <v>66677249.230906218</v>
      </c>
      <c r="F161" s="17">
        <f t="shared" si="58"/>
        <v>66663605.047572881</v>
      </c>
      <c r="G161" s="17">
        <f t="shared" si="58"/>
        <v>66649949.644239537</v>
      </c>
      <c r="H161" s="17">
        <f t="shared" si="58"/>
        <v>66636282.980906203</v>
      </c>
      <c r="I161" s="17">
        <f t="shared" si="58"/>
        <v>66622605.00757286</v>
      </c>
      <c r="J161" s="17">
        <f t="shared" si="58"/>
        <v>66608915.714239523</v>
      </c>
      <c r="K161" s="17">
        <f t="shared" si="58"/>
        <v>66595215.040906183</v>
      </c>
      <c r="L161" s="17">
        <f t="shared" si="58"/>
        <v>66581502.967572898</v>
      </c>
      <c r="M161" s="17">
        <f t="shared" si="58"/>
        <v>66567779.454239562</v>
      </c>
      <c r="N161" s="17">
        <f t="shared" si="58"/>
        <v>66554044.460906222</v>
      </c>
      <c r="O161" s="17">
        <f t="shared" si="58"/>
        <v>66540297.957572885</v>
      </c>
      <c r="P161" s="17">
        <f t="shared" si="58"/>
        <v>866076104.22384119</v>
      </c>
      <c r="Q161" s="17">
        <f t="shared" si="58"/>
        <v>66621238.786449358</v>
      </c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3"/>
    </row>
    <row r="162" spans="1:34" x14ac:dyDescent="0.25">
      <c r="C162" s="26" t="s">
        <v>231</v>
      </c>
      <c r="D162" s="26" t="s">
        <v>231</v>
      </c>
      <c r="E162" s="26" t="s">
        <v>231</v>
      </c>
      <c r="F162" s="26" t="s">
        <v>231</v>
      </c>
      <c r="G162" s="26" t="s">
        <v>231</v>
      </c>
      <c r="H162" s="26" t="s">
        <v>231</v>
      </c>
      <c r="I162" s="26" t="s">
        <v>231</v>
      </c>
      <c r="J162" s="26" t="s">
        <v>231</v>
      </c>
      <c r="K162" s="26" t="s">
        <v>231</v>
      </c>
      <c r="L162" s="26" t="s">
        <v>231</v>
      </c>
      <c r="M162" s="26" t="s">
        <v>231</v>
      </c>
      <c r="N162" s="26" t="s">
        <v>231</v>
      </c>
      <c r="O162" s="26" t="s">
        <v>231</v>
      </c>
      <c r="P162" s="26" t="s">
        <v>231</v>
      </c>
      <c r="Q162" s="26" t="s">
        <v>231</v>
      </c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3"/>
    </row>
    <row r="163" spans="1:34" x14ac:dyDescent="0.25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3"/>
    </row>
    <row r="164" spans="1:34" ht="19.5" x14ac:dyDescent="0.4">
      <c r="A164" s="50" t="s">
        <v>232</v>
      </c>
      <c r="B164" s="51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3"/>
    </row>
    <row r="165" spans="1:34" x14ac:dyDescent="0.25">
      <c r="A165" s="35"/>
      <c r="B165" s="35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3"/>
    </row>
    <row r="166" spans="1:34" ht="15.75" x14ac:dyDescent="0.3">
      <c r="A166" s="53" t="s">
        <v>233</v>
      </c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3"/>
    </row>
    <row r="167" spans="1:34" x14ac:dyDescent="0.25">
      <c r="A167" s="35"/>
      <c r="B167" s="35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27">
        <f t="shared" ref="AH167:AH173" si="59">SUM(AB167:AG167)+O167</f>
        <v>0</v>
      </c>
    </row>
    <row r="168" spans="1:34" x14ac:dyDescent="0.25">
      <c r="A168" s="37" t="s">
        <v>234</v>
      </c>
      <c r="B168" s="38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27">
        <f t="shared" si="59"/>
        <v>0</v>
      </c>
    </row>
    <row r="169" spans="1:34" x14ac:dyDescent="0.25">
      <c r="A169" s="31" t="s">
        <v>235</v>
      </c>
      <c r="B169" s="31" t="s">
        <v>236</v>
      </c>
      <c r="C169" s="2">
        <f>'WC def tax 22'!O169</f>
        <v>465410.89645000006</v>
      </c>
      <c r="D169" s="64">
        <f t="shared" ref="D169:O176" si="60">(($P169-$C169)/12)</f>
        <v>486590.66055610665</v>
      </c>
      <c r="E169" s="64">
        <f t="shared" si="60"/>
        <v>486590.66055610665</v>
      </c>
      <c r="F169" s="64">
        <f t="shared" si="60"/>
        <v>486590.66055610665</v>
      </c>
      <c r="G169" s="64">
        <f t="shared" si="60"/>
        <v>486590.66055610665</v>
      </c>
      <c r="H169" s="64">
        <f t="shared" si="60"/>
        <v>486590.66055610665</v>
      </c>
      <c r="I169" s="64">
        <f t="shared" si="60"/>
        <v>486590.66055610665</v>
      </c>
      <c r="J169" s="64">
        <f t="shared" si="60"/>
        <v>486590.66055610665</v>
      </c>
      <c r="K169" s="64">
        <f t="shared" si="60"/>
        <v>486590.66055610665</v>
      </c>
      <c r="L169" s="64">
        <f t="shared" si="60"/>
        <v>486590.66055610665</v>
      </c>
      <c r="M169" s="64">
        <f t="shared" si="60"/>
        <v>486590.66055610665</v>
      </c>
      <c r="N169" s="64">
        <f t="shared" si="60"/>
        <v>486590.66055610665</v>
      </c>
      <c r="O169" s="64">
        <f t="shared" si="60"/>
        <v>486590.66055610665</v>
      </c>
      <c r="P169" s="2">
        <f t="shared" ref="P169:P176" si="61">Q169*13</f>
        <v>6304498.82312328</v>
      </c>
      <c r="Q169" s="2">
        <f>'WC def tax 22'!Q169*1.0572</f>
        <v>484961.44793256</v>
      </c>
      <c r="R169" s="15" t="s">
        <v>502</v>
      </c>
      <c r="S169" s="15" t="s">
        <v>16</v>
      </c>
      <c r="T169" s="15">
        <f t="shared" ref="T169:Y169" si="62">-$Q169*T5</f>
        <v>-103296.78840963528</v>
      </c>
      <c r="U169" s="151">
        <f t="shared" si="62"/>
        <v>-168766.58388053087</v>
      </c>
      <c r="V169" s="15">
        <f t="shared" si="62"/>
        <v>-69834.448502288637</v>
      </c>
      <c r="W169" s="15">
        <f t="shared" si="62"/>
        <v>-484.96144793256002</v>
      </c>
      <c r="X169" s="15">
        <f t="shared" si="62"/>
        <v>-484.96144793256002</v>
      </c>
      <c r="Y169" s="15">
        <f t="shared" si="62"/>
        <v>-142093.70424424007</v>
      </c>
      <c r="Z169" s="15"/>
      <c r="AA169" s="15" t="s">
        <v>16</v>
      </c>
      <c r="AB169" s="15">
        <f t="shared" ref="AB169:AG171" si="63">-$O169*AB$5</f>
        <v>-103643.81069845072</v>
      </c>
      <c r="AC169" s="15">
        <f t="shared" si="63"/>
        <v>-169333.5498735251</v>
      </c>
      <c r="AD169" s="15">
        <f t="shared" si="63"/>
        <v>-70069.055120079356</v>
      </c>
      <c r="AE169" s="15">
        <f t="shared" si="63"/>
        <v>-486.59066055610668</v>
      </c>
      <c r="AF169" s="15">
        <f t="shared" si="63"/>
        <v>-486.59066055610668</v>
      </c>
      <c r="AG169" s="15">
        <f t="shared" si="63"/>
        <v>-142571.06354293923</v>
      </c>
      <c r="AH169" s="27">
        <f t="shared" si="59"/>
        <v>0</v>
      </c>
    </row>
    <row r="170" spans="1:34" x14ac:dyDescent="0.25">
      <c r="A170" s="31" t="s">
        <v>237</v>
      </c>
      <c r="B170" s="31" t="s">
        <v>238</v>
      </c>
      <c r="C170" s="2">
        <f>'WC def tax 22'!O170</f>
        <v>4724217.4926666673</v>
      </c>
      <c r="D170" s="64">
        <f t="shared" si="60"/>
        <v>4707568.7082916442</v>
      </c>
      <c r="E170" s="64">
        <f t="shared" si="60"/>
        <v>4707568.7082916442</v>
      </c>
      <c r="F170" s="64">
        <f t="shared" si="60"/>
        <v>4707568.7082916442</v>
      </c>
      <c r="G170" s="64">
        <f t="shared" si="60"/>
        <v>4707568.7082916442</v>
      </c>
      <c r="H170" s="64">
        <f t="shared" si="60"/>
        <v>4707568.7082916442</v>
      </c>
      <c r="I170" s="64">
        <f t="shared" si="60"/>
        <v>4707568.7082916442</v>
      </c>
      <c r="J170" s="64">
        <f t="shared" si="60"/>
        <v>4707568.7082916442</v>
      </c>
      <c r="K170" s="64">
        <f t="shared" si="60"/>
        <v>4707568.7082916442</v>
      </c>
      <c r="L170" s="64">
        <f t="shared" si="60"/>
        <v>4707568.7082916442</v>
      </c>
      <c r="M170" s="64">
        <f t="shared" si="60"/>
        <v>4707568.7082916442</v>
      </c>
      <c r="N170" s="64">
        <f t="shared" si="60"/>
        <v>4707568.7082916442</v>
      </c>
      <c r="O170" s="64">
        <f t="shared" si="60"/>
        <v>4707568.7082916442</v>
      </c>
      <c r="P170" s="2">
        <f t="shared" si="61"/>
        <v>61215041.9921664</v>
      </c>
      <c r="Q170" s="2">
        <f>'WC def tax 22'!Q170*1.0572</f>
        <v>4708849.3840127997</v>
      </c>
      <c r="R170" s="15" t="s">
        <v>502</v>
      </c>
      <c r="S170" s="15" t="s">
        <v>16</v>
      </c>
      <c r="T170" s="15">
        <f t="shared" ref="T170:Y170" si="64">-$Q170*T5</f>
        <v>-1002984.9187947264</v>
      </c>
      <c r="U170" s="151">
        <f t="shared" si="64"/>
        <v>-1638679.5856364542</v>
      </c>
      <c r="V170" s="15">
        <f t="shared" si="64"/>
        <v>-678074.31129784312</v>
      </c>
      <c r="W170" s="15">
        <f t="shared" si="64"/>
        <v>-4708.8493840127994</v>
      </c>
      <c r="X170" s="15">
        <f t="shared" si="64"/>
        <v>-4708.8493840127994</v>
      </c>
      <c r="Y170" s="15">
        <f t="shared" si="64"/>
        <v>-1379692.8695157503</v>
      </c>
      <c r="Z170" s="15"/>
      <c r="AA170" s="15" t="s">
        <v>16</v>
      </c>
      <c r="AB170" s="15">
        <f t="shared" si="63"/>
        <v>-1002712.1348661202</v>
      </c>
      <c r="AC170" s="15">
        <f t="shared" si="63"/>
        <v>-1638233.9104854921</v>
      </c>
      <c r="AD170" s="15">
        <f t="shared" si="63"/>
        <v>-677889.89399399667</v>
      </c>
      <c r="AE170" s="15">
        <f t="shared" si="63"/>
        <v>-4707.5687082916447</v>
      </c>
      <c r="AF170" s="15">
        <f t="shared" si="63"/>
        <v>-4707.5687082916447</v>
      </c>
      <c r="AG170" s="15">
        <f t="shared" si="63"/>
        <v>-1379317.6315294516</v>
      </c>
      <c r="AH170" s="27">
        <f t="shared" si="59"/>
        <v>0</v>
      </c>
    </row>
    <row r="171" spans="1:34" x14ac:dyDescent="0.25">
      <c r="A171" s="31" t="s">
        <v>239</v>
      </c>
      <c r="B171" s="31" t="s">
        <v>240</v>
      </c>
      <c r="C171" s="2">
        <f>'WC def tax 22'!O171</f>
        <v>70832.174083333332</v>
      </c>
      <c r="D171" s="64">
        <f t="shared" si="60"/>
        <v>73953.19296728888</v>
      </c>
      <c r="E171" s="64">
        <f t="shared" si="60"/>
        <v>73953.19296728888</v>
      </c>
      <c r="F171" s="64">
        <f t="shared" si="60"/>
        <v>73953.19296728888</v>
      </c>
      <c r="G171" s="64">
        <f t="shared" si="60"/>
        <v>73953.19296728888</v>
      </c>
      <c r="H171" s="64">
        <f t="shared" si="60"/>
        <v>73953.19296728888</v>
      </c>
      <c r="I171" s="64">
        <f t="shared" si="60"/>
        <v>73953.19296728888</v>
      </c>
      <c r="J171" s="64">
        <f t="shared" si="60"/>
        <v>73953.19296728888</v>
      </c>
      <c r="K171" s="64">
        <f t="shared" si="60"/>
        <v>73953.19296728888</v>
      </c>
      <c r="L171" s="64">
        <f t="shared" si="60"/>
        <v>73953.19296728888</v>
      </c>
      <c r="M171" s="64">
        <f t="shared" si="60"/>
        <v>73953.19296728888</v>
      </c>
      <c r="N171" s="64">
        <f t="shared" si="60"/>
        <v>73953.19296728888</v>
      </c>
      <c r="O171" s="64">
        <f t="shared" si="60"/>
        <v>73953.19296728888</v>
      </c>
      <c r="P171" s="2">
        <f t="shared" si="61"/>
        <v>958270.48969079996</v>
      </c>
      <c r="Q171" s="2">
        <f>'WC def tax 22'!Q171*1.0572</f>
        <v>73713.114591599995</v>
      </c>
      <c r="R171" s="15" t="s">
        <v>502</v>
      </c>
      <c r="S171" s="15" t="s">
        <v>16</v>
      </c>
      <c r="T171" s="15">
        <f t="shared" ref="T171:Y171" si="65">-$Q171*T5</f>
        <v>-15700.893408010799</v>
      </c>
      <c r="U171" s="151">
        <f t="shared" si="65"/>
        <v>-25652.163877876796</v>
      </c>
      <c r="V171" s="15">
        <f t="shared" si="65"/>
        <v>-10614.688501190398</v>
      </c>
      <c r="W171" s="15">
        <f t="shared" si="65"/>
        <v>-73.713114591600004</v>
      </c>
      <c r="X171" s="15">
        <f t="shared" si="65"/>
        <v>-73.713114591600004</v>
      </c>
      <c r="Y171" s="15">
        <f t="shared" si="65"/>
        <v>-21597.942575338799</v>
      </c>
      <c r="Z171" s="15"/>
      <c r="AA171" s="15" t="s">
        <v>16</v>
      </c>
      <c r="AB171" s="15">
        <f t="shared" si="63"/>
        <v>-15752.030102032531</v>
      </c>
      <c r="AC171" s="15">
        <f t="shared" si="63"/>
        <v>-25735.711152616528</v>
      </c>
      <c r="AD171" s="15">
        <f t="shared" si="63"/>
        <v>-10649.259787289599</v>
      </c>
      <c r="AE171" s="15">
        <f t="shared" si="63"/>
        <v>-73.953192967288885</v>
      </c>
      <c r="AF171" s="15">
        <f t="shared" si="63"/>
        <v>-73.953192967288885</v>
      </c>
      <c r="AG171" s="15">
        <f t="shared" si="63"/>
        <v>-21668.28553941564</v>
      </c>
      <c r="AH171" s="27">
        <f t="shared" si="59"/>
        <v>0</v>
      </c>
    </row>
    <row r="172" spans="1:34" x14ac:dyDescent="0.25">
      <c r="A172" s="31" t="s">
        <v>241</v>
      </c>
      <c r="B172" s="31" t="s">
        <v>242</v>
      </c>
      <c r="C172" s="2">
        <f>'WC def tax 22'!O172</f>
        <v>555.72321666666664</v>
      </c>
      <c r="D172" s="64">
        <f t="shared" si="60"/>
        <v>569.92091660444441</v>
      </c>
      <c r="E172" s="64">
        <f t="shared" si="60"/>
        <v>569.92091660444441</v>
      </c>
      <c r="F172" s="64">
        <f t="shared" si="60"/>
        <v>569.92091660444441</v>
      </c>
      <c r="G172" s="64">
        <f t="shared" si="60"/>
        <v>569.92091660444441</v>
      </c>
      <c r="H172" s="64">
        <f t="shared" si="60"/>
        <v>569.92091660444441</v>
      </c>
      <c r="I172" s="64">
        <f t="shared" si="60"/>
        <v>569.92091660444441</v>
      </c>
      <c r="J172" s="64">
        <f t="shared" si="60"/>
        <v>569.92091660444441</v>
      </c>
      <c r="K172" s="64">
        <f t="shared" si="60"/>
        <v>569.92091660444441</v>
      </c>
      <c r="L172" s="64">
        <f t="shared" si="60"/>
        <v>569.92091660444441</v>
      </c>
      <c r="M172" s="64">
        <f t="shared" si="60"/>
        <v>569.92091660444441</v>
      </c>
      <c r="N172" s="64">
        <f t="shared" si="60"/>
        <v>569.92091660444441</v>
      </c>
      <c r="O172" s="64">
        <f t="shared" si="60"/>
        <v>569.92091660444441</v>
      </c>
      <c r="P172" s="2">
        <f t="shared" si="61"/>
        <v>7394.7742159199988</v>
      </c>
      <c r="Q172" s="2">
        <f>'WC def tax 22'!Q172*1.0572</f>
        <v>568.82878583999991</v>
      </c>
      <c r="R172" s="15" t="s">
        <v>502</v>
      </c>
      <c r="S172" s="15" t="s">
        <v>34</v>
      </c>
      <c r="T172" s="15">
        <f t="shared" ref="T172:Y172" si="66">-$Q172*T7</f>
        <v>-109.21512688127999</v>
      </c>
      <c r="U172" s="151">
        <f t="shared" si="66"/>
        <v>-225.31308207122396</v>
      </c>
      <c r="V172" s="15">
        <f t="shared" si="66"/>
        <v>-77.92954366008</v>
      </c>
      <c r="W172" s="15">
        <f t="shared" si="66"/>
        <v>-1.8202521146879997</v>
      </c>
      <c r="X172" s="15">
        <f t="shared" si="66"/>
        <v>-1.2514233288479999</v>
      </c>
      <c r="Y172" s="15">
        <f t="shared" si="66"/>
        <v>-153.29935778388</v>
      </c>
      <c r="Z172" s="15"/>
      <c r="AA172" s="15" t="s">
        <v>34</v>
      </c>
      <c r="AB172" s="15">
        <f t="shared" ref="AB172:AG176" si="67">-$O172*AB$7</f>
        <v>-109.42481598805333</v>
      </c>
      <c r="AC172" s="15">
        <f t="shared" si="67"/>
        <v>-225.74567506702044</v>
      </c>
      <c r="AD172" s="15">
        <f t="shared" si="67"/>
        <v>-78.079165574808897</v>
      </c>
      <c r="AE172" s="15">
        <f t="shared" si="67"/>
        <v>-1.8237469331342222</v>
      </c>
      <c r="AF172" s="15">
        <f t="shared" si="67"/>
        <v>-1.2538260165297779</v>
      </c>
      <c r="AG172" s="15">
        <f t="shared" si="67"/>
        <v>-153.59368702489778</v>
      </c>
      <c r="AH172" s="27">
        <f t="shared" si="59"/>
        <v>0</v>
      </c>
    </row>
    <row r="173" spans="1:34" x14ac:dyDescent="0.25">
      <c r="A173" s="31" t="s">
        <v>243</v>
      </c>
      <c r="B173" s="31" t="s">
        <v>244</v>
      </c>
      <c r="C173" s="2">
        <f>'WC def tax 22'!O173</f>
        <v>1266.5183833333333</v>
      </c>
      <c r="D173" s="64">
        <f t="shared" si="60"/>
        <v>1242.2300362488888</v>
      </c>
      <c r="E173" s="64">
        <f t="shared" si="60"/>
        <v>1242.2300362488888</v>
      </c>
      <c r="F173" s="64">
        <f t="shared" si="60"/>
        <v>1242.2300362488888</v>
      </c>
      <c r="G173" s="64">
        <f t="shared" si="60"/>
        <v>1242.2300362488888</v>
      </c>
      <c r="H173" s="64">
        <f t="shared" si="60"/>
        <v>1242.2300362488888</v>
      </c>
      <c r="I173" s="64">
        <f t="shared" si="60"/>
        <v>1242.2300362488888</v>
      </c>
      <c r="J173" s="64">
        <f t="shared" si="60"/>
        <v>1242.2300362488888</v>
      </c>
      <c r="K173" s="64">
        <f t="shared" si="60"/>
        <v>1242.2300362488888</v>
      </c>
      <c r="L173" s="64">
        <f t="shared" si="60"/>
        <v>1242.2300362488888</v>
      </c>
      <c r="M173" s="64">
        <f t="shared" si="60"/>
        <v>1242.2300362488888</v>
      </c>
      <c r="N173" s="64">
        <f t="shared" si="60"/>
        <v>1242.2300362488888</v>
      </c>
      <c r="O173" s="64">
        <f t="shared" si="60"/>
        <v>1242.2300362488888</v>
      </c>
      <c r="P173" s="2">
        <f t="shared" si="61"/>
        <v>16173.278818319999</v>
      </c>
      <c r="Q173" s="2">
        <f>'WC def tax 22'!Q173*1.0572</f>
        <v>1244.09837064</v>
      </c>
      <c r="R173" s="15" t="s">
        <v>502</v>
      </c>
      <c r="S173" s="15" t="s">
        <v>34</v>
      </c>
      <c r="T173" s="15">
        <f t="shared" ref="T173:Y176" si="68">-$Q173*T$7</f>
        <v>-238.86688716288</v>
      </c>
      <c r="U173" s="151">
        <f t="shared" si="68"/>
        <v>-492.78736461050403</v>
      </c>
      <c r="V173" s="15">
        <f t="shared" si="68"/>
        <v>-170.44147677768001</v>
      </c>
      <c r="W173" s="15">
        <f t="shared" si="68"/>
        <v>-3.9811147860480003</v>
      </c>
      <c r="X173" s="15">
        <f t="shared" si="68"/>
        <v>-2.7370164154080001</v>
      </c>
      <c r="Y173" s="15">
        <f t="shared" si="68"/>
        <v>-335.28451088748</v>
      </c>
      <c r="Z173" s="15"/>
      <c r="AA173" s="15" t="s">
        <v>34</v>
      </c>
      <c r="AB173" s="15">
        <f t="shared" si="67"/>
        <v>-238.50816695978665</v>
      </c>
      <c r="AC173" s="15">
        <f t="shared" si="67"/>
        <v>-492.0473173581849</v>
      </c>
      <c r="AD173" s="15">
        <f t="shared" si="67"/>
        <v>-170.18551496609777</v>
      </c>
      <c r="AE173" s="15">
        <f t="shared" si="67"/>
        <v>-3.9751361159964445</v>
      </c>
      <c r="AF173" s="15">
        <f t="shared" si="67"/>
        <v>-2.7329060797475555</v>
      </c>
      <c r="AG173" s="15">
        <f t="shared" si="67"/>
        <v>-334.78099476907556</v>
      </c>
      <c r="AH173" s="27">
        <f t="shared" si="59"/>
        <v>0</v>
      </c>
    </row>
    <row r="174" spans="1:34" x14ac:dyDescent="0.25">
      <c r="A174" s="31" t="s">
        <v>245</v>
      </c>
      <c r="B174" s="31" t="s">
        <v>246</v>
      </c>
      <c r="C174" s="2">
        <f>'WC def tax 22'!O174</f>
        <v>1730.2280666666668</v>
      </c>
      <c r="D174" s="64">
        <f t="shared" si="60"/>
        <v>1884.2936398577776</v>
      </c>
      <c r="E174" s="64">
        <f t="shared" si="60"/>
        <v>1884.2936398577776</v>
      </c>
      <c r="F174" s="64">
        <f t="shared" si="60"/>
        <v>1884.2936398577776</v>
      </c>
      <c r="G174" s="64">
        <f t="shared" si="60"/>
        <v>1884.2936398577776</v>
      </c>
      <c r="H174" s="64">
        <f t="shared" si="60"/>
        <v>1884.2936398577776</v>
      </c>
      <c r="I174" s="64">
        <f t="shared" si="60"/>
        <v>1884.2936398577776</v>
      </c>
      <c r="J174" s="64">
        <f t="shared" si="60"/>
        <v>1884.2936398577776</v>
      </c>
      <c r="K174" s="64">
        <f t="shared" si="60"/>
        <v>1884.2936398577776</v>
      </c>
      <c r="L174" s="64">
        <f t="shared" si="60"/>
        <v>1884.2936398577776</v>
      </c>
      <c r="M174" s="64">
        <f t="shared" si="60"/>
        <v>1884.2936398577776</v>
      </c>
      <c r="N174" s="64">
        <f t="shared" si="60"/>
        <v>1884.2936398577776</v>
      </c>
      <c r="O174" s="64">
        <f t="shared" si="60"/>
        <v>1884.2936398577776</v>
      </c>
      <c r="P174" s="2">
        <f t="shared" si="61"/>
        <v>24341.751744959998</v>
      </c>
      <c r="Q174" s="2">
        <f>'WC def tax 22'!Q174*1.0572</f>
        <v>1872.44244192</v>
      </c>
      <c r="R174" s="15" t="s">
        <v>502</v>
      </c>
      <c r="S174" s="15" t="s">
        <v>34</v>
      </c>
      <c r="T174" s="15">
        <f t="shared" si="68"/>
        <v>-359.50894884863999</v>
      </c>
      <c r="U174" s="151">
        <f t="shared" si="68"/>
        <v>-741.67445124451206</v>
      </c>
      <c r="V174" s="15">
        <f t="shared" si="68"/>
        <v>-256.52461454304</v>
      </c>
      <c r="W174" s="15">
        <f t="shared" si="68"/>
        <v>-5.9918158141440001</v>
      </c>
      <c r="X174" s="15">
        <f t="shared" si="68"/>
        <v>-4.1193733722240005</v>
      </c>
      <c r="Y174" s="15">
        <f t="shared" si="68"/>
        <v>-504.62323809744004</v>
      </c>
      <c r="Z174" s="15"/>
      <c r="AA174" s="15" t="s">
        <v>34</v>
      </c>
      <c r="AB174" s="15">
        <f t="shared" si="67"/>
        <v>-361.78437885269329</v>
      </c>
      <c r="AC174" s="15">
        <f t="shared" si="67"/>
        <v>-746.36871074766577</v>
      </c>
      <c r="AD174" s="15">
        <f t="shared" si="67"/>
        <v>-258.14822866051554</v>
      </c>
      <c r="AE174" s="15">
        <f t="shared" si="67"/>
        <v>-6.029739647544889</v>
      </c>
      <c r="AF174" s="15">
        <f t="shared" si="67"/>
        <v>-4.1454460076871111</v>
      </c>
      <c r="AG174" s="15">
        <f t="shared" si="67"/>
        <v>-507.8171359416711</v>
      </c>
      <c r="AH174" s="27"/>
    </row>
    <row r="175" spans="1:34" x14ac:dyDescent="0.25">
      <c r="A175" s="31" t="s">
        <v>247</v>
      </c>
      <c r="B175" s="31" t="s">
        <v>248</v>
      </c>
      <c r="C175" s="2">
        <f>'WC def tax 22'!O175</f>
        <v>80503.722466666673</v>
      </c>
      <c r="D175" s="64">
        <f t="shared" si="60"/>
        <v>95821.314452871098</v>
      </c>
      <c r="E175" s="64">
        <f t="shared" si="60"/>
        <v>95821.314452871098</v>
      </c>
      <c r="F175" s="64">
        <f t="shared" si="60"/>
        <v>95821.314452871098</v>
      </c>
      <c r="G175" s="64">
        <f t="shared" si="60"/>
        <v>95821.314452871098</v>
      </c>
      <c r="H175" s="64">
        <f t="shared" si="60"/>
        <v>95821.314452871098</v>
      </c>
      <c r="I175" s="64">
        <f t="shared" si="60"/>
        <v>95821.314452871098</v>
      </c>
      <c r="J175" s="64">
        <f t="shared" si="60"/>
        <v>95821.314452871098</v>
      </c>
      <c r="K175" s="64">
        <f t="shared" si="60"/>
        <v>95821.314452871098</v>
      </c>
      <c r="L175" s="64">
        <f t="shared" si="60"/>
        <v>95821.314452871098</v>
      </c>
      <c r="M175" s="64">
        <f t="shared" si="60"/>
        <v>95821.314452871098</v>
      </c>
      <c r="N175" s="64">
        <f t="shared" si="60"/>
        <v>95821.314452871098</v>
      </c>
      <c r="O175" s="64">
        <f t="shared" si="60"/>
        <v>95821.314452871098</v>
      </c>
      <c r="P175" s="2">
        <f t="shared" si="61"/>
        <v>1230359.4959011199</v>
      </c>
      <c r="Q175" s="2">
        <f>'WC def tax 22'!Q175*1.0572</f>
        <v>94643.038146239996</v>
      </c>
      <c r="R175" s="15" t="s">
        <v>502</v>
      </c>
      <c r="S175" s="15" t="s">
        <v>34</v>
      </c>
      <c r="T175" s="15">
        <f>-$Q175*T$7</f>
        <v>-18171.463324078079</v>
      </c>
      <c r="U175" s="151">
        <f t="shared" si="68"/>
        <v>-37488.107409725664</v>
      </c>
      <c r="V175" s="15">
        <f t="shared" si="68"/>
        <v>-12966.096226034881</v>
      </c>
      <c r="W175" s="15">
        <f t="shared" si="68"/>
        <v>-302.85772206796798</v>
      </c>
      <c r="X175" s="15">
        <f t="shared" si="68"/>
        <v>-208.21468392172801</v>
      </c>
      <c r="Y175" s="15">
        <f t="shared" si="68"/>
        <v>-25506.298780411682</v>
      </c>
      <c r="Z175" s="15"/>
      <c r="AA175" s="15" t="s">
        <v>34</v>
      </c>
      <c r="AB175" s="15">
        <f t="shared" si="67"/>
        <v>-18397.69237495125</v>
      </c>
      <c r="AC175" s="15">
        <f t="shared" si="67"/>
        <v>-37954.822654782241</v>
      </c>
      <c r="AD175" s="15">
        <f t="shared" si="67"/>
        <v>-13127.520080043341</v>
      </c>
      <c r="AE175" s="15">
        <f t="shared" si="67"/>
        <v>-306.62820624918754</v>
      </c>
      <c r="AF175" s="15">
        <f t="shared" si="67"/>
        <v>-210.80689179631642</v>
      </c>
      <c r="AG175" s="15">
        <f t="shared" si="67"/>
        <v>-25823.844245048764</v>
      </c>
      <c r="AH175" s="3"/>
    </row>
    <row r="176" spans="1:34" x14ac:dyDescent="0.25">
      <c r="A176" s="31" t="s">
        <v>249</v>
      </c>
      <c r="B176" s="31" t="s">
        <v>250</v>
      </c>
      <c r="C176" s="2">
        <f>'WC def tax 22'!O176</f>
        <v>-35123.917950000003</v>
      </c>
      <c r="D176" s="64">
        <f t="shared" si="60"/>
        <v>-39394.574294240003</v>
      </c>
      <c r="E176" s="64">
        <f t="shared" si="60"/>
        <v>-39394.574294240003</v>
      </c>
      <c r="F176" s="64">
        <f t="shared" si="60"/>
        <v>-39394.574294240003</v>
      </c>
      <c r="G176" s="64">
        <f t="shared" si="60"/>
        <v>-39394.574294240003</v>
      </c>
      <c r="H176" s="64">
        <f t="shared" si="60"/>
        <v>-39394.574294240003</v>
      </c>
      <c r="I176" s="64">
        <f t="shared" si="60"/>
        <v>-39394.574294240003</v>
      </c>
      <c r="J176" s="64">
        <f t="shared" si="60"/>
        <v>-39394.574294240003</v>
      </c>
      <c r="K176" s="64">
        <f t="shared" si="60"/>
        <v>-39394.574294240003</v>
      </c>
      <c r="L176" s="64">
        <f t="shared" si="60"/>
        <v>-39394.574294240003</v>
      </c>
      <c r="M176" s="64">
        <f t="shared" si="60"/>
        <v>-39394.574294240003</v>
      </c>
      <c r="N176" s="64">
        <f t="shared" si="60"/>
        <v>-39394.574294240003</v>
      </c>
      <c r="O176" s="64">
        <f t="shared" si="60"/>
        <v>-39394.574294240003</v>
      </c>
      <c r="P176" s="2">
        <f t="shared" si="61"/>
        <v>-507858.80948088004</v>
      </c>
      <c r="Q176" s="2">
        <f>'WC def tax 22'!Q176*1.0572</f>
        <v>-39066.062267760004</v>
      </c>
      <c r="R176" s="15" t="s">
        <v>502</v>
      </c>
      <c r="S176" s="15" t="s">
        <v>34</v>
      </c>
      <c r="T176" s="15">
        <f>-$Q176*T$7</f>
        <v>7500.6839554099206</v>
      </c>
      <c r="U176" s="151">
        <f t="shared" si="68"/>
        <v>15474.067264259738</v>
      </c>
      <c r="V176" s="15">
        <f t="shared" si="68"/>
        <v>5352.050530683121</v>
      </c>
      <c r="W176" s="15">
        <f t="shared" si="68"/>
        <v>125.01139925683202</v>
      </c>
      <c r="X176" s="15">
        <f t="shared" si="68"/>
        <v>85.945336989072018</v>
      </c>
      <c r="Y176" s="15">
        <f t="shared" si="68"/>
        <v>10528.303781161321</v>
      </c>
      <c r="Z176" s="15"/>
      <c r="AA176" s="15" t="s">
        <v>34</v>
      </c>
      <c r="AB176" s="15">
        <f t="shared" si="67"/>
        <v>7563.7582644940803</v>
      </c>
      <c r="AC176" s="15">
        <f t="shared" si="67"/>
        <v>15604.190877948466</v>
      </c>
      <c r="AD176" s="15">
        <f t="shared" si="67"/>
        <v>5397.0566783108807</v>
      </c>
      <c r="AE176" s="15">
        <f t="shared" si="67"/>
        <v>126.06263774156801</v>
      </c>
      <c r="AF176" s="15">
        <f t="shared" si="67"/>
        <v>86.668063447328009</v>
      </c>
      <c r="AG176" s="15">
        <f t="shared" si="67"/>
        <v>10616.837772297682</v>
      </c>
      <c r="AH176" s="3"/>
    </row>
    <row r="177" spans="1:34" x14ac:dyDescent="0.25">
      <c r="A177" s="35"/>
      <c r="B177" s="35"/>
      <c r="C177" s="36" t="s">
        <v>67</v>
      </c>
      <c r="D177" s="36" t="s">
        <v>67</v>
      </c>
      <c r="E177" s="36" t="s">
        <v>67</v>
      </c>
      <c r="F177" s="36" t="s">
        <v>67</v>
      </c>
      <c r="G177" s="36" t="s">
        <v>67</v>
      </c>
      <c r="H177" s="36" t="s">
        <v>67</v>
      </c>
      <c r="I177" s="36" t="s">
        <v>67</v>
      </c>
      <c r="J177" s="36" t="s">
        <v>67</v>
      </c>
      <c r="K177" s="36" t="s">
        <v>67</v>
      </c>
      <c r="L177" s="36" t="s">
        <v>67</v>
      </c>
      <c r="M177" s="36" t="s">
        <v>67</v>
      </c>
      <c r="N177" s="36" t="s">
        <v>67</v>
      </c>
      <c r="O177" s="36" t="s">
        <v>67</v>
      </c>
      <c r="P177" s="36" t="s">
        <v>67</v>
      </c>
      <c r="Q177" s="36" t="s">
        <v>67</v>
      </c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3"/>
    </row>
    <row r="178" spans="1:34" x14ac:dyDescent="0.25">
      <c r="A178" s="37" t="s">
        <v>251</v>
      </c>
      <c r="B178" s="38"/>
      <c r="C178" s="39">
        <f>SUM(C169:C176)</f>
        <v>5309392.8373833345</v>
      </c>
      <c r="D178" s="39">
        <f t="shared" ref="D178:Q178" si="69">SUM(D169:D176)</f>
        <v>5328235.7465663813</v>
      </c>
      <c r="E178" s="39">
        <f t="shared" si="69"/>
        <v>5328235.7465663813</v>
      </c>
      <c r="F178" s="39">
        <f t="shared" si="69"/>
        <v>5328235.7465663813</v>
      </c>
      <c r="G178" s="39">
        <f t="shared" si="69"/>
        <v>5328235.7465663813</v>
      </c>
      <c r="H178" s="39">
        <f t="shared" si="69"/>
        <v>5328235.7465663813</v>
      </c>
      <c r="I178" s="39">
        <f t="shared" si="69"/>
        <v>5328235.7465663813</v>
      </c>
      <c r="J178" s="39">
        <f t="shared" si="69"/>
        <v>5328235.7465663813</v>
      </c>
      <c r="K178" s="39">
        <f t="shared" si="69"/>
        <v>5328235.7465663813</v>
      </c>
      <c r="L178" s="39">
        <f t="shared" si="69"/>
        <v>5328235.7465663813</v>
      </c>
      <c r="M178" s="39">
        <f t="shared" si="69"/>
        <v>5328235.7465663813</v>
      </c>
      <c r="N178" s="39">
        <f t="shared" si="69"/>
        <v>5328235.7465663813</v>
      </c>
      <c r="O178" s="39">
        <f t="shared" si="69"/>
        <v>5328235.7465663813</v>
      </c>
      <c r="P178" s="39">
        <f t="shared" si="69"/>
        <v>69248221.79617992</v>
      </c>
      <c r="Q178" s="39">
        <f t="shared" si="69"/>
        <v>5326786.2920138398</v>
      </c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3"/>
    </row>
    <row r="179" spans="1:34" x14ac:dyDescent="0.25">
      <c r="A179" s="35"/>
      <c r="B179" s="35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3"/>
    </row>
    <row r="180" spans="1:34" x14ac:dyDescent="0.25">
      <c r="A180" s="37" t="s">
        <v>252</v>
      </c>
      <c r="B180" s="38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3"/>
    </row>
    <row r="181" spans="1:34" x14ac:dyDescent="0.25">
      <c r="A181" s="31" t="s">
        <v>253</v>
      </c>
      <c r="B181" s="31" t="s">
        <v>254</v>
      </c>
      <c r="C181" s="2">
        <f>'WC def tax 22'!O181</f>
        <v>22740.785616666664</v>
      </c>
      <c r="D181" s="64">
        <f t="shared" ref="D181:O182" si="70">(($P181-$C181)/12)</f>
        <v>23985.404385884442</v>
      </c>
      <c r="E181" s="64">
        <f t="shared" si="70"/>
        <v>23985.404385884442</v>
      </c>
      <c r="F181" s="64">
        <f t="shared" si="70"/>
        <v>23985.404385884442</v>
      </c>
      <c r="G181" s="64">
        <f t="shared" si="70"/>
        <v>23985.404385884442</v>
      </c>
      <c r="H181" s="64">
        <f t="shared" si="70"/>
        <v>23985.404385884442</v>
      </c>
      <c r="I181" s="64">
        <f t="shared" si="70"/>
        <v>23985.404385884442</v>
      </c>
      <c r="J181" s="64">
        <f t="shared" si="70"/>
        <v>23985.404385884442</v>
      </c>
      <c r="K181" s="64">
        <f t="shared" si="70"/>
        <v>23985.404385884442</v>
      </c>
      <c r="L181" s="64">
        <f t="shared" si="70"/>
        <v>23985.404385884442</v>
      </c>
      <c r="M181" s="64">
        <f t="shared" si="70"/>
        <v>23985.404385884442</v>
      </c>
      <c r="N181" s="64">
        <f t="shared" si="70"/>
        <v>23985.404385884442</v>
      </c>
      <c r="O181" s="64">
        <f t="shared" si="70"/>
        <v>23985.404385884442</v>
      </c>
      <c r="P181" s="2">
        <f t="shared" ref="P181:P182" si="71">Q181*13</f>
        <v>310565.63824727997</v>
      </c>
      <c r="Q181" s="2">
        <f>'WC def tax 22'!Q181*1.0572</f>
        <v>23889.664480559997</v>
      </c>
      <c r="R181" s="15" t="s">
        <v>502</v>
      </c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3"/>
    </row>
    <row r="182" spans="1:34" x14ac:dyDescent="0.25">
      <c r="A182" s="31" t="s">
        <v>255</v>
      </c>
      <c r="B182" s="31" t="s">
        <v>256</v>
      </c>
      <c r="C182" s="2">
        <f>'WC def tax 22'!O182</f>
        <v>3234113.5564166666</v>
      </c>
      <c r="D182" s="64">
        <f t="shared" si="70"/>
        <v>3366707.0906089772</v>
      </c>
      <c r="E182" s="64">
        <f t="shared" si="70"/>
        <v>3366707.0906089772</v>
      </c>
      <c r="F182" s="64">
        <f t="shared" si="70"/>
        <v>3366707.0906089772</v>
      </c>
      <c r="G182" s="64">
        <f t="shared" si="70"/>
        <v>3366707.0906089772</v>
      </c>
      <c r="H182" s="64">
        <f t="shared" si="70"/>
        <v>3366707.0906089772</v>
      </c>
      <c r="I182" s="64">
        <f t="shared" si="70"/>
        <v>3366707.0906089772</v>
      </c>
      <c r="J182" s="64">
        <f t="shared" si="70"/>
        <v>3366707.0906089772</v>
      </c>
      <c r="K182" s="64">
        <f t="shared" si="70"/>
        <v>3366707.0906089772</v>
      </c>
      <c r="L182" s="64">
        <f t="shared" si="70"/>
        <v>3366707.0906089772</v>
      </c>
      <c r="M182" s="64">
        <f t="shared" si="70"/>
        <v>3366707.0906089772</v>
      </c>
      <c r="N182" s="64">
        <f t="shared" si="70"/>
        <v>3366707.0906089772</v>
      </c>
      <c r="O182" s="64">
        <f t="shared" si="70"/>
        <v>3366707.0906089772</v>
      </c>
      <c r="P182" s="2">
        <f t="shared" si="71"/>
        <v>43634598.643724397</v>
      </c>
      <c r="Q182" s="2">
        <f>'WC def tax 22'!Q182*1.0572</f>
        <v>3356507.5879787998</v>
      </c>
      <c r="R182" s="15" t="s">
        <v>502</v>
      </c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3"/>
    </row>
    <row r="183" spans="1:34" x14ac:dyDescent="0.25">
      <c r="A183" s="35"/>
      <c r="B183" s="35"/>
      <c r="C183" s="36" t="s">
        <v>67</v>
      </c>
      <c r="D183" s="36" t="s">
        <v>67</v>
      </c>
      <c r="E183" s="36" t="s">
        <v>67</v>
      </c>
      <c r="F183" s="36" t="s">
        <v>67</v>
      </c>
      <c r="G183" s="36" t="s">
        <v>67</v>
      </c>
      <c r="H183" s="36" t="s">
        <v>67</v>
      </c>
      <c r="I183" s="36" t="s">
        <v>67</v>
      </c>
      <c r="J183" s="36" t="s">
        <v>67</v>
      </c>
      <c r="K183" s="36" t="s">
        <v>67</v>
      </c>
      <c r="L183" s="36" t="s">
        <v>67</v>
      </c>
      <c r="M183" s="36" t="s">
        <v>67</v>
      </c>
      <c r="N183" s="36" t="s">
        <v>67</v>
      </c>
      <c r="O183" s="36" t="s">
        <v>67</v>
      </c>
      <c r="P183" s="36" t="s">
        <v>67</v>
      </c>
      <c r="Q183" s="36" t="s">
        <v>67</v>
      </c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3"/>
    </row>
    <row r="184" spans="1:34" x14ac:dyDescent="0.25">
      <c r="A184" s="37" t="s">
        <v>257</v>
      </c>
      <c r="B184" s="38"/>
      <c r="C184" s="39">
        <f>SUM(C181:C182)</f>
        <v>3256854.3420333331</v>
      </c>
      <c r="D184" s="39">
        <f t="shared" ref="D184:Q184" si="72">SUM(D181:D182)</f>
        <v>3390692.4949948615</v>
      </c>
      <c r="E184" s="39">
        <f t="shared" si="72"/>
        <v>3390692.4949948615</v>
      </c>
      <c r="F184" s="39">
        <f t="shared" si="72"/>
        <v>3390692.4949948615</v>
      </c>
      <c r="G184" s="39">
        <f t="shared" si="72"/>
        <v>3390692.4949948615</v>
      </c>
      <c r="H184" s="39">
        <f t="shared" si="72"/>
        <v>3390692.4949948615</v>
      </c>
      <c r="I184" s="39">
        <f t="shared" si="72"/>
        <v>3390692.4949948615</v>
      </c>
      <c r="J184" s="39">
        <f t="shared" si="72"/>
        <v>3390692.4949948615</v>
      </c>
      <c r="K184" s="39">
        <f t="shared" si="72"/>
        <v>3390692.4949948615</v>
      </c>
      <c r="L184" s="39">
        <f t="shared" si="72"/>
        <v>3390692.4949948615</v>
      </c>
      <c r="M184" s="39">
        <f t="shared" si="72"/>
        <v>3390692.4949948615</v>
      </c>
      <c r="N184" s="39">
        <f t="shared" si="72"/>
        <v>3390692.4949948615</v>
      </c>
      <c r="O184" s="39">
        <f t="shared" si="72"/>
        <v>3390692.4949948615</v>
      </c>
      <c r="P184" s="39">
        <f t="shared" si="72"/>
        <v>43945164.281971678</v>
      </c>
      <c r="Q184" s="39">
        <f t="shared" si="72"/>
        <v>3380397.2524593598</v>
      </c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3"/>
    </row>
    <row r="185" spans="1:34" x14ac:dyDescent="0.25">
      <c r="A185" s="35"/>
      <c r="B185" s="35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27">
        <f t="shared" ref="AH185:AH190" si="73">SUM(AB185:AG185)+O185</f>
        <v>0</v>
      </c>
    </row>
    <row r="186" spans="1:34" x14ac:dyDescent="0.25">
      <c r="A186" s="37" t="s">
        <v>258</v>
      </c>
      <c r="B186" s="38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24"/>
      <c r="Q186" s="24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27">
        <f t="shared" si="73"/>
        <v>0</v>
      </c>
    </row>
    <row r="187" spans="1:34" x14ac:dyDescent="0.25">
      <c r="A187" s="31" t="s">
        <v>259</v>
      </c>
      <c r="B187" s="31" t="s">
        <v>260</v>
      </c>
      <c r="C187" s="2">
        <f>'WC def tax 22'!O187</f>
        <v>-97136.305800000016</v>
      </c>
      <c r="D187" s="64">
        <f t="shared" ref="D187:O192" si="74">(($P187-$C187)/12)</f>
        <v>-125432.81034175999</v>
      </c>
      <c r="E187" s="64">
        <f t="shared" si="74"/>
        <v>-125432.81034175999</v>
      </c>
      <c r="F187" s="64">
        <f t="shared" si="74"/>
        <v>-125432.81034175999</v>
      </c>
      <c r="G187" s="64">
        <f t="shared" si="74"/>
        <v>-125432.81034175999</v>
      </c>
      <c r="H187" s="64">
        <f t="shared" si="74"/>
        <v>-125432.81034175999</v>
      </c>
      <c r="I187" s="64">
        <f t="shared" si="74"/>
        <v>-125432.81034175999</v>
      </c>
      <c r="J187" s="64">
        <f t="shared" si="74"/>
        <v>-125432.81034175999</v>
      </c>
      <c r="K187" s="64">
        <f t="shared" si="74"/>
        <v>-125432.81034175999</v>
      </c>
      <c r="L187" s="64">
        <f t="shared" si="74"/>
        <v>-125432.81034175999</v>
      </c>
      <c r="M187" s="64">
        <f t="shared" si="74"/>
        <v>-125432.81034175999</v>
      </c>
      <c r="N187" s="64">
        <f t="shared" si="74"/>
        <v>-125432.81034175999</v>
      </c>
      <c r="O187" s="64">
        <f t="shared" si="74"/>
        <v>-125432.81034175999</v>
      </c>
      <c r="P187" s="2">
        <f t="shared" ref="P187:P192" si="75">Q187*13</f>
        <v>-1602330.0299011199</v>
      </c>
      <c r="Q187" s="2">
        <f>'WC def tax 22'!Q187*1.0572</f>
        <v>-123256.15614624</v>
      </c>
      <c r="R187" s="15" t="s">
        <v>502</v>
      </c>
      <c r="S187" s="15" t="s">
        <v>16</v>
      </c>
      <c r="T187" s="15">
        <f t="shared" ref="T187:Y187" si="76">-$Q187*T5</f>
        <v>26253.561259149119</v>
      </c>
      <c r="U187" s="151">
        <f t="shared" si="76"/>
        <v>42893.142338891514</v>
      </c>
      <c r="V187" s="15">
        <f t="shared" si="76"/>
        <v>17748.88648505856</v>
      </c>
      <c r="W187" s="15">
        <f t="shared" si="76"/>
        <v>123.25615614624</v>
      </c>
      <c r="X187" s="15">
        <f t="shared" si="76"/>
        <v>123.25615614624</v>
      </c>
      <c r="Y187" s="15">
        <f t="shared" si="76"/>
        <v>36114.053750848318</v>
      </c>
      <c r="Z187" s="15"/>
      <c r="AA187" s="15" t="s">
        <v>16</v>
      </c>
      <c r="AB187" s="15">
        <f t="shared" ref="AB187:AG192" si="77">-$O187*AB$5</f>
        <v>26717.188602794879</v>
      </c>
      <c r="AC187" s="15">
        <f t="shared" si="77"/>
        <v>43650.617998932474</v>
      </c>
      <c r="AD187" s="15">
        <f t="shared" si="77"/>
        <v>18062.324689213438</v>
      </c>
      <c r="AE187" s="15">
        <f t="shared" si="77"/>
        <v>125.43281034175999</v>
      </c>
      <c r="AF187" s="15">
        <f t="shared" si="77"/>
        <v>125.43281034175999</v>
      </c>
      <c r="AG187" s="15">
        <f t="shared" si="77"/>
        <v>36751.813430135677</v>
      </c>
      <c r="AH187" s="27">
        <f t="shared" si="73"/>
        <v>0</v>
      </c>
    </row>
    <row r="188" spans="1:34" x14ac:dyDescent="0.25">
      <c r="A188" s="31" t="s">
        <v>261</v>
      </c>
      <c r="B188" s="31" t="s">
        <v>262</v>
      </c>
      <c r="C188" s="2">
        <f>'WC def tax 22'!O188</f>
        <v>-101225.91048333334</v>
      </c>
      <c r="D188" s="64">
        <f t="shared" si="74"/>
        <v>-103826.45452270222</v>
      </c>
      <c r="E188" s="64">
        <f t="shared" si="74"/>
        <v>-103826.45452270222</v>
      </c>
      <c r="F188" s="64">
        <f t="shared" si="74"/>
        <v>-103826.45452270222</v>
      </c>
      <c r="G188" s="64">
        <f t="shared" si="74"/>
        <v>-103826.45452270222</v>
      </c>
      <c r="H188" s="64">
        <f t="shared" si="74"/>
        <v>-103826.45452270222</v>
      </c>
      <c r="I188" s="64">
        <f t="shared" si="74"/>
        <v>-103826.45452270222</v>
      </c>
      <c r="J188" s="64">
        <f t="shared" si="74"/>
        <v>-103826.45452270222</v>
      </c>
      <c r="K188" s="64">
        <f t="shared" si="74"/>
        <v>-103826.45452270222</v>
      </c>
      <c r="L188" s="64">
        <f t="shared" si="74"/>
        <v>-103826.45452270222</v>
      </c>
      <c r="M188" s="64">
        <f t="shared" si="74"/>
        <v>-103826.45452270222</v>
      </c>
      <c r="N188" s="64">
        <f t="shared" si="74"/>
        <v>-103826.45452270222</v>
      </c>
      <c r="O188" s="64">
        <f t="shared" si="74"/>
        <v>-103826.45452270222</v>
      </c>
      <c r="P188" s="2">
        <f t="shared" si="75"/>
        <v>-1347143.3647557599</v>
      </c>
      <c r="Q188" s="2">
        <f>'WC def tax 22'!Q188*1.0572</f>
        <v>-103626.41267352</v>
      </c>
      <c r="R188" s="15" t="s">
        <v>502</v>
      </c>
      <c r="S188" s="15" t="s">
        <v>16</v>
      </c>
      <c r="T188" s="15">
        <f t="shared" ref="T188:Y188" si="78">-$Q188*T5</f>
        <v>22072.425899459759</v>
      </c>
      <c r="U188" s="151">
        <f t="shared" si="78"/>
        <v>36061.991610384954</v>
      </c>
      <c r="V188" s="15">
        <f t="shared" si="78"/>
        <v>14922.203424986879</v>
      </c>
      <c r="W188" s="15">
        <f t="shared" si="78"/>
        <v>103.62641267351999</v>
      </c>
      <c r="X188" s="15">
        <f t="shared" si="78"/>
        <v>103.62641267351999</v>
      </c>
      <c r="Y188" s="15">
        <f t="shared" si="78"/>
        <v>30362.538913341359</v>
      </c>
      <c r="Z188" s="15"/>
      <c r="AA188" s="15" t="s">
        <v>16</v>
      </c>
      <c r="AB188" s="15">
        <f t="shared" si="77"/>
        <v>22115.034813335573</v>
      </c>
      <c r="AC188" s="15">
        <f t="shared" si="77"/>
        <v>36131.606173900371</v>
      </c>
      <c r="AD188" s="15">
        <f t="shared" si="77"/>
        <v>14951.009451269118</v>
      </c>
      <c r="AE188" s="15">
        <f t="shared" si="77"/>
        <v>103.82645452270222</v>
      </c>
      <c r="AF188" s="15">
        <f t="shared" si="77"/>
        <v>103.82645452270222</v>
      </c>
      <c r="AG188" s="15">
        <f t="shared" si="77"/>
        <v>30421.151175151746</v>
      </c>
      <c r="AH188" s="27">
        <f t="shared" si="73"/>
        <v>0</v>
      </c>
    </row>
    <row r="189" spans="1:34" x14ac:dyDescent="0.25">
      <c r="A189" s="31" t="s">
        <v>263</v>
      </c>
      <c r="B189" s="31" t="s">
        <v>264</v>
      </c>
      <c r="C189" s="2">
        <f>'WC def tax 22'!O189</f>
        <v>-4309.7919333333366</v>
      </c>
      <c r="D189" s="64">
        <f t="shared" si="74"/>
        <v>-59359.480004142213</v>
      </c>
      <c r="E189" s="64">
        <f t="shared" si="74"/>
        <v>-59359.480004142213</v>
      </c>
      <c r="F189" s="64">
        <f t="shared" si="74"/>
        <v>-59359.480004142213</v>
      </c>
      <c r="G189" s="64">
        <f t="shared" si="74"/>
        <v>-59359.480004142213</v>
      </c>
      <c r="H189" s="64">
        <f t="shared" si="74"/>
        <v>-59359.480004142213</v>
      </c>
      <c r="I189" s="64">
        <f t="shared" si="74"/>
        <v>-59359.480004142213</v>
      </c>
      <c r="J189" s="64">
        <f t="shared" si="74"/>
        <v>-59359.480004142213</v>
      </c>
      <c r="K189" s="64">
        <f t="shared" si="74"/>
        <v>-59359.480004142213</v>
      </c>
      <c r="L189" s="64">
        <f t="shared" si="74"/>
        <v>-59359.480004142213</v>
      </c>
      <c r="M189" s="64">
        <f t="shared" si="74"/>
        <v>-59359.480004142213</v>
      </c>
      <c r="N189" s="64">
        <f t="shared" si="74"/>
        <v>-59359.480004142213</v>
      </c>
      <c r="O189" s="64">
        <f t="shared" si="74"/>
        <v>-59359.480004142213</v>
      </c>
      <c r="P189" s="2">
        <f t="shared" si="75"/>
        <v>-716623.55198303994</v>
      </c>
      <c r="Q189" s="2">
        <f>'WC def tax 22'!Q189*1.0572</f>
        <v>-55124.888614079995</v>
      </c>
      <c r="R189" s="15" t="s">
        <v>502</v>
      </c>
      <c r="S189" s="15" t="s">
        <v>16</v>
      </c>
      <c r="T189" s="15">
        <f t="shared" ref="T189:Y189" si="79">-$Q189*T5</f>
        <v>11741.601274799039</v>
      </c>
      <c r="U189" s="151">
        <f t="shared" si="79"/>
        <v>19183.461237699838</v>
      </c>
      <c r="V189" s="15">
        <f t="shared" si="79"/>
        <v>7937.9839604275185</v>
      </c>
      <c r="W189" s="15">
        <f t="shared" si="79"/>
        <v>55.12488861408</v>
      </c>
      <c r="X189" s="15">
        <f t="shared" si="79"/>
        <v>55.12488861408</v>
      </c>
      <c r="Y189" s="15">
        <f t="shared" si="79"/>
        <v>16151.592363925438</v>
      </c>
      <c r="Z189" s="15"/>
      <c r="AA189" s="15" t="s">
        <v>16</v>
      </c>
      <c r="AB189" s="15">
        <f t="shared" si="77"/>
        <v>12643.569240882291</v>
      </c>
      <c r="AC189" s="15">
        <f t="shared" si="77"/>
        <v>20657.099041441488</v>
      </c>
      <c r="AD189" s="15">
        <f t="shared" si="77"/>
        <v>8547.7651205964776</v>
      </c>
      <c r="AE189" s="15">
        <f t="shared" si="77"/>
        <v>59.359480004142213</v>
      </c>
      <c r="AF189" s="15">
        <f t="shared" si="77"/>
        <v>59.359480004142213</v>
      </c>
      <c r="AG189" s="15">
        <f t="shared" si="77"/>
        <v>17392.327641213666</v>
      </c>
      <c r="AH189" s="27">
        <f t="shared" si="73"/>
        <v>0</v>
      </c>
    </row>
    <row r="190" spans="1:34" x14ac:dyDescent="0.25">
      <c r="A190" s="31" t="s">
        <v>265</v>
      </c>
      <c r="B190" s="31" t="s">
        <v>266</v>
      </c>
      <c r="C190" s="2">
        <f>'WC def tax 22'!O190</f>
        <v>-473680.56621666666</v>
      </c>
      <c r="D190" s="64">
        <f t="shared" si="74"/>
        <v>-491597.63018620439</v>
      </c>
      <c r="E190" s="64">
        <f t="shared" si="74"/>
        <v>-491597.63018620439</v>
      </c>
      <c r="F190" s="64">
        <f t="shared" si="74"/>
        <v>-491597.63018620439</v>
      </c>
      <c r="G190" s="64">
        <f t="shared" si="74"/>
        <v>-491597.63018620439</v>
      </c>
      <c r="H190" s="64">
        <f t="shared" si="74"/>
        <v>-491597.63018620439</v>
      </c>
      <c r="I190" s="64">
        <f t="shared" si="74"/>
        <v>-491597.63018620439</v>
      </c>
      <c r="J190" s="64">
        <f t="shared" si="74"/>
        <v>-491597.63018620439</v>
      </c>
      <c r="K190" s="64">
        <f t="shared" si="74"/>
        <v>-491597.63018620439</v>
      </c>
      <c r="L190" s="64">
        <f t="shared" si="74"/>
        <v>-491597.63018620439</v>
      </c>
      <c r="M190" s="64">
        <f t="shared" si="74"/>
        <v>-491597.63018620439</v>
      </c>
      <c r="N190" s="64">
        <f t="shared" si="74"/>
        <v>-491597.63018620439</v>
      </c>
      <c r="O190" s="64">
        <f t="shared" si="74"/>
        <v>-491597.63018620439</v>
      </c>
      <c r="P190" s="2">
        <f t="shared" si="75"/>
        <v>-6372852.1284511192</v>
      </c>
      <c r="Q190" s="2">
        <f>'WC def tax 22'!Q190*1.0572</f>
        <v>-490219.39449623995</v>
      </c>
      <c r="R190" s="15" t="s">
        <v>502</v>
      </c>
      <c r="S190" s="15" t="s">
        <v>16</v>
      </c>
      <c r="T190" s="15">
        <f t="shared" ref="T190:Y190" si="80">-$Q190*T5</f>
        <v>104416.7310276991</v>
      </c>
      <c r="U190" s="151">
        <f t="shared" si="80"/>
        <v>170596.3492846915</v>
      </c>
      <c r="V190" s="15">
        <f t="shared" si="80"/>
        <v>70591.592807458554</v>
      </c>
      <c r="W190" s="15">
        <f t="shared" si="80"/>
        <v>490.21939449623994</v>
      </c>
      <c r="X190" s="15">
        <f t="shared" si="80"/>
        <v>490.21939449623994</v>
      </c>
      <c r="Y190" s="15">
        <f t="shared" si="80"/>
        <v>143634.28258739831</v>
      </c>
      <c r="Z190" s="15"/>
      <c r="AA190" s="15" t="s">
        <v>16</v>
      </c>
      <c r="AB190" s="15">
        <f t="shared" si="77"/>
        <v>104710.29522966153</v>
      </c>
      <c r="AC190" s="15">
        <f t="shared" si="77"/>
        <v>171075.97530479913</v>
      </c>
      <c r="AD190" s="15">
        <f t="shared" si="77"/>
        <v>70790.058746813433</v>
      </c>
      <c r="AE190" s="15">
        <f t="shared" si="77"/>
        <v>491.59763018620441</v>
      </c>
      <c r="AF190" s="15">
        <f t="shared" si="77"/>
        <v>491.59763018620441</v>
      </c>
      <c r="AG190" s="15">
        <f t="shared" si="77"/>
        <v>144038.10564455789</v>
      </c>
      <c r="AH190" s="27">
        <f t="shared" si="73"/>
        <v>0</v>
      </c>
    </row>
    <row r="191" spans="1:34" x14ac:dyDescent="0.25">
      <c r="A191" s="31" t="s">
        <v>267</v>
      </c>
      <c r="B191" s="31" t="s">
        <v>268</v>
      </c>
      <c r="C191" s="2">
        <f>'WC def tax 22'!O191</f>
        <v>-1140.3509999999999</v>
      </c>
      <c r="D191" s="64">
        <f t="shared" si="74"/>
        <v>-15701.319427200002</v>
      </c>
      <c r="E191" s="64">
        <f t="shared" si="74"/>
        <v>-15701.319427200002</v>
      </c>
      <c r="F191" s="64">
        <f t="shared" si="74"/>
        <v>-15701.319427200002</v>
      </c>
      <c r="G191" s="64">
        <f t="shared" si="74"/>
        <v>-15701.319427200002</v>
      </c>
      <c r="H191" s="64">
        <f t="shared" si="74"/>
        <v>-15701.319427200002</v>
      </c>
      <c r="I191" s="64">
        <f t="shared" si="74"/>
        <v>-15701.319427200002</v>
      </c>
      <c r="J191" s="64">
        <f t="shared" si="74"/>
        <v>-15701.319427200002</v>
      </c>
      <c r="K191" s="64">
        <f t="shared" si="74"/>
        <v>-15701.319427200002</v>
      </c>
      <c r="L191" s="64">
        <f t="shared" si="74"/>
        <v>-15701.319427200002</v>
      </c>
      <c r="M191" s="64">
        <f t="shared" si="74"/>
        <v>-15701.319427200002</v>
      </c>
      <c r="N191" s="64">
        <f t="shared" si="74"/>
        <v>-15701.319427200002</v>
      </c>
      <c r="O191" s="64">
        <f t="shared" si="74"/>
        <v>-15701.319427200002</v>
      </c>
      <c r="P191" s="2">
        <f t="shared" si="75"/>
        <v>-189556.18412640001</v>
      </c>
      <c r="Q191" s="2">
        <f>'WC def tax 22'!Q191*1.0572</f>
        <v>-14581.2449328</v>
      </c>
      <c r="R191" s="15" t="s">
        <v>502</v>
      </c>
      <c r="S191" s="15" t="s">
        <v>16</v>
      </c>
      <c r="T191" s="15">
        <f t="shared" ref="T191:Y191" si="81">-$Q191*T5</f>
        <v>3105.8051706863998</v>
      </c>
      <c r="U191" s="151">
        <f t="shared" si="81"/>
        <v>5074.2732366144</v>
      </c>
      <c r="V191" s="15">
        <f t="shared" si="81"/>
        <v>2099.6992703231999</v>
      </c>
      <c r="W191" s="15">
        <f t="shared" si="81"/>
        <v>14.581244932800001</v>
      </c>
      <c r="X191" s="15">
        <f t="shared" si="81"/>
        <v>14.581244932800001</v>
      </c>
      <c r="Y191" s="15">
        <f t="shared" si="81"/>
        <v>4272.3047653103995</v>
      </c>
      <c r="Z191" s="15"/>
      <c r="AA191" s="15" t="s">
        <v>16</v>
      </c>
      <c r="AB191" s="15">
        <f t="shared" si="77"/>
        <v>3344.3810379936003</v>
      </c>
      <c r="AC191" s="15">
        <f t="shared" si="77"/>
        <v>5464.0591606655998</v>
      </c>
      <c r="AD191" s="15">
        <f t="shared" si="77"/>
        <v>2260.9899975168</v>
      </c>
      <c r="AE191" s="15">
        <f t="shared" si="77"/>
        <v>15.701319427200001</v>
      </c>
      <c r="AF191" s="15">
        <f t="shared" si="77"/>
        <v>15.701319427200001</v>
      </c>
      <c r="AG191" s="15">
        <f t="shared" si="77"/>
        <v>4600.4865921696</v>
      </c>
      <c r="AH191" s="27"/>
    </row>
    <row r="192" spans="1:34" x14ac:dyDescent="0.25">
      <c r="A192" s="31" t="s">
        <v>269</v>
      </c>
      <c r="B192" s="31" t="s">
        <v>270</v>
      </c>
      <c r="C192" s="2">
        <f>'WC def tax 22'!O192</f>
        <v>-660992.43643333332</v>
      </c>
      <c r="D192" s="64">
        <f t="shared" si="74"/>
        <v>-643718.50076120871</v>
      </c>
      <c r="E192" s="64">
        <f t="shared" si="74"/>
        <v>-643718.50076120871</v>
      </c>
      <c r="F192" s="64">
        <f t="shared" si="74"/>
        <v>-643718.50076120871</v>
      </c>
      <c r="G192" s="64">
        <f t="shared" si="74"/>
        <v>-643718.50076120871</v>
      </c>
      <c r="H192" s="64">
        <f t="shared" si="74"/>
        <v>-643718.50076120871</v>
      </c>
      <c r="I192" s="64">
        <f t="shared" si="74"/>
        <v>-643718.50076120871</v>
      </c>
      <c r="J192" s="64">
        <f t="shared" si="74"/>
        <v>-643718.50076120871</v>
      </c>
      <c r="K192" s="64">
        <f t="shared" si="74"/>
        <v>-643718.50076120871</v>
      </c>
      <c r="L192" s="64">
        <f t="shared" si="74"/>
        <v>-643718.50076120871</v>
      </c>
      <c r="M192" s="64">
        <f t="shared" si="74"/>
        <v>-643718.50076120871</v>
      </c>
      <c r="N192" s="64">
        <f t="shared" si="74"/>
        <v>-643718.50076120871</v>
      </c>
      <c r="O192" s="64">
        <f t="shared" si="74"/>
        <v>-643718.50076120871</v>
      </c>
      <c r="P192" s="2">
        <f t="shared" si="75"/>
        <v>-8385614.4455678379</v>
      </c>
      <c r="Q192" s="2">
        <f>'WC def tax 22'!Q192*1.0572</f>
        <v>-645047.26504367986</v>
      </c>
      <c r="R192" s="15" t="s">
        <v>502</v>
      </c>
      <c r="S192" s="15" t="s">
        <v>16</v>
      </c>
      <c r="T192" s="15">
        <f t="shared" ref="T192:Y192" si="82">-$Q192*T5</f>
        <v>137395.06745430382</v>
      </c>
      <c r="U192" s="151">
        <f t="shared" si="82"/>
        <v>224476.44823520057</v>
      </c>
      <c r="V192" s="15">
        <f t="shared" si="82"/>
        <v>92886.806166289898</v>
      </c>
      <c r="W192" s="15">
        <f t="shared" si="82"/>
        <v>645.04726504367989</v>
      </c>
      <c r="X192" s="15">
        <f t="shared" si="82"/>
        <v>645.04726504367989</v>
      </c>
      <c r="Y192" s="15">
        <f t="shared" si="82"/>
        <v>188998.8486577982</v>
      </c>
      <c r="Z192" s="15"/>
      <c r="AA192" s="15" t="s">
        <v>16</v>
      </c>
      <c r="AB192" s="15">
        <f t="shared" si="77"/>
        <v>137112.04066213744</v>
      </c>
      <c r="AC192" s="15">
        <f t="shared" si="77"/>
        <v>224014.03826490062</v>
      </c>
      <c r="AD192" s="15">
        <f t="shared" si="77"/>
        <v>92695.46410961404</v>
      </c>
      <c r="AE192" s="15">
        <f t="shared" si="77"/>
        <v>643.7185007612087</v>
      </c>
      <c r="AF192" s="15">
        <f t="shared" si="77"/>
        <v>643.7185007612087</v>
      </c>
      <c r="AG192" s="15">
        <f t="shared" si="77"/>
        <v>188609.52072303413</v>
      </c>
      <c r="AH192" s="27"/>
    </row>
    <row r="193" spans="1:34" x14ac:dyDescent="0.25">
      <c r="A193" s="35"/>
      <c r="B193" s="35"/>
      <c r="C193" s="36" t="s">
        <v>67</v>
      </c>
      <c r="D193" s="36" t="s">
        <v>67</v>
      </c>
      <c r="E193" s="36" t="s">
        <v>67</v>
      </c>
      <c r="F193" s="36" t="s">
        <v>67</v>
      </c>
      <c r="G193" s="36" t="s">
        <v>67</v>
      </c>
      <c r="H193" s="36" t="s">
        <v>67</v>
      </c>
      <c r="I193" s="36" t="s">
        <v>67</v>
      </c>
      <c r="J193" s="36" t="s">
        <v>67</v>
      </c>
      <c r="K193" s="36" t="s">
        <v>67</v>
      </c>
      <c r="L193" s="36" t="s">
        <v>67</v>
      </c>
      <c r="M193" s="36" t="s">
        <v>67</v>
      </c>
      <c r="N193" s="36" t="s">
        <v>67</v>
      </c>
      <c r="O193" s="36" t="s">
        <v>67</v>
      </c>
      <c r="P193" s="36" t="s">
        <v>67</v>
      </c>
      <c r="Q193" s="36" t="s">
        <v>67</v>
      </c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27"/>
    </row>
    <row r="194" spans="1:34" x14ac:dyDescent="0.25">
      <c r="A194" s="37" t="s">
        <v>271</v>
      </c>
      <c r="B194" s="38"/>
      <c r="C194" s="39">
        <f>SUM(C187:C192)</f>
        <v>-1338485.3618666667</v>
      </c>
      <c r="D194" s="39">
        <f t="shared" ref="D194:Q194" si="83">SUM(D187:D192)</f>
        <v>-1439636.1952432175</v>
      </c>
      <c r="E194" s="39">
        <f t="shared" si="83"/>
        <v>-1439636.1952432175</v>
      </c>
      <c r="F194" s="39">
        <f t="shared" si="83"/>
        <v>-1439636.1952432175</v>
      </c>
      <c r="G194" s="39">
        <f t="shared" si="83"/>
        <v>-1439636.1952432175</v>
      </c>
      <c r="H194" s="39">
        <f t="shared" si="83"/>
        <v>-1439636.1952432175</v>
      </c>
      <c r="I194" s="39">
        <f t="shared" si="83"/>
        <v>-1439636.1952432175</v>
      </c>
      <c r="J194" s="39">
        <f t="shared" si="83"/>
        <v>-1439636.1952432175</v>
      </c>
      <c r="K194" s="39">
        <f t="shared" si="83"/>
        <v>-1439636.1952432175</v>
      </c>
      <c r="L194" s="39">
        <f t="shared" si="83"/>
        <v>-1439636.1952432175</v>
      </c>
      <c r="M194" s="39">
        <f t="shared" si="83"/>
        <v>-1439636.1952432175</v>
      </c>
      <c r="N194" s="39">
        <f t="shared" si="83"/>
        <v>-1439636.1952432175</v>
      </c>
      <c r="O194" s="39">
        <f t="shared" si="83"/>
        <v>-1439636.1952432175</v>
      </c>
      <c r="P194" s="39">
        <f t="shared" si="83"/>
        <v>-18614119.704785276</v>
      </c>
      <c r="Q194" s="147">
        <f t="shared" si="83"/>
        <v>-1431855.3619065597</v>
      </c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27"/>
    </row>
    <row r="195" spans="1:34" x14ac:dyDescent="0.25">
      <c r="A195" s="35"/>
      <c r="B195" s="35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27">
        <f>SUM(AB195:AG195)+O195</f>
        <v>0</v>
      </c>
    </row>
    <row r="196" spans="1:34" x14ac:dyDescent="0.25">
      <c r="A196" s="37" t="s">
        <v>272</v>
      </c>
      <c r="B196" s="38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27">
        <f>SUM(AB196:AG196)+O196</f>
        <v>0</v>
      </c>
    </row>
    <row r="197" spans="1:34" x14ac:dyDescent="0.25">
      <c r="A197" s="31" t="s">
        <v>273</v>
      </c>
      <c r="B197" s="31" t="s">
        <v>274</v>
      </c>
      <c r="C197" s="2">
        <f>'WC def tax 22'!O197</f>
        <v>810612.80500000005</v>
      </c>
      <c r="D197" s="64">
        <f t="shared" ref="D197:O200" si="84">(($P197-$C197)/12)</f>
        <v>812395.63984166656</v>
      </c>
      <c r="E197" s="64">
        <f t="shared" si="84"/>
        <v>812395.63984166656</v>
      </c>
      <c r="F197" s="64">
        <f t="shared" si="84"/>
        <v>812395.63984166656</v>
      </c>
      <c r="G197" s="64">
        <f t="shared" si="84"/>
        <v>812395.63984166656</v>
      </c>
      <c r="H197" s="64">
        <f t="shared" si="84"/>
        <v>812395.63984166656</v>
      </c>
      <c r="I197" s="64">
        <f t="shared" si="84"/>
        <v>812395.63984166656</v>
      </c>
      <c r="J197" s="64">
        <f t="shared" si="84"/>
        <v>812395.63984166656</v>
      </c>
      <c r="K197" s="64">
        <f t="shared" si="84"/>
        <v>812395.63984166656</v>
      </c>
      <c r="L197" s="64">
        <f t="shared" si="84"/>
        <v>812395.63984166656</v>
      </c>
      <c r="M197" s="64">
        <f t="shared" si="84"/>
        <v>812395.63984166656</v>
      </c>
      <c r="N197" s="64">
        <f t="shared" si="84"/>
        <v>812395.63984166656</v>
      </c>
      <c r="O197" s="64">
        <f t="shared" si="84"/>
        <v>812395.63984166656</v>
      </c>
      <c r="P197" s="2">
        <f t="shared" ref="P197:P200" si="85">Q197*13</f>
        <v>10559360.483099999</v>
      </c>
      <c r="Q197" s="2">
        <f>'WC def tax 22'!Q197*1.035</f>
        <v>812258.49869999988</v>
      </c>
      <c r="R197" s="15" t="s">
        <v>503</v>
      </c>
      <c r="S197" s="15" t="s">
        <v>34</v>
      </c>
      <c r="T197" s="15">
        <f t="shared" ref="T197:Y200" si="86">-$Q197*T$7</f>
        <v>-155953.63175039997</v>
      </c>
      <c r="U197" s="151">
        <f t="shared" si="86"/>
        <v>-321735.59133506997</v>
      </c>
      <c r="V197" s="15">
        <f t="shared" si="86"/>
        <v>-111279.4143219</v>
      </c>
      <c r="W197" s="15">
        <f t="shared" si="86"/>
        <v>-2599.2271958399997</v>
      </c>
      <c r="X197" s="15">
        <f t="shared" si="86"/>
        <v>-1786.9686971399999</v>
      </c>
      <c r="Y197" s="15">
        <f t="shared" si="86"/>
        <v>-218903.66539965</v>
      </c>
      <c r="Z197" s="15"/>
      <c r="AA197" s="15" t="s">
        <v>34</v>
      </c>
      <c r="AB197" s="15">
        <f>-$O197*AB$7</f>
        <v>-155979.96284959998</v>
      </c>
      <c r="AC197" s="15">
        <f t="shared" ref="AC197:AG200" si="87">-$O197*AC$7</f>
        <v>-321789.91294128413</v>
      </c>
      <c r="AD197" s="15">
        <f t="shared" si="87"/>
        <v>-111298.20265830832</v>
      </c>
      <c r="AE197" s="15">
        <f t="shared" si="87"/>
        <v>-2599.6660474933333</v>
      </c>
      <c r="AF197" s="15">
        <f t="shared" si="87"/>
        <v>-1787.2704076516666</v>
      </c>
      <c r="AG197" s="15">
        <f t="shared" si="87"/>
        <v>-218940.62493732915</v>
      </c>
      <c r="AH197" s="27"/>
    </row>
    <row r="198" spans="1:34" x14ac:dyDescent="0.25">
      <c r="A198" s="31" t="s">
        <v>275</v>
      </c>
      <c r="B198" s="31" t="s">
        <v>276</v>
      </c>
      <c r="C198" s="2">
        <f>'WC def tax 22'!O198</f>
        <v>300804.77541666664</v>
      </c>
      <c r="D198" s="64">
        <f t="shared" si="84"/>
        <v>309469.62918819435</v>
      </c>
      <c r="E198" s="64">
        <f t="shared" si="84"/>
        <v>309469.62918819435</v>
      </c>
      <c r="F198" s="64">
        <f t="shared" si="84"/>
        <v>309469.62918819435</v>
      </c>
      <c r="G198" s="64">
        <f t="shared" si="84"/>
        <v>309469.62918819435</v>
      </c>
      <c r="H198" s="64">
        <f t="shared" si="84"/>
        <v>309469.62918819435</v>
      </c>
      <c r="I198" s="64">
        <f t="shared" si="84"/>
        <v>309469.62918819435</v>
      </c>
      <c r="J198" s="64">
        <f t="shared" si="84"/>
        <v>309469.62918819435</v>
      </c>
      <c r="K198" s="64">
        <f t="shared" si="84"/>
        <v>309469.62918819435</v>
      </c>
      <c r="L198" s="64">
        <f t="shared" si="84"/>
        <v>309469.62918819435</v>
      </c>
      <c r="M198" s="64">
        <f t="shared" si="84"/>
        <v>309469.62918819435</v>
      </c>
      <c r="N198" s="64">
        <f t="shared" si="84"/>
        <v>309469.62918819435</v>
      </c>
      <c r="O198" s="64">
        <f t="shared" si="84"/>
        <v>309469.62918819435</v>
      </c>
      <c r="P198" s="2">
        <f t="shared" si="85"/>
        <v>4014440.325674999</v>
      </c>
      <c r="Q198" s="2">
        <f>'WC def tax 22'!Q198*1.035</f>
        <v>308803.10197499994</v>
      </c>
      <c r="R198" s="15" t="s">
        <v>503</v>
      </c>
      <c r="S198" s="15" t="s">
        <v>34</v>
      </c>
      <c r="T198" s="15">
        <f t="shared" si="86"/>
        <v>-59290.195579199986</v>
      </c>
      <c r="U198" s="151">
        <f t="shared" si="86"/>
        <v>-122316.90869229748</v>
      </c>
      <c r="V198" s="15">
        <f t="shared" si="86"/>
        <v>-42306.024970574996</v>
      </c>
      <c r="W198" s="15">
        <f t="shared" si="86"/>
        <v>-988.16992631999983</v>
      </c>
      <c r="X198" s="15">
        <f t="shared" si="86"/>
        <v>-679.36682434499994</v>
      </c>
      <c r="Y198" s="15">
        <f t="shared" si="86"/>
        <v>-83222.435982262483</v>
      </c>
      <c r="Z198" s="15"/>
      <c r="AA198" s="15" t="s">
        <v>34</v>
      </c>
      <c r="AB198" s="15">
        <f>-$O198*AB$7</f>
        <v>-59418.168804133318</v>
      </c>
      <c r="AC198" s="15">
        <f t="shared" si="87"/>
        <v>-122580.92012144378</v>
      </c>
      <c r="AD198" s="15">
        <f t="shared" si="87"/>
        <v>-42397.339198782625</v>
      </c>
      <c r="AE198" s="15">
        <f t="shared" si="87"/>
        <v>-990.302813402222</v>
      </c>
      <c r="AF198" s="15">
        <f t="shared" si="87"/>
        <v>-680.8331842140276</v>
      </c>
      <c r="AG198" s="15">
        <f t="shared" si="87"/>
        <v>-83402.065066218376</v>
      </c>
      <c r="AH198" s="27"/>
    </row>
    <row r="199" spans="1:34" x14ac:dyDescent="0.25">
      <c r="A199" s="31" t="s">
        <v>277</v>
      </c>
      <c r="B199" s="31" t="s">
        <v>278</v>
      </c>
      <c r="C199" s="2">
        <f>'WC def tax 22'!O199</f>
        <v>711678.67874999996</v>
      </c>
      <c r="D199" s="64">
        <f t="shared" si="84"/>
        <v>677280.87594374979</v>
      </c>
      <c r="E199" s="64">
        <f t="shared" si="84"/>
        <v>677280.87594374979</v>
      </c>
      <c r="F199" s="64">
        <f t="shared" si="84"/>
        <v>677280.87594374979</v>
      </c>
      <c r="G199" s="64">
        <f t="shared" si="84"/>
        <v>677280.87594374979</v>
      </c>
      <c r="H199" s="64">
        <f t="shared" si="84"/>
        <v>677280.87594374979</v>
      </c>
      <c r="I199" s="64">
        <f t="shared" si="84"/>
        <v>677280.87594374979</v>
      </c>
      <c r="J199" s="64">
        <f t="shared" si="84"/>
        <v>677280.87594374979</v>
      </c>
      <c r="K199" s="64">
        <f t="shared" si="84"/>
        <v>677280.87594374979</v>
      </c>
      <c r="L199" s="64">
        <f t="shared" si="84"/>
        <v>677280.87594374979</v>
      </c>
      <c r="M199" s="64">
        <f t="shared" si="84"/>
        <v>677280.87594374979</v>
      </c>
      <c r="N199" s="64">
        <f t="shared" si="84"/>
        <v>677280.87594374979</v>
      </c>
      <c r="O199" s="64">
        <f t="shared" si="84"/>
        <v>677280.87594374979</v>
      </c>
      <c r="P199" s="2">
        <f t="shared" si="85"/>
        <v>8839049.190074997</v>
      </c>
      <c r="Q199" s="2">
        <f>'WC def tax 22'!Q199*1.035</f>
        <v>679926.86077499983</v>
      </c>
      <c r="R199" s="15" t="s">
        <v>503</v>
      </c>
      <c r="S199" s="15" t="s">
        <v>34</v>
      </c>
      <c r="T199" s="15">
        <f t="shared" si="86"/>
        <v>-130545.95726879998</v>
      </c>
      <c r="U199" s="151">
        <f t="shared" si="86"/>
        <v>-269319.02955297742</v>
      </c>
      <c r="V199" s="15">
        <f t="shared" si="86"/>
        <v>-93149.979926174987</v>
      </c>
      <c r="W199" s="15">
        <f t="shared" si="86"/>
        <v>-2175.7659544799994</v>
      </c>
      <c r="X199" s="15">
        <f t="shared" si="86"/>
        <v>-1495.8390937049996</v>
      </c>
      <c r="Y199" s="15">
        <f t="shared" si="86"/>
        <v>-183240.28897886246</v>
      </c>
      <c r="Z199" s="15"/>
      <c r="AA199" s="15" t="s">
        <v>34</v>
      </c>
      <c r="AB199" s="15">
        <f>-$O199*AB$7</f>
        <v>-130037.92818119997</v>
      </c>
      <c r="AC199" s="15">
        <f t="shared" si="87"/>
        <v>-268270.95496131928</v>
      </c>
      <c r="AD199" s="15">
        <f t="shared" si="87"/>
        <v>-92787.480004293728</v>
      </c>
      <c r="AE199" s="15">
        <f t="shared" si="87"/>
        <v>-2167.2988030199995</v>
      </c>
      <c r="AF199" s="15">
        <f t="shared" si="87"/>
        <v>-1490.0179270762496</v>
      </c>
      <c r="AG199" s="15">
        <f t="shared" si="87"/>
        <v>-182527.19606684058</v>
      </c>
      <c r="AH199" s="27"/>
    </row>
    <row r="200" spans="1:34" x14ac:dyDescent="0.25">
      <c r="A200" s="31" t="s">
        <v>279</v>
      </c>
      <c r="B200" s="31" t="s">
        <v>280</v>
      </c>
      <c r="C200" s="2">
        <f>'WC def tax 22'!O200</f>
        <v>33909.963749999995</v>
      </c>
      <c r="D200" s="64">
        <f t="shared" si="84"/>
        <v>32270.982168749997</v>
      </c>
      <c r="E200" s="64">
        <f t="shared" si="84"/>
        <v>32270.982168749997</v>
      </c>
      <c r="F200" s="64">
        <f t="shared" si="84"/>
        <v>32270.982168749997</v>
      </c>
      <c r="G200" s="64">
        <f t="shared" si="84"/>
        <v>32270.982168749997</v>
      </c>
      <c r="H200" s="64">
        <f t="shared" si="84"/>
        <v>32270.982168749997</v>
      </c>
      <c r="I200" s="64">
        <f t="shared" si="84"/>
        <v>32270.982168749997</v>
      </c>
      <c r="J200" s="64">
        <f t="shared" si="84"/>
        <v>32270.982168749997</v>
      </c>
      <c r="K200" s="64">
        <f t="shared" si="84"/>
        <v>32270.982168749997</v>
      </c>
      <c r="L200" s="64">
        <f t="shared" si="84"/>
        <v>32270.982168749997</v>
      </c>
      <c r="M200" s="64">
        <f t="shared" si="84"/>
        <v>32270.982168749997</v>
      </c>
      <c r="N200" s="64">
        <f t="shared" si="84"/>
        <v>32270.982168749997</v>
      </c>
      <c r="O200" s="64">
        <f t="shared" si="84"/>
        <v>32270.982168749997</v>
      </c>
      <c r="P200" s="2">
        <f t="shared" si="85"/>
        <v>421161.74977499997</v>
      </c>
      <c r="Q200" s="2">
        <f>'WC def tax 22'!Q200*1.035</f>
        <v>32397.057674999996</v>
      </c>
      <c r="R200" s="15" t="s">
        <v>503</v>
      </c>
      <c r="S200" s="15" t="s">
        <v>34</v>
      </c>
      <c r="T200" s="15">
        <f t="shared" si="86"/>
        <v>-6220.2350735999999</v>
      </c>
      <c r="U200" s="151">
        <f t="shared" si="86"/>
        <v>-12832.474545067498</v>
      </c>
      <c r="V200" s="15">
        <f t="shared" si="86"/>
        <v>-4438.396901475</v>
      </c>
      <c r="W200" s="15">
        <f t="shared" si="86"/>
        <v>-103.67058455999999</v>
      </c>
      <c r="X200" s="15">
        <f t="shared" si="86"/>
        <v>-71.273526884999995</v>
      </c>
      <c r="Y200" s="15">
        <f t="shared" si="86"/>
        <v>-8731.0070434124991</v>
      </c>
      <c r="Z200" s="15"/>
      <c r="AA200" s="15" t="s">
        <v>34</v>
      </c>
      <c r="AB200" s="15">
        <f>-$O200*AB$7</f>
        <v>-6196.0285764</v>
      </c>
      <c r="AC200" s="15">
        <f t="shared" si="87"/>
        <v>-12782.536037041875</v>
      </c>
      <c r="AD200" s="15">
        <f t="shared" si="87"/>
        <v>-4421.1245571187501</v>
      </c>
      <c r="AE200" s="15">
        <f t="shared" si="87"/>
        <v>-103.26714294</v>
      </c>
      <c r="AF200" s="15">
        <f t="shared" si="87"/>
        <v>-70.996160771250004</v>
      </c>
      <c r="AG200" s="15">
        <f t="shared" si="87"/>
        <v>-8697.0296944781239</v>
      </c>
      <c r="AH200" s="27"/>
    </row>
    <row r="201" spans="1:34" x14ac:dyDescent="0.25">
      <c r="A201" s="35"/>
      <c r="B201" s="35"/>
      <c r="C201" s="36" t="s">
        <v>67</v>
      </c>
      <c r="D201" s="36" t="s">
        <v>67</v>
      </c>
      <c r="E201" s="36" t="s">
        <v>67</v>
      </c>
      <c r="F201" s="36" t="s">
        <v>67</v>
      </c>
      <c r="G201" s="36" t="s">
        <v>67</v>
      </c>
      <c r="H201" s="36" t="s">
        <v>67</v>
      </c>
      <c r="I201" s="36" t="s">
        <v>67</v>
      </c>
      <c r="J201" s="36" t="s">
        <v>67</v>
      </c>
      <c r="K201" s="36" t="s">
        <v>67</v>
      </c>
      <c r="L201" s="36" t="s">
        <v>67</v>
      </c>
      <c r="M201" s="36" t="s">
        <v>67</v>
      </c>
      <c r="N201" s="36" t="s">
        <v>67</v>
      </c>
      <c r="O201" s="36" t="s">
        <v>67</v>
      </c>
      <c r="P201" s="36" t="s">
        <v>67</v>
      </c>
      <c r="Q201" s="36" t="s">
        <v>67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27"/>
    </row>
    <row r="202" spans="1:34" x14ac:dyDescent="0.25">
      <c r="A202" s="37" t="s">
        <v>281</v>
      </c>
      <c r="B202" s="38"/>
      <c r="C202" s="39">
        <f>SUM(C197:C200)</f>
        <v>1857006.2229166669</v>
      </c>
      <c r="D202" s="39">
        <f t="shared" ref="D202:Q202" si="88">SUM(D197:D200)</f>
        <v>1831417.1271423604</v>
      </c>
      <c r="E202" s="39">
        <f t="shared" si="88"/>
        <v>1831417.1271423604</v>
      </c>
      <c r="F202" s="39">
        <f t="shared" si="88"/>
        <v>1831417.1271423604</v>
      </c>
      <c r="G202" s="39">
        <f t="shared" si="88"/>
        <v>1831417.1271423604</v>
      </c>
      <c r="H202" s="39">
        <f t="shared" si="88"/>
        <v>1831417.1271423604</v>
      </c>
      <c r="I202" s="39">
        <f t="shared" si="88"/>
        <v>1831417.1271423604</v>
      </c>
      <c r="J202" s="39">
        <f t="shared" si="88"/>
        <v>1831417.1271423604</v>
      </c>
      <c r="K202" s="39">
        <f t="shared" si="88"/>
        <v>1831417.1271423604</v>
      </c>
      <c r="L202" s="39">
        <f t="shared" si="88"/>
        <v>1831417.1271423604</v>
      </c>
      <c r="M202" s="39">
        <f t="shared" si="88"/>
        <v>1831417.1271423604</v>
      </c>
      <c r="N202" s="39">
        <f t="shared" si="88"/>
        <v>1831417.1271423604</v>
      </c>
      <c r="O202" s="39">
        <f t="shared" si="88"/>
        <v>1831417.1271423604</v>
      </c>
      <c r="P202" s="39">
        <f t="shared" si="88"/>
        <v>23834011.748624995</v>
      </c>
      <c r="Q202" s="39">
        <f t="shared" si="88"/>
        <v>1833385.5191249999</v>
      </c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27"/>
    </row>
    <row r="203" spans="1:34" x14ac:dyDescent="0.25">
      <c r="A203" s="35"/>
      <c r="B203" s="35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27">
        <f t="shared" ref="AH203:AH208" si="89">SUM(AB203:AG203)+O203</f>
        <v>0</v>
      </c>
    </row>
    <row r="204" spans="1:34" x14ac:dyDescent="0.25">
      <c r="A204" s="37" t="s">
        <v>282</v>
      </c>
      <c r="B204" s="38"/>
      <c r="C204" s="3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39"/>
      <c r="Q204" s="39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27">
        <f t="shared" si="89"/>
        <v>0</v>
      </c>
    </row>
    <row r="205" spans="1:34" x14ac:dyDescent="0.25">
      <c r="A205" s="31" t="s">
        <v>283</v>
      </c>
      <c r="B205" s="31" t="s">
        <v>284</v>
      </c>
      <c r="C205" s="2">
        <f>'WC def tax 22'!O205</f>
        <v>160723.47166666665</v>
      </c>
      <c r="D205" s="64">
        <f t="shared" ref="D205:O205" si="90">(($P205-$C205)/12)</f>
        <v>166311.15553611107</v>
      </c>
      <c r="E205" s="64">
        <f t="shared" si="90"/>
        <v>166311.15553611107</v>
      </c>
      <c r="F205" s="64">
        <f t="shared" si="90"/>
        <v>166311.15553611107</v>
      </c>
      <c r="G205" s="64">
        <f t="shared" si="90"/>
        <v>166311.15553611107</v>
      </c>
      <c r="H205" s="64">
        <f t="shared" si="90"/>
        <v>166311.15553611107</v>
      </c>
      <c r="I205" s="64">
        <f t="shared" si="90"/>
        <v>166311.15553611107</v>
      </c>
      <c r="J205" s="64">
        <f t="shared" si="90"/>
        <v>166311.15553611107</v>
      </c>
      <c r="K205" s="64">
        <f t="shared" si="90"/>
        <v>166311.15553611107</v>
      </c>
      <c r="L205" s="64">
        <f t="shared" si="90"/>
        <v>166311.15553611107</v>
      </c>
      <c r="M205" s="64">
        <f t="shared" si="90"/>
        <v>166311.15553611107</v>
      </c>
      <c r="N205" s="64">
        <f t="shared" si="90"/>
        <v>166311.15553611107</v>
      </c>
      <c r="O205" s="64">
        <f t="shared" si="90"/>
        <v>166311.15553611107</v>
      </c>
      <c r="P205" s="2">
        <f t="shared" ref="P205" si="91">Q205*13</f>
        <v>2156457.3380999994</v>
      </c>
      <c r="Q205" s="2">
        <f>'WC def tax 22'!Q205*1.035</f>
        <v>165881.33369999996</v>
      </c>
      <c r="R205" s="15" t="s">
        <v>503</v>
      </c>
      <c r="S205" s="15" t="s">
        <v>34</v>
      </c>
      <c r="T205" s="15">
        <f>-$Q205*0.28</f>
        <v>-46446.773435999996</v>
      </c>
      <c r="U205" s="151">
        <f>-$Q205*0.65</f>
        <v>-107822.86690499997</v>
      </c>
      <c r="V205" s="15">
        <f t="shared" ref="V205:X205" si="92">-$Q205*V$6</f>
        <v>0</v>
      </c>
      <c r="W205" s="15">
        <f t="shared" si="92"/>
        <v>0</v>
      </c>
      <c r="X205" s="15">
        <f t="shared" si="92"/>
        <v>0</v>
      </c>
      <c r="Y205" s="15">
        <f>-$Q205*0.07</f>
        <v>-11611.693358999999</v>
      </c>
      <c r="Z205" s="15"/>
      <c r="AA205" s="15" t="s">
        <v>34</v>
      </c>
      <c r="AB205" s="15">
        <f>-$O205*AB$6</f>
        <v>-41910.411195099987</v>
      </c>
      <c r="AC205" s="15">
        <f t="shared" ref="AC205:AG205" si="93">-$O205*AC$6</f>
        <v>-86481.800878777751</v>
      </c>
      <c r="AD205" s="15">
        <f t="shared" si="93"/>
        <v>0</v>
      </c>
      <c r="AE205" s="15">
        <f t="shared" si="93"/>
        <v>0</v>
      </c>
      <c r="AF205" s="15">
        <f t="shared" si="93"/>
        <v>0</v>
      </c>
      <c r="AG205" s="15">
        <f t="shared" si="93"/>
        <v>-37918.943462233321</v>
      </c>
      <c r="AH205" s="27">
        <f t="shared" si="89"/>
        <v>0</v>
      </c>
    </row>
    <row r="206" spans="1:34" x14ac:dyDescent="0.25">
      <c r="A206" s="31" t="s">
        <v>285</v>
      </c>
      <c r="B206" s="31" t="s">
        <v>286</v>
      </c>
      <c r="C206" s="2">
        <f>'WC def tax 22'!O206</f>
        <v>70608.070000000007</v>
      </c>
      <c r="D206" s="64">
        <v>44080.29</v>
      </c>
      <c r="E206" s="64">
        <v>44216.950000000004</v>
      </c>
      <c r="F206" s="64">
        <v>44354.01</v>
      </c>
      <c r="G206" s="64">
        <v>44491.51</v>
      </c>
      <c r="H206" s="64">
        <v>44629.440000000002</v>
      </c>
      <c r="I206" s="64">
        <v>44767.78</v>
      </c>
      <c r="J206" s="64">
        <v>44906.57</v>
      </c>
      <c r="K206" s="64">
        <v>45045.78</v>
      </c>
      <c r="L206" s="64">
        <v>45185.42</v>
      </c>
      <c r="M206" s="64">
        <v>45325.5</v>
      </c>
      <c r="N206" s="64">
        <v>45466.01</v>
      </c>
      <c r="O206" s="64">
        <v>45606.950000000004</v>
      </c>
      <c r="P206" s="2">
        <f t="shared" ref="P206" si="94">SUM(C206:O206)</f>
        <v>608684.27999999991</v>
      </c>
      <c r="Q206" s="150">
        <f t="shared" ref="Q206" si="95">P206/13</f>
        <v>46821.867692307686</v>
      </c>
      <c r="R206" s="15" t="s">
        <v>504</v>
      </c>
      <c r="S206" s="15" t="s">
        <v>34</v>
      </c>
      <c r="T206" s="15">
        <f t="shared" ref="T206:Y210" si="96">-$Q206*T$7</f>
        <v>-8989.7985969230758</v>
      </c>
      <c r="U206" s="151">
        <f t="shared" si="96"/>
        <v>-18546.141792923074</v>
      </c>
      <c r="V206" s="15">
        <f t="shared" si="96"/>
        <v>-6414.5958738461532</v>
      </c>
      <c r="W206" s="15">
        <f t="shared" si="96"/>
        <v>-149.8299766153846</v>
      </c>
      <c r="X206" s="15">
        <f t="shared" si="96"/>
        <v>-103.00810892307692</v>
      </c>
      <c r="Y206" s="15">
        <f t="shared" si="96"/>
        <v>-12618.493343076922</v>
      </c>
      <c r="Z206" s="15"/>
      <c r="AA206" s="15" t="s">
        <v>34</v>
      </c>
      <c r="AB206" s="15">
        <f t="shared" ref="AB206:AG210" si="97">-$O206*AB$7</f>
        <v>-8756.5344000000005</v>
      </c>
      <c r="AC206" s="15">
        <f t="shared" si="97"/>
        <v>-18064.912895000001</v>
      </c>
      <c r="AD206" s="15">
        <f t="shared" si="97"/>
        <v>-6248.1521500000008</v>
      </c>
      <c r="AE206" s="15">
        <f t="shared" si="97"/>
        <v>-145.94224000000003</v>
      </c>
      <c r="AF206" s="15">
        <f t="shared" si="97"/>
        <v>-100.33529000000001</v>
      </c>
      <c r="AG206" s="15">
        <f t="shared" si="97"/>
        <v>-12291.073025000002</v>
      </c>
      <c r="AH206" s="27">
        <f t="shared" si="89"/>
        <v>0</v>
      </c>
    </row>
    <row r="207" spans="1:34" x14ac:dyDescent="0.25">
      <c r="A207" s="31" t="s">
        <v>287</v>
      </c>
      <c r="B207" s="31" t="s">
        <v>288</v>
      </c>
      <c r="C207" s="2">
        <f>'WC def tax 22'!O207</f>
        <v>30358.581666666665</v>
      </c>
      <c r="D207" s="64">
        <f t="shared" ref="D207:O210" si="98">(($P207-$C207)/12)</f>
        <v>28984.48646944444</v>
      </c>
      <c r="E207" s="64">
        <f t="shared" si="98"/>
        <v>28984.48646944444</v>
      </c>
      <c r="F207" s="64">
        <f t="shared" si="98"/>
        <v>28984.48646944444</v>
      </c>
      <c r="G207" s="64">
        <f t="shared" si="98"/>
        <v>28984.48646944444</v>
      </c>
      <c r="H207" s="64">
        <f t="shared" si="98"/>
        <v>28984.48646944444</v>
      </c>
      <c r="I207" s="64">
        <f t="shared" si="98"/>
        <v>28984.48646944444</v>
      </c>
      <c r="J207" s="64">
        <f t="shared" si="98"/>
        <v>28984.48646944444</v>
      </c>
      <c r="K207" s="64">
        <f t="shared" si="98"/>
        <v>28984.48646944444</v>
      </c>
      <c r="L207" s="64">
        <f t="shared" si="98"/>
        <v>28984.48646944444</v>
      </c>
      <c r="M207" s="64">
        <f t="shared" si="98"/>
        <v>28984.48646944444</v>
      </c>
      <c r="N207" s="64">
        <f t="shared" si="98"/>
        <v>28984.48646944444</v>
      </c>
      <c r="O207" s="64">
        <f t="shared" si="98"/>
        <v>28984.48646944444</v>
      </c>
      <c r="P207" s="2">
        <f t="shared" ref="P207:P210" si="99">Q207*13</f>
        <v>378172.41929999995</v>
      </c>
      <c r="Q207" s="2">
        <f>'WC def tax 22'!Q207*1.035</f>
        <v>29090.186099999995</v>
      </c>
      <c r="R207" s="15" t="s">
        <v>503</v>
      </c>
      <c r="S207" s="15" t="s">
        <v>34</v>
      </c>
      <c r="T207" s="15">
        <f t="shared" si="96"/>
        <v>-5585.3157311999994</v>
      </c>
      <c r="U207" s="151">
        <f t="shared" si="96"/>
        <v>-11522.622714209998</v>
      </c>
      <c r="V207" s="15">
        <f t="shared" si="96"/>
        <v>-3985.3554956999997</v>
      </c>
      <c r="W207" s="15">
        <f t="shared" si="96"/>
        <v>-93.088595519999984</v>
      </c>
      <c r="X207" s="15">
        <f t="shared" si="96"/>
        <v>-63.998409419999994</v>
      </c>
      <c r="Y207" s="15">
        <f t="shared" si="96"/>
        <v>-7839.8051539499993</v>
      </c>
      <c r="Z207" s="15"/>
      <c r="AA207" s="15" t="s">
        <v>34</v>
      </c>
      <c r="AB207" s="15">
        <f t="shared" si="97"/>
        <v>-5565.0214021333322</v>
      </c>
      <c r="AC207" s="15">
        <f t="shared" si="97"/>
        <v>-11480.755090546943</v>
      </c>
      <c r="AD207" s="15">
        <f t="shared" si="97"/>
        <v>-3970.8746463138887</v>
      </c>
      <c r="AE207" s="15">
        <f t="shared" si="97"/>
        <v>-92.75035670222222</v>
      </c>
      <c r="AF207" s="15">
        <f t="shared" si="97"/>
        <v>-63.765870232777772</v>
      </c>
      <c r="AG207" s="15">
        <f t="shared" si="97"/>
        <v>-7811.3191035152768</v>
      </c>
      <c r="AH207" s="27">
        <f t="shared" si="89"/>
        <v>0</v>
      </c>
    </row>
    <row r="208" spans="1:34" x14ac:dyDescent="0.25">
      <c r="A208" s="31" t="s">
        <v>289</v>
      </c>
      <c r="B208" s="31" t="s">
        <v>290</v>
      </c>
      <c r="C208" s="2">
        <f>'WC def tax 22'!O208</f>
        <v>-249.20541666666665</v>
      </c>
      <c r="D208" s="64">
        <f t="shared" si="98"/>
        <v>-238.02298819444442</v>
      </c>
      <c r="E208" s="64">
        <f t="shared" si="98"/>
        <v>-238.02298819444442</v>
      </c>
      <c r="F208" s="64">
        <f t="shared" si="98"/>
        <v>-238.02298819444442</v>
      </c>
      <c r="G208" s="64">
        <f t="shared" si="98"/>
        <v>-238.02298819444442</v>
      </c>
      <c r="H208" s="64">
        <f t="shared" si="98"/>
        <v>-238.02298819444442</v>
      </c>
      <c r="I208" s="64">
        <f t="shared" si="98"/>
        <v>-238.02298819444442</v>
      </c>
      <c r="J208" s="64">
        <f t="shared" si="98"/>
        <v>-238.02298819444442</v>
      </c>
      <c r="K208" s="64">
        <f t="shared" si="98"/>
        <v>-238.02298819444442</v>
      </c>
      <c r="L208" s="64">
        <f t="shared" si="98"/>
        <v>-238.02298819444442</v>
      </c>
      <c r="M208" s="64">
        <f t="shared" si="98"/>
        <v>-238.02298819444442</v>
      </c>
      <c r="N208" s="64">
        <f t="shared" si="98"/>
        <v>-238.02298819444442</v>
      </c>
      <c r="O208" s="64">
        <f t="shared" si="98"/>
        <v>-238.02298819444442</v>
      </c>
      <c r="P208" s="2">
        <f t="shared" si="99"/>
        <v>-3105.4812749999996</v>
      </c>
      <c r="Q208" s="2">
        <f>'WC def tax 22'!Q208*1.035</f>
        <v>-238.88317499999997</v>
      </c>
      <c r="R208" s="15" t="s">
        <v>503</v>
      </c>
      <c r="S208" s="15" t="s">
        <v>34</v>
      </c>
      <c r="T208" s="15">
        <f t="shared" si="96"/>
        <v>45.865569599999993</v>
      </c>
      <c r="U208" s="151">
        <f t="shared" si="96"/>
        <v>94.621625617499987</v>
      </c>
      <c r="V208" s="15">
        <f t="shared" si="96"/>
        <v>32.726994974999997</v>
      </c>
      <c r="W208" s="15">
        <f t="shared" si="96"/>
        <v>0.76442615999999997</v>
      </c>
      <c r="X208" s="15">
        <f t="shared" si="96"/>
        <v>0.52554298499999996</v>
      </c>
      <c r="Y208" s="15">
        <f t="shared" si="96"/>
        <v>64.379015662499995</v>
      </c>
      <c r="Z208" s="15"/>
      <c r="AA208" s="15" t="s">
        <v>34</v>
      </c>
      <c r="AB208" s="15">
        <f t="shared" si="97"/>
        <v>45.700413733333328</v>
      </c>
      <c r="AC208" s="15">
        <f t="shared" si="97"/>
        <v>94.280905623819436</v>
      </c>
      <c r="AD208" s="15">
        <f t="shared" si="97"/>
        <v>32.60914938263889</v>
      </c>
      <c r="AE208" s="15">
        <f t="shared" si="97"/>
        <v>0.76167356222222216</v>
      </c>
      <c r="AF208" s="15">
        <f t="shared" si="97"/>
        <v>0.52365057402777782</v>
      </c>
      <c r="AG208" s="15">
        <f t="shared" si="97"/>
        <v>64.14719531840278</v>
      </c>
      <c r="AH208" s="27">
        <f t="shared" si="89"/>
        <v>0</v>
      </c>
    </row>
    <row r="209" spans="1:34" x14ac:dyDescent="0.25">
      <c r="A209" s="31" t="s">
        <v>291</v>
      </c>
      <c r="B209" s="31" t="s">
        <v>292</v>
      </c>
      <c r="C209" s="2">
        <f>'WC def tax 22'!O209</f>
        <v>-18405.248333333333</v>
      </c>
      <c r="D209" s="64">
        <f t="shared" si="98"/>
        <v>-18375.660080555554</v>
      </c>
      <c r="E209" s="64">
        <f t="shared" si="98"/>
        <v>-18375.660080555554</v>
      </c>
      <c r="F209" s="64">
        <f t="shared" si="98"/>
        <v>-18375.660080555554</v>
      </c>
      <c r="G209" s="64">
        <f t="shared" si="98"/>
        <v>-18375.660080555554</v>
      </c>
      <c r="H209" s="64">
        <f t="shared" si="98"/>
        <v>-18375.660080555554</v>
      </c>
      <c r="I209" s="64">
        <f t="shared" si="98"/>
        <v>-18375.660080555554</v>
      </c>
      <c r="J209" s="64">
        <f t="shared" si="98"/>
        <v>-18375.660080555554</v>
      </c>
      <c r="K209" s="64">
        <f t="shared" si="98"/>
        <v>-18375.660080555554</v>
      </c>
      <c r="L209" s="64">
        <f t="shared" si="98"/>
        <v>-18375.660080555554</v>
      </c>
      <c r="M209" s="64">
        <f t="shared" si="98"/>
        <v>-18375.660080555554</v>
      </c>
      <c r="N209" s="64">
        <f t="shared" si="98"/>
        <v>-18375.660080555554</v>
      </c>
      <c r="O209" s="64">
        <f t="shared" si="98"/>
        <v>-18375.660080555554</v>
      </c>
      <c r="P209" s="2">
        <f t="shared" si="99"/>
        <v>-238913.16929999998</v>
      </c>
      <c r="Q209" s="2">
        <f>'WC def tax 22'!Q209*1.035</f>
        <v>-18377.936099999999</v>
      </c>
      <c r="R209" s="15" t="s">
        <v>503</v>
      </c>
      <c r="S209" s="15" t="s">
        <v>34</v>
      </c>
      <c r="T209" s="15">
        <f t="shared" si="96"/>
        <v>3528.5637311999999</v>
      </c>
      <c r="U209" s="151">
        <f t="shared" si="96"/>
        <v>7279.5004892099996</v>
      </c>
      <c r="V209" s="15">
        <f t="shared" si="96"/>
        <v>2517.7772457000001</v>
      </c>
      <c r="W209" s="15">
        <f t="shared" si="96"/>
        <v>58.809395520000002</v>
      </c>
      <c r="X209" s="15">
        <f t="shared" si="96"/>
        <v>40.431459420000003</v>
      </c>
      <c r="Y209" s="15">
        <f t="shared" si="96"/>
        <v>4952.8537789499997</v>
      </c>
      <c r="Z209" s="15"/>
      <c r="AA209" s="15" t="s">
        <v>34</v>
      </c>
      <c r="AB209" s="15">
        <f t="shared" si="97"/>
        <v>3528.1267354666666</v>
      </c>
      <c r="AC209" s="15">
        <f t="shared" si="97"/>
        <v>7278.5989579080551</v>
      </c>
      <c r="AD209" s="15">
        <f t="shared" si="97"/>
        <v>2517.4654310361111</v>
      </c>
      <c r="AE209" s="15">
        <f t="shared" si="97"/>
        <v>58.802112257777772</v>
      </c>
      <c r="AF209" s="15">
        <f t="shared" si="97"/>
        <v>40.426452177222224</v>
      </c>
      <c r="AG209" s="15">
        <f t="shared" si="97"/>
        <v>4952.2403917097217</v>
      </c>
      <c r="AH209" s="27"/>
    </row>
    <row r="210" spans="1:34" x14ac:dyDescent="0.25">
      <c r="A210" s="31" t="s">
        <v>293</v>
      </c>
      <c r="B210" s="31" t="s">
        <v>294</v>
      </c>
      <c r="C210" s="2">
        <f>'WC def tax 22'!O210</f>
        <v>-19290.75375</v>
      </c>
      <c r="D210" s="64">
        <f t="shared" si="98"/>
        <v>-18467.818568749997</v>
      </c>
      <c r="E210" s="64">
        <f t="shared" si="98"/>
        <v>-18467.818568749997</v>
      </c>
      <c r="F210" s="64">
        <f t="shared" si="98"/>
        <v>-18467.818568749997</v>
      </c>
      <c r="G210" s="64">
        <f t="shared" si="98"/>
        <v>-18467.818568749997</v>
      </c>
      <c r="H210" s="64">
        <f t="shared" si="98"/>
        <v>-18467.818568749997</v>
      </c>
      <c r="I210" s="64">
        <f t="shared" si="98"/>
        <v>-18467.818568749997</v>
      </c>
      <c r="J210" s="64">
        <f t="shared" si="98"/>
        <v>-18467.818568749997</v>
      </c>
      <c r="K210" s="64">
        <f t="shared" si="98"/>
        <v>-18467.818568749997</v>
      </c>
      <c r="L210" s="64">
        <f t="shared" si="98"/>
        <v>-18467.818568749997</v>
      </c>
      <c r="M210" s="64">
        <f t="shared" si="98"/>
        <v>-18467.818568749997</v>
      </c>
      <c r="N210" s="64">
        <f t="shared" si="98"/>
        <v>-18467.818568749997</v>
      </c>
      <c r="O210" s="64">
        <f t="shared" si="98"/>
        <v>-18467.818568749997</v>
      </c>
      <c r="P210" s="2">
        <f t="shared" si="99"/>
        <v>-240904.57657499996</v>
      </c>
      <c r="Q210" s="2">
        <f>'WC def tax 22'!Q210*1.035</f>
        <v>-18531.121274999998</v>
      </c>
      <c r="R210" s="15" t="s">
        <v>503</v>
      </c>
      <c r="S210" s="15" t="s">
        <v>34</v>
      </c>
      <c r="T210" s="15">
        <f t="shared" si="96"/>
        <v>3557.9752847999998</v>
      </c>
      <c r="U210" s="151">
        <f t="shared" si="96"/>
        <v>7340.1771370274992</v>
      </c>
      <c r="V210" s="15">
        <f t="shared" si="96"/>
        <v>2538.7636146750001</v>
      </c>
      <c r="W210" s="15">
        <f t="shared" si="96"/>
        <v>59.299588079999992</v>
      </c>
      <c r="X210" s="15">
        <f t="shared" si="96"/>
        <v>40.768466804999996</v>
      </c>
      <c r="Y210" s="15">
        <f t="shared" si="96"/>
        <v>4994.1371836124999</v>
      </c>
      <c r="Z210" s="15"/>
      <c r="AA210" s="15" t="s">
        <v>34</v>
      </c>
      <c r="AB210" s="15">
        <f t="shared" si="97"/>
        <v>3545.8211651999995</v>
      </c>
      <c r="AC210" s="15">
        <f t="shared" si="97"/>
        <v>7315.1029350818744</v>
      </c>
      <c r="AD210" s="15">
        <f t="shared" si="97"/>
        <v>2530.0911439187498</v>
      </c>
      <c r="AE210" s="15">
        <f t="shared" si="97"/>
        <v>59.097019419999995</v>
      </c>
      <c r="AF210" s="15">
        <f t="shared" si="97"/>
        <v>40.629200851249998</v>
      </c>
      <c r="AG210" s="15">
        <f t="shared" si="97"/>
        <v>4977.0771042781244</v>
      </c>
      <c r="AH210" s="27"/>
    </row>
    <row r="211" spans="1:34" x14ac:dyDescent="0.25">
      <c r="A211" s="35"/>
      <c r="B211" s="35"/>
      <c r="C211" s="36" t="s">
        <v>67</v>
      </c>
      <c r="D211" s="36" t="s">
        <v>67</v>
      </c>
      <c r="E211" s="36" t="s">
        <v>67</v>
      </c>
      <c r="F211" s="36" t="s">
        <v>67</v>
      </c>
      <c r="G211" s="36" t="s">
        <v>67</v>
      </c>
      <c r="H211" s="36" t="s">
        <v>67</v>
      </c>
      <c r="I211" s="36" t="s">
        <v>67</v>
      </c>
      <c r="J211" s="36" t="s">
        <v>67</v>
      </c>
      <c r="K211" s="36" t="s">
        <v>67</v>
      </c>
      <c r="L211" s="36" t="s">
        <v>67</v>
      </c>
      <c r="M211" s="36" t="s">
        <v>67</v>
      </c>
      <c r="N211" s="36" t="s">
        <v>67</v>
      </c>
      <c r="O211" s="36" t="s">
        <v>67</v>
      </c>
      <c r="P211" s="36" t="s">
        <v>67</v>
      </c>
      <c r="Q211" s="36" t="s">
        <v>67</v>
      </c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27"/>
    </row>
    <row r="212" spans="1:34" x14ac:dyDescent="0.25">
      <c r="A212" s="37" t="s">
        <v>295</v>
      </c>
      <c r="B212" s="38"/>
      <c r="C212" s="39">
        <f>SUM(C205:C210)</f>
        <v>223744.91583333333</v>
      </c>
      <c r="D212" s="39">
        <f t="shared" ref="D212:Q212" si="100">SUM(D205:D210)</f>
        <v>202294.4303680555</v>
      </c>
      <c r="E212" s="39">
        <f t="shared" si="100"/>
        <v>202431.09036805551</v>
      </c>
      <c r="F212" s="39">
        <f t="shared" si="100"/>
        <v>202568.1503680555</v>
      </c>
      <c r="G212" s="39">
        <f t="shared" si="100"/>
        <v>202705.6503680555</v>
      </c>
      <c r="H212" s="39">
        <f t="shared" si="100"/>
        <v>202843.5803680555</v>
      </c>
      <c r="I212" s="39">
        <f t="shared" si="100"/>
        <v>202981.92036805549</v>
      </c>
      <c r="J212" s="39">
        <f t="shared" si="100"/>
        <v>203120.7103680555</v>
      </c>
      <c r="K212" s="39">
        <f t="shared" si="100"/>
        <v>203259.92036805549</v>
      </c>
      <c r="L212" s="39">
        <f t="shared" si="100"/>
        <v>203399.56036805551</v>
      </c>
      <c r="M212" s="39">
        <f t="shared" si="100"/>
        <v>203539.64036805549</v>
      </c>
      <c r="N212" s="39">
        <f t="shared" si="100"/>
        <v>203680.1503680555</v>
      </c>
      <c r="O212" s="39">
        <f t="shared" si="100"/>
        <v>203821.09036805551</v>
      </c>
      <c r="P212" s="39">
        <f t="shared" si="100"/>
        <v>2660390.8102499987</v>
      </c>
      <c r="Q212" s="39">
        <f t="shared" si="100"/>
        <v>204645.44694230764</v>
      </c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27"/>
    </row>
    <row r="213" spans="1:34" x14ac:dyDescent="0.25">
      <c r="A213" s="35"/>
      <c r="B213" s="35"/>
      <c r="C213" s="24"/>
      <c r="D213" s="24">
        <f>SUM(D207:D210)</f>
        <v>-8097.0151680555537</v>
      </c>
      <c r="E213" s="24">
        <f t="shared" ref="E213:O213" si="101">SUM(E207:E210)</f>
        <v>-8097.0151680555537</v>
      </c>
      <c r="F213" s="24">
        <f t="shared" si="101"/>
        <v>-8097.0151680555537</v>
      </c>
      <c r="G213" s="24">
        <f t="shared" si="101"/>
        <v>-8097.0151680555537</v>
      </c>
      <c r="H213" s="24">
        <f t="shared" si="101"/>
        <v>-8097.0151680555537</v>
      </c>
      <c r="I213" s="24">
        <f t="shared" si="101"/>
        <v>-8097.0151680555537</v>
      </c>
      <c r="J213" s="24">
        <f t="shared" si="101"/>
        <v>-8097.0151680555537</v>
      </c>
      <c r="K213" s="24">
        <f t="shared" si="101"/>
        <v>-8097.0151680555537</v>
      </c>
      <c r="L213" s="24">
        <f t="shared" si="101"/>
        <v>-8097.0151680555537</v>
      </c>
      <c r="M213" s="24">
        <f t="shared" si="101"/>
        <v>-8097.0151680555537</v>
      </c>
      <c r="N213" s="24">
        <f t="shared" si="101"/>
        <v>-8097.0151680555537</v>
      </c>
      <c r="O213" s="24">
        <f t="shared" si="101"/>
        <v>-8097.0151680555537</v>
      </c>
      <c r="P213" s="24"/>
      <c r="Q213" s="24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27"/>
    </row>
    <row r="214" spans="1:34" ht="15.75" x14ac:dyDescent="0.3">
      <c r="A214" s="56" t="s">
        <v>296</v>
      </c>
      <c r="B214" s="54"/>
      <c r="C214" s="55">
        <f>C212+C202+C194+C184+C178</f>
        <v>9308512.9563000016</v>
      </c>
      <c r="D214" s="55">
        <f t="shared" ref="D214:Q214" si="102">D212+D202+D194+D184+D178</f>
        <v>9313003.6038284414</v>
      </c>
      <c r="E214" s="55">
        <f t="shared" si="102"/>
        <v>9313140.2638284415</v>
      </c>
      <c r="F214" s="55">
        <f t="shared" si="102"/>
        <v>9313277.3238284402</v>
      </c>
      <c r="G214" s="55">
        <f t="shared" si="102"/>
        <v>9313414.8238284402</v>
      </c>
      <c r="H214" s="55">
        <f t="shared" si="102"/>
        <v>9313552.7538284417</v>
      </c>
      <c r="I214" s="55">
        <f t="shared" si="102"/>
        <v>9313691.0938284416</v>
      </c>
      <c r="J214" s="55">
        <f t="shared" si="102"/>
        <v>9313829.8838284407</v>
      </c>
      <c r="K214" s="55">
        <f t="shared" si="102"/>
        <v>9313969.0938284416</v>
      </c>
      <c r="L214" s="55">
        <f t="shared" si="102"/>
        <v>9314108.7338284403</v>
      </c>
      <c r="M214" s="55">
        <f t="shared" si="102"/>
        <v>9314248.8138284422</v>
      </c>
      <c r="N214" s="55">
        <f t="shared" si="102"/>
        <v>9314389.3238284402</v>
      </c>
      <c r="O214" s="55">
        <f t="shared" si="102"/>
        <v>9314530.2638284415</v>
      </c>
      <c r="P214" s="55">
        <f t="shared" si="102"/>
        <v>121073668.93224132</v>
      </c>
      <c r="Q214" s="55">
        <f t="shared" si="102"/>
        <v>9313359.1486339476</v>
      </c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27"/>
    </row>
    <row r="215" spans="1:34" x14ac:dyDescent="0.25">
      <c r="A215" s="35"/>
      <c r="B215" s="35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27">
        <f>SUM(AB215:AG215)+O215</f>
        <v>0</v>
      </c>
    </row>
    <row r="216" spans="1:34" ht="15.75" x14ac:dyDescent="0.3">
      <c r="A216" s="56" t="s">
        <v>297</v>
      </c>
      <c r="B216" s="54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27">
        <f>SUM(AB216:AG216)+O216</f>
        <v>0</v>
      </c>
    </row>
    <row r="217" spans="1:34" x14ac:dyDescent="0.25">
      <c r="A217" s="37" t="s">
        <v>298</v>
      </c>
      <c r="B217" s="38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15"/>
      <c r="S217" s="15" t="s">
        <v>299</v>
      </c>
      <c r="T217" s="15"/>
      <c r="U217" s="15"/>
      <c r="V217" s="15"/>
      <c r="W217" s="15"/>
      <c r="X217" s="15"/>
      <c r="Y217" s="15"/>
      <c r="Z217" s="15"/>
      <c r="AA217" s="15" t="s">
        <v>299</v>
      </c>
      <c r="AB217" s="15"/>
      <c r="AC217" s="15"/>
      <c r="AD217" s="15"/>
      <c r="AE217" s="15"/>
      <c r="AF217" s="15"/>
      <c r="AG217" s="15"/>
      <c r="AH217" s="27"/>
    </row>
    <row r="218" spans="1:34" x14ac:dyDescent="0.25">
      <c r="A218" s="57" t="s">
        <v>300</v>
      </c>
      <c r="B218" s="58" t="s">
        <v>301</v>
      </c>
      <c r="C218" s="2">
        <f>'WC def tax 22'!O218</f>
        <v>72210.210000000006</v>
      </c>
      <c r="D218" s="64">
        <v>83034.210000000006</v>
      </c>
      <c r="E218" s="64">
        <v>93858.21</v>
      </c>
      <c r="F218" s="64">
        <v>104682.21</v>
      </c>
      <c r="G218" s="64">
        <v>115506.21</v>
      </c>
      <c r="H218" s="64">
        <v>126330.21</v>
      </c>
      <c r="I218" s="64">
        <v>137154.21000000002</v>
      </c>
      <c r="J218" s="64">
        <v>147978.21000000002</v>
      </c>
      <c r="K218" s="64">
        <v>158802.21000000002</v>
      </c>
      <c r="L218" s="64">
        <v>169626.21000000002</v>
      </c>
      <c r="M218" s="64">
        <v>180450.21000000002</v>
      </c>
      <c r="N218" s="64">
        <v>191274.21000000002</v>
      </c>
      <c r="O218" s="64">
        <v>202098.21000000002</v>
      </c>
      <c r="P218" s="2">
        <f t="shared" ref="P218:P233" si="103">SUM(C218:O218)</f>
        <v>1783004.7299999997</v>
      </c>
      <c r="Q218" s="2">
        <f t="shared" ref="Q218:Q233" si="104">P218/13</f>
        <v>137154.21</v>
      </c>
      <c r="R218" s="15" t="s">
        <v>504</v>
      </c>
      <c r="S218" s="15" t="s">
        <v>13</v>
      </c>
      <c r="T218" s="60">
        <f t="shared" ref="T218:Y225" si="105">-$Q218*T$3</f>
        <v>-22239.555151499997</v>
      </c>
      <c r="U218" s="60">
        <f t="shared" si="105"/>
        <v>-53724.675599099995</v>
      </c>
      <c r="V218" s="60">
        <f t="shared" si="105"/>
        <v>-25219.916134799998</v>
      </c>
      <c r="W218" s="60">
        <f t="shared" si="105"/>
        <v>-486.8974455</v>
      </c>
      <c r="X218" s="60">
        <f t="shared" si="105"/>
        <v>-152.2411731</v>
      </c>
      <c r="Y218" s="60">
        <f t="shared" si="105"/>
        <v>-35333.667580200003</v>
      </c>
      <c r="Z218" s="15"/>
      <c r="AA218" s="15" t="s">
        <v>13</v>
      </c>
      <c r="AB218" s="60">
        <f t="shared" ref="AB218:AG225" si="106">-$O218*AB$3</f>
        <v>-32770.224751499998</v>
      </c>
      <c r="AC218" s="60">
        <v>23</v>
      </c>
      <c r="AD218" s="60">
        <f t="shared" si="106"/>
        <v>-37161.818854800003</v>
      </c>
      <c r="AE218" s="60">
        <f t="shared" si="106"/>
        <v>-717.44864550000011</v>
      </c>
      <c r="AF218" s="60">
        <f t="shared" si="106"/>
        <v>-224.32901310000005</v>
      </c>
      <c r="AG218" s="60">
        <f t="shared" si="106"/>
        <v>-52064.54086020001</v>
      </c>
      <c r="AH218" s="27">
        <f t="shared" ref="AH218:AH228" si="107">SUM(AB218:AG218)+O218</f>
        <v>79182.847874900021</v>
      </c>
    </row>
    <row r="219" spans="1:34" x14ac:dyDescent="0.25">
      <c r="A219" s="31" t="s">
        <v>302</v>
      </c>
      <c r="B219" s="31" t="s">
        <v>303</v>
      </c>
      <c r="C219" s="2">
        <f>'WC def tax 22'!O219</f>
        <v>0</v>
      </c>
      <c r="D219" s="64">
        <f t="shared" ref="D219:O233" si="108">C219</f>
        <v>0</v>
      </c>
      <c r="E219" s="64">
        <f t="shared" si="108"/>
        <v>0</v>
      </c>
      <c r="F219" s="64">
        <f t="shared" si="108"/>
        <v>0</v>
      </c>
      <c r="G219" s="64">
        <f t="shared" si="108"/>
        <v>0</v>
      </c>
      <c r="H219" s="64">
        <f t="shared" si="108"/>
        <v>0</v>
      </c>
      <c r="I219" s="64">
        <f t="shared" si="108"/>
        <v>0</v>
      </c>
      <c r="J219" s="64">
        <f t="shared" si="108"/>
        <v>0</v>
      </c>
      <c r="K219" s="64">
        <f t="shared" si="108"/>
        <v>0</v>
      </c>
      <c r="L219" s="64">
        <f t="shared" si="108"/>
        <v>0</v>
      </c>
      <c r="M219" s="64">
        <f t="shared" si="108"/>
        <v>0</v>
      </c>
      <c r="N219" s="64">
        <f t="shared" si="108"/>
        <v>0</v>
      </c>
      <c r="O219" s="64">
        <f t="shared" si="108"/>
        <v>0</v>
      </c>
      <c r="P219" s="2">
        <f t="shared" si="103"/>
        <v>0</v>
      </c>
      <c r="Q219" s="2">
        <f t="shared" si="104"/>
        <v>0</v>
      </c>
      <c r="R219" s="15" t="s">
        <v>504</v>
      </c>
      <c r="S219" s="15" t="s">
        <v>13</v>
      </c>
      <c r="T219" s="60">
        <f t="shared" si="105"/>
        <v>0</v>
      </c>
      <c r="U219" s="60">
        <f t="shared" si="105"/>
        <v>0</v>
      </c>
      <c r="V219" s="60">
        <f t="shared" si="105"/>
        <v>0</v>
      </c>
      <c r="W219" s="60">
        <f t="shared" si="105"/>
        <v>0</v>
      </c>
      <c r="X219" s="60">
        <f t="shared" si="105"/>
        <v>0</v>
      </c>
      <c r="Y219" s="60">
        <f t="shared" si="105"/>
        <v>0</v>
      </c>
      <c r="Z219" s="15"/>
      <c r="AA219" s="15" t="s">
        <v>13</v>
      </c>
      <c r="AB219" s="60">
        <f t="shared" si="106"/>
        <v>0</v>
      </c>
      <c r="AC219" s="60">
        <f t="shared" si="106"/>
        <v>0</v>
      </c>
      <c r="AD219" s="60">
        <f t="shared" si="106"/>
        <v>0</v>
      </c>
      <c r="AE219" s="60">
        <f t="shared" si="106"/>
        <v>0</v>
      </c>
      <c r="AF219" s="60">
        <f t="shared" si="106"/>
        <v>0</v>
      </c>
      <c r="AG219" s="60">
        <f t="shared" si="106"/>
        <v>0</v>
      </c>
      <c r="AH219" s="27">
        <f t="shared" si="107"/>
        <v>0</v>
      </c>
    </row>
    <row r="220" spans="1:34" x14ac:dyDescent="0.25">
      <c r="A220" s="31" t="s">
        <v>304</v>
      </c>
      <c r="B220" s="31" t="s">
        <v>305</v>
      </c>
      <c r="C220" s="2">
        <f>'WC def tax 22'!O220</f>
        <v>0</v>
      </c>
      <c r="D220" s="64">
        <f t="shared" si="108"/>
        <v>0</v>
      </c>
      <c r="E220" s="64">
        <f t="shared" si="108"/>
        <v>0</v>
      </c>
      <c r="F220" s="64">
        <f t="shared" si="108"/>
        <v>0</v>
      </c>
      <c r="G220" s="64">
        <f t="shared" si="108"/>
        <v>0</v>
      </c>
      <c r="H220" s="64">
        <f t="shared" si="108"/>
        <v>0</v>
      </c>
      <c r="I220" s="64">
        <f t="shared" si="108"/>
        <v>0</v>
      </c>
      <c r="J220" s="64">
        <f t="shared" si="108"/>
        <v>0</v>
      </c>
      <c r="K220" s="64">
        <f t="shared" si="108"/>
        <v>0</v>
      </c>
      <c r="L220" s="64">
        <f t="shared" si="108"/>
        <v>0</v>
      </c>
      <c r="M220" s="64">
        <f t="shared" si="108"/>
        <v>0</v>
      </c>
      <c r="N220" s="64">
        <f t="shared" si="108"/>
        <v>0</v>
      </c>
      <c r="O220" s="64">
        <f t="shared" si="108"/>
        <v>0</v>
      </c>
      <c r="P220" s="2">
        <f t="shared" si="103"/>
        <v>0</v>
      </c>
      <c r="Q220" s="2">
        <f t="shared" si="104"/>
        <v>0</v>
      </c>
      <c r="R220" s="15" t="s">
        <v>504</v>
      </c>
      <c r="S220" s="15" t="s">
        <v>13</v>
      </c>
      <c r="T220" s="60">
        <f t="shared" si="105"/>
        <v>0</v>
      </c>
      <c r="U220" s="60">
        <f t="shared" si="105"/>
        <v>0</v>
      </c>
      <c r="V220" s="60">
        <f t="shared" si="105"/>
        <v>0</v>
      </c>
      <c r="W220" s="60">
        <f t="shared" si="105"/>
        <v>0</v>
      </c>
      <c r="X220" s="60">
        <f t="shared" si="105"/>
        <v>0</v>
      </c>
      <c r="Y220" s="60">
        <f t="shared" si="105"/>
        <v>0</v>
      </c>
      <c r="Z220" s="15"/>
      <c r="AA220" s="15" t="s">
        <v>13</v>
      </c>
      <c r="AB220" s="60">
        <f t="shared" si="106"/>
        <v>0</v>
      </c>
      <c r="AC220" s="60">
        <f t="shared" si="106"/>
        <v>0</v>
      </c>
      <c r="AD220" s="60">
        <f t="shared" si="106"/>
        <v>0</v>
      </c>
      <c r="AE220" s="60">
        <f t="shared" si="106"/>
        <v>0</v>
      </c>
      <c r="AF220" s="60">
        <f t="shared" si="106"/>
        <v>0</v>
      </c>
      <c r="AG220" s="60">
        <f t="shared" si="106"/>
        <v>0</v>
      </c>
      <c r="AH220" s="27">
        <f t="shared" si="107"/>
        <v>0</v>
      </c>
    </row>
    <row r="221" spans="1:34" x14ac:dyDescent="0.25">
      <c r="A221" s="31" t="s">
        <v>306</v>
      </c>
      <c r="B221" s="31" t="s">
        <v>307</v>
      </c>
      <c r="C221" s="2">
        <f>'WC def tax 22'!O221</f>
        <v>0</v>
      </c>
      <c r="D221" s="64">
        <f t="shared" si="108"/>
        <v>0</v>
      </c>
      <c r="E221" s="64">
        <f t="shared" si="108"/>
        <v>0</v>
      </c>
      <c r="F221" s="64">
        <f t="shared" si="108"/>
        <v>0</v>
      </c>
      <c r="G221" s="64">
        <f t="shared" si="108"/>
        <v>0</v>
      </c>
      <c r="H221" s="64">
        <f t="shared" si="108"/>
        <v>0</v>
      </c>
      <c r="I221" s="64">
        <f t="shared" si="108"/>
        <v>0</v>
      </c>
      <c r="J221" s="64">
        <f t="shared" si="108"/>
        <v>0</v>
      </c>
      <c r="K221" s="64">
        <f t="shared" si="108"/>
        <v>0</v>
      </c>
      <c r="L221" s="64">
        <f t="shared" si="108"/>
        <v>0</v>
      </c>
      <c r="M221" s="64">
        <f t="shared" si="108"/>
        <v>0</v>
      </c>
      <c r="N221" s="64">
        <f t="shared" si="108"/>
        <v>0</v>
      </c>
      <c r="O221" s="64">
        <f t="shared" si="108"/>
        <v>0</v>
      </c>
      <c r="P221" s="2">
        <f t="shared" si="103"/>
        <v>0</v>
      </c>
      <c r="Q221" s="2">
        <f t="shared" si="104"/>
        <v>0</v>
      </c>
      <c r="R221" s="15" t="s">
        <v>504</v>
      </c>
      <c r="S221" s="15" t="s">
        <v>13</v>
      </c>
      <c r="T221" s="60">
        <f t="shared" si="105"/>
        <v>0</v>
      </c>
      <c r="U221" s="60">
        <f t="shared" si="105"/>
        <v>0</v>
      </c>
      <c r="V221" s="60">
        <f t="shared" si="105"/>
        <v>0</v>
      </c>
      <c r="W221" s="60">
        <f t="shared" si="105"/>
        <v>0</v>
      </c>
      <c r="X221" s="60">
        <f t="shared" si="105"/>
        <v>0</v>
      </c>
      <c r="Y221" s="60">
        <f t="shared" si="105"/>
        <v>0</v>
      </c>
      <c r="Z221" s="15"/>
      <c r="AA221" s="15" t="s">
        <v>13</v>
      </c>
      <c r="AB221" s="60">
        <f t="shared" si="106"/>
        <v>0</v>
      </c>
      <c r="AC221" s="60">
        <f t="shared" si="106"/>
        <v>0</v>
      </c>
      <c r="AD221" s="60">
        <f t="shared" si="106"/>
        <v>0</v>
      </c>
      <c r="AE221" s="60">
        <f t="shared" si="106"/>
        <v>0</v>
      </c>
      <c r="AF221" s="60">
        <f t="shared" si="106"/>
        <v>0</v>
      </c>
      <c r="AG221" s="60">
        <f t="shared" si="106"/>
        <v>0</v>
      </c>
      <c r="AH221" s="27">
        <f t="shared" si="107"/>
        <v>0</v>
      </c>
    </row>
    <row r="222" spans="1:34" x14ac:dyDescent="0.25">
      <c r="A222" s="31" t="s">
        <v>308</v>
      </c>
      <c r="B222" s="31" t="s">
        <v>309</v>
      </c>
      <c r="C222" s="2">
        <f>'WC def tax 22'!O222</f>
        <v>0</v>
      </c>
      <c r="D222" s="64">
        <f t="shared" si="108"/>
        <v>0</v>
      </c>
      <c r="E222" s="64">
        <f t="shared" si="108"/>
        <v>0</v>
      </c>
      <c r="F222" s="64">
        <f t="shared" si="108"/>
        <v>0</v>
      </c>
      <c r="G222" s="64">
        <f t="shared" si="108"/>
        <v>0</v>
      </c>
      <c r="H222" s="64">
        <f t="shared" si="108"/>
        <v>0</v>
      </c>
      <c r="I222" s="64">
        <f t="shared" si="108"/>
        <v>0</v>
      </c>
      <c r="J222" s="64">
        <f t="shared" si="108"/>
        <v>0</v>
      </c>
      <c r="K222" s="64">
        <f t="shared" si="108"/>
        <v>0</v>
      </c>
      <c r="L222" s="64">
        <f t="shared" si="108"/>
        <v>0</v>
      </c>
      <c r="M222" s="64">
        <f t="shared" si="108"/>
        <v>0</v>
      </c>
      <c r="N222" s="64">
        <f t="shared" si="108"/>
        <v>0</v>
      </c>
      <c r="O222" s="64">
        <f t="shared" si="108"/>
        <v>0</v>
      </c>
      <c r="P222" s="2">
        <f t="shared" si="103"/>
        <v>0</v>
      </c>
      <c r="Q222" s="2">
        <f t="shared" si="104"/>
        <v>0</v>
      </c>
      <c r="R222" s="15" t="s">
        <v>504</v>
      </c>
      <c r="S222" s="15" t="s">
        <v>13</v>
      </c>
      <c r="T222" s="60">
        <f t="shared" si="105"/>
        <v>0</v>
      </c>
      <c r="U222" s="60">
        <f t="shared" si="105"/>
        <v>0</v>
      </c>
      <c r="V222" s="60">
        <f t="shared" si="105"/>
        <v>0</v>
      </c>
      <c r="W222" s="60">
        <f t="shared" si="105"/>
        <v>0</v>
      </c>
      <c r="X222" s="60">
        <f t="shared" si="105"/>
        <v>0</v>
      </c>
      <c r="Y222" s="60">
        <f t="shared" si="105"/>
        <v>0</v>
      </c>
      <c r="Z222" s="15"/>
      <c r="AA222" s="15" t="s">
        <v>13</v>
      </c>
      <c r="AB222" s="60">
        <f t="shared" si="106"/>
        <v>0</v>
      </c>
      <c r="AC222" s="60">
        <f t="shared" si="106"/>
        <v>0</v>
      </c>
      <c r="AD222" s="60">
        <f t="shared" si="106"/>
        <v>0</v>
      </c>
      <c r="AE222" s="60">
        <f t="shared" si="106"/>
        <v>0</v>
      </c>
      <c r="AF222" s="60">
        <f t="shared" si="106"/>
        <v>0</v>
      </c>
      <c r="AG222" s="60">
        <f t="shared" si="106"/>
        <v>0</v>
      </c>
      <c r="AH222" s="27">
        <f t="shared" si="107"/>
        <v>0</v>
      </c>
    </row>
    <row r="223" spans="1:34" x14ac:dyDescent="0.25">
      <c r="A223" s="31" t="s">
        <v>310</v>
      </c>
      <c r="B223" s="31" t="s">
        <v>311</v>
      </c>
      <c r="C223" s="2">
        <f>'WC def tax 22'!O223</f>
        <v>0</v>
      </c>
      <c r="D223" s="64">
        <f t="shared" si="108"/>
        <v>0</v>
      </c>
      <c r="E223" s="64">
        <f t="shared" si="108"/>
        <v>0</v>
      </c>
      <c r="F223" s="64">
        <f t="shared" si="108"/>
        <v>0</v>
      </c>
      <c r="G223" s="64">
        <f t="shared" si="108"/>
        <v>0</v>
      </c>
      <c r="H223" s="64">
        <f t="shared" si="108"/>
        <v>0</v>
      </c>
      <c r="I223" s="64">
        <f t="shared" si="108"/>
        <v>0</v>
      </c>
      <c r="J223" s="64">
        <f t="shared" si="108"/>
        <v>0</v>
      </c>
      <c r="K223" s="64">
        <f t="shared" si="108"/>
        <v>0</v>
      </c>
      <c r="L223" s="64">
        <f t="shared" si="108"/>
        <v>0</v>
      </c>
      <c r="M223" s="64">
        <f t="shared" si="108"/>
        <v>0</v>
      </c>
      <c r="N223" s="64">
        <f t="shared" si="108"/>
        <v>0</v>
      </c>
      <c r="O223" s="64">
        <f t="shared" si="108"/>
        <v>0</v>
      </c>
      <c r="P223" s="2">
        <f t="shared" si="103"/>
        <v>0</v>
      </c>
      <c r="Q223" s="2">
        <f t="shared" si="104"/>
        <v>0</v>
      </c>
      <c r="R223" s="15" t="s">
        <v>504</v>
      </c>
      <c r="S223" s="15" t="s">
        <v>13</v>
      </c>
      <c r="T223" s="60">
        <f t="shared" si="105"/>
        <v>0</v>
      </c>
      <c r="U223" s="60">
        <f t="shared" si="105"/>
        <v>0</v>
      </c>
      <c r="V223" s="60">
        <f t="shared" si="105"/>
        <v>0</v>
      </c>
      <c r="W223" s="60">
        <f t="shared" si="105"/>
        <v>0</v>
      </c>
      <c r="X223" s="60">
        <f t="shared" si="105"/>
        <v>0</v>
      </c>
      <c r="Y223" s="60">
        <f t="shared" si="105"/>
        <v>0</v>
      </c>
      <c r="Z223" s="15"/>
      <c r="AA223" s="15" t="s">
        <v>13</v>
      </c>
      <c r="AB223" s="60">
        <f t="shared" si="106"/>
        <v>0</v>
      </c>
      <c r="AC223" s="60">
        <f t="shared" si="106"/>
        <v>0</v>
      </c>
      <c r="AD223" s="60">
        <f t="shared" si="106"/>
        <v>0</v>
      </c>
      <c r="AE223" s="60">
        <f t="shared" si="106"/>
        <v>0</v>
      </c>
      <c r="AF223" s="60">
        <f t="shared" si="106"/>
        <v>0</v>
      </c>
      <c r="AG223" s="60">
        <f t="shared" si="106"/>
        <v>0</v>
      </c>
      <c r="AH223" s="27">
        <f t="shared" si="107"/>
        <v>0</v>
      </c>
    </row>
    <row r="224" spans="1:34" x14ac:dyDescent="0.25">
      <c r="A224" s="31" t="s">
        <v>312</v>
      </c>
      <c r="B224" s="31" t="s">
        <v>313</v>
      </c>
      <c r="C224" s="2">
        <f>'WC def tax 22'!O224</f>
        <v>0</v>
      </c>
      <c r="D224" s="64">
        <f t="shared" si="108"/>
        <v>0</v>
      </c>
      <c r="E224" s="64">
        <f t="shared" si="108"/>
        <v>0</v>
      </c>
      <c r="F224" s="64">
        <f t="shared" si="108"/>
        <v>0</v>
      </c>
      <c r="G224" s="64">
        <f t="shared" si="108"/>
        <v>0</v>
      </c>
      <c r="H224" s="64">
        <f t="shared" si="108"/>
        <v>0</v>
      </c>
      <c r="I224" s="64">
        <f t="shared" si="108"/>
        <v>0</v>
      </c>
      <c r="J224" s="64">
        <f t="shared" si="108"/>
        <v>0</v>
      </c>
      <c r="K224" s="64">
        <f t="shared" si="108"/>
        <v>0</v>
      </c>
      <c r="L224" s="64">
        <f t="shared" si="108"/>
        <v>0</v>
      </c>
      <c r="M224" s="64">
        <f t="shared" si="108"/>
        <v>0</v>
      </c>
      <c r="N224" s="64">
        <f t="shared" si="108"/>
        <v>0</v>
      </c>
      <c r="O224" s="64">
        <f t="shared" si="108"/>
        <v>0</v>
      </c>
      <c r="P224" s="2">
        <f t="shared" si="103"/>
        <v>0</v>
      </c>
      <c r="Q224" s="2">
        <f t="shared" si="104"/>
        <v>0</v>
      </c>
      <c r="R224" s="15" t="s">
        <v>504</v>
      </c>
      <c r="S224" s="15" t="s">
        <v>13</v>
      </c>
      <c r="T224" s="60">
        <f>-$Q224*T$3</f>
        <v>0</v>
      </c>
      <c r="U224" s="60">
        <f t="shared" si="105"/>
        <v>0</v>
      </c>
      <c r="V224" s="60">
        <f t="shared" si="105"/>
        <v>0</v>
      </c>
      <c r="W224" s="60">
        <f t="shared" si="105"/>
        <v>0</v>
      </c>
      <c r="X224" s="60">
        <f t="shared" si="105"/>
        <v>0</v>
      </c>
      <c r="Y224" s="60">
        <f t="shared" si="105"/>
        <v>0</v>
      </c>
      <c r="Z224" s="15"/>
      <c r="AA224" s="15" t="s">
        <v>13</v>
      </c>
      <c r="AB224" s="60">
        <f>-$O224*AB$3</f>
        <v>0</v>
      </c>
      <c r="AC224" s="60">
        <f t="shared" si="106"/>
        <v>0</v>
      </c>
      <c r="AD224" s="60">
        <f t="shared" si="106"/>
        <v>0</v>
      </c>
      <c r="AE224" s="60">
        <f t="shared" si="106"/>
        <v>0</v>
      </c>
      <c r="AF224" s="60">
        <f t="shared" si="106"/>
        <v>0</v>
      </c>
      <c r="AG224" s="60">
        <f t="shared" si="106"/>
        <v>0</v>
      </c>
      <c r="AH224" s="27">
        <f t="shared" si="107"/>
        <v>0</v>
      </c>
    </row>
    <row r="225" spans="1:34" x14ac:dyDescent="0.25">
      <c r="A225" s="31" t="s">
        <v>314</v>
      </c>
      <c r="B225" s="31" t="s">
        <v>315</v>
      </c>
      <c r="C225" s="2">
        <f>'WC def tax 22'!O225</f>
        <v>0</v>
      </c>
      <c r="D225" s="64">
        <f t="shared" si="108"/>
        <v>0</v>
      </c>
      <c r="E225" s="64">
        <f t="shared" si="108"/>
        <v>0</v>
      </c>
      <c r="F225" s="64">
        <f t="shared" si="108"/>
        <v>0</v>
      </c>
      <c r="G225" s="64">
        <f t="shared" si="108"/>
        <v>0</v>
      </c>
      <c r="H225" s="64">
        <f t="shared" si="108"/>
        <v>0</v>
      </c>
      <c r="I225" s="64">
        <f t="shared" si="108"/>
        <v>0</v>
      </c>
      <c r="J225" s="64">
        <f t="shared" si="108"/>
        <v>0</v>
      </c>
      <c r="K225" s="64">
        <f t="shared" si="108"/>
        <v>0</v>
      </c>
      <c r="L225" s="64">
        <f t="shared" si="108"/>
        <v>0</v>
      </c>
      <c r="M225" s="64">
        <f t="shared" si="108"/>
        <v>0</v>
      </c>
      <c r="N225" s="64">
        <f t="shared" si="108"/>
        <v>0</v>
      </c>
      <c r="O225" s="64">
        <f t="shared" si="108"/>
        <v>0</v>
      </c>
      <c r="P225" s="2">
        <f t="shared" si="103"/>
        <v>0</v>
      </c>
      <c r="Q225" s="2">
        <f t="shared" si="104"/>
        <v>0</v>
      </c>
      <c r="R225" s="15" t="s">
        <v>504</v>
      </c>
      <c r="S225" s="15" t="s">
        <v>13</v>
      </c>
      <c r="T225" s="60">
        <f>-$Q225*T$3</f>
        <v>0</v>
      </c>
      <c r="U225" s="60">
        <f t="shared" si="105"/>
        <v>0</v>
      </c>
      <c r="V225" s="60">
        <f t="shared" si="105"/>
        <v>0</v>
      </c>
      <c r="W225" s="60">
        <f t="shared" si="105"/>
        <v>0</v>
      </c>
      <c r="X225" s="60">
        <f t="shared" si="105"/>
        <v>0</v>
      </c>
      <c r="Y225" s="60">
        <f t="shared" si="105"/>
        <v>0</v>
      </c>
      <c r="Z225" s="15"/>
      <c r="AA225" s="15" t="s">
        <v>13</v>
      </c>
      <c r="AB225" s="60">
        <f>-$O225*AB$3</f>
        <v>0</v>
      </c>
      <c r="AC225" s="60">
        <f t="shared" si="106"/>
        <v>0</v>
      </c>
      <c r="AD225" s="60">
        <f t="shared" si="106"/>
        <v>0</v>
      </c>
      <c r="AE225" s="60">
        <f t="shared" si="106"/>
        <v>0</v>
      </c>
      <c r="AF225" s="60">
        <f t="shared" si="106"/>
        <v>0</v>
      </c>
      <c r="AG225" s="60">
        <f t="shared" si="106"/>
        <v>0</v>
      </c>
      <c r="AH225" s="27">
        <f t="shared" si="107"/>
        <v>0</v>
      </c>
    </row>
    <row r="226" spans="1:34" x14ac:dyDescent="0.25">
      <c r="A226" s="31" t="s">
        <v>316</v>
      </c>
      <c r="B226" s="31" t="s">
        <v>317</v>
      </c>
      <c r="C226" s="2">
        <f>'WC def tax 22'!O226</f>
        <v>0</v>
      </c>
      <c r="D226" s="64">
        <f t="shared" si="108"/>
        <v>0</v>
      </c>
      <c r="E226" s="64">
        <f t="shared" si="108"/>
        <v>0</v>
      </c>
      <c r="F226" s="64">
        <f t="shared" si="108"/>
        <v>0</v>
      </c>
      <c r="G226" s="64">
        <f t="shared" si="108"/>
        <v>0</v>
      </c>
      <c r="H226" s="64">
        <f t="shared" si="108"/>
        <v>0</v>
      </c>
      <c r="I226" s="64">
        <f t="shared" si="108"/>
        <v>0</v>
      </c>
      <c r="J226" s="64">
        <f t="shared" si="108"/>
        <v>0</v>
      </c>
      <c r="K226" s="64">
        <f t="shared" si="108"/>
        <v>0</v>
      </c>
      <c r="L226" s="64">
        <f t="shared" si="108"/>
        <v>0</v>
      </c>
      <c r="M226" s="64">
        <f t="shared" si="108"/>
        <v>0</v>
      </c>
      <c r="N226" s="64">
        <f t="shared" si="108"/>
        <v>0</v>
      </c>
      <c r="O226" s="64">
        <f t="shared" si="108"/>
        <v>0</v>
      </c>
      <c r="P226" s="2">
        <f t="shared" si="103"/>
        <v>0</v>
      </c>
      <c r="Q226" s="2">
        <f t="shared" si="104"/>
        <v>0</v>
      </c>
      <c r="R226" s="15" t="s">
        <v>504</v>
      </c>
      <c r="S226" s="15" t="s">
        <v>13</v>
      </c>
      <c r="T226" s="60">
        <f t="shared" ref="T226:Y233" si="109">-$Q226*T$3</f>
        <v>0</v>
      </c>
      <c r="U226" s="60">
        <f t="shared" si="109"/>
        <v>0</v>
      </c>
      <c r="V226" s="60">
        <f t="shared" si="109"/>
        <v>0</v>
      </c>
      <c r="W226" s="60">
        <f t="shared" si="109"/>
        <v>0</v>
      </c>
      <c r="X226" s="60">
        <f t="shared" si="109"/>
        <v>0</v>
      </c>
      <c r="Y226" s="60">
        <f t="shared" si="109"/>
        <v>0</v>
      </c>
      <c r="Z226" s="15"/>
      <c r="AA226" s="15" t="s">
        <v>13</v>
      </c>
      <c r="AB226" s="60">
        <f t="shared" ref="AB226:AG233" si="110">-$O226*AB$3</f>
        <v>0</v>
      </c>
      <c r="AC226" s="60">
        <f t="shared" si="110"/>
        <v>0</v>
      </c>
      <c r="AD226" s="60">
        <f t="shared" si="110"/>
        <v>0</v>
      </c>
      <c r="AE226" s="60">
        <f t="shared" si="110"/>
        <v>0</v>
      </c>
      <c r="AF226" s="60">
        <f t="shared" si="110"/>
        <v>0</v>
      </c>
      <c r="AG226" s="60">
        <f t="shared" si="110"/>
        <v>0</v>
      </c>
      <c r="AH226" s="27">
        <f t="shared" si="107"/>
        <v>0</v>
      </c>
    </row>
    <row r="227" spans="1:34" x14ac:dyDescent="0.25">
      <c r="A227" s="31" t="s">
        <v>318</v>
      </c>
      <c r="B227" s="31" t="s">
        <v>319</v>
      </c>
      <c r="C227" s="2">
        <f>'WC def tax 22'!O227</f>
        <v>0</v>
      </c>
      <c r="D227" s="64">
        <f t="shared" si="108"/>
        <v>0</v>
      </c>
      <c r="E227" s="64">
        <f t="shared" si="108"/>
        <v>0</v>
      </c>
      <c r="F227" s="64">
        <f t="shared" si="108"/>
        <v>0</v>
      </c>
      <c r="G227" s="64">
        <f t="shared" si="108"/>
        <v>0</v>
      </c>
      <c r="H227" s="64">
        <f t="shared" si="108"/>
        <v>0</v>
      </c>
      <c r="I227" s="64">
        <f t="shared" si="108"/>
        <v>0</v>
      </c>
      <c r="J227" s="64">
        <f t="shared" si="108"/>
        <v>0</v>
      </c>
      <c r="K227" s="64">
        <f t="shared" si="108"/>
        <v>0</v>
      </c>
      <c r="L227" s="64">
        <f t="shared" si="108"/>
        <v>0</v>
      </c>
      <c r="M227" s="64">
        <f t="shared" si="108"/>
        <v>0</v>
      </c>
      <c r="N227" s="64">
        <f t="shared" si="108"/>
        <v>0</v>
      </c>
      <c r="O227" s="64">
        <f t="shared" si="108"/>
        <v>0</v>
      </c>
      <c r="P227" s="2">
        <f t="shared" si="103"/>
        <v>0</v>
      </c>
      <c r="Q227" s="2">
        <f t="shared" si="104"/>
        <v>0</v>
      </c>
      <c r="R227" s="15" t="s">
        <v>504</v>
      </c>
      <c r="S227" s="15" t="s">
        <v>13</v>
      </c>
      <c r="T227" s="60">
        <f t="shared" si="109"/>
        <v>0</v>
      </c>
      <c r="U227" s="60">
        <f t="shared" si="109"/>
        <v>0</v>
      </c>
      <c r="V227" s="60">
        <f t="shared" si="109"/>
        <v>0</v>
      </c>
      <c r="W227" s="60">
        <f t="shared" si="109"/>
        <v>0</v>
      </c>
      <c r="X227" s="60">
        <f t="shared" si="109"/>
        <v>0</v>
      </c>
      <c r="Y227" s="60">
        <f t="shared" si="109"/>
        <v>0</v>
      </c>
      <c r="Z227" s="15"/>
      <c r="AA227" s="15" t="s">
        <v>13</v>
      </c>
      <c r="AB227" s="60">
        <f t="shared" si="110"/>
        <v>0</v>
      </c>
      <c r="AC227" s="60">
        <f t="shared" si="110"/>
        <v>0</v>
      </c>
      <c r="AD227" s="60">
        <f t="shared" si="110"/>
        <v>0</v>
      </c>
      <c r="AE227" s="60">
        <f t="shared" si="110"/>
        <v>0</v>
      </c>
      <c r="AF227" s="60">
        <f t="shared" si="110"/>
        <v>0</v>
      </c>
      <c r="AG227" s="60">
        <f t="shared" si="110"/>
        <v>0</v>
      </c>
      <c r="AH227" s="27">
        <f t="shared" si="107"/>
        <v>0</v>
      </c>
    </row>
    <row r="228" spans="1:34" x14ac:dyDescent="0.25">
      <c r="A228" s="31" t="s">
        <v>320</v>
      </c>
      <c r="B228" s="31" t="s">
        <v>321</v>
      </c>
      <c r="C228" s="2">
        <f>'WC def tax 22'!O228</f>
        <v>0</v>
      </c>
      <c r="D228" s="64">
        <f t="shared" si="108"/>
        <v>0</v>
      </c>
      <c r="E228" s="64">
        <f t="shared" si="108"/>
        <v>0</v>
      </c>
      <c r="F228" s="64">
        <f t="shared" si="108"/>
        <v>0</v>
      </c>
      <c r="G228" s="64">
        <f t="shared" si="108"/>
        <v>0</v>
      </c>
      <c r="H228" s="64">
        <f t="shared" si="108"/>
        <v>0</v>
      </c>
      <c r="I228" s="64">
        <f t="shared" si="108"/>
        <v>0</v>
      </c>
      <c r="J228" s="64">
        <f t="shared" si="108"/>
        <v>0</v>
      </c>
      <c r="K228" s="64">
        <f t="shared" si="108"/>
        <v>0</v>
      </c>
      <c r="L228" s="64">
        <f t="shared" si="108"/>
        <v>0</v>
      </c>
      <c r="M228" s="64">
        <f t="shared" si="108"/>
        <v>0</v>
      </c>
      <c r="N228" s="64">
        <f t="shared" si="108"/>
        <v>0</v>
      </c>
      <c r="O228" s="64">
        <f t="shared" si="108"/>
        <v>0</v>
      </c>
      <c r="P228" s="2">
        <f t="shared" si="103"/>
        <v>0</v>
      </c>
      <c r="Q228" s="2">
        <f t="shared" si="104"/>
        <v>0</v>
      </c>
      <c r="R228" s="15" t="s">
        <v>504</v>
      </c>
      <c r="S228" s="15" t="s">
        <v>13</v>
      </c>
      <c r="T228" s="60">
        <f t="shared" si="109"/>
        <v>0</v>
      </c>
      <c r="U228" s="60">
        <f t="shared" si="109"/>
        <v>0</v>
      </c>
      <c r="V228" s="60">
        <f t="shared" si="109"/>
        <v>0</v>
      </c>
      <c r="W228" s="60">
        <f t="shared" si="109"/>
        <v>0</v>
      </c>
      <c r="X228" s="60">
        <f t="shared" si="109"/>
        <v>0</v>
      </c>
      <c r="Y228" s="60">
        <f t="shared" si="109"/>
        <v>0</v>
      </c>
      <c r="Z228" s="15"/>
      <c r="AA228" s="15" t="s">
        <v>13</v>
      </c>
      <c r="AB228" s="60">
        <f t="shared" si="110"/>
        <v>0</v>
      </c>
      <c r="AC228" s="60">
        <f t="shared" si="110"/>
        <v>0</v>
      </c>
      <c r="AD228" s="60">
        <f t="shared" si="110"/>
        <v>0</v>
      </c>
      <c r="AE228" s="60">
        <f t="shared" si="110"/>
        <v>0</v>
      </c>
      <c r="AF228" s="60">
        <f t="shared" si="110"/>
        <v>0</v>
      </c>
      <c r="AG228" s="60">
        <f t="shared" si="110"/>
        <v>0</v>
      </c>
      <c r="AH228" s="27">
        <f t="shared" si="107"/>
        <v>0</v>
      </c>
    </row>
    <row r="229" spans="1:34" x14ac:dyDescent="0.25">
      <c r="A229" s="31" t="s">
        <v>322</v>
      </c>
      <c r="B229" s="31" t="s">
        <v>323</v>
      </c>
      <c r="C229" s="2">
        <f>'WC def tax 22'!O229</f>
        <v>0</v>
      </c>
      <c r="D229" s="64">
        <f t="shared" si="108"/>
        <v>0</v>
      </c>
      <c r="E229" s="64">
        <f t="shared" si="108"/>
        <v>0</v>
      </c>
      <c r="F229" s="64">
        <f t="shared" si="108"/>
        <v>0</v>
      </c>
      <c r="G229" s="64">
        <f t="shared" si="108"/>
        <v>0</v>
      </c>
      <c r="H229" s="64">
        <f t="shared" si="108"/>
        <v>0</v>
      </c>
      <c r="I229" s="64">
        <f t="shared" si="108"/>
        <v>0</v>
      </c>
      <c r="J229" s="64">
        <f t="shared" si="108"/>
        <v>0</v>
      </c>
      <c r="K229" s="64">
        <f t="shared" si="108"/>
        <v>0</v>
      </c>
      <c r="L229" s="64">
        <f t="shared" si="108"/>
        <v>0</v>
      </c>
      <c r="M229" s="64">
        <f t="shared" si="108"/>
        <v>0</v>
      </c>
      <c r="N229" s="64">
        <f t="shared" si="108"/>
        <v>0</v>
      </c>
      <c r="O229" s="64">
        <f t="shared" si="108"/>
        <v>0</v>
      </c>
      <c r="P229" s="2">
        <f t="shared" si="103"/>
        <v>0</v>
      </c>
      <c r="Q229" s="2">
        <f t="shared" si="104"/>
        <v>0</v>
      </c>
      <c r="R229" s="15" t="s">
        <v>504</v>
      </c>
      <c r="S229" s="15" t="s">
        <v>13</v>
      </c>
      <c r="T229" s="60">
        <f t="shared" si="109"/>
        <v>0</v>
      </c>
      <c r="U229" s="60">
        <f t="shared" si="109"/>
        <v>0</v>
      </c>
      <c r="V229" s="60">
        <f t="shared" si="109"/>
        <v>0</v>
      </c>
      <c r="W229" s="60">
        <f t="shared" si="109"/>
        <v>0</v>
      </c>
      <c r="X229" s="60">
        <f t="shared" si="109"/>
        <v>0</v>
      </c>
      <c r="Y229" s="60">
        <f t="shared" si="109"/>
        <v>0</v>
      </c>
      <c r="Z229" s="15"/>
      <c r="AA229" s="15" t="s">
        <v>13</v>
      </c>
      <c r="AB229" s="60">
        <f t="shared" si="110"/>
        <v>0</v>
      </c>
      <c r="AC229" s="60">
        <f t="shared" si="110"/>
        <v>0</v>
      </c>
      <c r="AD229" s="60">
        <f t="shared" si="110"/>
        <v>0</v>
      </c>
      <c r="AE229" s="60">
        <f t="shared" si="110"/>
        <v>0</v>
      </c>
      <c r="AF229" s="60">
        <f t="shared" si="110"/>
        <v>0</v>
      </c>
      <c r="AG229" s="60">
        <f t="shared" si="110"/>
        <v>0</v>
      </c>
      <c r="AH229" s="27"/>
    </row>
    <row r="230" spans="1:34" x14ac:dyDescent="0.25">
      <c r="A230" s="31" t="s">
        <v>324</v>
      </c>
      <c r="B230" s="31" t="s">
        <v>325</v>
      </c>
      <c r="C230" s="2">
        <f>'WC def tax 22'!O230</f>
        <v>0</v>
      </c>
      <c r="D230" s="64">
        <f t="shared" si="108"/>
        <v>0</v>
      </c>
      <c r="E230" s="64">
        <f t="shared" si="108"/>
        <v>0</v>
      </c>
      <c r="F230" s="64">
        <f t="shared" si="108"/>
        <v>0</v>
      </c>
      <c r="G230" s="64">
        <f t="shared" si="108"/>
        <v>0</v>
      </c>
      <c r="H230" s="64">
        <f t="shared" si="108"/>
        <v>0</v>
      </c>
      <c r="I230" s="64">
        <f t="shared" si="108"/>
        <v>0</v>
      </c>
      <c r="J230" s="64">
        <f t="shared" si="108"/>
        <v>0</v>
      </c>
      <c r="K230" s="64">
        <f t="shared" si="108"/>
        <v>0</v>
      </c>
      <c r="L230" s="64">
        <f t="shared" si="108"/>
        <v>0</v>
      </c>
      <c r="M230" s="64">
        <f t="shared" si="108"/>
        <v>0</v>
      </c>
      <c r="N230" s="64">
        <f t="shared" si="108"/>
        <v>0</v>
      </c>
      <c r="O230" s="64">
        <f t="shared" si="108"/>
        <v>0</v>
      </c>
      <c r="P230" s="2">
        <f t="shared" si="103"/>
        <v>0</v>
      </c>
      <c r="Q230" s="2">
        <f t="shared" si="104"/>
        <v>0</v>
      </c>
      <c r="R230" s="15" t="s">
        <v>504</v>
      </c>
      <c r="S230" s="15" t="s">
        <v>13</v>
      </c>
      <c r="T230" s="60">
        <f t="shared" si="109"/>
        <v>0</v>
      </c>
      <c r="U230" s="60">
        <f t="shared" si="109"/>
        <v>0</v>
      </c>
      <c r="V230" s="60">
        <f t="shared" si="109"/>
        <v>0</v>
      </c>
      <c r="W230" s="60">
        <f t="shared" si="109"/>
        <v>0</v>
      </c>
      <c r="X230" s="60">
        <f t="shared" si="109"/>
        <v>0</v>
      </c>
      <c r="Y230" s="60">
        <f t="shared" si="109"/>
        <v>0</v>
      </c>
      <c r="Z230" s="15"/>
      <c r="AA230" s="15" t="s">
        <v>13</v>
      </c>
      <c r="AB230" s="60">
        <f t="shared" si="110"/>
        <v>0</v>
      </c>
      <c r="AC230" s="60">
        <f t="shared" si="110"/>
        <v>0</v>
      </c>
      <c r="AD230" s="60">
        <f t="shared" si="110"/>
        <v>0</v>
      </c>
      <c r="AE230" s="60">
        <f t="shared" si="110"/>
        <v>0</v>
      </c>
      <c r="AF230" s="60">
        <f t="shared" si="110"/>
        <v>0</v>
      </c>
      <c r="AG230" s="60">
        <f t="shared" si="110"/>
        <v>0</v>
      </c>
      <c r="AH230" s="27"/>
    </row>
    <row r="231" spans="1:34" x14ac:dyDescent="0.25">
      <c r="A231" s="31" t="s">
        <v>326</v>
      </c>
      <c r="B231" s="31" t="s">
        <v>327</v>
      </c>
      <c r="C231" s="2">
        <f>'WC def tax 22'!O231</f>
        <v>0</v>
      </c>
      <c r="D231" s="64">
        <f t="shared" si="108"/>
        <v>0</v>
      </c>
      <c r="E231" s="64">
        <f t="shared" si="108"/>
        <v>0</v>
      </c>
      <c r="F231" s="64">
        <f t="shared" si="108"/>
        <v>0</v>
      </c>
      <c r="G231" s="64">
        <f t="shared" si="108"/>
        <v>0</v>
      </c>
      <c r="H231" s="64">
        <f t="shared" si="108"/>
        <v>0</v>
      </c>
      <c r="I231" s="64">
        <f t="shared" si="108"/>
        <v>0</v>
      </c>
      <c r="J231" s="64">
        <f t="shared" si="108"/>
        <v>0</v>
      </c>
      <c r="K231" s="64">
        <f t="shared" si="108"/>
        <v>0</v>
      </c>
      <c r="L231" s="64">
        <f t="shared" si="108"/>
        <v>0</v>
      </c>
      <c r="M231" s="64">
        <f t="shared" si="108"/>
        <v>0</v>
      </c>
      <c r="N231" s="64">
        <f t="shared" si="108"/>
        <v>0</v>
      </c>
      <c r="O231" s="64">
        <f t="shared" si="108"/>
        <v>0</v>
      </c>
      <c r="P231" s="2">
        <f t="shared" si="103"/>
        <v>0</v>
      </c>
      <c r="Q231" s="2">
        <f t="shared" si="104"/>
        <v>0</v>
      </c>
      <c r="R231" s="15" t="s">
        <v>504</v>
      </c>
      <c r="S231" s="15" t="s">
        <v>13</v>
      </c>
      <c r="T231" s="60">
        <f t="shared" si="109"/>
        <v>0</v>
      </c>
      <c r="U231" s="60">
        <f t="shared" si="109"/>
        <v>0</v>
      </c>
      <c r="V231" s="60">
        <f t="shared" si="109"/>
        <v>0</v>
      </c>
      <c r="W231" s="60">
        <f t="shared" si="109"/>
        <v>0</v>
      </c>
      <c r="X231" s="60">
        <f t="shared" si="109"/>
        <v>0</v>
      </c>
      <c r="Y231" s="60">
        <f t="shared" si="109"/>
        <v>0</v>
      </c>
      <c r="Z231" s="15"/>
      <c r="AA231" s="15" t="s">
        <v>13</v>
      </c>
      <c r="AB231" s="60">
        <f t="shared" si="110"/>
        <v>0</v>
      </c>
      <c r="AC231" s="60">
        <f t="shared" si="110"/>
        <v>0</v>
      </c>
      <c r="AD231" s="60">
        <f t="shared" si="110"/>
        <v>0</v>
      </c>
      <c r="AE231" s="60">
        <f t="shared" si="110"/>
        <v>0</v>
      </c>
      <c r="AF231" s="60">
        <f t="shared" si="110"/>
        <v>0</v>
      </c>
      <c r="AG231" s="60">
        <f t="shared" si="110"/>
        <v>0</v>
      </c>
      <c r="AH231" s="27"/>
    </row>
    <row r="232" spans="1:34" x14ac:dyDescent="0.25">
      <c r="A232" s="31" t="s">
        <v>328</v>
      </c>
      <c r="B232" s="31" t="s">
        <v>329</v>
      </c>
      <c r="C232" s="2">
        <f>'WC def tax 22'!O232</f>
        <v>0</v>
      </c>
      <c r="D232" s="64">
        <f t="shared" si="108"/>
        <v>0</v>
      </c>
      <c r="E232" s="64">
        <f t="shared" si="108"/>
        <v>0</v>
      </c>
      <c r="F232" s="64">
        <f t="shared" si="108"/>
        <v>0</v>
      </c>
      <c r="G232" s="64">
        <f t="shared" si="108"/>
        <v>0</v>
      </c>
      <c r="H232" s="64">
        <f t="shared" si="108"/>
        <v>0</v>
      </c>
      <c r="I232" s="64">
        <f t="shared" si="108"/>
        <v>0</v>
      </c>
      <c r="J232" s="64">
        <f t="shared" si="108"/>
        <v>0</v>
      </c>
      <c r="K232" s="64">
        <f t="shared" si="108"/>
        <v>0</v>
      </c>
      <c r="L232" s="64">
        <f t="shared" si="108"/>
        <v>0</v>
      </c>
      <c r="M232" s="64">
        <f t="shared" si="108"/>
        <v>0</v>
      </c>
      <c r="N232" s="64">
        <f t="shared" si="108"/>
        <v>0</v>
      </c>
      <c r="O232" s="64">
        <f t="shared" si="108"/>
        <v>0</v>
      </c>
      <c r="P232" s="2">
        <f t="shared" si="103"/>
        <v>0</v>
      </c>
      <c r="Q232" s="2">
        <f t="shared" si="104"/>
        <v>0</v>
      </c>
      <c r="R232" s="15" t="s">
        <v>504</v>
      </c>
      <c r="S232" s="15" t="s">
        <v>13</v>
      </c>
      <c r="T232" s="60">
        <f t="shared" si="109"/>
        <v>0</v>
      </c>
      <c r="U232" s="60">
        <f t="shared" si="109"/>
        <v>0</v>
      </c>
      <c r="V232" s="60">
        <f t="shared" si="109"/>
        <v>0</v>
      </c>
      <c r="W232" s="60">
        <f t="shared" si="109"/>
        <v>0</v>
      </c>
      <c r="X232" s="60">
        <f t="shared" si="109"/>
        <v>0</v>
      </c>
      <c r="Y232" s="60">
        <f t="shared" si="109"/>
        <v>0</v>
      </c>
      <c r="Z232" s="15"/>
      <c r="AA232" s="15" t="s">
        <v>13</v>
      </c>
      <c r="AB232" s="60">
        <f t="shared" si="110"/>
        <v>0</v>
      </c>
      <c r="AC232" s="60">
        <f t="shared" si="110"/>
        <v>0</v>
      </c>
      <c r="AD232" s="60">
        <f t="shared" si="110"/>
        <v>0</v>
      </c>
      <c r="AE232" s="60">
        <f t="shared" si="110"/>
        <v>0</v>
      </c>
      <c r="AF232" s="60">
        <f t="shared" si="110"/>
        <v>0</v>
      </c>
      <c r="AG232" s="60">
        <f t="shared" si="110"/>
        <v>0</v>
      </c>
      <c r="AH232" s="27"/>
    </row>
    <row r="233" spans="1:34" x14ac:dyDescent="0.25">
      <c r="A233" s="31" t="s">
        <v>330</v>
      </c>
      <c r="B233" s="31" t="s">
        <v>331</v>
      </c>
      <c r="C233" s="2">
        <f>'WC def tax 22'!O233</f>
        <v>0</v>
      </c>
      <c r="D233" s="64">
        <f t="shared" si="108"/>
        <v>0</v>
      </c>
      <c r="E233" s="64">
        <f t="shared" si="108"/>
        <v>0</v>
      </c>
      <c r="F233" s="64">
        <f t="shared" si="108"/>
        <v>0</v>
      </c>
      <c r="G233" s="64">
        <f t="shared" si="108"/>
        <v>0</v>
      </c>
      <c r="H233" s="64">
        <f t="shared" si="108"/>
        <v>0</v>
      </c>
      <c r="I233" s="64">
        <f t="shared" si="108"/>
        <v>0</v>
      </c>
      <c r="J233" s="64">
        <f t="shared" si="108"/>
        <v>0</v>
      </c>
      <c r="K233" s="64">
        <f t="shared" si="108"/>
        <v>0</v>
      </c>
      <c r="L233" s="64">
        <f t="shared" si="108"/>
        <v>0</v>
      </c>
      <c r="M233" s="64">
        <f t="shared" si="108"/>
        <v>0</v>
      </c>
      <c r="N233" s="64">
        <f t="shared" si="108"/>
        <v>0</v>
      </c>
      <c r="O233" s="64">
        <f t="shared" si="108"/>
        <v>0</v>
      </c>
      <c r="P233" s="2">
        <f t="shared" si="103"/>
        <v>0</v>
      </c>
      <c r="Q233" s="2">
        <f t="shared" si="104"/>
        <v>0</v>
      </c>
      <c r="R233" s="15" t="s">
        <v>504</v>
      </c>
      <c r="S233" s="15" t="s">
        <v>13</v>
      </c>
      <c r="T233" s="60">
        <f t="shared" si="109"/>
        <v>0</v>
      </c>
      <c r="U233" s="60">
        <f t="shared" si="109"/>
        <v>0</v>
      </c>
      <c r="V233" s="60">
        <f t="shared" si="109"/>
        <v>0</v>
      </c>
      <c r="W233" s="60">
        <f t="shared" si="109"/>
        <v>0</v>
      </c>
      <c r="X233" s="60">
        <f t="shared" si="109"/>
        <v>0</v>
      </c>
      <c r="Y233" s="60">
        <f t="shared" si="109"/>
        <v>0</v>
      </c>
      <c r="Z233" s="15"/>
      <c r="AA233" s="15" t="s">
        <v>13</v>
      </c>
      <c r="AB233" s="60">
        <f t="shared" si="110"/>
        <v>0</v>
      </c>
      <c r="AC233" s="60">
        <f t="shared" si="110"/>
        <v>0</v>
      </c>
      <c r="AD233" s="60">
        <f t="shared" si="110"/>
        <v>0</v>
      </c>
      <c r="AE233" s="60">
        <f t="shared" si="110"/>
        <v>0</v>
      </c>
      <c r="AF233" s="60">
        <f t="shared" si="110"/>
        <v>0</v>
      </c>
      <c r="AG233" s="60">
        <f t="shared" si="110"/>
        <v>0</v>
      </c>
      <c r="AH233" s="27"/>
    </row>
    <row r="234" spans="1:34" x14ac:dyDescent="0.25">
      <c r="A234" s="35"/>
      <c r="B234" s="35"/>
      <c r="C234" s="36" t="s">
        <v>67</v>
      </c>
      <c r="D234" s="36" t="s">
        <v>67</v>
      </c>
      <c r="E234" s="36" t="s">
        <v>67</v>
      </c>
      <c r="F234" s="36" t="s">
        <v>67</v>
      </c>
      <c r="G234" s="36" t="s">
        <v>67</v>
      </c>
      <c r="H234" s="36" t="s">
        <v>67</v>
      </c>
      <c r="I234" s="36" t="s">
        <v>67</v>
      </c>
      <c r="J234" s="36" t="s">
        <v>67</v>
      </c>
      <c r="K234" s="36" t="s">
        <v>67</v>
      </c>
      <c r="L234" s="36" t="s">
        <v>67</v>
      </c>
      <c r="M234" s="36" t="s">
        <v>67</v>
      </c>
      <c r="N234" s="36" t="s">
        <v>67</v>
      </c>
      <c r="O234" s="36" t="s">
        <v>67</v>
      </c>
      <c r="P234" s="36" t="s">
        <v>67</v>
      </c>
      <c r="Q234" s="36" t="s">
        <v>67</v>
      </c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27"/>
    </row>
    <row r="235" spans="1:34" x14ac:dyDescent="0.25">
      <c r="A235" s="37" t="s">
        <v>332</v>
      </c>
      <c r="B235" s="38"/>
      <c r="C235" s="39">
        <f>SUM(C218:C233)</f>
        <v>72210.210000000006</v>
      </c>
      <c r="D235" s="39">
        <f t="shared" ref="D235:Q235" si="111">SUM(D218:D233)</f>
        <v>83034.210000000006</v>
      </c>
      <c r="E235" s="39">
        <f t="shared" si="111"/>
        <v>93858.21</v>
      </c>
      <c r="F235" s="39">
        <f t="shared" si="111"/>
        <v>104682.21</v>
      </c>
      <c r="G235" s="39">
        <f t="shared" si="111"/>
        <v>115506.21</v>
      </c>
      <c r="H235" s="39">
        <f t="shared" si="111"/>
        <v>126330.21</v>
      </c>
      <c r="I235" s="39">
        <f t="shared" si="111"/>
        <v>137154.21000000002</v>
      </c>
      <c r="J235" s="39">
        <f t="shared" si="111"/>
        <v>147978.21000000002</v>
      </c>
      <c r="K235" s="39">
        <f t="shared" si="111"/>
        <v>158802.21000000002</v>
      </c>
      <c r="L235" s="39">
        <f t="shared" si="111"/>
        <v>169626.21000000002</v>
      </c>
      <c r="M235" s="39">
        <f t="shared" si="111"/>
        <v>180450.21000000002</v>
      </c>
      <c r="N235" s="39">
        <f t="shared" si="111"/>
        <v>191274.21000000002</v>
      </c>
      <c r="O235" s="39">
        <f t="shared" si="111"/>
        <v>202098.21000000002</v>
      </c>
      <c r="P235" s="39">
        <f t="shared" si="111"/>
        <v>1783004.7299999997</v>
      </c>
      <c r="Q235" s="147">
        <f t="shared" si="111"/>
        <v>137154.21</v>
      </c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27"/>
    </row>
    <row r="236" spans="1:34" x14ac:dyDescent="0.25">
      <c r="A236" s="35"/>
      <c r="B236" s="35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27">
        <f>SUM(AB236:AG236)+O236</f>
        <v>0</v>
      </c>
    </row>
    <row r="237" spans="1:34" x14ac:dyDescent="0.25">
      <c r="A237" s="37" t="s">
        <v>333</v>
      </c>
      <c r="B237" s="38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27">
        <f>SUM(AB237:AG237)+O237</f>
        <v>0</v>
      </c>
    </row>
    <row r="238" spans="1:34" x14ac:dyDescent="0.25">
      <c r="A238" s="31" t="s">
        <v>334</v>
      </c>
      <c r="B238" s="31" t="s">
        <v>335</v>
      </c>
      <c r="C238" s="2">
        <f>'WC def tax 22'!O238</f>
        <v>-240638</v>
      </c>
      <c r="D238" s="64">
        <f>C238+4011</f>
        <v>-236627</v>
      </c>
      <c r="E238" s="64">
        <f t="shared" ref="E238:O238" si="112">D238+4011</f>
        <v>-232616</v>
      </c>
      <c r="F238" s="64">
        <f t="shared" si="112"/>
        <v>-228605</v>
      </c>
      <c r="G238" s="64">
        <f t="shared" si="112"/>
        <v>-224594</v>
      </c>
      <c r="H238" s="64">
        <f t="shared" si="112"/>
        <v>-220583</v>
      </c>
      <c r="I238" s="64">
        <f t="shared" si="112"/>
        <v>-216572</v>
      </c>
      <c r="J238" s="64">
        <f t="shared" si="112"/>
        <v>-212561</v>
      </c>
      <c r="K238" s="64">
        <f t="shared" si="112"/>
        <v>-208550</v>
      </c>
      <c r="L238" s="64">
        <f t="shared" si="112"/>
        <v>-204539</v>
      </c>
      <c r="M238" s="64">
        <f t="shared" si="112"/>
        <v>-200528</v>
      </c>
      <c r="N238" s="64">
        <f t="shared" si="112"/>
        <v>-196517</v>
      </c>
      <c r="O238" s="64">
        <f t="shared" si="112"/>
        <v>-192506</v>
      </c>
      <c r="P238" s="2">
        <f t="shared" ref="P238:P239" si="113">SUM(C238:O238)</f>
        <v>-2815436</v>
      </c>
      <c r="Q238" s="2">
        <f t="shared" ref="Q238:Q239" si="114">P238/13</f>
        <v>-216572</v>
      </c>
      <c r="R238" s="15" t="s">
        <v>504</v>
      </c>
      <c r="S238" s="15" t="s">
        <v>13</v>
      </c>
      <c r="T238" s="60">
        <f t="shared" ref="T238:Y239" si="115">-$Q238*T$3</f>
        <v>35117.149799999999</v>
      </c>
      <c r="U238" s="60">
        <f t="shared" si="115"/>
        <v>84833.418120000002</v>
      </c>
      <c r="V238" s="60">
        <f t="shared" si="115"/>
        <v>39823.259359999996</v>
      </c>
      <c r="W238" s="60">
        <f t="shared" si="115"/>
        <v>768.8306</v>
      </c>
      <c r="X238" s="60">
        <f t="shared" si="115"/>
        <v>240.39492000000001</v>
      </c>
      <c r="Y238" s="60">
        <f t="shared" si="115"/>
        <v>55793.278640000004</v>
      </c>
      <c r="Z238" s="15"/>
      <c r="AA238" s="15" t="s">
        <v>13</v>
      </c>
      <c r="AB238" s="60">
        <f t="shared" ref="AB238:AG239" si="116">-$O238*AB$3</f>
        <v>31214.847899999997</v>
      </c>
      <c r="AC238" s="60">
        <f t="shared" si="116"/>
        <v>75406.525259999995</v>
      </c>
      <c r="AD238" s="60">
        <f t="shared" si="116"/>
        <v>35398.003279999997</v>
      </c>
      <c r="AE238" s="60">
        <f t="shared" si="116"/>
        <v>683.3963</v>
      </c>
      <c r="AF238" s="60">
        <f t="shared" si="116"/>
        <v>213.68166000000002</v>
      </c>
      <c r="AG238" s="60">
        <f t="shared" si="116"/>
        <v>49593.39572</v>
      </c>
      <c r="AH238" s="27"/>
    </row>
    <row r="239" spans="1:34" x14ac:dyDescent="0.25">
      <c r="A239" s="31" t="s">
        <v>336</v>
      </c>
      <c r="B239" s="31" t="s">
        <v>337</v>
      </c>
      <c r="C239" s="2">
        <f>'WC def tax 22'!O239</f>
        <v>268993</v>
      </c>
      <c r="D239" s="64">
        <f>C239-1366</f>
        <v>267627</v>
      </c>
      <c r="E239" s="64">
        <f t="shared" ref="E239:O239" si="117">D239-1366</f>
        <v>266261</v>
      </c>
      <c r="F239" s="64">
        <f t="shared" si="117"/>
        <v>264895</v>
      </c>
      <c r="G239" s="64">
        <f t="shared" si="117"/>
        <v>263529</v>
      </c>
      <c r="H239" s="64">
        <f t="shared" si="117"/>
        <v>262163</v>
      </c>
      <c r="I239" s="64">
        <f t="shared" si="117"/>
        <v>260797</v>
      </c>
      <c r="J239" s="64">
        <f t="shared" si="117"/>
        <v>259431</v>
      </c>
      <c r="K239" s="64">
        <f t="shared" si="117"/>
        <v>258065</v>
      </c>
      <c r="L239" s="64">
        <f t="shared" si="117"/>
        <v>256699</v>
      </c>
      <c r="M239" s="64">
        <f t="shared" si="117"/>
        <v>255333</v>
      </c>
      <c r="N239" s="64">
        <f t="shared" si="117"/>
        <v>253967</v>
      </c>
      <c r="O239" s="64">
        <f t="shared" si="117"/>
        <v>252601</v>
      </c>
      <c r="P239" s="2">
        <f t="shared" si="113"/>
        <v>3390361</v>
      </c>
      <c r="Q239" s="2">
        <f t="shared" si="114"/>
        <v>260797</v>
      </c>
      <c r="R239" s="15" t="s">
        <v>504</v>
      </c>
      <c r="S239" s="15" t="s">
        <v>13</v>
      </c>
      <c r="T239" s="60">
        <f t="shared" si="115"/>
        <v>-42288.233549999997</v>
      </c>
      <c r="U239" s="60">
        <f t="shared" si="115"/>
        <v>-102156.79287</v>
      </c>
      <c r="V239" s="60">
        <f t="shared" si="115"/>
        <v>-47955.352359999997</v>
      </c>
      <c r="W239" s="60">
        <f t="shared" si="115"/>
        <v>-925.82935000000009</v>
      </c>
      <c r="X239" s="60">
        <f t="shared" si="115"/>
        <v>-289.48467000000005</v>
      </c>
      <c r="Y239" s="60">
        <f t="shared" si="115"/>
        <v>-67186.523140000005</v>
      </c>
      <c r="Z239" s="15"/>
      <c r="AA239" s="15" t="s">
        <v>13</v>
      </c>
      <c r="AB239" s="60">
        <f t="shared" si="116"/>
        <v>-40959.25215</v>
      </c>
      <c r="AC239" s="60">
        <f t="shared" si="116"/>
        <v>-98946.337710000007</v>
      </c>
      <c r="AD239" s="60">
        <f t="shared" si="116"/>
        <v>-46448.27188</v>
      </c>
      <c r="AE239" s="60">
        <f t="shared" si="116"/>
        <v>-896.73355000000004</v>
      </c>
      <c r="AF239" s="60">
        <f t="shared" si="116"/>
        <v>-280.38711000000001</v>
      </c>
      <c r="AG239" s="60">
        <f t="shared" si="116"/>
        <v>-65075.069620000002</v>
      </c>
      <c r="AH239" s="27"/>
    </row>
    <row r="240" spans="1:34" x14ac:dyDescent="0.25">
      <c r="A240" s="35"/>
      <c r="B240" s="35"/>
      <c r="C240" s="36" t="s">
        <v>67</v>
      </c>
      <c r="D240" s="36" t="s">
        <v>67</v>
      </c>
      <c r="E240" s="36" t="s">
        <v>67</v>
      </c>
      <c r="F240" s="36" t="s">
        <v>67</v>
      </c>
      <c r="G240" s="36" t="s">
        <v>67</v>
      </c>
      <c r="H240" s="36" t="s">
        <v>67</v>
      </c>
      <c r="I240" s="36" t="s">
        <v>67</v>
      </c>
      <c r="J240" s="36" t="s">
        <v>67</v>
      </c>
      <c r="K240" s="36" t="s">
        <v>67</v>
      </c>
      <c r="L240" s="36" t="s">
        <v>67</v>
      </c>
      <c r="M240" s="36" t="s">
        <v>67</v>
      </c>
      <c r="N240" s="36" t="s">
        <v>67</v>
      </c>
      <c r="O240" s="36" t="s">
        <v>67</v>
      </c>
      <c r="P240" s="36" t="s">
        <v>67</v>
      </c>
      <c r="Q240" s="36" t="s">
        <v>67</v>
      </c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27"/>
    </row>
    <row r="241" spans="1:34" x14ac:dyDescent="0.25">
      <c r="A241" s="37" t="s">
        <v>338</v>
      </c>
      <c r="B241" s="38"/>
      <c r="C241" s="39">
        <f>SUM(C238:C239)</f>
        <v>28355</v>
      </c>
      <c r="D241" s="39">
        <f t="shared" ref="D241:Q241" si="118">SUM(D238:D239)</f>
        <v>31000</v>
      </c>
      <c r="E241" s="39">
        <f t="shared" si="118"/>
        <v>33645</v>
      </c>
      <c r="F241" s="39">
        <f t="shared" si="118"/>
        <v>36290</v>
      </c>
      <c r="G241" s="39">
        <f t="shared" si="118"/>
        <v>38935</v>
      </c>
      <c r="H241" s="39">
        <f t="shared" si="118"/>
        <v>41580</v>
      </c>
      <c r="I241" s="39">
        <f t="shared" si="118"/>
        <v>44225</v>
      </c>
      <c r="J241" s="39">
        <f t="shared" si="118"/>
        <v>46870</v>
      </c>
      <c r="K241" s="39">
        <f t="shared" si="118"/>
        <v>49515</v>
      </c>
      <c r="L241" s="39">
        <f t="shared" si="118"/>
        <v>52160</v>
      </c>
      <c r="M241" s="39">
        <f t="shared" si="118"/>
        <v>54805</v>
      </c>
      <c r="N241" s="39">
        <f t="shared" si="118"/>
        <v>57450</v>
      </c>
      <c r="O241" s="39">
        <f t="shared" si="118"/>
        <v>60095</v>
      </c>
      <c r="P241" s="39">
        <f t="shared" si="118"/>
        <v>574925</v>
      </c>
      <c r="Q241" s="147">
        <f t="shared" si="118"/>
        <v>44225</v>
      </c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27"/>
    </row>
    <row r="242" spans="1:34" x14ac:dyDescent="0.25">
      <c r="A242" s="35"/>
      <c r="B242" s="35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27">
        <f t="shared" ref="AH242:AH247" si="119">SUM(AB242:AG242)+O242</f>
        <v>0</v>
      </c>
    </row>
    <row r="243" spans="1:34" x14ac:dyDescent="0.25">
      <c r="A243" s="21" t="s">
        <v>339</v>
      </c>
      <c r="B243" s="22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27">
        <f t="shared" si="119"/>
        <v>0</v>
      </c>
    </row>
    <row r="244" spans="1:34" x14ac:dyDescent="0.25">
      <c r="A244" s="13" t="s">
        <v>340</v>
      </c>
      <c r="B244" s="13" t="s">
        <v>341</v>
      </c>
      <c r="C244" s="2">
        <f>'WC def tax 22'!O244</f>
        <v>-12234707</v>
      </c>
      <c r="D244" s="64">
        <f>(($O244-$C244)/12)+C244</f>
        <v>-12258197.833333334</v>
      </c>
      <c r="E244" s="64">
        <f t="shared" ref="E244:N244" si="120">(($O244-$C244)/12)+D244</f>
        <v>-12281688.666666668</v>
      </c>
      <c r="F244" s="64">
        <f t="shared" si="120"/>
        <v>-12305179.500000002</v>
      </c>
      <c r="G244" s="64">
        <f t="shared" si="120"/>
        <v>-12328670.333333336</v>
      </c>
      <c r="H244" s="64">
        <f t="shared" si="120"/>
        <v>-12352161.16666667</v>
      </c>
      <c r="I244" s="64">
        <f t="shared" si="120"/>
        <v>-12375652.000000004</v>
      </c>
      <c r="J244" s="64">
        <f t="shared" si="120"/>
        <v>-12399142.833333338</v>
      </c>
      <c r="K244" s="64">
        <f t="shared" si="120"/>
        <v>-12422633.666666672</v>
      </c>
      <c r="L244" s="64">
        <f t="shared" si="120"/>
        <v>-12446124.500000006</v>
      </c>
      <c r="M244" s="64">
        <f t="shared" si="120"/>
        <v>-12469615.33333334</v>
      </c>
      <c r="N244" s="64">
        <f t="shared" si="120"/>
        <v>-12493106.166666673</v>
      </c>
      <c r="O244" s="64">
        <f>-12516597</f>
        <v>-12516597</v>
      </c>
      <c r="P244" s="2">
        <f t="shared" ref="P244:P246" si="121">SUM(C244:O244)</f>
        <v>-160883476.00000003</v>
      </c>
      <c r="Q244" s="2">
        <f t="shared" ref="Q244:Q246" si="122">P244/13</f>
        <v>-12375652.000000002</v>
      </c>
      <c r="R244" s="15" t="s">
        <v>509</v>
      </c>
      <c r="S244" s="15" t="s">
        <v>29</v>
      </c>
      <c r="T244" s="15">
        <f>-$Q244*0.28</f>
        <v>3465182.560000001</v>
      </c>
      <c r="U244" s="151">
        <f>-$Q244*0.65</f>
        <v>8044173.8000000017</v>
      </c>
      <c r="V244" s="15">
        <f t="shared" ref="V244:X249" si="123">-$Q244*V$6</f>
        <v>0</v>
      </c>
      <c r="W244" s="15">
        <f t="shared" si="123"/>
        <v>0</v>
      </c>
      <c r="X244" s="15">
        <f t="shared" si="123"/>
        <v>0</v>
      </c>
      <c r="Y244" s="15">
        <f>-$Q244*0.07</f>
        <v>866295.64000000025</v>
      </c>
      <c r="Z244" s="15"/>
      <c r="AA244" s="15" t="s">
        <v>29</v>
      </c>
      <c r="AB244" s="15">
        <f>-$O244*0.28</f>
        <v>3504647.16</v>
      </c>
      <c r="AC244" s="151">
        <f>-$O244*0.65</f>
        <v>8135788.0499999998</v>
      </c>
      <c r="AD244" s="15">
        <f t="shared" ref="AD244:AF249" si="124">-$Q244*AD$6</f>
        <v>0</v>
      </c>
      <c r="AE244" s="15">
        <f t="shared" si="124"/>
        <v>0</v>
      </c>
      <c r="AF244" s="15">
        <f t="shared" si="124"/>
        <v>0</v>
      </c>
      <c r="AG244" s="15">
        <f>-$O244*0.07</f>
        <v>876161.79</v>
      </c>
      <c r="AH244" s="27">
        <f t="shared" si="119"/>
        <v>0</v>
      </c>
    </row>
    <row r="245" spans="1:34" x14ac:dyDescent="0.25">
      <c r="A245" s="13" t="s">
        <v>342</v>
      </c>
      <c r="B245" s="13" t="s">
        <v>343</v>
      </c>
      <c r="C245" s="2">
        <f>'WC def tax 22'!O245</f>
        <v>-83453.59375</v>
      </c>
      <c r="D245" s="64">
        <f t="shared" ref="D245:O245" si="125">(($P245-$C245)/12)</f>
        <v>-78777.00963541666</v>
      </c>
      <c r="E245" s="64">
        <f t="shared" si="125"/>
        <v>-78777.00963541666</v>
      </c>
      <c r="F245" s="64">
        <f t="shared" si="125"/>
        <v>-78777.00963541666</v>
      </c>
      <c r="G245" s="64">
        <f t="shared" si="125"/>
        <v>-78777.00963541666</v>
      </c>
      <c r="H245" s="64">
        <f t="shared" si="125"/>
        <v>-78777.00963541666</v>
      </c>
      <c r="I245" s="64">
        <f t="shared" si="125"/>
        <v>-78777.00963541666</v>
      </c>
      <c r="J245" s="64">
        <f t="shared" si="125"/>
        <v>-78777.00963541666</v>
      </c>
      <c r="K245" s="64">
        <f t="shared" si="125"/>
        <v>-78777.00963541666</v>
      </c>
      <c r="L245" s="64">
        <f t="shared" si="125"/>
        <v>-78777.00963541666</v>
      </c>
      <c r="M245" s="64">
        <f t="shared" si="125"/>
        <v>-78777.00963541666</v>
      </c>
      <c r="N245" s="64">
        <f t="shared" si="125"/>
        <v>-78777.00963541666</v>
      </c>
      <c r="O245" s="64">
        <f t="shared" si="125"/>
        <v>-78777.00963541666</v>
      </c>
      <c r="P245" s="2">
        <f t="shared" ref="P245" si="126">Q245*13</f>
        <v>-1028777.709375</v>
      </c>
      <c r="Q245" s="2">
        <f>'WC def tax 22'!Q245*1.035</f>
        <v>-79136.746874999997</v>
      </c>
      <c r="R245" s="15" t="s">
        <v>509</v>
      </c>
      <c r="S245" s="15" t="s">
        <v>29</v>
      </c>
      <c r="T245" s="15">
        <f t="shared" ref="T245:T249" si="127">-$Q245*0.28</f>
        <v>22158.289125000003</v>
      </c>
      <c r="U245" s="151">
        <f t="shared" ref="U245:U249" si="128">-$Q245*0.65</f>
        <v>51438.885468749999</v>
      </c>
      <c r="V245" s="15">
        <f t="shared" si="123"/>
        <v>0</v>
      </c>
      <c r="W245" s="15">
        <f t="shared" si="123"/>
        <v>0</v>
      </c>
      <c r="X245" s="15">
        <f t="shared" si="123"/>
        <v>0</v>
      </c>
      <c r="Y245" s="15">
        <f t="shared" ref="Y245:Y249" si="129">-$Q245*0.07</f>
        <v>5539.5722812500007</v>
      </c>
      <c r="Z245" s="15"/>
      <c r="AA245" s="15" t="s">
        <v>29</v>
      </c>
      <c r="AB245" s="15">
        <f t="shared" ref="AB245:AB249" si="130">-$O245*0.28</f>
        <v>22057.562697916666</v>
      </c>
      <c r="AC245" s="151">
        <f t="shared" ref="AC245:AC249" si="131">-$O245*0.65</f>
        <v>51205.05626302083</v>
      </c>
      <c r="AD245" s="15">
        <f t="shared" si="124"/>
        <v>0</v>
      </c>
      <c r="AE245" s="15">
        <f t="shared" si="124"/>
        <v>0</v>
      </c>
      <c r="AF245" s="15">
        <f t="shared" si="124"/>
        <v>0</v>
      </c>
      <c r="AG245" s="15">
        <f t="shared" ref="AG245:AG249" si="132">-$O245*0.07</f>
        <v>5514.3906744791666</v>
      </c>
      <c r="AH245" s="27">
        <f t="shared" si="119"/>
        <v>0</v>
      </c>
    </row>
    <row r="246" spans="1:34" x14ac:dyDescent="0.25">
      <c r="A246" s="13" t="s">
        <v>344</v>
      </c>
      <c r="B246" s="13" t="s">
        <v>345</v>
      </c>
      <c r="C246" s="2">
        <f>'WC def tax 22'!O246</f>
        <v>-598688</v>
      </c>
      <c r="D246" s="64">
        <f t="shared" ref="D246:O246" si="133">C246</f>
        <v>-598688</v>
      </c>
      <c r="E246" s="64">
        <f t="shared" si="133"/>
        <v>-598688</v>
      </c>
      <c r="F246" s="64">
        <f t="shared" si="133"/>
        <v>-598688</v>
      </c>
      <c r="G246" s="64">
        <f t="shared" si="133"/>
        <v>-598688</v>
      </c>
      <c r="H246" s="64">
        <f t="shared" si="133"/>
        <v>-598688</v>
      </c>
      <c r="I246" s="64">
        <f t="shared" si="133"/>
        <v>-598688</v>
      </c>
      <c r="J246" s="64">
        <f t="shared" si="133"/>
        <v>-598688</v>
      </c>
      <c r="K246" s="64">
        <f t="shared" si="133"/>
        <v>-598688</v>
      </c>
      <c r="L246" s="64">
        <f t="shared" si="133"/>
        <v>-598688</v>
      </c>
      <c r="M246" s="64">
        <f t="shared" si="133"/>
        <v>-598688</v>
      </c>
      <c r="N246" s="64">
        <f t="shared" si="133"/>
        <v>-598688</v>
      </c>
      <c r="O246" s="64">
        <f t="shared" si="133"/>
        <v>-598688</v>
      </c>
      <c r="P246" s="2">
        <f t="shared" si="121"/>
        <v>-7782944</v>
      </c>
      <c r="Q246" s="2">
        <f t="shared" si="122"/>
        <v>-598688</v>
      </c>
      <c r="R246" s="15" t="s">
        <v>509</v>
      </c>
      <c r="S246" s="15" t="s">
        <v>29</v>
      </c>
      <c r="T246" s="15">
        <f t="shared" si="127"/>
        <v>167632.64000000001</v>
      </c>
      <c r="U246" s="151">
        <f t="shared" si="128"/>
        <v>389147.2</v>
      </c>
      <c r="V246" s="15">
        <f t="shared" si="123"/>
        <v>0</v>
      </c>
      <c r="W246" s="15">
        <f t="shared" si="123"/>
        <v>0</v>
      </c>
      <c r="X246" s="15">
        <f t="shared" si="123"/>
        <v>0</v>
      </c>
      <c r="Y246" s="15">
        <f t="shared" si="129"/>
        <v>41908.160000000003</v>
      </c>
      <c r="Z246" s="15"/>
      <c r="AA246" s="15" t="s">
        <v>29</v>
      </c>
      <c r="AB246" s="15">
        <f t="shared" si="130"/>
        <v>167632.64000000001</v>
      </c>
      <c r="AC246" s="151">
        <f t="shared" si="131"/>
        <v>389147.2</v>
      </c>
      <c r="AD246" s="15">
        <f t="shared" si="124"/>
        <v>0</v>
      </c>
      <c r="AE246" s="15">
        <f t="shared" si="124"/>
        <v>0</v>
      </c>
      <c r="AF246" s="15">
        <f t="shared" si="124"/>
        <v>0</v>
      </c>
      <c r="AG246" s="15">
        <f t="shared" si="132"/>
        <v>41908.160000000003</v>
      </c>
      <c r="AH246" s="27">
        <f t="shared" si="119"/>
        <v>0</v>
      </c>
    </row>
    <row r="247" spans="1:34" x14ac:dyDescent="0.25">
      <c r="A247" s="13" t="s">
        <v>346</v>
      </c>
      <c r="B247" s="13" t="s">
        <v>347</v>
      </c>
      <c r="C247" s="2">
        <f>'WC def tax 22'!O247</f>
        <v>-105552.93041666666</v>
      </c>
      <c r="D247" s="64">
        <f t="shared" ref="D247:O249" si="134">(($P247-$C247)/12)</f>
        <v>-109299.24794652774</v>
      </c>
      <c r="E247" s="64">
        <f t="shared" si="134"/>
        <v>-109299.24794652774</v>
      </c>
      <c r="F247" s="64">
        <f t="shared" si="134"/>
        <v>-109299.24794652774</v>
      </c>
      <c r="G247" s="64">
        <f t="shared" si="134"/>
        <v>-109299.24794652774</v>
      </c>
      <c r="H247" s="64">
        <f t="shared" si="134"/>
        <v>-109299.24794652774</v>
      </c>
      <c r="I247" s="64">
        <f t="shared" si="134"/>
        <v>-109299.24794652774</v>
      </c>
      <c r="J247" s="64">
        <f t="shared" si="134"/>
        <v>-109299.24794652774</v>
      </c>
      <c r="K247" s="64">
        <f t="shared" si="134"/>
        <v>-109299.24794652774</v>
      </c>
      <c r="L247" s="64">
        <f t="shared" si="134"/>
        <v>-109299.24794652774</v>
      </c>
      <c r="M247" s="64">
        <f t="shared" si="134"/>
        <v>-109299.24794652774</v>
      </c>
      <c r="N247" s="64">
        <f t="shared" si="134"/>
        <v>-109299.24794652774</v>
      </c>
      <c r="O247" s="64">
        <f t="shared" si="134"/>
        <v>-109299.24794652774</v>
      </c>
      <c r="P247" s="2">
        <f t="shared" ref="P247:P249" si="135">Q247*13</f>
        <v>-1417143.9057749996</v>
      </c>
      <c r="Q247" s="2">
        <f>'WC def tax 22'!Q247*1.035</f>
        <v>-109011.06967499998</v>
      </c>
      <c r="R247" s="15" t="s">
        <v>509</v>
      </c>
      <c r="S247" s="15" t="s">
        <v>29</v>
      </c>
      <c r="T247" s="15">
        <f t="shared" si="127"/>
        <v>30523.099508999996</v>
      </c>
      <c r="U247" s="151">
        <f t="shared" si="128"/>
        <v>70857.195288749994</v>
      </c>
      <c r="V247" s="15">
        <f t="shared" si="123"/>
        <v>0</v>
      </c>
      <c r="W247" s="15">
        <f t="shared" si="123"/>
        <v>0</v>
      </c>
      <c r="X247" s="15">
        <f t="shared" si="123"/>
        <v>0</v>
      </c>
      <c r="Y247" s="15">
        <f t="shared" si="129"/>
        <v>7630.774877249999</v>
      </c>
      <c r="Z247" s="15"/>
      <c r="AA247" s="15" t="s">
        <v>29</v>
      </c>
      <c r="AB247" s="15">
        <f t="shared" si="130"/>
        <v>30603.789425027771</v>
      </c>
      <c r="AC247" s="151">
        <f t="shared" si="131"/>
        <v>71044.511165243035</v>
      </c>
      <c r="AD247" s="15">
        <f t="shared" si="124"/>
        <v>0</v>
      </c>
      <c r="AE247" s="15">
        <f t="shared" si="124"/>
        <v>0</v>
      </c>
      <c r="AF247" s="15">
        <f t="shared" si="124"/>
        <v>0</v>
      </c>
      <c r="AG247" s="15">
        <f t="shared" si="132"/>
        <v>7650.9473562569428</v>
      </c>
      <c r="AH247" s="27">
        <f t="shared" si="119"/>
        <v>0</v>
      </c>
    </row>
    <row r="248" spans="1:34" x14ac:dyDescent="0.25">
      <c r="A248" s="13" t="s">
        <v>348</v>
      </c>
      <c r="B248" s="13" t="s">
        <v>349</v>
      </c>
      <c r="C248" s="2">
        <f>'WC def tax 22'!O248</f>
        <v>-7121.0224999999991</v>
      </c>
      <c r="D248" s="64">
        <f t="shared" si="134"/>
        <v>-7523.0747458333308</v>
      </c>
      <c r="E248" s="64">
        <f t="shared" si="134"/>
        <v>-7523.0747458333308</v>
      </c>
      <c r="F248" s="64">
        <f t="shared" si="134"/>
        <v>-7523.0747458333308</v>
      </c>
      <c r="G248" s="64">
        <f t="shared" si="134"/>
        <v>-7523.0747458333308</v>
      </c>
      <c r="H248" s="64">
        <f t="shared" si="134"/>
        <v>-7523.0747458333308</v>
      </c>
      <c r="I248" s="64">
        <f t="shared" si="134"/>
        <v>-7523.0747458333308</v>
      </c>
      <c r="J248" s="64">
        <f t="shared" si="134"/>
        <v>-7523.0747458333308</v>
      </c>
      <c r="K248" s="64">
        <f t="shared" si="134"/>
        <v>-7523.0747458333308</v>
      </c>
      <c r="L248" s="64">
        <f t="shared" si="134"/>
        <v>-7523.0747458333308</v>
      </c>
      <c r="M248" s="64">
        <f t="shared" si="134"/>
        <v>-7523.0747458333308</v>
      </c>
      <c r="N248" s="64">
        <f t="shared" si="134"/>
        <v>-7523.0747458333308</v>
      </c>
      <c r="O248" s="64">
        <f t="shared" si="134"/>
        <v>-7523.0747458333308</v>
      </c>
      <c r="P248" s="2">
        <f t="shared" si="135"/>
        <v>-97397.919449999972</v>
      </c>
      <c r="Q248" s="2">
        <f>'WC def tax 22'!Q248*1.035</f>
        <v>-7492.1476499999981</v>
      </c>
      <c r="R248" s="15" t="s">
        <v>509</v>
      </c>
      <c r="S248" s="15" t="s">
        <v>29</v>
      </c>
      <c r="T248" s="15">
        <f t="shared" si="127"/>
        <v>2097.8013419999997</v>
      </c>
      <c r="U248" s="151">
        <f t="shared" si="128"/>
        <v>4869.8959724999986</v>
      </c>
      <c r="V248" s="15">
        <f t="shared" si="123"/>
        <v>0</v>
      </c>
      <c r="W248" s="15">
        <f t="shared" si="123"/>
        <v>0</v>
      </c>
      <c r="X248" s="15">
        <f t="shared" si="123"/>
        <v>0</v>
      </c>
      <c r="Y248" s="15">
        <f t="shared" si="129"/>
        <v>524.45033549999994</v>
      </c>
      <c r="Z248" s="15"/>
      <c r="AA248" s="15" t="s">
        <v>29</v>
      </c>
      <c r="AB248" s="15">
        <f t="shared" si="130"/>
        <v>2106.4609288333327</v>
      </c>
      <c r="AC248" s="151">
        <f t="shared" si="131"/>
        <v>4889.9985847916651</v>
      </c>
      <c r="AD248" s="15">
        <f t="shared" si="124"/>
        <v>0</v>
      </c>
      <c r="AE248" s="15">
        <f t="shared" si="124"/>
        <v>0</v>
      </c>
      <c r="AF248" s="15">
        <f t="shared" si="124"/>
        <v>0</v>
      </c>
      <c r="AG248" s="15">
        <f t="shared" si="132"/>
        <v>526.61523220833317</v>
      </c>
      <c r="AH248" s="27"/>
    </row>
    <row r="249" spans="1:34" x14ac:dyDescent="0.25">
      <c r="A249" s="13" t="s">
        <v>350</v>
      </c>
      <c r="B249" s="13" t="s">
        <v>351</v>
      </c>
      <c r="C249" s="2">
        <f>'WC def tax 22'!O249</f>
        <v>264209.1933333333</v>
      </c>
      <c r="D249" s="64">
        <f t="shared" si="134"/>
        <v>273797.06607222214</v>
      </c>
      <c r="E249" s="64">
        <f t="shared" si="134"/>
        <v>273797.06607222214</v>
      </c>
      <c r="F249" s="64">
        <f t="shared" si="134"/>
        <v>273797.06607222214</v>
      </c>
      <c r="G249" s="64">
        <f t="shared" si="134"/>
        <v>273797.06607222214</v>
      </c>
      <c r="H249" s="64">
        <f t="shared" si="134"/>
        <v>273797.06607222214</v>
      </c>
      <c r="I249" s="64">
        <f t="shared" si="134"/>
        <v>273797.06607222214</v>
      </c>
      <c r="J249" s="64">
        <f t="shared" si="134"/>
        <v>273797.06607222214</v>
      </c>
      <c r="K249" s="64">
        <f t="shared" si="134"/>
        <v>273797.06607222214</v>
      </c>
      <c r="L249" s="64">
        <f t="shared" si="134"/>
        <v>273797.06607222214</v>
      </c>
      <c r="M249" s="64">
        <f t="shared" si="134"/>
        <v>273797.06607222214</v>
      </c>
      <c r="N249" s="64">
        <f t="shared" si="134"/>
        <v>273797.06607222214</v>
      </c>
      <c r="O249" s="64">
        <f t="shared" si="134"/>
        <v>273797.06607222214</v>
      </c>
      <c r="P249" s="2">
        <f t="shared" si="135"/>
        <v>3549773.9861999988</v>
      </c>
      <c r="Q249" s="2">
        <f>'WC def tax 22'!Q249*1.035</f>
        <v>273059.53739999991</v>
      </c>
      <c r="R249" s="15" t="s">
        <v>509</v>
      </c>
      <c r="S249" s="15" t="s">
        <v>29</v>
      </c>
      <c r="T249" s="15">
        <f t="shared" si="127"/>
        <v>-76456.670471999983</v>
      </c>
      <c r="U249" s="151">
        <f t="shared" si="128"/>
        <v>-177488.69930999994</v>
      </c>
      <c r="V249" s="15">
        <f t="shared" si="123"/>
        <v>0</v>
      </c>
      <c r="W249" s="15">
        <f t="shared" si="123"/>
        <v>0</v>
      </c>
      <c r="X249" s="15">
        <f t="shared" si="123"/>
        <v>0</v>
      </c>
      <c r="Y249" s="15">
        <f t="shared" si="129"/>
        <v>-19114.167617999996</v>
      </c>
      <c r="Z249" s="15"/>
      <c r="AA249" s="15" t="s">
        <v>29</v>
      </c>
      <c r="AB249" s="15">
        <f t="shared" si="130"/>
        <v>-76663.178500222202</v>
      </c>
      <c r="AC249" s="151">
        <f t="shared" si="131"/>
        <v>-177968.09294694441</v>
      </c>
      <c r="AD249" s="15">
        <f t="shared" si="124"/>
        <v>0</v>
      </c>
      <c r="AE249" s="15">
        <f t="shared" si="124"/>
        <v>0</v>
      </c>
      <c r="AF249" s="15">
        <f t="shared" si="124"/>
        <v>0</v>
      </c>
      <c r="AG249" s="15">
        <f t="shared" si="132"/>
        <v>-19165.794625055551</v>
      </c>
      <c r="AH249" s="27"/>
    </row>
    <row r="250" spans="1:34" x14ac:dyDescent="0.25">
      <c r="C250" s="26" t="s">
        <v>67</v>
      </c>
      <c r="D250" s="26" t="s">
        <v>67</v>
      </c>
      <c r="E250" s="26" t="s">
        <v>67</v>
      </c>
      <c r="F250" s="26" t="s">
        <v>67</v>
      </c>
      <c r="G250" s="26" t="s">
        <v>67</v>
      </c>
      <c r="H250" s="26" t="s">
        <v>67</v>
      </c>
      <c r="I250" s="26" t="s">
        <v>67</v>
      </c>
      <c r="J250" s="26" t="s">
        <v>67</v>
      </c>
      <c r="K250" s="26" t="s">
        <v>67</v>
      </c>
      <c r="L250" s="26" t="s">
        <v>67</v>
      </c>
      <c r="M250" s="26" t="s">
        <v>67</v>
      </c>
      <c r="N250" s="26" t="s">
        <v>67</v>
      </c>
      <c r="O250" s="26" t="s">
        <v>67</v>
      </c>
      <c r="P250" s="26" t="s">
        <v>67</v>
      </c>
      <c r="Q250" s="26" t="s">
        <v>67</v>
      </c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3"/>
    </row>
    <row r="251" spans="1:34" x14ac:dyDescent="0.25">
      <c r="A251" s="21" t="s">
        <v>352</v>
      </c>
      <c r="B251" s="22"/>
      <c r="C251" s="23">
        <f>SUM(C244:C249)</f>
        <v>-12765313.353333334</v>
      </c>
      <c r="D251" s="23">
        <f t="shared" ref="D251:Q251" si="136">SUM(D244:D249)</f>
        <v>-12778688.09958889</v>
      </c>
      <c r="E251" s="23">
        <f t="shared" si="136"/>
        <v>-12802178.932922224</v>
      </c>
      <c r="F251" s="23">
        <f t="shared" si="136"/>
        <v>-12825669.766255558</v>
      </c>
      <c r="G251" s="23">
        <f t="shared" si="136"/>
        <v>-12849160.599588891</v>
      </c>
      <c r="H251" s="23">
        <f t="shared" si="136"/>
        <v>-12872651.432922225</v>
      </c>
      <c r="I251" s="23">
        <f t="shared" si="136"/>
        <v>-12896142.266255559</v>
      </c>
      <c r="J251" s="23">
        <f t="shared" si="136"/>
        <v>-12919633.099588893</v>
      </c>
      <c r="K251" s="23">
        <f t="shared" si="136"/>
        <v>-12943123.932922227</v>
      </c>
      <c r="L251" s="23">
        <f t="shared" si="136"/>
        <v>-12966614.766255561</v>
      </c>
      <c r="M251" s="23">
        <f t="shared" si="136"/>
        <v>-12990105.599588895</v>
      </c>
      <c r="N251" s="23">
        <f t="shared" si="136"/>
        <v>-13013596.432922229</v>
      </c>
      <c r="O251" s="23">
        <f t="shared" si="136"/>
        <v>-13037087.266255556</v>
      </c>
      <c r="P251" s="23">
        <f t="shared" si="136"/>
        <v>-167659965.54840004</v>
      </c>
      <c r="Q251" s="146">
        <f t="shared" si="136"/>
        <v>-12896920.426800001</v>
      </c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3"/>
    </row>
    <row r="252" spans="1:34" x14ac:dyDescent="0.25">
      <c r="C252" s="2">
        <f>C251+C205</f>
        <v>-12604589.881666668</v>
      </c>
      <c r="D252" s="2">
        <f t="shared" ref="D252:Q252" si="137">D251+D205</f>
        <v>-12612376.944052778</v>
      </c>
      <c r="E252" s="2">
        <f t="shared" si="137"/>
        <v>-12635867.777386112</v>
      </c>
      <c r="F252" s="2">
        <f t="shared" si="137"/>
        <v>-12659358.610719446</v>
      </c>
      <c r="G252" s="2">
        <f t="shared" si="137"/>
        <v>-12682849.44405278</v>
      </c>
      <c r="H252" s="2">
        <f t="shared" si="137"/>
        <v>-12706340.277386114</v>
      </c>
      <c r="I252" s="2">
        <f t="shared" si="137"/>
        <v>-12729831.110719448</v>
      </c>
      <c r="J252" s="2">
        <f t="shared" si="137"/>
        <v>-12753321.944052782</v>
      </c>
      <c r="K252" s="2">
        <f t="shared" si="137"/>
        <v>-12776812.777386116</v>
      </c>
      <c r="L252" s="2">
        <f t="shared" si="137"/>
        <v>-12800303.61071945</v>
      </c>
      <c r="M252" s="2">
        <f t="shared" si="137"/>
        <v>-12823794.444052784</v>
      </c>
      <c r="N252" s="2">
        <f t="shared" si="137"/>
        <v>-12847285.277386118</v>
      </c>
      <c r="O252" s="2">
        <f t="shared" si="137"/>
        <v>-12870776.110719444</v>
      </c>
      <c r="P252" s="2">
        <f t="shared" si="137"/>
        <v>-165503508.21030006</v>
      </c>
      <c r="Q252" s="2">
        <f t="shared" si="137"/>
        <v>-12731039.093100002</v>
      </c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27">
        <f>SUM(AB252:AG252)+O252</f>
        <v>-12870776.110719444</v>
      </c>
    </row>
    <row r="253" spans="1:34" x14ac:dyDescent="0.25">
      <c r="A253" s="21" t="s">
        <v>353</v>
      </c>
      <c r="B253" s="22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27"/>
    </row>
    <row r="254" spans="1:34" x14ac:dyDescent="0.25">
      <c r="A254" s="13" t="s">
        <v>354</v>
      </c>
      <c r="B254" s="13" t="s">
        <v>355</v>
      </c>
      <c r="C254" s="2">
        <f>'WC def tax 22'!O254</f>
        <v>90680.7</v>
      </c>
      <c r="D254" s="152">
        <v>89203.49</v>
      </c>
      <c r="E254" s="152">
        <v>85455.69</v>
      </c>
      <c r="F254" s="152">
        <v>81696.28</v>
      </c>
      <c r="G254" s="152">
        <v>77925.210000000006</v>
      </c>
      <c r="H254" s="152">
        <v>74142.45</v>
      </c>
      <c r="I254" s="152">
        <v>70347.97</v>
      </c>
      <c r="J254" s="152">
        <v>66541.72</v>
      </c>
      <c r="K254" s="152">
        <v>62723.67</v>
      </c>
      <c r="L254" s="152">
        <v>58893.79</v>
      </c>
      <c r="M254" s="152">
        <v>55052.03</v>
      </c>
      <c r="N254" s="152">
        <v>51198.36</v>
      </c>
      <c r="O254" s="152">
        <v>47332.75</v>
      </c>
      <c r="P254" s="2">
        <f t="shared" ref="P254" si="138">SUM(C254:O254)</f>
        <v>911194.1100000001</v>
      </c>
      <c r="Q254" s="150">
        <f t="shared" ref="Q254" si="139">P254/13</f>
        <v>70091.854615384626</v>
      </c>
      <c r="R254" s="15" t="s">
        <v>504</v>
      </c>
      <c r="S254" s="15" t="s">
        <v>225</v>
      </c>
      <c r="T254" s="15">
        <f t="shared" ref="T254:Y254" si="140">-$Q254*T$3</f>
        <v>-11365.394225884616</v>
      </c>
      <c r="U254" s="151">
        <f t="shared" si="140"/>
        <v>-27455.680371392311</v>
      </c>
      <c r="V254" s="15">
        <f t="shared" si="140"/>
        <v>-12888.490226676924</v>
      </c>
      <c r="W254" s="15">
        <f t="shared" si="140"/>
        <v>-248.82608388461543</v>
      </c>
      <c r="X254" s="15">
        <f t="shared" si="140"/>
        <v>-77.801958623076942</v>
      </c>
      <c r="Y254" s="15">
        <f t="shared" si="140"/>
        <v>-18057.063586015389</v>
      </c>
      <c r="Z254" s="15"/>
      <c r="AA254" s="15" t="s">
        <v>225</v>
      </c>
      <c r="AB254" s="15">
        <f t="shared" ref="AB254:AG254" si="141">-$O254*AB$3</f>
        <v>-7675.0054124999997</v>
      </c>
      <c r="AC254" s="15">
        <f t="shared" si="141"/>
        <v>-18540.711502499998</v>
      </c>
      <c r="AD254" s="15">
        <f t="shared" si="141"/>
        <v>-8703.5460700000003</v>
      </c>
      <c r="AE254" s="15">
        <f t="shared" si="141"/>
        <v>-168.0312625</v>
      </c>
      <c r="AF254" s="15">
        <f t="shared" si="141"/>
        <v>-52.539352500000007</v>
      </c>
      <c r="AG254" s="15">
        <f t="shared" si="141"/>
        <v>-12193.863055000002</v>
      </c>
      <c r="AH254" s="3"/>
    </row>
    <row r="255" spans="1:34" x14ac:dyDescent="0.25"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3"/>
    </row>
    <row r="256" spans="1:34" ht="15.75" x14ac:dyDescent="0.3">
      <c r="A256" s="18" t="s">
        <v>356</v>
      </c>
      <c r="B256" s="19"/>
      <c r="C256" s="20">
        <f>C254+C251+C241+C235</f>
        <v>-12574067.443333333</v>
      </c>
      <c r="D256" s="20">
        <f t="shared" ref="D256:Q256" si="142">D254+D251+D241+D235</f>
        <v>-12575450.399588889</v>
      </c>
      <c r="E256" s="20">
        <f t="shared" si="142"/>
        <v>-12589220.032922223</v>
      </c>
      <c r="F256" s="20">
        <f t="shared" si="142"/>
        <v>-12603001.276255557</v>
      </c>
      <c r="G256" s="20">
        <f t="shared" si="142"/>
        <v>-12616794.17958889</v>
      </c>
      <c r="H256" s="20">
        <f t="shared" si="142"/>
        <v>-12630598.772922225</v>
      </c>
      <c r="I256" s="20">
        <f t="shared" si="142"/>
        <v>-12644415.086255558</v>
      </c>
      <c r="J256" s="20">
        <f t="shared" si="142"/>
        <v>-12658243.169588892</v>
      </c>
      <c r="K256" s="20">
        <f t="shared" si="142"/>
        <v>-12672083.052922226</v>
      </c>
      <c r="L256" s="20">
        <f t="shared" si="142"/>
        <v>-12685934.766255561</v>
      </c>
      <c r="M256" s="20">
        <f t="shared" si="142"/>
        <v>-12699798.359588895</v>
      </c>
      <c r="N256" s="20">
        <f t="shared" si="142"/>
        <v>-12713673.862922229</v>
      </c>
      <c r="O256" s="20">
        <f t="shared" si="142"/>
        <v>-12727561.306255555</v>
      </c>
      <c r="P256" s="20">
        <f t="shared" si="142"/>
        <v>-164390841.70840004</v>
      </c>
      <c r="Q256" s="20">
        <f t="shared" si="142"/>
        <v>-12645449.362184616</v>
      </c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3"/>
    </row>
    <row r="257" spans="1:34" x14ac:dyDescent="0.25"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3"/>
    </row>
    <row r="258" spans="1:34" ht="15.75" x14ac:dyDescent="0.3">
      <c r="A258" s="18" t="s">
        <v>357</v>
      </c>
      <c r="B258" s="19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3"/>
    </row>
    <row r="259" spans="1:34" x14ac:dyDescent="0.25"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3"/>
    </row>
    <row r="260" spans="1:34" x14ac:dyDescent="0.25">
      <c r="A260" s="21" t="s">
        <v>358</v>
      </c>
      <c r="B260" s="22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3"/>
    </row>
    <row r="261" spans="1:34" x14ac:dyDescent="0.25">
      <c r="A261" s="13" t="s">
        <v>359</v>
      </c>
      <c r="B261" s="13" t="s">
        <v>360</v>
      </c>
      <c r="C261" s="2">
        <f>'WC def tax 22'!O261</f>
        <v>-2500241</v>
      </c>
      <c r="D261" s="64">
        <f>C261</f>
        <v>-2500241</v>
      </c>
      <c r="E261" s="64">
        <f t="shared" ref="E261:O261" si="143">D261</f>
        <v>-2500241</v>
      </c>
      <c r="F261" s="64">
        <f t="shared" si="143"/>
        <v>-2500241</v>
      </c>
      <c r="G261" s="64">
        <f t="shared" si="143"/>
        <v>-2500241</v>
      </c>
      <c r="H261" s="64">
        <f t="shared" si="143"/>
        <v>-2500241</v>
      </c>
      <c r="I261" s="64">
        <f t="shared" si="143"/>
        <v>-2500241</v>
      </c>
      <c r="J261" s="64">
        <f t="shared" si="143"/>
        <v>-2500241</v>
      </c>
      <c r="K261" s="64">
        <f t="shared" si="143"/>
        <v>-2500241</v>
      </c>
      <c r="L261" s="64">
        <f t="shared" si="143"/>
        <v>-2500241</v>
      </c>
      <c r="M261" s="64">
        <f t="shared" si="143"/>
        <v>-2500241</v>
      </c>
      <c r="N261" s="64">
        <f t="shared" si="143"/>
        <v>-2500241</v>
      </c>
      <c r="O261" s="64">
        <f t="shared" si="143"/>
        <v>-2500241</v>
      </c>
      <c r="P261" s="2">
        <f t="shared" ref="P261:P263" si="144">SUM(C261:O261)</f>
        <v>-32503133</v>
      </c>
      <c r="Q261" s="2">
        <f t="shared" ref="Q261:Q263" si="145">P261/13</f>
        <v>-2500241</v>
      </c>
      <c r="R261" s="15" t="s">
        <v>504</v>
      </c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3"/>
    </row>
    <row r="262" spans="1:34" x14ac:dyDescent="0.25">
      <c r="A262" s="13" t="s">
        <v>361</v>
      </c>
      <c r="B262" s="13" t="s">
        <v>362</v>
      </c>
      <c r="C262" s="2">
        <f>'WC def tax 22'!O262</f>
        <v>-590721</v>
      </c>
      <c r="D262" s="64">
        <f t="shared" ref="D262:O263" si="146">C262</f>
        <v>-590721</v>
      </c>
      <c r="E262" s="64">
        <f t="shared" si="146"/>
        <v>-590721</v>
      </c>
      <c r="F262" s="64">
        <f t="shared" si="146"/>
        <v>-590721</v>
      </c>
      <c r="G262" s="64">
        <f t="shared" si="146"/>
        <v>-590721</v>
      </c>
      <c r="H262" s="64">
        <f t="shared" si="146"/>
        <v>-590721</v>
      </c>
      <c r="I262" s="64">
        <f t="shared" si="146"/>
        <v>-590721</v>
      </c>
      <c r="J262" s="64">
        <f t="shared" si="146"/>
        <v>-590721</v>
      </c>
      <c r="K262" s="64">
        <f t="shared" si="146"/>
        <v>-590721</v>
      </c>
      <c r="L262" s="64">
        <f t="shared" si="146"/>
        <v>-590721</v>
      </c>
      <c r="M262" s="64">
        <f t="shared" si="146"/>
        <v>-590721</v>
      </c>
      <c r="N262" s="64">
        <f t="shared" si="146"/>
        <v>-590721</v>
      </c>
      <c r="O262" s="64">
        <f t="shared" si="146"/>
        <v>-590721</v>
      </c>
      <c r="P262" s="2">
        <f t="shared" si="144"/>
        <v>-7679373</v>
      </c>
      <c r="Q262" s="2">
        <f t="shared" si="145"/>
        <v>-590721</v>
      </c>
      <c r="R262" s="15" t="s">
        <v>504</v>
      </c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3"/>
    </row>
    <row r="263" spans="1:34" x14ac:dyDescent="0.25">
      <c r="A263" s="13" t="s">
        <v>363</v>
      </c>
      <c r="B263" s="13" t="s">
        <v>364</v>
      </c>
      <c r="C263" s="2">
        <f>'WC def tax 22'!O263</f>
        <v>73044291</v>
      </c>
      <c r="D263" s="64">
        <f t="shared" si="146"/>
        <v>73044291</v>
      </c>
      <c r="E263" s="64">
        <f t="shared" si="146"/>
        <v>73044291</v>
      </c>
      <c r="F263" s="64">
        <f t="shared" si="146"/>
        <v>73044291</v>
      </c>
      <c r="G263" s="64">
        <f t="shared" si="146"/>
        <v>73044291</v>
      </c>
      <c r="H263" s="64">
        <f t="shared" si="146"/>
        <v>73044291</v>
      </c>
      <c r="I263" s="64">
        <f t="shared" si="146"/>
        <v>73044291</v>
      </c>
      <c r="J263" s="64">
        <f t="shared" si="146"/>
        <v>73044291</v>
      </c>
      <c r="K263" s="64">
        <f t="shared" si="146"/>
        <v>73044291</v>
      </c>
      <c r="L263" s="64">
        <f t="shared" si="146"/>
        <v>73044291</v>
      </c>
      <c r="M263" s="64">
        <f t="shared" si="146"/>
        <v>73044291</v>
      </c>
      <c r="N263" s="64">
        <f t="shared" si="146"/>
        <v>73044291</v>
      </c>
      <c r="O263" s="64">
        <f t="shared" si="146"/>
        <v>73044291</v>
      </c>
      <c r="P263" s="2">
        <f t="shared" si="144"/>
        <v>949575783</v>
      </c>
      <c r="Q263" s="2">
        <f t="shared" si="145"/>
        <v>73044291</v>
      </c>
      <c r="R263" s="15" t="s">
        <v>504</v>
      </c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3"/>
    </row>
    <row r="264" spans="1:34" x14ac:dyDescent="0.25">
      <c r="C264" s="26" t="s">
        <v>67</v>
      </c>
      <c r="D264" s="26" t="s">
        <v>67</v>
      </c>
      <c r="E264" s="26" t="s">
        <v>67</v>
      </c>
      <c r="F264" s="26" t="s">
        <v>67</v>
      </c>
      <c r="G264" s="26" t="s">
        <v>67</v>
      </c>
      <c r="H264" s="26" t="s">
        <v>67</v>
      </c>
      <c r="I264" s="26" t="s">
        <v>67</v>
      </c>
      <c r="J264" s="26" t="s">
        <v>67</v>
      </c>
      <c r="K264" s="26" t="s">
        <v>67</v>
      </c>
      <c r="L264" s="26" t="s">
        <v>67</v>
      </c>
      <c r="M264" s="26" t="s">
        <v>67</v>
      </c>
      <c r="N264" s="26" t="s">
        <v>67</v>
      </c>
      <c r="O264" s="26" t="s">
        <v>67</v>
      </c>
      <c r="P264" s="26" t="s">
        <v>67</v>
      </c>
      <c r="Q264" s="26" t="s">
        <v>67</v>
      </c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3"/>
    </row>
    <row r="265" spans="1:34" x14ac:dyDescent="0.25">
      <c r="A265" s="21" t="s">
        <v>365</v>
      </c>
      <c r="B265" s="22"/>
      <c r="C265" s="23">
        <f>SUM(C261:C263)</f>
        <v>69953329</v>
      </c>
      <c r="D265" s="23">
        <f t="shared" ref="D265:Q265" si="147">SUM(D261:D263)</f>
        <v>69953329</v>
      </c>
      <c r="E265" s="23">
        <f t="shared" si="147"/>
        <v>69953329</v>
      </c>
      <c r="F265" s="23">
        <f t="shared" si="147"/>
        <v>69953329</v>
      </c>
      <c r="G265" s="23">
        <f t="shared" si="147"/>
        <v>69953329</v>
      </c>
      <c r="H265" s="23">
        <f t="shared" si="147"/>
        <v>69953329</v>
      </c>
      <c r="I265" s="23">
        <f t="shared" si="147"/>
        <v>69953329</v>
      </c>
      <c r="J265" s="23">
        <f t="shared" si="147"/>
        <v>69953329</v>
      </c>
      <c r="K265" s="23">
        <f t="shared" si="147"/>
        <v>69953329</v>
      </c>
      <c r="L265" s="23">
        <f t="shared" si="147"/>
        <v>69953329</v>
      </c>
      <c r="M265" s="23">
        <f t="shared" si="147"/>
        <v>69953329</v>
      </c>
      <c r="N265" s="23">
        <f t="shared" si="147"/>
        <v>69953329</v>
      </c>
      <c r="O265" s="23">
        <f t="shared" si="147"/>
        <v>69953329</v>
      </c>
      <c r="P265" s="23">
        <f t="shared" si="147"/>
        <v>909393277</v>
      </c>
      <c r="Q265" s="23">
        <f t="shared" si="147"/>
        <v>69953329</v>
      </c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3"/>
    </row>
    <row r="266" spans="1:34" x14ac:dyDescent="0.25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3"/>
    </row>
    <row r="267" spans="1:34" ht="15.75" x14ac:dyDescent="0.3">
      <c r="A267" s="18" t="s">
        <v>366</v>
      </c>
      <c r="B267" s="19"/>
      <c r="C267" s="20">
        <f>C265+C256+C214</f>
        <v>66687774.512966663</v>
      </c>
      <c r="D267" s="20">
        <f t="shared" ref="D267:Q267" si="148">D265+D256+D214</f>
        <v>66690882.204239547</v>
      </c>
      <c r="E267" s="20">
        <f t="shared" si="148"/>
        <v>66677249.230906218</v>
      </c>
      <c r="F267" s="20">
        <f t="shared" si="148"/>
        <v>66663605.047572881</v>
      </c>
      <c r="G267" s="20">
        <f t="shared" si="148"/>
        <v>66649949.644239545</v>
      </c>
      <c r="H267" s="20">
        <f t="shared" si="148"/>
        <v>66636282.980906218</v>
      </c>
      <c r="I267" s="20">
        <f t="shared" si="148"/>
        <v>66622605.007572882</v>
      </c>
      <c r="J267" s="20">
        <f t="shared" si="148"/>
        <v>66608915.714239545</v>
      </c>
      <c r="K267" s="20">
        <f t="shared" si="148"/>
        <v>66595215.040906213</v>
      </c>
      <c r="L267" s="20">
        <f t="shared" si="148"/>
        <v>66581502.967572883</v>
      </c>
      <c r="M267" s="20">
        <f t="shared" si="148"/>
        <v>66567779.454239547</v>
      </c>
      <c r="N267" s="20">
        <f t="shared" si="148"/>
        <v>66554044.460906208</v>
      </c>
      <c r="O267" s="20">
        <f t="shared" si="148"/>
        <v>66540297.957572885</v>
      </c>
      <c r="P267" s="20">
        <f t="shared" si="148"/>
        <v>866076104.22384131</v>
      </c>
      <c r="Q267" s="20">
        <f t="shared" si="148"/>
        <v>66621238.786449336</v>
      </c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3"/>
    </row>
    <row r="268" spans="1:34" x14ac:dyDescent="0.25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3"/>
    </row>
    <row r="269" spans="1:34" ht="19.5" x14ac:dyDescent="0.4">
      <c r="A269" s="5" t="s">
        <v>367</v>
      </c>
      <c r="B269" s="16"/>
      <c r="C269" s="17">
        <f>C267</f>
        <v>66687774.512966663</v>
      </c>
      <c r="D269" s="17">
        <f t="shared" ref="D269:Q269" si="149">D267</f>
        <v>66690882.204239547</v>
      </c>
      <c r="E269" s="17">
        <f t="shared" si="149"/>
        <v>66677249.230906218</v>
      </c>
      <c r="F269" s="17">
        <f t="shared" si="149"/>
        <v>66663605.047572881</v>
      </c>
      <c r="G269" s="17">
        <f t="shared" si="149"/>
        <v>66649949.644239545</v>
      </c>
      <c r="H269" s="17">
        <f t="shared" si="149"/>
        <v>66636282.980906218</v>
      </c>
      <c r="I269" s="17">
        <f t="shared" si="149"/>
        <v>66622605.007572882</v>
      </c>
      <c r="J269" s="17">
        <f t="shared" si="149"/>
        <v>66608915.714239545</v>
      </c>
      <c r="K269" s="17">
        <f t="shared" si="149"/>
        <v>66595215.040906213</v>
      </c>
      <c r="L269" s="17">
        <f t="shared" si="149"/>
        <v>66581502.967572883</v>
      </c>
      <c r="M269" s="17">
        <f t="shared" si="149"/>
        <v>66567779.454239547</v>
      </c>
      <c r="N269" s="17">
        <f t="shared" si="149"/>
        <v>66554044.460906208</v>
      </c>
      <c r="O269" s="17">
        <f t="shared" si="149"/>
        <v>66540297.957572885</v>
      </c>
      <c r="P269" s="17">
        <f t="shared" si="149"/>
        <v>866076104.22384131</v>
      </c>
      <c r="Q269" s="17">
        <f t="shared" si="149"/>
        <v>66621238.786449336</v>
      </c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3"/>
    </row>
    <row r="270" spans="1:34" x14ac:dyDescent="0.25">
      <c r="C270" s="26" t="s">
        <v>231</v>
      </c>
      <c r="D270" s="26" t="s">
        <v>231</v>
      </c>
      <c r="E270" s="26" t="s">
        <v>231</v>
      </c>
      <c r="F270" s="26" t="s">
        <v>231</v>
      </c>
      <c r="G270" s="26" t="s">
        <v>231</v>
      </c>
      <c r="H270" s="26" t="s">
        <v>231</v>
      </c>
      <c r="I270" s="26" t="s">
        <v>231</v>
      </c>
      <c r="J270" s="26" t="s">
        <v>231</v>
      </c>
      <c r="K270" s="26" t="s">
        <v>231</v>
      </c>
      <c r="L270" s="26" t="s">
        <v>231</v>
      </c>
      <c r="M270" s="26" t="s">
        <v>231</v>
      </c>
      <c r="N270" s="26" t="s">
        <v>231</v>
      </c>
      <c r="O270" s="26" t="s">
        <v>231</v>
      </c>
      <c r="P270" s="26" t="s">
        <v>231</v>
      </c>
      <c r="Q270" s="26" t="s">
        <v>231</v>
      </c>
      <c r="R270" s="15"/>
      <c r="S270" s="15"/>
      <c r="T270" s="61">
        <f t="shared" ref="T270:Y270" si="150">SUM(T79:T269)-SUM(T217:T233)-T238-T239</f>
        <v>2594073.3615346518</v>
      </c>
      <c r="U270" s="61">
        <f t="shared" si="150"/>
        <v>6535985.2210232783</v>
      </c>
      <c r="V270" s="61">
        <f t="shared" si="150"/>
        <v>-666710.63771158236</v>
      </c>
      <c r="W270" s="61">
        <f t="shared" si="150"/>
        <v>-8869.3969336208829</v>
      </c>
      <c r="X270" s="61">
        <f t="shared" si="150"/>
        <v>-7049.1213775613114</v>
      </c>
      <c r="Y270" s="61">
        <f t="shared" si="150"/>
        <v>-452826.67515224748</v>
      </c>
      <c r="Z270" s="61"/>
      <c r="AA270" s="61"/>
      <c r="AB270" s="61">
        <f t="shared" ref="AB270:AG270" si="151">SUM(AB79:AB269)-SUM(AB217:AB233)-AB238-AB239</f>
        <v>2640587.1178860613</v>
      </c>
      <c r="AC270" s="61">
        <f t="shared" si="151"/>
        <v>6653098.26425476</v>
      </c>
      <c r="AD270" s="61">
        <f t="shared" si="151"/>
        <v>-664843.14828605286</v>
      </c>
      <c r="AE270" s="61">
        <f t="shared" si="151"/>
        <v>-8850.982995151513</v>
      </c>
      <c r="AF270" s="61">
        <f t="shared" si="151"/>
        <v>-7033.2137064258668</v>
      </c>
      <c r="AG270" s="61">
        <f t="shared" si="151"/>
        <v>-465551.18914983206</v>
      </c>
      <c r="AH270" s="3"/>
    </row>
    <row r="271" spans="1:34" x14ac:dyDescent="0.25">
      <c r="C271" s="2">
        <f t="shared" ref="C271:Q271" si="152">C161-C269</f>
        <v>0</v>
      </c>
      <c r="D271" s="2">
        <f t="shared" si="152"/>
        <v>0</v>
      </c>
      <c r="E271" s="2">
        <f t="shared" si="152"/>
        <v>0</v>
      </c>
      <c r="F271" s="2">
        <f t="shared" si="152"/>
        <v>0</v>
      </c>
      <c r="G271" s="2">
        <f t="shared" si="152"/>
        <v>0</v>
      </c>
      <c r="H271" s="2">
        <f t="shared" si="152"/>
        <v>0</v>
      </c>
      <c r="I271" s="2">
        <f t="shared" si="152"/>
        <v>0</v>
      </c>
      <c r="J271" s="2">
        <f t="shared" si="152"/>
        <v>0</v>
      </c>
      <c r="K271" s="2">
        <f t="shared" si="152"/>
        <v>0</v>
      </c>
      <c r="L271" s="2">
        <f t="shared" si="152"/>
        <v>0</v>
      </c>
      <c r="M271" s="2">
        <f t="shared" si="152"/>
        <v>0</v>
      </c>
      <c r="N271" s="2">
        <f t="shared" si="152"/>
        <v>0</v>
      </c>
      <c r="O271" s="2">
        <f t="shared" si="152"/>
        <v>0</v>
      </c>
      <c r="P271" s="2">
        <f t="shared" si="152"/>
        <v>0</v>
      </c>
      <c r="Q271" s="2">
        <f t="shared" si="152"/>
        <v>0</v>
      </c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3"/>
    </row>
    <row r="272" spans="1:34" x14ac:dyDescent="0.25">
      <c r="C272" s="2">
        <f>-C271</f>
        <v>0</v>
      </c>
      <c r="D272" s="2">
        <f>-D271</f>
        <v>0</v>
      </c>
      <c r="E272" s="2">
        <f t="shared" ref="E272:P272" si="153">-E271</f>
        <v>0</v>
      </c>
      <c r="F272" s="2">
        <f t="shared" si="153"/>
        <v>0</v>
      </c>
      <c r="G272" s="2">
        <f t="shared" si="153"/>
        <v>0</v>
      </c>
      <c r="H272" s="2">
        <f t="shared" si="153"/>
        <v>0</v>
      </c>
      <c r="I272" s="2">
        <f t="shared" si="153"/>
        <v>0</v>
      </c>
      <c r="J272" s="2">
        <f t="shared" si="153"/>
        <v>0</v>
      </c>
      <c r="K272" s="2">
        <f t="shared" si="153"/>
        <v>0</v>
      </c>
      <c r="L272" s="2">
        <f t="shared" si="153"/>
        <v>0</v>
      </c>
      <c r="M272" s="2">
        <f t="shared" si="153"/>
        <v>0</v>
      </c>
      <c r="N272" s="2">
        <f t="shared" si="153"/>
        <v>0</v>
      </c>
      <c r="O272" s="2">
        <f t="shared" si="153"/>
        <v>0</v>
      </c>
      <c r="P272" s="2">
        <f t="shared" si="153"/>
        <v>0</v>
      </c>
      <c r="Q272" s="2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3"/>
    </row>
    <row r="273" spans="1:34" x14ac:dyDescent="0.25"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</row>
    <row r="274" spans="1:34" x14ac:dyDescent="0.25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</row>
    <row r="275" spans="1:34" x14ac:dyDescent="0.25">
      <c r="A275" s="13" t="s">
        <v>368</v>
      </c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62" t="s">
        <v>369</v>
      </c>
      <c r="R275" s="3"/>
      <c r="S275" s="3"/>
      <c r="T275" s="3"/>
      <c r="U275" s="3" t="s">
        <v>370</v>
      </c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</row>
    <row r="276" spans="1:34" x14ac:dyDescent="0.25">
      <c r="A276" s="13" t="s">
        <v>371</v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62" t="s">
        <v>372</v>
      </c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</row>
    <row r="277" spans="1:34" x14ac:dyDescent="0.25"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</row>
    <row r="278" spans="1:34" x14ac:dyDescent="0.25">
      <c r="A278" s="35"/>
      <c r="B278" s="35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</row>
    <row r="279" spans="1:34" x14ac:dyDescent="0.25">
      <c r="A279" s="35"/>
      <c r="B279" s="35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</row>
    <row r="280" spans="1:34" x14ac:dyDescent="0.25">
      <c r="A280" s="35"/>
      <c r="B280" s="35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</row>
    <row r="281" spans="1:34" x14ac:dyDescent="0.2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24"/>
      <c r="P281" s="24"/>
      <c r="Q281" s="24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</row>
    <row r="282" spans="1:34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24"/>
      <c r="P282" s="24"/>
      <c r="Q282" s="24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</row>
    <row r="283" spans="1:34" x14ac:dyDescent="0.2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24"/>
      <c r="P283" s="24"/>
      <c r="Q283" s="24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</row>
    <row r="284" spans="1:34" x14ac:dyDescent="0.2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24"/>
      <c r="P284" s="24"/>
      <c r="Q284" s="24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</row>
    <row r="285" spans="1:34" x14ac:dyDescent="0.2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24"/>
      <c r="P285" s="24"/>
      <c r="Q285" s="24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</row>
    <row r="286" spans="1:34" x14ac:dyDescent="0.2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24"/>
      <c r="P286" s="24"/>
      <c r="Q286" s="24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</row>
    <row r="287" spans="1:34" x14ac:dyDescent="0.2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24"/>
      <c r="P287" s="24"/>
      <c r="Q287" s="24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</row>
    <row r="288" spans="1:34" x14ac:dyDescent="0.2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24"/>
      <c r="P288" s="24"/>
      <c r="Q288" s="24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</row>
    <row r="289" spans="1:34" x14ac:dyDescent="0.2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24"/>
      <c r="P289" s="24"/>
      <c r="Q289" s="24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</row>
    <row r="290" spans="1:34" x14ac:dyDescent="0.2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24"/>
      <c r="P290" s="24"/>
      <c r="Q290" s="24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</row>
    <row r="291" spans="1:34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24"/>
      <c r="P291" s="24"/>
      <c r="Q291" s="24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</row>
    <row r="292" spans="1:34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24"/>
      <c r="P292" s="24"/>
      <c r="Q292" s="24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</row>
    <row r="293" spans="1:34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24"/>
      <c r="P293" s="24"/>
      <c r="Q293" s="24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</row>
    <row r="294" spans="1:34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24"/>
      <c r="P294" s="24"/>
      <c r="Q294" s="24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</row>
    <row r="295" spans="1:34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24"/>
      <c r="P295" s="24"/>
      <c r="Q295" s="24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</row>
    <row r="296" spans="1:34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24"/>
      <c r="P296" s="24"/>
      <c r="Q296" s="24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</row>
    <row r="297" spans="1:34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24"/>
      <c r="P297" s="24"/>
      <c r="Q297" s="24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</row>
    <row r="298" spans="1:34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24"/>
      <c r="P298" s="24"/>
      <c r="Q298" s="24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</row>
    <row r="299" spans="1:34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24"/>
      <c r="P299" s="24"/>
      <c r="Q299" s="24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</row>
    <row r="300" spans="1:34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24"/>
      <c r="P300" s="24"/>
      <c r="Q300" s="24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</row>
    <row r="301" spans="1:34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24"/>
      <c r="P301" s="24"/>
      <c r="Q301" s="24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</row>
    <row r="302" spans="1:34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24"/>
      <c r="P302" s="24"/>
      <c r="Q302" s="24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</row>
    <row r="303" spans="1:34" x14ac:dyDescent="0.25">
      <c r="A303" s="35"/>
      <c r="B303" s="35"/>
      <c r="C303" s="64"/>
      <c r="D303" s="64"/>
      <c r="E303" s="64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</row>
    <row r="304" spans="1:34" x14ac:dyDescent="0.25">
      <c r="A304" s="35"/>
      <c r="B304" s="35"/>
      <c r="C304" s="64"/>
      <c r="D304" s="64"/>
      <c r="E304" s="64"/>
      <c r="F304" s="64"/>
      <c r="G304" s="64"/>
      <c r="H304" s="64"/>
      <c r="I304" s="64"/>
      <c r="J304" s="64"/>
      <c r="K304" s="64"/>
      <c r="L304" s="64"/>
      <c r="M304" s="64"/>
      <c r="N304" s="64"/>
      <c r="O304" s="64"/>
      <c r="P304" s="64"/>
      <c r="Q304" s="64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</row>
    <row r="305" spans="1:34" x14ac:dyDescent="0.25">
      <c r="A305" s="35"/>
      <c r="B305" s="35"/>
      <c r="C305" s="64"/>
      <c r="D305" s="64"/>
      <c r="E305" s="64"/>
      <c r="F305" s="64"/>
      <c r="G305" s="64"/>
      <c r="H305" s="64"/>
      <c r="I305" s="64"/>
      <c r="J305" s="64"/>
      <c r="K305" s="64"/>
      <c r="L305" s="64"/>
      <c r="M305" s="64"/>
      <c r="N305" s="64"/>
      <c r="O305" s="64"/>
      <c r="P305" s="64"/>
      <c r="Q305" s="64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</row>
    <row r="306" spans="1:34" x14ac:dyDescent="0.25">
      <c r="A306" s="35"/>
      <c r="B306" s="35"/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</row>
    <row r="307" spans="1:34" x14ac:dyDescent="0.25">
      <c r="A307" s="35"/>
      <c r="B307" s="35"/>
      <c r="C307" s="64"/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</row>
    <row r="308" spans="1:34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64"/>
      <c r="P308" s="64"/>
      <c r="Q308" s="64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</row>
    <row r="309" spans="1:34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</row>
    <row r="310" spans="1:34" x14ac:dyDescent="0.25">
      <c r="R310" s="3"/>
    </row>
    <row r="311" spans="1:34" x14ac:dyDescent="0.25">
      <c r="R311" s="3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7"/>
  <sheetViews>
    <sheetView tabSelected="1" topLeftCell="K31" workbookViewId="0">
      <selection activeCell="S35" sqref="S35"/>
    </sheetView>
  </sheetViews>
  <sheetFormatPr defaultRowHeight="15" x14ac:dyDescent="0.25"/>
  <cols>
    <col min="1" max="1" width="3" customWidth="1"/>
    <col min="2" max="2" width="16.42578125" customWidth="1"/>
    <col min="3" max="3" width="47.42578125" bestFit="1" customWidth="1"/>
    <col min="4" max="4" width="15.85546875" style="13" customWidth="1"/>
    <col min="5" max="5" width="17.85546875" customWidth="1"/>
    <col min="6" max="6" width="4.42578125" customWidth="1"/>
    <col min="7" max="7" width="13" customWidth="1"/>
    <col min="8" max="8" width="12.140625" customWidth="1"/>
    <col min="9" max="9" width="12.7109375" customWidth="1"/>
    <col min="10" max="10" width="13.42578125" customWidth="1"/>
    <col min="11" max="11" width="11.28515625" customWidth="1"/>
    <col min="12" max="12" width="12.28515625" customWidth="1"/>
    <col min="13" max="13" width="13.7109375" customWidth="1"/>
    <col min="14" max="14" width="13.5703125" customWidth="1"/>
    <col min="15" max="15" width="11.42578125" customWidth="1"/>
    <col min="16" max="16" width="13.5703125" customWidth="1"/>
    <col min="17" max="17" width="12.7109375" customWidth="1"/>
    <col min="18" max="18" width="12.85546875" customWidth="1"/>
    <col min="19" max="19" width="14.140625" customWidth="1"/>
    <col min="20" max="20" width="11.85546875" customWidth="1"/>
    <col min="21" max="21" width="3.28515625" customWidth="1"/>
    <col min="24" max="24" width="17" bestFit="1" customWidth="1"/>
  </cols>
  <sheetData>
    <row r="1" spans="1:26" x14ac:dyDescent="0.25">
      <c r="A1" t="s">
        <v>373</v>
      </c>
    </row>
    <row r="2" spans="1:26" x14ac:dyDescent="0.25">
      <c r="A2" t="s">
        <v>374</v>
      </c>
    </row>
    <row r="5" spans="1:26" x14ac:dyDescent="0.25">
      <c r="B5" t="s">
        <v>375</v>
      </c>
      <c r="C5" t="s">
        <v>376</v>
      </c>
      <c r="D5" s="13" t="s">
        <v>377</v>
      </c>
      <c r="E5" t="s">
        <v>378</v>
      </c>
      <c r="G5" s="65">
        <v>44179</v>
      </c>
      <c r="H5" s="65">
        <v>44209</v>
      </c>
      <c r="I5" s="65">
        <v>44239</v>
      </c>
      <c r="J5" s="65">
        <v>44269</v>
      </c>
      <c r="K5" s="65">
        <v>44299</v>
      </c>
      <c r="L5" s="65">
        <v>44329</v>
      </c>
      <c r="M5" s="65">
        <v>44359</v>
      </c>
      <c r="N5" s="65">
        <v>44389</v>
      </c>
      <c r="O5" s="65">
        <v>44419</v>
      </c>
      <c r="P5" s="65">
        <v>44449</v>
      </c>
      <c r="Q5" s="65">
        <f t="shared" ref="Q5:S5" si="0">P5+30</f>
        <v>44479</v>
      </c>
      <c r="R5" s="65">
        <f t="shared" si="0"/>
        <v>44509</v>
      </c>
      <c r="S5" s="65">
        <f t="shared" si="0"/>
        <v>44539</v>
      </c>
      <c r="T5" s="66" t="s">
        <v>379</v>
      </c>
    </row>
    <row r="6" spans="1:26" x14ac:dyDescent="0.25">
      <c r="C6" s="67" t="s">
        <v>380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6"/>
    </row>
    <row r="7" spans="1:26" x14ac:dyDescent="0.25"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6"/>
    </row>
    <row r="8" spans="1:26" x14ac:dyDescent="0.25">
      <c r="B8" t="s">
        <v>381</v>
      </c>
      <c r="C8" t="s">
        <v>382</v>
      </c>
      <c r="D8" s="13" t="s">
        <v>71</v>
      </c>
      <c r="E8" t="s">
        <v>383</v>
      </c>
      <c r="G8" s="68">
        <v>0</v>
      </c>
      <c r="H8" s="68">
        <v>0</v>
      </c>
      <c r="I8" s="68">
        <v>0</v>
      </c>
      <c r="J8" s="68">
        <v>0</v>
      </c>
      <c r="K8" s="68">
        <v>3418</v>
      </c>
      <c r="L8" s="68">
        <v>3418</v>
      </c>
      <c r="M8" s="68">
        <v>0</v>
      </c>
      <c r="N8" s="68">
        <v>0</v>
      </c>
      <c r="O8" s="68">
        <v>0</v>
      </c>
      <c r="P8" s="68">
        <v>1364</v>
      </c>
      <c r="Q8" s="68">
        <v>0</v>
      </c>
      <c r="R8" s="68">
        <v>0</v>
      </c>
      <c r="S8" s="68">
        <v>0</v>
      </c>
      <c r="T8" s="68">
        <f>SUM(G8:S8)/13</f>
        <v>630.76923076923072</v>
      </c>
      <c r="U8" s="68"/>
      <c r="V8" s="68"/>
      <c r="W8" s="68"/>
      <c r="X8" s="68"/>
      <c r="Y8" s="68"/>
      <c r="Z8" s="68"/>
    </row>
    <row r="9" spans="1:26" x14ac:dyDescent="0.25">
      <c r="C9" s="69"/>
      <c r="D9" s="70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x14ac:dyDescent="0.25">
      <c r="G10" s="71">
        <f t="shared" ref="G10:T10" si="1">SUM(G8:G9)</f>
        <v>0</v>
      </c>
      <c r="H10" s="71">
        <f t="shared" si="1"/>
        <v>0</v>
      </c>
      <c r="I10" s="71">
        <f t="shared" si="1"/>
        <v>0</v>
      </c>
      <c r="J10" s="71">
        <f t="shared" si="1"/>
        <v>0</v>
      </c>
      <c r="K10" s="71">
        <f t="shared" si="1"/>
        <v>3418</v>
      </c>
      <c r="L10" s="71">
        <f t="shared" si="1"/>
        <v>3418</v>
      </c>
      <c r="M10" s="71">
        <f t="shared" si="1"/>
        <v>0</v>
      </c>
      <c r="N10" s="71">
        <f t="shared" si="1"/>
        <v>0</v>
      </c>
      <c r="O10" s="71">
        <f t="shared" si="1"/>
        <v>0</v>
      </c>
      <c r="P10" s="71">
        <f t="shared" si="1"/>
        <v>1364</v>
      </c>
      <c r="Q10" s="72">
        <f t="shared" si="1"/>
        <v>0</v>
      </c>
      <c r="R10" s="72">
        <f t="shared" si="1"/>
        <v>0</v>
      </c>
      <c r="S10" s="72">
        <f t="shared" si="1"/>
        <v>0</v>
      </c>
      <c r="T10" s="72">
        <f t="shared" si="1"/>
        <v>630.76923076923072</v>
      </c>
      <c r="U10" s="68"/>
      <c r="V10" s="68"/>
      <c r="W10" s="68"/>
      <c r="X10" s="68"/>
      <c r="Y10" s="68"/>
      <c r="Z10" s="68"/>
    </row>
    <row r="11" spans="1:26" x14ac:dyDescent="0.25"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73"/>
      <c r="R11" s="73"/>
      <c r="S11" s="73"/>
      <c r="T11" s="73"/>
      <c r="U11" s="68"/>
      <c r="V11" s="68"/>
      <c r="W11" s="68"/>
      <c r="X11" s="68"/>
      <c r="Y11" s="68"/>
      <c r="Z11" s="68"/>
    </row>
    <row r="12" spans="1:26" x14ac:dyDescent="0.25"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3"/>
      <c r="R12" s="73"/>
      <c r="S12" s="73"/>
      <c r="T12" s="73"/>
      <c r="U12" s="68"/>
      <c r="V12" s="68"/>
      <c r="W12" s="68"/>
      <c r="X12" s="68"/>
      <c r="Y12" s="68"/>
      <c r="Z12" s="68"/>
    </row>
    <row r="13" spans="1:26" x14ac:dyDescent="0.25">
      <c r="C13" s="67" t="s">
        <v>384</v>
      </c>
      <c r="D13" s="13">
        <v>10101010</v>
      </c>
      <c r="E13" t="s">
        <v>385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73">
        <f t="shared" ref="T13:T25" si="2">SUM(G13:S13)/13</f>
        <v>0</v>
      </c>
      <c r="U13" s="68"/>
      <c r="V13" s="68"/>
      <c r="W13" s="68"/>
      <c r="X13" s="68"/>
      <c r="Y13" s="68"/>
      <c r="Z13" s="68"/>
    </row>
    <row r="14" spans="1:26" x14ac:dyDescent="0.25">
      <c r="C14" t="s">
        <v>386</v>
      </c>
      <c r="D14" s="13" t="s">
        <v>44</v>
      </c>
      <c r="E14" t="s">
        <v>385</v>
      </c>
      <c r="G14" s="68">
        <v>596857.97</v>
      </c>
      <c r="H14" s="68">
        <v>596857.97</v>
      </c>
      <c r="I14" s="68">
        <v>596857.97</v>
      </c>
      <c r="J14" s="68">
        <v>596857.97</v>
      </c>
      <c r="K14" s="68">
        <v>596857.97</v>
      </c>
      <c r="L14" s="68">
        <v>596857.97</v>
      </c>
      <c r="M14" s="68">
        <v>596857.97</v>
      </c>
      <c r="N14" s="68">
        <v>596857.97</v>
      </c>
      <c r="O14" s="68">
        <v>596857.97</v>
      </c>
      <c r="P14" s="68">
        <v>596857.97</v>
      </c>
      <c r="Q14" s="68">
        <v>596857.97</v>
      </c>
      <c r="R14" s="68">
        <v>596857.97</v>
      </c>
      <c r="S14" s="68">
        <v>596857.97</v>
      </c>
      <c r="T14" s="73">
        <f t="shared" si="2"/>
        <v>596857.96999999986</v>
      </c>
      <c r="U14" s="68"/>
      <c r="V14" s="68"/>
      <c r="W14" s="68"/>
      <c r="X14" s="68"/>
      <c r="Y14" s="68"/>
      <c r="Z14" s="68"/>
    </row>
    <row r="15" spans="1:26" x14ac:dyDescent="0.25">
      <c r="C15" t="s">
        <v>387</v>
      </c>
      <c r="D15" s="13" t="s">
        <v>46</v>
      </c>
      <c r="E15" t="s">
        <v>385</v>
      </c>
      <c r="G15" s="68">
        <v>7749844.6500000004</v>
      </c>
      <c r="H15" s="68">
        <v>7751696.3800000008</v>
      </c>
      <c r="I15" s="68">
        <v>7759924.9100000001</v>
      </c>
      <c r="J15" s="68">
        <v>7765008.8700000001</v>
      </c>
      <c r="K15" s="68">
        <v>7766493.8000000007</v>
      </c>
      <c r="L15" s="68">
        <v>7768078.9600000009</v>
      </c>
      <c r="M15" s="68">
        <v>7746101.1600000001</v>
      </c>
      <c r="N15" s="68">
        <v>7746101.1600000001</v>
      </c>
      <c r="O15" s="68">
        <v>7746101.1600000001</v>
      </c>
      <c r="P15" s="68">
        <v>7746101.1600000001</v>
      </c>
      <c r="Q15" s="68">
        <v>7746101.1600000001</v>
      </c>
      <c r="R15" s="68">
        <v>7746101.1600000001</v>
      </c>
      <c r="S15" s="68">
        <v>7746101.1600000001</v>
      </c>
      <c r="T15" s="73">
        <f t="shared" si="2"/>
        <v>7752596.59153846</v>
      </c>
      <c r="U15" s="68"/>
      <c r="V15" s="68"/>
      <c r="W15" s="68"/>
      <c r="X15" s="68"/>
      <c r="Y15" s="68"/>
      <c r="Z15" s="68"/>
    </row>
    <row r="16" spans="1:26" x14ac:dyDescent="0.25">
      <c r="C16" t="s">
        <v>388</v>
      </c>
      <c r="D16" s="13" t="s">
        <v>48</v>
      </c>
      <c r="E16" t="s">
        <v>385</v>
      </c>
      <c r="G16" s="68">
        <v>738584.92</v>
      </c>
      <c r="H16" s="68">
        <v>738584.92</v>
      </c>
      <c r="I16" s="68">
        <v>738584.92</v>
      </c>
      <c r="J16" s="68">
        <v>738584.92</v>
      </c>
      <c r="K16" s="68">
        <v>738584.92</v>
      </c>
      <c r="L16" s="68">
        <v>738584.92</v>
      </c>
      <c r="M16" s="68">
        <v>742002.67</v>
      </c>
      <c r="N16" s="68">
        <v>742002.67</v>
      </c>
      <c r="O16" s="68">
        <v>742002.67</v>
      </c>
      <c r="P16" s="68">
        <v>742002.67</v>
      </c>
      <c r="Q16" s="68">
        <v>742002.67</v>
      </c>
      <c r="R16" s="68">
        <v>742002.67</v>
      </c>
      <c r="S16" s="68">
        <v>742002.67</v>
      </c>
      <c r="T16" s="73">
        <f t="shared" si="2"/>
        <v>740425.24692307704</v>
      </c>
      <c r="U16" s="68"/>
      <c r="V16" s="68"/>
      <c r="W16" s="68"/>
      <c r="X16" s="68"/>
      <c r="Y16" s="68"/>
      <c r="Z16" s="68"/>
    </row>
    <row r="17" spans="2:26" x14ac:dyDescent="0.25">
      <c r="C17" t="s">
        <v>382</v>
      </c>
      <c r="D17" s="13">
        <v>10103912</v>
      </c>
      <c r="E17" t="s">
        <v>385</v>
      </c>
      <c r="G17" s="68">
        <v>155846.9</v>
      </c>
      <c r="H17" s="68">
        <v>155846.9</v>
      </c>
      <c r="I17" s="68">
        <v>155846.9</v>
      </c>
      <c r="J17" s="68">
        <v>152164.67000000001</v>
      </c>
      <c r="K17" s="68">
        <v>96328.87</v>
      </c>
      <c r="L17" s="68">
        <v>96328.87</v>
      </c>
      <c r="M17" s="68">
        <v>96328.87</v>
      </c>
      <c r="N17" s="68">
        <v>96328.87</v>
      </c>
      <c r="O17" s="68">
        <v>96328.87</v>
      </c>
      <c r="P17" s="68">
        <v>64153.94</v>
      </c>
      <c r="Q17" s="68">
        <v>64153.94</v>
      </c>
      <c r="R17" s="68">
        <v>64153.94</v>
      </c>
      <c r="S17" s="68">
        <v>41832.54</v>
      </c>
      <c r="T17" s="73">
        <f t="shared" si="2"/>
        <v>102741.8523076923</v>
      </c>
      <c r="U17" s="68"/>
      <c r="V17" s="68"/>
      <c r="W17" s="68"/>
      <c r="X17" s="68"/>
      <c r="Y17" s="68"/>
      <c r="Z17" s="68"/>
    </row>
    <row r="18" spans="2:26" x14ac:dyDescent="0.25">
      <c r="C18" t="s">
        <v>389</v>
      </c>
      <c r="D18" s="13" t="s">
        <v>52</v>
      </c>
      <c r="E18" t="s">
        <v>385</v>
      </c>
      <c r="G18" s="68">
        <v>432439.96</v>
      </c>
      <c r="H18" s="68">
        <v>432439.96</v>
      </c>
      <c r="I18" s="68">
        <v>432439.96</v>
      </c>
      <c r="J18" s="68">
        <v>432439.96</v>
      </c>
      <c r="K18" s="68">
        <v>432439.96</v>
      </c>
      <c r="L18" s="68">
        <v>432439.96</v>
      </c>
      <c r="M18" s="68">
        <v>432439.96</v>
      </c>
      <c r="N18" s="68">
        <v>432439.96</v>
      </c>
      <c r="O18" s="68">
        <v>432439.96</v>
      </c>
      <c r="P18" s="68">
        <v>432439.96</v>
      </c>
      <c r="Q18" s="68">
        <v>432439.96</v>
      </c>
      <c r="R18" s="68">
        <v>432439.96</v>
      </c>
      <c r="S18" s="68">
        <v>432439.96</v>
      </c>
      <c r="T18" s="73">
        <f t="shared" si="2"/>
        <v>432439.96</v>
      </c>
      <c r="U18" s="68"/>
      <c r="V18" s="68"/>
      <c r="W18" s="68"/>
      <c r="X18" s="68"/>
      <c r="Y18" s="68"/>
      <c r="Z18" s="68"/>
    </row>
    <row r="19" spans="2:26" x14ac:dyDescent="0.25">
      <c r="C19" t="s">
        <v>390</v>
      </c>
      <c r="D19" s="13" t="s">
        <v>54</v>
      </c>
      <c r="E19" t="s">
        <v>385</v>
      </c>
      <c r="G19" s="68">
        <v>856175.07000000007</v>
      </c>
      <c r="H19" s="68">
        <v>864260.97000000009</v>
      </c>
      <c r="I19" s="68">
        <v>864260.97000000009</v>
      </c>
      <c r="J19" s="68">
        <v>864260.97000000009</v>
      </c>
      <c r="K19" s="68">
        <v>864260.97000000009</v>
      </c>
      <c r="L19" s="68">
        <v>864260.97000000009</v>
      </c>
      <c r="M19" s="68">
        <v>892460.5</v>
      </c>
      <c r="N19" s="68">
        <v>908227.98</v>
      </c>
      <c r="O19" s="68">
        <v>917653.1</v>
      </c>
      <c r="P19" s="68">
        <v>917653.1</v>
      </c>
      <c r="Q19" s="68">
        <v>927709.92</v>
      </c>
      <c r="R19" s="68">
        <v>932207.7</v>
      </c>
      <c r="S19" s="68">
        <v>936225.38</v>
      </c>
      <c r="T19" s="73">
        <f t="shared" si="2"/>
        <v>893047.5076923077</v>
      </c>
      <c r="U19" s="68"/>
      <c r="V19" s="68"/>
      <c r="W19" s="68"/>
      <c r="X19" s="68"/>
      <c r="Y19" s="68"/>
      <c r="Z19" s="68"/>
    </row>
    <row r="20" spans="2:26" x14ac:dyDescent="0.25">
      <c r="C20" t="s">
        <v>391</v>
      </c>
      <c r="D20" s="13" t="s">
        <v>56</v>
      </c>
      <c r="E20" t="s">
        <v>385</v>
      </c>
      <c r="G20" s="68">
        <v>258116.52</v>
      </c>
      <c r="H20" s="68">
        <v>258116.52</v>
      </c>
      <c r="I20" s="68">
        <v>258116.52</v>
      </c>
      <c r="J20" s="68">
        <v>258116.52</v>
      </c>
      <c r="K20" s="68">
        <v>258116.52</v>
      </c>
      <c r="L20" s="68">
        <v>258116.52</v>
      </c>
      <c r="M20" s="68">
        <v>258116.52</v>
      </c>
      <c r="N20" s="68">
        <v>258116.52</v>
      </c>
      <c r="O20" s="68">
        <v>258116.52</v>
      </c>
      <c r="P20" s="68">
        <v>258116.52</v>
      </c>
      <c r="Q20" s="68">
        <v>258116.52</v>
      </c>
      <c r="R20" s="68">
        <v>258116.52</v>
      </c>
      <c r="S20" s="68">
        <v>258116.52000000002</v>
      </c>
      <c r="T20" s="73">
        <f t="shared" si="2"/>
        <v>258116.52</v>
      </c>
      <c r="U20" s="68"/>
      <c r="V20" s="68"/>
      <c r="W20" s="68"/>
      <c r="X20" s="68"/>
      <c r="Y20" s="68"/>
      <c r="Z20" s="68"/>
    </row>
    <row r="21" spans="2:26" x14ac:dyDescent="0.25">
      <c r="C21" t="s">
        <v>392</v>
      </c>
      <c r="D21" s="13" t="s">
        <v>58</v>
      </c>
      <c r="E21" t="s">
        <v>385</v>
      </c>
      <c r="G21" s="68">
        <v>763765.58</v>
      </c>
      <c r="H21" s="68">
        <v>763765.58</v>
      </c>
      <c r="I21" s="68">
        <v>763765.58</v>
      </c>
      <c r="J21" s="68">
        <v>763765.58</v>
      </c>
      <c r="K21" s="68">
        <v>763765.58</v>
      </c>
      <c r="L21" s="68">
        <v>763765.58</v>
      </c>
      <c r="M21" s="68">
        <v>763765.58</v>
      </c>
      <c r="N21" s="68">
        <v>763765.58</v>
      </c>
      <c r="O21" s="68">
        <v>763765.58</v>
      </c>
      <c r="P21" s="68">
        <v>763765.58</v>
      </c>
      <c r="Q21" s="68">
        <v>763765.58</v>
      </c>
      <c r="R21" s="68">
        <v>763765.58</v>
      </c>
      <c r="S21" s="68">
        <v>763765.58</v>
      </c>
      <c r="T21" s="73">
        <f t="shared" si="2"/>
        <v>763765.58</v>
      </c>
      <c r="U21" s="68"/>
      <c r="V21" s="68"/>
      <c r="W21" s="68"/>
      <c r="X21" s="68"/>
      <c r="Y21" s="68"/>
      <c r="Z21" s="68"/>
    </row>
    <row r="22" spans="2:26" x14ac:dyDescent="0.25">
      <c r="C22" t="s">
        <v>59</v>
      </c>
      <c r="D22" s="13" t="s">
        <v>60</v>
      </c>
      <c r="E22" t="s">
        <v>385</v>
      </c>
      <c r="G22" s="68">
        <v>640740.72</v>
      </c>
      <c r="H22" s="68">
        <v>640740.72</v>
      </c>
      <c r="I22" s="68">
        <v>640740.72</v>
      </c>
      <c r="J22" s="68">
        <v>640740.72</v>
      </c>
      <c r="K22" s="68">
        <v>640740.72</v>
      </c>
      <c r="L22" s="68">
        <v>640740.72</v>
      </c>
      <c r="M22" s="68">
        <v>640740.72</v>
      </c>
      <c r="N22" s="68">
        <v>640740.72</v>
      </c>
      <c r="O22" s="68">
        <v>640740.72</v>
      </c>
      <c r="P22" s="68">
        <v>640740.72</v>
      </c>
      <c r="Q22" s="68">
        <v>640740.72</v>
      </c>
      <c r="R22" s="68">
        <v>640740.72</v>
      </c>
      <c r="S22" s="68">
        <v>640740.72</v>
      </c>
      <c r="T22" s="73">
        <f t="shared" si="2"/>
        <v>640740.71999999986</v>
      </c>
      <c r="U22" s="68"/>
      <c r="V22" s="68"/>
      <c r="W22" s="68"/>
      <c r="X22" s="68"/>
      <c r="Y22" s="68"/>
      <c r="Z22" s="68"/>
    </row>
    <row r="23" spans="2:26" x14ac:dyDescent="0.25">
      <c r="C23" t="s">
        <v>61</v>
      </c>
      <c r="D23" s="13" t="s">
        <v>62</v>
      </c>
      <c r="E23" t="s">
        <v>385</v>
      </c>
      <c r="G23" s="68">
        <v>32922.449999999997</v>
      </c>
      <c r="H23" s="68">
        <v>32922.449999999997</v>
      </c>
      <c r="I23" s="68">
        <v>32922.449999999997</v>
      </c>
      <c r="J23" s="68">
        <v>32922.449999999997</v>
      </c>
      <c r="K23" s="68">
        <v>32922.449999999997</v>
      </c>
      <c r="L23" s="68">
        <v>32922.449999999997</v>
      </c>
      <c r="M23" s="68">
        <v>32922.449999999997</v>
      </c>
      <c r="N23" s="68">
        <v>32922.449999999997</v>
      </c>
      <c r="O23" s="68">
        <v>32922.449999999997</v>
      </c>
      <c r="P23" s="68">
        <v>32922.449999999997</v>
      </c>
      <c r="Q23" s="68">
        <v>32922.449999999997</v>
      </c>
      <c r="R23" s="68">
        <v>32922.449999999997</v>
      </c>
      <c r="S23" s="68">
        <v>32922.449999999997</v>
      </c>
      <c r="T23" s="73">
        <f t="shared" si="2"/>
        <v>32922.450000000004</v>
      </c>
      <c r="U23" s="68"/>
      <c r="V23" s="68"/>
      <c r="W23" s="68"/>
      <c r="X23" s="68"/>
      <c r="Y23" s="68"/>
      <c r="Z23" s="68"/>
    </row>
    <row r="24" spans="2:26" x14ac:dyDescent="0.25">
      <c r="C24" t="s">
        <v>393</v>
      </c>
      <c r="D24" s="13" t="s">
        <v>64</v>
      </c>
      <c r="E24" t="s">
        <v>385</v>
      </c>
      <c r="G24" s="68"/>
      <c r="H24" s="68"/>
      <c r="I24" s="68"/>
      <c r="J24" s="68"/>
      <c r="K24" s="68"/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0</v>
      </c>
      <c r="T24" s="74">
        <f t="shared" si="2"/>
        <v>0</v>
      </c>
      <c r="U24" s="68"/>
      <c r="V24" s="68"/>
      <c r="W24" s="68"/>
      <c r="X24" s="68"/>
      <c r="Y24" s="68"/>
      <c r="Z24" s="68"/>
    </row>
    <row r="25" spans="2:26" x14ac:dyDescent="0.25">
      <c r="C25" t="s">
        <v>394</v>
      </c>
      <c r="D25" s="13" t="s">
        <v>395</v>
      </c>
      <c r="E25" t="s">
        <v>385</v>
      </c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75">
        <f t="shared" si="2"/>
        <v>0</v>
      </c>
      <c r="U25" s="68"/>
      <c r="V25" s="68"/>
      <c r="W25" s="68"/>
      <c r="X25" s="68"/>
      <c r="Y25" s="68"/>
      <c r="Z25" s="68"/>
    </row>
    <row r="26" spans="2:26" x14ac:dyDescent="0.25">
      <c r="G26" s="76">
        <f t="shared" ref="G26:T26" si="3">SUM(G13:G25)</f>
        <v>12225294.740000002</v>
      </c>
      <c r="H26" s="76">
        <f t="shared" si="3"/>
        <v>12235232.370000003</v>
      </c>
      <c r="I26" s="76">
        <f t="shared" si="3"/>
        <v>12243460.900000002</v>
      </c>
      <c r="J26" s="76">
        <f t="shared" si="3"/>
        <v>12244862.630000001</v>
      </c>
      <c r="K26" s="76">
        <f t="shared" si="3"/>
        <v>12190511.760000002</v>
      </c>
      <c r="L26" s="76">
        <f t="shared" si="3"/>
        <v>12192096.920000002</v>
      </c>
      <c r="M26" s="76">
        <f t="shared" si="3"/>
        <v>12201736.4</v>
      </c>
      <c r="N26" s="76">
        <f t="shared" si="3"/>
        <v>12217503.880000001</v>
      </c>
      <c r="O26" s="76">
        <f t="shared" si="3"/>
        <v>12226929</v>
      </c>
      <c r="P26" s="76">
        <f t="shared" si="3"/>
        <v>12194754.07</v>
      </c>
      <c r="Q26" s="76">
        <f t="shared" si="3"/>
        <v>12204810.890000001</v>
      </c>
      <c r="R26" s="76">
        <f t="shared" si="3"/>
        <v>12209308.67</v>
      </c>
      <c r="S26" s="76">
        <f t="shared" si="3"/>
        <v>12191004.950000001</v>
      </c>
      <c r="T26" s="76">
        <f t="shared" si="3"/>
        <v>12213654.398461537</v>
      </c>
      <c r="U26" s="68"/>
      <c r="V26" s="68"/>
      <c r="W26" s="68"/>
      <c r="X26" s="68"/>
      <c r="Y26" s="68"/>
      <c r="Z26" s="68"/>
    </row>
    <row r="27" spans="2:26" x14ac:dyDescent="0.25"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2:26" x14ac:dyDescent="0.25"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73"/>
      <c r="R28" s="73"/>
      <c r="S28" s="73"/>
      <c r="T28" s="73"/>
      <c r="U28" s="68"/>
      <c r="V28" s="68"/>
      <c r="W28" s="68"/>
      <c r="X28" s="68"/>
      <c r="Y28" s="68"/>
      <c r="Z28" s="68"/>
    </row>
    <row r="29" spans="2:26" x14ac:dyDescent="0.25">
      <c r="G29" s="77">
        <v>12225295</v>
      </c>
      <c r="H29" s="77">
        <v>12235232</v>
      </c>
      <c r="I29" s="77">
        <v>12243461</v>
      </c>
      <c r="J29" s="77">
        <v>12244863</v>
      </c>
      <c r="K29" s="77">
        <v>12193930</v>
      </c>
      <c r="L29" s="77">
        <v>12195515</v>
      </c>
      <c r="M29" s="77">
        <v>12201736</v>
      </c>
      <c r="N29" s="77">
        <v>12217504</v>
      </c>
      <c r="O29" s="77">
        <v>12226929</v>
      </c>
      <c r="P29" s="77">
        <v>12196118</v>
      </c>
      <c r="Q29" s="77">
        <v>12204811</v>
      </c>
      <c r="R29" s="77">
        <v>12209309</v>
      </c>
      <c r="S29" s="77">
        <v>12191005</v>
      </c>
      <c r="T29" s="75">
        <f>SUM(G29:S29)/13</f>
        <v>12214285.23076923</v>
      </c>
      <c r="U29" s="68"/>
      <c r="V29" s="68"/>
      <c r="W29" s="68"/>
      <c r="X29" s="68"/>
      <c r="Y29" s="68"/>
      <c r="Z29" s="68"/>
    </row>
    <row r="30" spans="2:26" x14ac:dyDescent="0.25">
      <c r="G30" s="68">
        <f>G29-G26-G10</f>
        <v>0.25999999791383743</v>
      </c>
      <c r="H30" s="68">
        <f t="shared" ref="H30:T30" si="4">H29-H26-H10</f>
        <v>-0.37000000290572643</v>
      </c>
      <c r="I30" s="68">
        <f t="shared" si="4"/>
        <v>9.9999997764825821E-2</v>
      </c>
      <c r="J30" s="68">
        <f t="shared" si="4"/>
        <v>0.36999999918043613</v>
      </c>
      <c r="K30" s="68">
        <f t="shared" si="4"/>
        <v>0.23999999836087227</v>
      </c>
      <c r="L30" s="68">
        <f t="shared" si="4"/>
        <v>7.9999998211860657E-2</v>
      </c>
      <c r="M30" s="68">
        <f t="shared" si="4"/>
        <v>-0.40000000037252903</v>
      </c>
      <c r="N30" s="68">
        <f t="shared" si="4"/>
        <v>0.11999999918043613</v>
      </c>
      <c r="O30" s="68">
        <f t="shared" si="4"/>
        <v>0</v>
      </c>
      <c r="P30" s="68">
        <f t="shared" si="4"/>
        <v>-7.0000000298023224E-2</v>
      </c>
      <c r="Q30" s="68">
        <f t="shared" si="4"/>
        <v>0.10999999940395355</v>
      </c>
      <c r="R30" s="68">
        <f t="shared" si="4"/>
        <v>0.33000000007450581</v>
      </c>
      <c r="S30" s="68">
        <f t="shared" si="4"/>
        <v>4.999999888241291E-2</v>
      </c>
      <c r="T30" s="68">
        <f t="shared" si="4"/>
        <v>6.3076923386461203E-2</v>
      </c>
      <c r="U30" s="68"/>
      <c r="V30" s="68"/>
      <c r="W30" s="68"/>
      <c r="X30" s="68"/>
      <c r="Y30" s="68"/>
      <c r="Z30" s="68"/>
    </row>
    <row r="31" spans="2:26" x14ac:dyDescent="0.25">
      <c r="B31" t="s">
        <v>396</v>
      </c>
      <c r="C31" s="67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3"/>
      <c r="U31" s="68"/>
      <c r="V31" s="68"/>
      <c r="W31" s="68"/>
      <c r="X31" s="68"/>
      <c r="Y31" s="68"/>
      <c r="Z31" s="68"/>
    </row>
    <row r="32" spans="2:26" x14ac:dyDescent="0.25"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73"/>
      <c r="R32" s="73"/>
      <c r="S32" s="73"/>
      <c r="T32" s="73"/>
      <c r="U32" s="68"/>
      <c r="V32" s="68"/>
      <c r="W32" s="68"/>
      <c r="X32" s="68"/>
      <c r="Y32" s="68"/>
      <c r="Z32" s="68"/>
    </row>
    <row r="33" spans="3:26" x14ac:dyDescent="0.25"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73"/>
      <c r="R33" s="73"/>
      <c r="S33" s="73"/>
      <c r="T33" s="73"/>
      <c r="U33" s="68"/>
      <c r="V33" s="68"/>
      <c r="W33" s="68"/>
      <c r="X33" s="68"/>
      <c r="Y33" s="68"/>
      <c r="Z33" s="68"/>
    </row>
    <row r="34" spans="3:26" x14ac:dyDescent="0.25">
      <c r="C34" s="67" t="s">
        <v>397</v>
      </c>
      <c r="D34" s="13">
        <v>10801080</v>
      </c>
      <c r="E34" t="s">
        <v>398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73">
        <f t="shared" ref="T34" si="5">SUM(G34:S34)/13</f>
        <v>0</v>
      </c>
      <c r="U34" s="68"/>
      <c r="V34" s="68"/>
      <c r="W34" s="68"/>
      <c r="X34" s="68"/>
      <c r="Y34" s="68"/>
      <c r="Z34" s="68"/>
    </row>
    <row r="35" spans="3:26" x14ac:dyDescent="0.25">
      <c r="C35" t="s">
        <v>399</v>
      </c>
      <c r="D35" s="13" t="s">
        <v>76</v>
      </c>
      <c r="E35" t="s">
        <v>385</v>
      </c>
      <c r="G35" s="68">
        <v>-240635.84000000003</v>
      </c>
      <c r="H35" s="68">
        <v>-255489.71000000002</v>
      </c>
      <c r="I35" s="68">
        <v>-270347.13</v>
      </c>
      <c r="J35" s="68">
        <v>-285220.32</v>
      </c>
      <c r="K35" s="68">
        <v>-300103.25</v>
      </c>
      <c r="L35" s="68">
        <v>-314989.03000000003</v>
      </c>
      <c r="M35" s="68">
        <v>-329877.85000000003</v>
      </c>
      <c r="N35" s="68">
        <v>-344724.54000000004</v>
      </c>
      <c r="O35" s="68">
        <v>-359571.23000000004</v>
      </c>
      <c r="P35" s="68">
        <v>-374417.91999999998</v>
      </c>
      <c r="Q35" s="68">
        <v>-389264.61</v>
      </c>
      <c r="R35" s="68">
        <v>-404111.3</v>
      </c>
      <c r="S35" s="68">
        <v>-420142.72</v>
      </c>
      <c r="T35" s="73">
        <f t="shared" ref="T35:T44" si="6">SUM(G35:S35)/13</f>
        <v>-329915.03461538453</v>
      </c>
      <c r="U35" s="68"/>
      <c r="V35" s="68"/>
      <c r="W35" s="68"/>
      <c r="X35" s="68"/>
      <c r="Y35" s="68"/>
      <c r="Z35" s="68"/>
    </row>
    <row r="36" spans="3:26" x14ac:dyDescent="0.25">
      <c r="C36" t="s">
        <v>400</v>
      </c>
      <c r="D36" s="13" t="s">
        <v>77</v>
      </c>
      <c r="E36" t="s">
        <v>385</v>
      </c>
      <c r="G36" s="68">
        <v>-394865.56000000011</v>
      </c>
      <c r="H36" s="68">
        <v>-413890.32000000012</v>
      </c>
      <c r="I36" s="68">
        <v>-432915.08000000013</v>
      </c>
      <c r="J36" s="68">
        <v>-451939.84000000014</v>
      </c>
      <c r="K36" s="68">
        <v>-470964.60000000015</v>
      </c>
      <c r="L36" s="68">
        <v>-489989.36000000016</v>
      </c>
      <c r="M36" s="68">
        <v>-509014.12000000017</v>
      </c>
      <c r="N36" s="68">
        <v>-528059.2200000002</v>
      </c>
      <c r="O36" s="68">
        <v>-547104.32000000018</v>
      </c>
      <c r="P36" s="68">
        <v>-566149.42000000004</v>
      </c>
      <c r="Q36" s="68">
        <v>-585194.52</v>
      </c>
      <c r="R36" s="68">
        <v>-604239.62</v>
      </c>
      <c r="S36" s="68">
        <v>-30015.37999999999</v>
      </c>
      <c r="T36" s="73">
        <f t="shared" si="6"/>
        <v>-463410.87384615396</v>
      </c>
      <c r="U36" s="68"/>
      <c r="V36" s="68"/>
      <c r="W36" s="68"/>
      <c r="X36" s="68"/>
      <c r="Y36" s="68"/>
      <c r="Z36" s="68"/>
    </row>
    <row r="37" spans="3:26" x14ac:dyDescent="0.25">
      <c r="C37" t="s">
        <v>401</v>
      </c>
      <c r="D37" s="13">
        <v>10803912</v>
      </c>
      <c r="E37" t="s">
        <v>383</v>
      </c>
      <c r="G37" s="68">
        <v>393600.4700000002</v>
      </c>
      <c r="H37" s="68">
        <v>394656.75000000023</v>
      </c>
      <c r="I37" s="68">
        <v>395713.03000000026</v>
      </c>
      <c r="J37" s="68">
        <v>400451.54000000027</v>
      </c>
      <c r="K37" s="68">
        <v>457374.30000000028</v>
      </c>
      <c r="L37" s="68">
        <v>458926.56000000029</v>
      </c>
      <c r="M37" s="68">
        <v>460478.8200000003</v>
      </c>
      <c r="N37" s="68">
        <v>462031.08000000031</v>
      </c>
      <c r="O37" s="68">
        <v>463583.34000000032</v>
      </c>
      <c r="P37" s="68">
        <v>497310.53</v>
      </c>
      <c r="Q37" s="68">
        <v>499130.91</v>
      </c>
      <c r="R37" s="68">
        <v>500951.29</v>
      </c>
      <c r="S37" s="68">
        <v>-100219.34</v>
      </c>
      <c r="T37" s="73">
        <f t="shared" si="6"/>
        <v>406460.71384615399</v>
      </c>
      <c r="U37" s="68"/>
      <c r="V37" s="68"/>
      <c r="W37" s="68"/>
      <c r="X37" s="68"/>
      <c r="Y37" s="68"/>
      <c r="Z37" s="68"/>
    </row>
    <row r="38" spans="3:26" x14ac:dyDescent="0.25">
      <c r="C38" t="s">
        <v>402</v>
      </c>
      <c r="D38" s="13">
        <v>10803913</v>
      </c>
      <c r="E38" t="s">
        <v>385</v>
      </c>
      <c r="G38" s="68">
        <v>153800.21000000005</v>
      </c>
      <c r="H38" s="68">
        <v>151484.80000000005</v>
      </c>
      <c r="I38" s="68">
        <v>149169.39000000004</v>
      </c>
      <c r="J38" s="68">
        <v>146853.98000000004</v>
      </c>
      <c r="K38" s="68">
        <v>144538.57000000004</v>
      </c>
      <c r="L38" s="68">
        <v>142223.16000000003</v>
      </c>
      <c r="M38" s="68">
        <v>139907.75000000003</v>
      </c>
      <c r="N38" s="68">
        <v>137592.34000000003</v>
      </c>
      <c r="O38" s="68">
        <v>135276.93000000002</v>
      </c>
      <c r="P38" s="68">
        <v>132961.51999999999</v>
      </c>
      <c r="Q38" s="68">
        <v>130646.11</v>
      </c>
      <c r="R38" s="68">
        <v>128330.7</v>
      </c>
      <c r="S38" s="68">
        <v>240146.58000000002</v>
      </c>
      <c r="T38" s="73">
        <f t="shared" si="6"/>
        <v>148687.08000000002</v>
      </c>
      <c r="U38" s="68"/>
      <c r="V38" s="68"/>
      <c r="W38" s="68"/>
      <c r="X38" s="68"/>
      <c r="Y38" s="68"/>
      <c r="Z38" s="68"/>
    </row>
    <row r="39" spans="3:26" x14ac:dyDescent="0.25">
      <c r="C39" t="s">
        <v>403</v>
      </c>
      <c r="D39" s="13" t="s">
        <v>80</v>
      </c>
      <c r="E39" t="s">
        <v>385</v>
      </c>
      <c r="G39" s="68">
        <v>-25434.540000000052</v>
      </c>
      <c r="H39" s="68">
        <v>-22596.080000000053</v>
      </c>
      <c r="I39" s="68">
        <v>-19825.000000000051</v>
      </c>
      <c r="J39" s="68">
        <v>-17053.920000000049</v>
      </c>
      <c r="K39" s="68">
        <v>-14282.840000000049</v>
      </c>
      <c r="L39" s="68">
        <v>-11511.760000000049</v>
      </c>
      <c r="M39" s="68">
        <v>-8740.6800000000494</v>
      </c>
      <c r="N39" s="68">
        <v>-6204.6000000000495</v>
      </c>
      <c r="O39" s="68">
        <v>-3799.9200000000492</v>
      </c>
      <c r="P39" s="68">
        <v>-1473.78</v>
      </c>
      <c r="Q39" s="68">
        <v>852.36</v>
      </c>
      <c r="R39" s="68">
        <v>3094.69</v>
      </c>
      <c r="S39" s="68">
        <v>9031.5400000000009</v>
      </c>
      <c r="T39" s="73">
        <f t="shared" si="6"/>
        <v>-9072.6561538461901</v>
      </c>
      <c r="U39" s="68"/>
      <c r="V39" s="68"/>
      <c r="W39" s="68"/>
      <c r="X39" s="68"/>
      <c r="Y39" s="68"/>
      <c r="Z39" s="68"/>
    </row>
    <row r="40" spans="3:26" x14ac:dyDescent="0.25">
      <c r="C40" t="s">
        <v>404</v>
      </c>
      <c r="D40" s="13" t="s">
        <v>81</v>
      </c>
      <c r="E40" t="s">
        <v>385</v>
      </c>
      <c r="G40" s="68">
        <v>-110913.55000000002</v>
      </c>
      <c r="H40" s="68">
        <v>-114656.24000000002</v>
      </c>
      <c r="I40" s="68">
        <v>-118398.93000000002</v>
      </c>
      <c r="J40" s="68">
        <v>-122141.62000000002</v>
      </c>
      <c r="K40" s="68">
        <v>-125884.31000000003</v>
      </c>
      <c r="L40" s="68">
        <v>-129627.00000000003</v>
      </c>
      <c r="M40" s="68">
        <v>-133369.69000000003</v>
      </c>
      <c r="N40" s="68">
        <v>-137112.38000000003</v>
      </c>
      <c r="O40" s="68">
        <v>-140855.07000000004</v>
      </c>
      <c r="P40" s="68">
        <v>-144597.76000000001</v>
      </c>
      <c r="Q40" s="68">
        <v>-148340.45000000001</v>
      </c>
      <c r="R40" s="68">
        <v>-152083.14000000001</v>
      </c>
      <c r="S40" s="68">
        <v>-155825.82999999999</v>
      </c>
      <c r="T40" s="73">
        <f t="shared" si="6"/>
        <v>-133369.69</v>
      </c>
      <c r="U40" s="68"/>
      <c r="V40" s="68"/>
      <c r="W40" s="68"/>
      <c r="X40" s="68"/>
      <c r="Y40" s="68"/>
      <c r="Z40" s="68"/>
    </row>
    <row r="41" spans="3:26" x14ac:dyDescent="0.25">
      <c r="C41" t="s">
        <v>405</v>
      </c>
      <c r="D41" s="13" t="s">
        <v>82</v>
      </c>
      <c r="E41" t="s">
        <v>385</v>
      </c>
      <c r="G41" s="68">
        <v>-263873.36999999988</v>
      </c>
      <c r="H41" s="68">
        <v>-269219.72999999986</v>
      </c>
      <c r="I41" s="68">
        <v>-274566.08999999985</v>
      </c>
      <c r="J41" s="68">
        <v>-279912.44999999984</v>
      </c>
      <c r="K41" s="68">
        <v>-285258.80999999982</v>
      </c>
      <c r="L41" s="68">
        <v>-290605.16999999981</v>
      </c>
      <c r="M41" s="68">
        <v>-295951.5299999998</v>
      </c>
      <c r="N41" s="68">
        <v>-301297.88999999978</v>
      </c>
      <c r="O41" s="68">
        <v>-306644.24999999977</v>
      </c>
      <c r="P41" s="68">
        <v>-311990.61</v>
      </c>
      <c r="Q41" s="68">
        <v>-317336.96999999997</v>
      </c>
      <c r="R41" s="68">
        <v>-322683.33</v>
      </c>
      <c r="S41" s="68">
        <v>-254232.94</v>
      </c>
      <c r="T41" s="73">
        <f t="shared" si="6"/>
        <v>-290274.85692307679</v>
      </c>
      <c r="U41" s="68"/>
      <c r="V41" s="68"/>
      <c r="W41" s="68"/>
      <c r="X41" s="68"/>
      <c r="Y41" s="68"/>
      <c r="Z41" s="68"/>
    </row>
    <row r="42" spans="3:26" x14ac:dyDescent="0.25">
      <c r="C42" t="s">
        <v>406</v>
      </c>
      <c r="D42" s="13" t="s">
        <v>83</v>
      </c>
      <c r="E42" t="s">
        <v>385</v>
      </c>
      <c r="G42" s="68">
        <v>-115532.95000000001</v>
      </c>
      <c r="H42" s="68">
        <v>-121640.93000000001</v>
      </c>
      <c r="I42" s="68">
        <v>-127748.91</v>
      </c>
      <c r="J42" s="68">
        <v>-133856.89000000001</v>
      </c>
      <c r="K42" s="68">
        <v>-139964.87000000002</v>
      </c>
      <c r="L42" s="68">
        <v>-146072.85000000003</v>
      </c>
      <c r="M42" s="68">
        <v>-152180.83000000005</v>
      </c>
      <c r="N42" s="68">
        <v>-158288.81000000006</v>
      </c>
      <c r="O42" s="68">
        <v>-164396.79000000007</v>
      </c>
      <c r="P42" s="68">
        <v>-170504.77</v>
      </c>
      <c r="Q42" s="68">
        <v>-176612.75</v>
      </c>
      <c r="R42" s="68">
        <v>-182720.73</v>
      </c>
      <c r="S42" s="68">
        <v>-192055.3</v>
      </c>
      <c r="T42" s="73">
        <f t="shared" si="6"/>
        <v>-152429.02923076926</v>
      </c>
      <c r="U42" s="68"/>
      <c r="V42" s="68"/>
      <c r="W42" s="68"/>
      <c r="X42" s="68"/>
      <c r="Y42" s="68"/>
      <c r="Z42" s="68"/>
    </row>
    <row r="43" spans="3:26" x14ac:dyDescent="0.25">
      <c r="C43" t="s">
        <v>407</v>
      </c>
      <c r="D43" s="13" t="s">
        <v>84</v>
      </c>
      <c r="E43" t="s">
        <v>385</v>
      </c>
      <c r="G43" s="68">
        <v>-81.5900000000006</v>
      </c>
      <c r="H43" s="68">
        <v>-811.80000000000064</v>
      </c>
      <c r="I43" s="68">
        <v>-1542.0100000000007</v>
      </c>
      <c r="J43" s="68">
        <v>-2272.2200000000007</v>
      </c>
      <c r="K43" s="68">
        <v>-3002.4300000000007</v>
      </c>
      <c r="L43" s="68">
        <v>-3732.6400000000008</v>
      </c>
      <c r="M43" s="68">
        <v>-4462.8500000000004</v>
      </c>
      <c r="N43" s="68">
        <v>-5193.0600000000004</v>
      </c>
      <c r="O43" s="68">
        <v>-5923.27</v>
      </c>
      <c r="P43" s="68">
        <v>-6653.48</v>
      </c>
      <c r="Q43" s="68">
        <v>-7383.69</v>
      </c>
      <c r="R43" s="68">
        <v>-8113.9</v>
      </c>
      <c r="S43" s="68">
        <v>-9977.82</v>
      </c>
      <c r="T43" s="73">
        <f t="shared" si="6"/>
        <v>-4550.0584615384623</v>
      </c>
      <c r="U43" s="68"/>
      <c r="V43" s="68"/>
      <c r="W43" s="68"/>
      <c r="X43" s="68"/>
      <c r="Y43" s="68"/>
      <c r="Z43" s="68"/>
    </row>
    <row r="44" spans="3:26" x14ac:dyDescent="0.25">
      <c r="C44" t="s">
        <v>408</v>
      </c>
      <c r="D44" s="13" t="s">
        <v>85</v>
      </c>
      <c r="E44" t="s">
        <v>385</v>
      </c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3">
        <f t="shared" si="6"/>
        <v>0</v>
      </c>
      <c r="U44" s="68"/>
      <c r="V44" s="68"/>
      <c r="W44" s="68"/>
      <c r="X44" s="68"/>
      <c r="Y44" s="68"/>
      <c r="Z44" s="68"/>
    </row>
    <row r="45" spans="3:26" x14ac:dyDescent="0.25">
      <c r="C45" s="13" t="s">
        <v>86</v>
      </c>
      <c r="D45" s="13" t="s">
        <v>87</v>
      </c>
      <c r="E45" t="s">
        <v>385</v>
      </c>
      <c r="G45" s="68">
        <v>30205</v>
      </c>
      <c r="H45" s="68">
        <v>32003</v>
      </c>
      <c r="I45" s="68">
        <v>32006</v>
      </c>
      <c r="J45" s="68">
        <v>32022</v>
      </c>
      <c r="K45" s="68">
        <v>32001</v>
      </c>
      <c r="L45" s="68">
        <v>31539</v>
      </c>
      <c r="M45" s="68">
        <v>31497</v>
      </c>
      <c r="N45" s="68">
        <v>31475</v>
      </c>
      <c r="O45" s="68">
        <v>31520</v>
      </c>
      <c r="P45" s="68">
        <v>31520</v>
      </c>
      <c r="Q45" s="68">
        <v>31252</v>
      </c>
      <c r="R45" s="68">
        <v>31252</v>
      </c>
      <c r="S45" s="68">
        <v>25334</v>
      </c>
      <c r="T45" s="73">
        <f t="shared" ref="T45:T47" si="7">SUM(G45:S45)/13</f>
        <v>31048.153846153848</v>
      </c>
      <c r="U45" s="68"/>
      <c r="V45" s="68"/>
      <c r="W45" s="68"/>
      <c r="X45" s="68"/>
      <c r="Y45" s="68"/>
      <c r="Z45" s="68"/>
    </row>
    <row r="46" spans="3:26" x14ac:dyDescent="0.25">
      <c r="C46" s="13" t="s">
        <v>88</v>
      </c>
      <c r="D46" s="13" t="s">
        <v>89</v>
      </c>
      <c r="E46" t="s">
        <v>385</v>
      </c>
      <c r="G46" s="68">
        <v>18026</v>
      </c>
      <c r="H46" s="68">
        <v>16224</v>
      </c>
      <c r="I46" s="68">
        <v>16291</v>
      </c>
      <c r="J46" s="68">
        <v>16291</v>
      </c>
      <c r="K46" s="68">
        <v>16291</v>
      </c>
      <c r="L46" s="68">
        <v>16291</v>
      </c>
      <c r="M46" s="68">
        <v>16291</v>
      </c>
      <c r="N46" s="68">
        <v>16526</v>
      </c>
      <c r="O46" s="68">
        <v>16658</v>
      </c>
      <c r="P46" s="68">
        <v>16736</v>
      </c>
      <c r="Q46" s="68">
        <v>16736</v>
      </c>
      <c r="R46" s="68">
        <v>16820</v>
      </c>
      <c r="S46" s="68">
        <v>22241</v>
      </c>
      <c r="T46" s="73">
        <f t="shared" si="7"/>
        <v>17032.461538461539</v>
      </c>
      <c r="U46" s="68"/>
      <c r="V46" s="68"/>
      <c r="W46" s="68"/>
      <c r="X46" s="68"/>
      <c r="Y46" s="68"/>
      <c r="Z46" s="68"/>
    </row>
    <row r="47" spans="3:26" x14ac:dyDescent="0.25">
      <c r="C47" s="13" t="s">
        <v>90</v>
      </c>
      <c r="D47" s="13" t="s">
        <v>91</v>
      </c>
      <c r="E47" t="s">
        <v>385</v>
      </c>
      <c r="G47" s="68">
        <v>-45669</v>
      </c>
      <c r="H47" s="68">
        <v>-45669</v>
      </c>
      <c r="I47" s="68">
        <v>-45669</v>
      </c>
      <c r="J47" s="68">
        <v>-45669</v>
      </c>
      <c r="K47" s="68">
        <v>-45669</v>
      </c>
      <c r="L47" s="68">
        <v>-45669</v>
      </c>
      <c r="M47" s="68">
        <v>-45669</v>
      </c>
      <c r="N47" s="68">
        <v>-45669</v>
      </c>
      <c r="O47" s="68">
        <v>-45669</v>
      </c>
      <c r="P47" s="68">
        <v>-45669</v>
      </c>
      <c r="Q47" s="68">
        <v>-45669</v>
      </c>
      <c r="R47" s="68">
        <v>-45669</v>
      </c>
      <c r="S47" s="68">
        <v>-45669</v>
      </c>
      <c r="T47" s="73">
        <f t="shared" si="7"/>
        <v>-45669</v>
      </c>
      <c r="U47" s="68"/>
      <c r="V47" s="68"/>
      <c r="W47" s="68"/>
      <c r="X47" s="68"/>
      <c r="Y47" s="68"/>
      <c r="Z47" s="68"/>
    </row>
    <row r="48" spans="3:26" x14ac:dyDescent="0.25">
      <c r="G48" s="71">
        <f t="shared" ref="G48:T48" si="8">SUM(G34:G47)</f>
        <v>-601374.71999999986</v>
      </c>
      <c r="H48" s="71">
        <f t="shared" si="8"/>
        <v>-649605.25999999989</v>
      </c>
      <c r="I48" s="71">
        <f t="shared" si="8"/>
        <v>-697832.72999999986</v>
      </c>
      <c r="J48" s="71">
        <f t="shared" si="8"/>
        <v>-742447.73999999976</v>
      </c>
      <c r="K48" s="71">
        <f t="shared" si="8"/>
        <v>-734925.23999999976</v>
      </c>
      <c r="L48" s="71">
        <f t="shared" si="8"/>
        <v>-783217.08999999973</v>
      </c>
      <c r="M48" s="71">
        <f t="shared" si="8"/>
        <v>-831091.97999999986</v>
      </c>
      <c r="N48" s="71">
        <f t="shared" si="8"/>
        <v>-878925.07999999984</v>
      </c>
      <c r="O48" s="71">
        <f t="shared" si="8"/>
        <v>-926925.57999999984</v>
      </c>
      <c r="P48" s="71">
        <f t="shared" si="8"/>
        <v>-942928.69000000006</v>
      </c>
      <c r="Q48" s="71">
        <f t="shared" si="8"/>
        <v>-991184.61</v>
      </c>
      <c r="R48" s="71">
        <f t="shared" si="8"/>
        <v>-1039172.34</v>
      </c>
      <c r="S48" s="71">
        <f t="shared" si="8"/>
        <v>-911385.20999999985</v>
      </c>
      <c r="T48" s="71">
        <f t="shared" si="8"/>
        <v>-825462.78999999992</v>
      </c>
      <c r="U48" s="68"/>
      <c r="V48" s="68"/>
      <c r="W48" s="68"/>
      <c r="X48" s="68"/>
      <c r="Y48" s="68"/>
      <c r="Z48" s="68"/>
    </row>
    <row r="49" spans="1:26" x14ac:dyDescent="0.25">
      <c r="G49" s="76">
        <f t="shared" ref="G49:T49" si="9">G48+G31</f>
        <v>-601374.71999999986</v>
      </c>
      <c r="H49" s="76">
        <f t="shared" si="9"/>
        <v>-649605.25999999989</v>
      </c>
      <c r="I49" s="76">
        <f t="shared" si="9"/>
        <v>-697832.72999999986</v>
      </c>
      <c r="J49" s="76">
        <f t="shared" si="9"/>
        <v>-742447.73999999976</v>
      </c>
      <c r="K49" s="76">
        <f t="shared" si="9"/>
        <v>-734925.23999999976</v>
      </c>
      <c r="L49" s="76">
        <f t="shared" si="9"/>
        <v>-783217.08999999973</v>
      </c>
      <c r="M49" s="76">
        <f t="shared" si="9"/>
        <v>-831091.97999999986</v>
      </c>
      <c r="N49" s="76">
        <f t="shared" si="9"/>
        <v>-878925.07999999984</v>
      </c>
      <c r="O49" s="76">
        <f t="shared" si="9"/>
        <v>-926925.57999999984</v>
      </c>
      <c r="P49" s="76">
        <f t="shared" si="9"/>
        <v>-942928.69000000006</v>
      </c>
      <c r="Q49" s="76">
        <f t="shared" si="9"/>
        <v>-991184.61</v>
      </c>
      <c r="R49" s="76">
        <f t="shared" si="9"/>
        <v>-1039172.34</v>
      </c>
      <c r="S49" s="76">
        <f t="shared" si="9"/>
        <v>-911385.20999999985</v>
      </c>
      <c r="T49" s="76">
        <f t="shared" si="9"/>
        <v>-825462.78999999992</v>
      </c>
      <c r="U49" s="68"/>
      <c r="V49" s="68"/>
      <c r="W49" s="68"/>
      <c r="X49" s="68"/>
      <c r="Y49" s="68"/>
      <c r="Z49" s="68"/>
    </row>
    <row r="50" spans="1:26" x14ac:dyDescent="0.25"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73"/>
      <c r="R50" s="73"/>
      <c r="S50" s="73"/>
      <c r="T50" s="68"/>
      <c r="U50" s="68"/>
      <c r="V50" s="68"/>
      <c r="W50" s="68"/>
      <c r="X50" s="68"/>
      <c r="Y50" s="68"/>
      <c r="Z50" s="68"/>
    </row>
    <row r="51" spans="1:26" x14ac:dyDescent="0.25">
      <c r="G51" s="79">
        <v>-601375</v>
      </c>
      <c r="H51" s="79">
        <v>-649606</v>
      </c>
      <c r="I51" s="79">
        <v>-697833</v>
      </c>
      <c r="J51" s="79">
        <v>-742448</v>
      </c>
      <c r="K51" s="79">
        <v>-734925</v>
      </c>
      <c r="L51" s="79">
        <v>-783218</v>
      </c>
      <c r="M51" s="79">
        <v>-831093</v>
      </c>
      <c r="N51" s="79">
        <v>-878925</v>
      </c>
      <c r="O51" s="79">
        <v>-926927</v>
      </c>
      <c r="P51" s="79">
        <v>-942929</v>
      </c>
      <c r="Q51" s="75">
        <v>-991185</v>
      </c>
      <c r="R51" s="75">
        <v>-1039173</v>
      </c>
      <c r="S51" s="75">
        <v>-911386</v>
      </c>
      <c r="T51" s="79">
        <v>-825463.30769230775</v>
      </c>
      <c r="U51" s="68"/>
      <c r="V51" s="68"/>
      <c r="W51" s="68"/>
      <c r="X51" s="68"/>
      <c r="Y51" s="68"/>
      <c r="Z51" s="68"/>
    </row>
    <row r="52" spans="1:26" x14ac:dyDescent="0.25">
      <c r="G52" s="68">
        <f>G48-G51</f>
        <v>0.280000000144355</v>
      </c>
      <c r="H52" s="68">
        <f t="shared" ref="H52:T52" si="10">H48-H51</f>
        <v>0.7400000001071021</v>
      </c>
      <c r="I52" s="68">
        <f t="shared" si="10"/>
        <v>0.27000000013504177</v>
      </c>
      <c r="J52" s="68">
        <f t="shared" si="10"/>
        <v>0.26000000024214387</v>
      </c>
      <c r="K52" s="68">
        <f t="shared" si="10"/>
        <v>-0.23999999975785613</v>
      </c>
      <c r="L52" s="68">
        <f t="shared" si="10"/>
        <v>0.91000000026542693</v>
      </c>
      <c r="M52" s="68">
        <f t="shared" si="10"/>
        <v>1.0200000001350418</v>
      </c>
      <c r="N52" s="68">
        <f t="shared" si="10"/>
        <v>-7.9999999841675162E-2</v>
      </c>
      <c r="O52" s="68">
        <f t="shared" si="10"/>
        <v>1.4200000001583248</v>
      </c>
      <c r="P52" s="68">
        <f t="shared" si="10"/>
        <v>0.30999999993946403</v>
      </c>
      <c r="Q52" s="68">
        <f t="shared" si="10"/>
        <v>0.39000000001396984</v>
      </c>
      <c r="R52" s="68">
        <f t="shared" si="10"/>
        <v>0.66000000003259629</v>
      </c>
      <c r="S52" s="68">
        <f t="shared" si="10"/>
        <v>0.79000000015366822</v>
      </c>
      <c r="T52" s="68">
        <f t="shared" si="10"/>
        <v>0.51769230782520026</v>
      </c>
      <c r="U52" s="68"/>
      <c r="V52" s="68"/>
      <c r="W52" s="68"/>
      <c r="X52" s="68"/>
      <c r="Y52" s="68"/>
      <c r="Z52" s="68"/>
    </row>
    <row r="53" spans="1:26" x14ac:dyDescent="0.25">
      <c r="C53" s="13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73"/>
    </row>
    <row r="54" spans="1:26" x14ac:dyDescent="0.25">
      <c r="C54" s="13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73"/>
    </row>
    <row r="55" spans="1:26" x14ac:dyDescent="0.25">
      <c r="C55" s="13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73"/>
    </row>
    <row r="57" spans="1:26" ht="15.75" thickBot="1" x14ac:dyDescent="0.3">
      <c r="A57" s="80"/>
      <c r="B57" s="80"/>
      <c r="C57" s="80"/>
      <c r="D57" s="80"/>
      <c r="E57" s="80"/>
      <c r="F57" s="80"/>
      <c r="G57" s="81">
        <f t="shared" ref="G57:S57" si="11">+G5</f>
        <v>44179</v>
      </c>
      <c r="H57" s="81">
        <f t="shared" si="11"/>
        <v>44209</v>
      </c>
      <c r="I57" s="81">
        <f t="shared" si="11"/>
        <v>44239</v>
      </c>
      <c r="J57" s="81">
        <f t="shared" si="11"/>
        <v>44269</v>
      </c>
      <c r="K57" s="81">
        <f t="shared" si="11"/>
        <v>44299</v>
      </c>
      <c r="L57" s="81">
        <f t="shared" si="11"/>
        <v>44329</v>
      </c>
      <c r="M57" s="81">
        <f t="shared" si="11"/>
        <v>44359</v>
      </c>
      <c r="N57" s="81">
        <f t="shared" si="11"/>
        <v>44389</v>
      </c>
      <c r="O57" s="81">
        <f t="shared" si="11"/>
        <v>44419</v>
      </c>
      <c r="P57" s="81">
        <f t="shared" si="11"/>
        <v>44449</v>
      </c>
      <c r="Q57" s="81">
        <f t="shared" si="11"/>
        <v>44479</v>
      </c>
      <c r="R57" s="81">
        <f t="shared" si="11"/>
        <v>44509</v>
      </c>
      <c r="S57" s="81">
        <f t="shared" si="11"/>
        <v>44539</v>
      </c>
      <c r="T57" s="80" t="s">
        <v>409</v>
      </c>
      <c r="U57" s="82"/>
    </row>
    <row r="58" spans="1:26" x14ac:dyDescent="0.25">
      <c r="A58" s="82"/>
      <c r="B58" s="83" t="s">
        <v>410</v>
      </c>
      <c r="C58" s="84" t="s">
        <v>411</v>
      </c>
      <c r="D58" s="85">
        <v>0.40075371178398028</v>
      </c>
      <c r="E58" s="84"/>
      <c r="F58" s="84"/>
      <c r="G58" s="86">
        <f t="shared" ref="G58:S58" si="12">(G$26)*$D58</f>
        <v>4899332.2447081711</v>
      </c>
      <c r="H58" s="86">
        <f t="shared" si="12"/>
        <v>4903314.7868170068</v>
      </c>
      <c r="I58" s="86">
        <f t="shared" si="12"/>
        <v>4906612.4007570324</v>
      </c>
      <c r="J58" s="86">
        <f t="shared" si="12"/>
        <v>4907174.1492574513</v>
      </c>
      <c r="K58" s="86">
        <f t="shared" si="12"/>
        <v>4885392.8363662632</v>
      </c>
      <c r="L58" s="86">
        <f t="shared" si="12"/>
        <v>4886028.0951200342</v>
      </c>
      <c r="M58" s="86">
        <f t="shared" si="12"/>
        <v>4889891.1525097014</v>
      </c>
      <c r="N58" s="86">
        <f t="shared" si="12"/>
        <v>4896210.0286451811</v>
      </c>
      <c r="O58" s="86">
        <f t="shared" si="12"/>
        <v>4899987.1804691907</v>
      </c>
      <c r="P58" s="86">
        <f t="shared" si="12"/>
        <v>4887092.9578453004</v>
      </c>
      <c r="Q58" s="86">
        <f t="shared" si="12"/>
        <v>4891123.2657890441</v>
      </c>
      <c r="R58" s="86">
        <f t="shared" si="12"/>
        <v>4892925.7678188318</v>
      </c>
      <c r="S58" s="86">
        <f t="shared" si="12"/>
        <v>4885590.4840893773</v>
      </c>
      <c r="T58" s="87"/>
      <c r="U58" s="82"/>
    </row>
    <row r="59" spans="1:26" x14ac:dyDescent="0.25">
      <c r="A59" s="82"/>
      <c r="B59" s="88"/>
      <c r="C59" s="89"/>
      <c r="D59" s="90"/>
      <c r="E59" s="89" t="s">
        <v>381</v>
      </c>
      <c r="F59" s="89"/>
      <c r="G59" s="91">
        <f>G58</f>
        <v>4899332.2447081711</v>
      </c>
      <c r="H59" s="91">
        <f t="shared" ref="H59:S59" si="13">H58</f>
        <v>4903314.7868170068</v>
      </c>
      <c r="I59" s="91">
        <f t="shared" si="13"/>
        <v>4906612.4007570324</v>
      </c>
      <c r="J59" s="91">
        <f t="shared" si="13"/>
        <v>4907174.1492574513</v>
      </c>
      <c r="K59" s="91">
        <f t="shared" si="13"/>
        <v>4885392.8363662632</v>
      </c>
      <c r="L59" s="91">
        <f t="shared" si="13"/>
        <v>4886028.0951200342</v>
      </c>
      <c r="M59" s="91">
        <f t="shared" si="13"/>
        <v>4889891.1525097014</v>
      </c>
      <c r="N59" s="91">
        <f t="shared" si="13"/>
        <v>4896210.0286451811</v>
      </c>
      <c r="O59" s="91">
        <f t="shared" si="13"/>
        <v>4899987.1804691907</v>
      </c>
      <c r="P59" s="91">
        <f t="shared" si="13"/>
        <v>4887092.9578453004</v>
      </c>
      <c r="Q59" s="91">
        <f t="shared" si="13"/>
        <v>4891123.2657890441</v>
      </c>
      <c r="R59" s="91">
        <f t="shared" si="13"/>
        <v>4892925.7678188318</v>
      </c>
      <c r="S59" s="91">
        <f t="shared" si="13"/>
        <v>4885590.4840893773</v>
      </c>
      <c r="T59" s="92">
        <f>SUM(G59:S59)/13</f>
        <v>4894667.3346301988</v>
      </c>
      <c r="U59" s="82"/>
    </row>
    <row r="60" spans="1:26" x14ac:dyDescent="0.25">
      <c r="A60" s="82"/>
      <c r="B60" s="88"/>
      <c r="C60" s="89"/>
      <c r="D60" s="90"/>
      <c r="E60" s="89"/>
      <c r="F60" s="89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2"/>
      <c r="U60" s="82"/>
    </row>
    <row r="61" spans="1:26" x14ac:dyDescent="0.25">
      <c r="A61" s="82"/>
      <c r="B61" s="88"/>
      <c r="C61" s="89" t="s">
        <v>412</v>
      </c>
      <c r="D61" s="90">
        <f>D58</f>
        <v>0.40075371178398028</v>
      </c>
      <c r="E61" s="89"/>
      <c r="F61" s="89"/>
      <c r="G61" s="79">
        <f t="shared" ref="G61:S61" si="14">G$8*$D61</f>
        <v>0</v>
      </c>
      <c r="H61" s="79">
        <f t="shared" si="14"/>
        <v>0</v>
      </c>
      <c r="I61" s="79">
        <f t="shared" si="14"/>
        <v>0</v>
      </c>
      <c r="J61" s="79">
        <f t="shared" si="14"/>
        <v>0</v>
      </c>
      <c r="K61" s="79">
        <f t="shared" si="14"/>
        <v>1369.7761868776447</v>
      </c>
      <c r="L61" s="79">
        <f t="shared" si="14"/>
        <v>1369.7761868776447</v>
      </c>
      <c r="M61" s="79">
        <f t="shared" si="14"/>
        <v>0</v>
      </c>
      <c r="N61" s="79">
        <f t="shared" si="14"/>
        <v>0</v>
      </c>
      <c r="O61" s="79">
        <f t="shared" si="14"/>
        <v>0</v>
      </c>
      <c r="P61" s="79">
        <f t="shared" si="14"/>
        <v>546.62806287334911</v>
      </c>
      <c r="Q61" s="79">
        <f t="shared" si="14"/>
        <v>0</v>
      </c>
      <c r="R61" s="79">
        <f t="shared" si="14"/>
        <v>0</v>
      </c>
      <c r="S61" s="79">
        <f t="shared" si="14"/>
        <v>0</v>
      </c>
      <c r="T61" s="92"/>
      <c r="U61" s="82"/>
    </row>
    <row r="62" spans="1:26" x14ac:dyDescent="0.25">
      <c r="A62" s="82"/>
      <c r="B62" s="88"/>
      <c r="C62" s="89"/>
      <c r="D62" s="90"/>
      <c r="E62" s="89" t="s">
        <v>69</v>
      </c>
      <c r="F62" s="89"/>
      <c r="G62" s="91">
        <f>G61</f>
        <v>0</v>
      </c>
      <c r="H62" s="91">
        <f t="shared" ref="H62:S62" si="15">H61</f>
        <v>0</v>
      </c>
      <c r="I62" s="91">
        <f t="shared" si="15"/>
        <v>0</v>
      </c>
      <c r="J62" s="91">
        <f t="shared" si="15"/>
        <v>0</v>
      </c>
      <c r="K62" s="91">
        <f t="shared" si="15"/>
        <v>1369.7761868776447</v>
      </c>
      <c r="L62" s="91">
        <f t="shared" si="15"/>
        <v>1369.7761868776447</v>
      </c>
      <c r="M62" s="91">
        <f t="shared" si="15"/>
        <v>0</v>
      </c>
      <c r="N62" s="91">
        <f t="shared" si="15"/>
        <v>0</v>
      </c>
      <c r="O62" s="91">
        <f t="shared" si="15"/>
        <v>0</v>
      </c>
      <c r="P62" s="91">
        <f t="shared" si="15"/>
        <v>546.62806287334911</v>
      </c>
      <c r="Q62" s="91">
        <f t="shared" si="15"/>
        <v>0</v>
      </c>
      <c r="R62" s="91">
        <f t="shared" si="15"/>
        <v>0</v>
      </c>
      <c r="S62" s="91">
        <f t="shared" si="15"/>
        <v>0</v>
      </c>
      <c r="T62" s="92">
        <f>SUM(G62:S62)/13</f>
        <v>252.78311050989529</v>
      </c>
      <c r="U62" s="82"/>
    </row>
    <row r="63" spans="1:26" x14ac:dyDescent="0.25">
      <c r="A63" s="82"/>
      <c r="B63" s="88"/>
      <c r="C63" s="93"/>
      <c r="D63" s="90"/>
      <c r="E63" s="89"/>
      <c r="F63" s="89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2"/>
      <c r="U63" s="82"/>
    </row>
    <row r="64" spans="1:26" x14ac:dyDescent="0.25">
      <c r="A64" s="82"/>
      <c r="B64" s="88"/>
      <c r="C64" s="89" t="s">
        <v>413</v>
      </c>
      <c r="D64" s="90">
        <f>D58</f>
        <v>0.40075371178398028</v>
      </c>
      <c r="E64" s="89"/>
      <c r="F64" s="89"/>
      <c r="G64" s="79">
        <f t="shared" ref="G64:S64" si="16">(G$48)*$D64</f>
        <v>-241003.15121305178</v>
      </c>
      <c r="H64" s="79">
        <f t="shared" si="16"/>
        <v>-260331.71913939752</v>
      </c>
      <c r="I64" s="79">
        <f t="shared" si="16"/>
        <v>-279659.05675184808</v>
      </c>
      <c r="J64" s="79">
        <f t="shared" si="16"/>
        <v>-297538.68761062744</v>
      </c>
      <c r="K64" s="79">
        <f t="shared" si="16"/>
        <v>-294524.01781373244</v>
      </c>
      <c r="L64" s="79">
        <f t="shared" si="16"/>
        <v>-313877.15595014766</v>
      </c>
      <c r="M64" s="79">
        <f t="shared" si="16"/>
        <v>-333063.19581889745</v>
      </c>
      <c r="N64" s="79">
        <f t="shared" si="16"/>
        <v>-352232.48819003173</v>
      </c>
      <c r="O64" s="79">
        <f t="shared" si="16"/>
        <v>-371468.86673251871</v>
      </c>
      <c r="P64" s="79">
        <f t="shared" si="16"/>
        <v>-377882.17246510612</v>
      </c>
      <c r="Q64" s="79">
        <f t="shared" si="16"/>
        <v>-397220.9115206569</v>
      </c>
      <c r="R64" s="79">
        <f t="shared" si="16"/>
        <v>-416452.17243824434</v>
      </c>
      <c r="S64" s="79">
        <f t="shared" si="16"/>
        <v>-365241.0057725223</v>
      </c>
      <c r="T64" s="92"/>
      <c r="U64" s="82"/>
    </row>
    <row r="65" spans="1:21" x14ac:dyDescent="0.25">
      <c r="A65" s="82"/>
      <c r="B65" s="88"/>
      <c r="C65" s="89"/>
      <c r="D65" s="90"/>
      <c r="E65" s="89" t="s">
        <v>396</v>
      </c>
      <c r="F65" s="89"/>
      <c r="G65" s="91">
        <f>G64</f>
        <v>-241003.15121305178</v>
      </c>
      <c r="H65" s="91">
        <f t="shared" ref="H65:S65" si="17">H64</f>
        <v>-260331.71913939752</v>
      </c>
      <c r="I65" s="91">
        <f t="shared" si="17"/>
        <v>-279659.05675184808</v>
      </c>
      <c r="J65" s="91">
        <f t="shared" si="17"/>
        <v>-297538.68761062744</v>
      </c>
      <c r="K65" s="91">
        <f t="shared" si="17"/>
        <v>-294524.01781373244</v>
      </c>
      <c r="L65" s="91">
        <f t="shared" si="17"/>
        <v>-313877.15595014766</v>
      </c>
      <c r="M65" s="91">
        <f t="shared" si="17"/>
        <v>-333063.19581889745</v>
      </c>
      <c r="N65" s="91">
        <f t="shared" si="17"/>
        <v>-352232.48819003173</v>
      </c>
      <c r="O65" s="91">
        <f t="shared" si="17"/>
        <v>-371468.86673251871</v>
      </c>
      <c r="P65" s="91">
        <f t="shared" si="17"/>
        <v>-377882.17246510612</v>
      </c>
      <c r="Q65" s="91">
        <f t="shared" si="17"/>
        <v>-397220.9115206569</v>
      </c>
      <c r="R65" s="91">
        <f t="shared" si="17"/>
        <v>-416452.17243824434</v>
      </c>
      <c r="S65" s="91">
        <f t="shared" si="17"/>
        <v>-365241.0057725223</v>
      </c>
      <c r="T65" s="92">
        <f>SUM(G65:S65)/13</f>
        <v>-330807.2770320602</v>
      </c>
      <c r="U65" s="82"/>
    </row>
    <row r="66" spans="1:21" ht="15.75" thickBot="1" x14ac:dyDescent="0.3">
      <c r="A66" s="82"/>
      <c r="B66" s="94"/>
      <c r="C66" s="95"/>
      <c r="D66" s="96"/>
      <c r="E66" s="95"/>
      <c r="F66" s="95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2"/>
      <c r="U66" s="82"/>
    </row>
    <row r="67" spans="1:21" x14ac:dyDescent="0.25">
      <c r="A67" s="82"/>
      <c r="B67" s="83" t="s">
        <v>414</v>
      </c>
      <c r="C67" s="84" t="s">
        <v>411</v>
      </c>
      <c r="D67" s="85">
        <v>0.19493367655493263</v>
      </c>
      <c r="E67" s="84"/>
      <c r="F67" s="84"/>
      <c r="G67" s="86">
        <f t="shared" ref="G67:S67" si="18">(G$26)*$D67</f>
        <v>2383121.6506358795</v>
      </c>
      <c r="H67" s="86">
        <f t="shared" si="18"/>
        <v>2385058.8293880224</v>
      </c>
      <c r="I67" s="86">
        <f t="shared" si="18"/>
        <v>2386662.8469935646</v>
      </c>
      <c r="J67" s="86">
        <f t="shared" si="18"/>
        <v>2386936.0913760019</v>
      </c>
      <c r="K67" s="86">
        <f t="shared" si="18"/>
        <v>2376341.2764629428</v>
      </c>
      <c r="L67" s="86">
        <f t="shared" si="18"/>
        <v>2376650.2775296709</v>
      </c>
      <c r="M67" s="86">
        <f t="shared" si="18"/>
        <v>2378529.3368061483</v>
      </c>
      <c r="N67" s="86">
        <f t="shared" si="18"/>
        <v>2381602.9496525545</v>
      </c>
      <c r="O67" s="86">
        <f t="shared" si="18"/>
        <v>2383440.222946126</v>
      </c>
      <c r="P67" s="86">
        <f t="shared" si="18"/>
        <v>2377168.2455483284</v>
      </c>
      <c r="Q67" s="86">
        <f t="shared" si="18"/>
        <v>2379128.6584453797</v>
      </c>
      <c r="R67" s="86">
        <f t="shared" si="18"/>
        <v>2380005.4272371149</v>
      </c>
      <c r="S67" s="86">
        <f t="shared" si="18"/>
        <v>2376437.415802883</v>
      </c>
      <c r="T67" s="87"/>
      <c r="U67" s="82"/>
    </row>
    <row r="68" spans="1:21" x14ac:dyDescent="0.25">
      <c r="A68" s="82"/>
      <c r="B68" s="88"/>
      <c r="C68" s="89"/>
      <c r="D68" s="90"/>
      <c r="E68" s="89" t="s">
        <v>381</v>
      </c>
      <c r="F68" s="89"/>
      <c r="G68" s="91">
        <f>G67</f>
        <v>2383121.6506358795</v>
      </c>
      <c r="H68" s="91">
        <f t="shared" ref="H68:S68" si="19">H67</f>
        <v>2385058.8293880224</v>
      </c>
      <c r="I68" s="91">
        <f t="shared" si="19"/>
        <v>2386662.8469935646</v>
      </c>
      <c r="J68" s="91">
        <f t="shared" si="19"/>
        <v>2386936.0913760019</v>
      </c>
      <c r="K68" s="91">
        <f t="shared" si="19"/>
        <v>2376341.2764629428</v>
      </c>
      <c r="L68" s="91">
        <f t="shared" si="19"/>
        <v>2376650.2775296709</v>
      </c>
      <c r="M68" s="91">
        <f t="shared" si="19"/>
        <v>2378529.3368061483</v>
      </c>
      <c r="N68" s="91">
        <f t="shared" si="19"/>
        <v>2381602.9496525545</v>
      </c>
      <c r="O68" s="91">
        <f t="shared" si="19"/>
        <v>2383440.222946126</v>
      </c>
      <c r="P68" s="91">
        <f t="shared" si="19"/>
        <v>2377168.2455483284</v>
      </c>
      <c r="Q68" s="91">
        <f t="shared" si="19"/>
        <v>2379128.6584453797</v>
      </c>
      <c r="R68" s="91">
        <f t="shared" si="19"/>
        <v>2380005.4272371149</v>
      </c>
      <c r="S68" s="91">
        <f t="shared" si="19"/>
        <v>2376437.415802883</v>
      </c>
      <c r="T68" s="92">
        <f>SUM(G68:S68)/13</f>
        <v>2380852.5560634318</v>
      </c>
      <c r="U68" s="82"/>
    </row>
    <row r="69" spans="1:21" x14ac:dyDescent="0.25">
      <c r="A69" s="82"/>
      <c r="B69" s="88"/>
      <c r="C69" s="89"/>
      <c r="D69" s="90"/>
      <c r="E69" s="89"/>
      <c r="F69" s="89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2"/>
      <c r="U69" s="82"/>
    </row>
    <row r="70" spans="1:21" x14ac:dyDescent="0.25">
      <c r="A70" s="82"/>
      <c r="B70" s="88"/>
      <c r="C70" s="89" t="s">
        <v>412</v>
      </c>
      <c r="D70" s="90">
        <f>D67</f>
        <v>0.19493367655493263</v>
      </c>
      <c r="E70" s="89"/>
      <c r="F70" s="89"/>
      <c r="G70" s="79">
        <f t="shared" ref="G70:S70" si="20">G$8*$D70</f>
        <v>0</v>
      </c>
      <c r="H70" s="79">
        <f t="shared" si="20"/>
        <v>0</v>
      </c>
      <c r="I70" s="79">
        <f t="shared" si="20"/>
        <v>0</v>
      </c>
      <c r="J70" s="79">
        <f t="shared" si="20"/>
        <v>0</v>
      </c>
      <c r="K70" s="79">
        <f t="shared" si="20"/>
        <v>666.28330646475968</v>
      </c>
      <c r="L70" s="79">
        <f t="shared" si="20"/>
        <v>666.28330646475968</v>
      </c>
      <c r="M70" s="79">
        <f t="shared" si="20"/>
        <v>0</v>
      </c>
      <c r="N70" s="79">
        <f t="shared" si="20"/>
        <v>0</v>
      </c>
      <c r="O70" s="79">
        <f t="shared" si="20"/>
        <v>0</v>
      </c>
      <c r="P70" s="79">
        <f t="shared" si="20"/>
        <v>265.88953482092808</v>
      </c>
      <c r="Q70" s="79">
        <f t="shared" si="20"/>
        <v>0</v>
      </c>
      <c r="R70" s="79">
        <f t="shared" si="20"/>
        <v>0</v>
      </c>
      <c r="S70" s="79">
        <f t="shared" si="20"/>
        <v>0</v>
      </c>
      <c r="T70" s="92"/>
      <c r="U70" s="82"/>
    </row>
    <row r="71" spans="1:21" x14ac:dyDescent="0.25">
      <c r="A71" s="82"/>
      <c r="B71" s="88"/>
      <c r="C71" s="89"/>
      <c r="D71" s="90"/>
      <c r="E71" s="89" t="s">
        <v>69</v>
      </c>
      <c r="F71" s="89"/>
      <c r="G71" s="91">
        <f>G70</f>
        <v>0</v>
      </c>
      <c r="H71" s="91">
        <f t="shared" ref="H71:S71" si="21">H70</f>
        <v>0</v>
      </c>
      <c r="I71" s="91">
        <f t="shared" si="21"/>
        <v>0</v>
      </c>
      <c r="J71" s="91">
        <f t="shared" si="21"/>
        <v>0</v>
      </c>
      <c r="K71" s="91">
        <f t="shared" si="21"/>
        <v>666.28330646475968</v>
      </c>
      <c r="L71" s="91">
        <f t="shared" si="21"/>
        <v>666.28330646475968</v>
      </c>
      <c r="M71" s="91">
        <f t="shared" si="21"/>
        <v>0</v>
      </c>
      <c r="N71" s="91">
        <f t="shared" si="21"/>
        <v>0</v>
      </c>
      <c r="O71" s="91">
        <f t="shared" si="21"/>
        <v>0</v>
      </c>
      <c r="P71" s="91">
        <f t="shared" si="21"/>
        <v>265.88953482092808</v>
      </c>
      <c r="Q71" s="91">
        <f t="shared" si="21"/>
        <v>0</v>
      </c>
      <c r="R71" s="91">
        <f t="shared" si="21"/>
        <v>0</v>
      </c>
      <c r="S71" s="91">
        <f t="shared" si="21"/>
        <v>0</v>
      </c>
      <c r="T71" s="92">
        <f>SUM(G71:S71)/13</f>
        <v>122.95816521157288</v>
      </c>
      <c r="U71" s="82"/>
    </row>
    <row r="72" spans="1:21" x14ac:dyDescent="0.25">
      <c r="A72" s="82"/>
      <c r="B72" s="88"/>
      <c r="C72" s="89"/>
      <c r="D72" s="90"/>
      <c r="E72" s="89"/>
      <c r="F72" s="89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2"/>
      <c r="U72" s="82"/>
    </row>
    <row r="73" spans="1:21" x14ac:dyDescent="0.25">
      <c r="A73" s="82"/>
      <c r="B73" s="88"/>
      <c r="C73" s="93" t="s">
        <v>415</v>
      </c>
      <c r="D73" s="90">
        <f>+D67</f>
        <v>0.19493367655493263</v>
      </c>
      <c r="E73" s="89"/>
      <c r="F73" s="89"/>
      <c r="G73" s="79">
        <f>G$48*$D73</f>
        <v>-117228.18515679314</v>
      </c>
      <c r="H73" s="79">
        <f>H$48*$D73</f>
        <v>-126629.94164122289</v>
      </c>
      <c r="I73" s="79">
        <f t="shared" ref="I73:S73" si="22">I$48*$D73</f>
        <v>-136031.09967926561</v>
      </c>
      <c r="J73" s="79">
        <f t="shared" si="22"/>
        <v>-144728.06760810068</v>
      </c>
      <c r="K73" s="79">
        <f t="shared" si="22"/>
        <v>-143261.67902621618</v>
      </c>
      <c r="L73" s="79">
        <f t="shared" si="22"/>
        <v>-152675.3868943555</v>
      </c>
      <c r="M73" s="79">
        <f t="shared" si="22"/>
        <v>-162007.8152167185</v>
      </c>
      <c r="N73" s="79">
        <f t="shared" si="22"/>
        <v>-171332.09726073826</v>
      </c>
      <c r="O73" s="79">
        <f t="shared" si="22"/>
        <v>-180689.0112022133</v>
      </c>
      <c r="P73" s="79">
        <f t="shared" si="22"/>
        <v>-183808.55627082635</v>
      </c>
      <c r="Q73" s="79">
        <f t="shared" si="22"/>
        <v>-193215.26017196703</v>
      </c>
      <c r="R73" s="79">
        <f t="shared" si="22"/>
        <v>-202569.68481039247</v>
      </c>
      <c r="S73" s="79">
        <f t="shared" si="22"/>
        <v>-177659.66974308933</v>
      </c>
      <c r="T73" s="92"/>
      <c r="U73" s="82"/>
    </row>
    <row r="74" spans="1:21" x14ac:dyDescent="0.25">
      <c r="A74" s="82"/>
      <c r="B74" s="88"/>
      <c r="C74" s="89"/>
      <c r="D74" s="90"/>
      <c r="E74" s="89" t="s">
        <v>396</v>
      </c>
      <c r="F74" s="89"/>
      <c r="G74" s="91">
        <f>+G73</f>
        <v>-117228.18515679314</v>
      </c>
      <c r="H74" s="91">
        <f t="shared" ref="H74:S74" si="23">+H73</f>
        <v>-126629.94164122289</v>
      </c>
      <c r="I74" s="91">
        <f t="shared" si="23"/>
        <v>-136031.09967926561</v>
      </c>
      <c r="J74" s="91">
        <f t="shared" si="23"/>
        <v>-144728.06760810068</v>
      </c>
      <c r="K74" s="91">
        <f t="shared" si="23"/>
        <v>-143261.67902621618</v>
      </c>
      <c r="L74" s="91">
        <f t="shared" si="23"/>
        <v>-152675.3868943555</v>
      </c>
      <c r="M74" s="91">
        <f t="shared" si="23"/>
        <v>-162007.8152167185</v>
      </c>
      <c r="N74" s="91">
        <f t="shared" si="23"/>
        <v>-171332.09726073826</v>
      </c>
      <c r="O74" s="91">
        <f t="shared" si="23"/>
        <v>-180689.0112022133</v>
      </c>
      <c r="P74" s="91">
        <f t="shared" si="23"/>
        <v>-183808.55627082635</v>
      </c>
      <c r="Q74" s="91">
        <f t="shared" si="23"/>
        <v>-193215.26017196703</v>
      </c>
      <c r="R74" s="91">
        <f t="shared" si="23"/>
        <v>-202569.68481039247</v>
      </c>
      <c r="S74" s="91">
        <f t="shared" si="23"/>
        <v>-177659.66974308933</v>
      </c>
      <c r="T74" s="92">
        <f>SUM(G74:S74)/13</f>
        <v>-160910.49651399226</v>
      </c>
      <c r="U74" s="82"/>
    </row>
    <row r="75" spans="1:21" ht="15.75" thickBot="1" x14ac:dyDescent="0.3">
      <c r="A75" s="82"/>
      <c r="B75" s="94"/>
      <c r="C75" s="95"/>
      <c r="D75" s="96"/>
      <c r="E75" s="95"/>
      <c r="F75" s="95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2"/>
      <c r="U75" s="82"/>
    </row>
    <row r="76" spans="1:21" x14ac:dyDescent="0.25">
      <c r="A76" s="82"/>
      <c r="B76" s="83" t="s">
        <v>416</v>
      </c>
      <c r="C76" s="84" t="s">
        <v>411</v>
      </c>
      <c r="D76" s="85">
        <v>0.17538138419273502</v>
      </c>
      <c r="E76" s="84"/>
      <c r="F76" s="84"/>
      <c r="G76" s="86">
        <f t="shared" ref="G76:S76" si="24">(G$26)*$D76</f>
        <v>2144089.1136653628</v>
      </c>
      <c r="H76" s="86">
        <f t="shared" si="24"/>
        <v>2145831.9889703584</v>
      </c>
      <c r="I76" s="86">
        <f t="shared" si="24"/>
        <v>2147275.1199516295</v>
      </c>
      <c r="J76" s="86">
        <f t="shared" si="24"/>
        <v>2147520.957299294</v>
      </c>
      <c r="K76" s="86">
        <f t="shared" si="24"/>
        <v>2137988.8264866145</v>
      </c>
      <c r="L76" s="86">
        <f t="shared" si="24"/>
        <v>2138266.8340415815</v>
      </c>
      <c r="M76" s="86">
        <f t="shared" si="24"/>
        <v>2139957.4193868795</v>
      </c>
      <c r="N76" s="86">
        <f t="shared" si="24"/>
        <v>2142722.7418545107</v>
      </c>
      <c r="O76" s="86">
        <f t="shared" si="24"/>
        <v>2144375.7324462933</v>
      </c>
      <c r="P76" s="86">
        <f t="shared" si="24"/>
        <v>2138732.8486865889</v>
      </c>
      <c r="Q76" s="86">
        <f t="shared" si="24"/>
        <v>2140496.6276987665</v>
      </c>
      <c r="R76" s="86">
        <f t="shared" si="24"/>
        <v>2141285.4545809608</v>
      </c>
      <c r="S76" s="86">
        <f t="shared" si="24"/>
        <v>2138075.3228314845</v>
      </c>
      <c r="T76" s="87"/>
      <c r="U76" s="82"/>
    </row>
    <row r="77" spans="1:21" x14ac:dyDescent="0.25">
      <c r="A77" s="82"/>
      <c r="B77" s="88"/>
      <c r="C77" s="89"/>
      <c r="D77" s="90"/>
      <c r="E77" s="89" t="s">
        <v>381</v>
      </c>
      <c r="F77" s="89"/>
      <c r="G77" s="91">
        <f>G76</f>
        <v>2144089.1136653628</v>
      </c>
      <c r="H77" s="91">
        <f t="shared" ref="H77:S77" si="25">H76</f>
        <v>2145831.9889703584</v>
      </c>
      <c r="I77" s="91">
        <f t="shared" si="25"/>
        <v>2147275.1199516295</v>
      </c>
      <c r="J77" s="91">
        <f t="shared" si="25"/>
        <v>2147520.957299294</v>
      </c>
      <c r="K77" s="91">
        <f t="shared" si="25"/>
        <v>2137988.8264866145</v>
      </c>
      <c r="L77" s="91">
        <f t="shared" si="25"/>
        <v>2138266.8340415815</v>
      </c>
      <c r="M77" s="91">
        <f t="shared" si="25"/>
        <v>2139957.4193868795</v>
      </c>
      <c r="N77" s="91">
        <f t="shared" si="25"/>
        <v>2142722.7418545107</v>
      </c>
      <c r="O77" s="91">
        <f t="shared" si="25"/>
        <v>2144375.7324462933</v>
      </c>
      <c r="P77" s="91">
        <f t="shared" si="25"/>
        <v>2138732.8486865889</v>
      </c>
      <c r="Q77" s="91">
        <f t="shared" si="25"/>
        <v>2140496.6276987665</v>
      </c>
      <c r="R77" s="91">
        <f t="shared" si="25"/>
        <v>2141285.4545809608</v>
      </c>
      <c r="S77" s="91">
        <f t="shared" si="25"/>
        <v>2138075.3228314845</v>
      </c>
      <c r="T77" s="92">
        <f>SUM(G77:S77)/13</f>
        <v>2142047.6144538713</v>
      </c>
      <c r="U77" s="82"/>
    </row>
    <row r="78" spans="1:21" x14ac:dyDescent="0.25">
      <c r="A78" s="82"/>
      <c r="B78" s="88"/>
      <c r="C78" s="89"/>
      <c r="D78" s="90"/>
      <c r="E78" s="89"/>
      <c r="F78" s="89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2"/>
      <c r="U78" s="82"/>
    </row>
    <row r="79" spans="1:21" x14ac:dyDescent="0.25">
      <c r="A79" s="82"/>
      <c r="B79" s="88"/>
      <c r="C79" s="89" t="s">
        <v>412</v>
      </c>
      <c r="D79" s="90">
        <f>D76</f>
        <v>0.17538138419273502</v>
      </c>
      <c r="E79" s="89"/>
      <c r="F79" s="89"/>
      <c r="G79" s="79">
        <f>G$8*$D79</f>
        <v>0</v>
      </c>
      <c r="H79" s="79">
        <f t="shared" ref="H79:S79" si="26">H$8*$D79</f>
        <v>0</v>
      </c>
      <c r="I79" s="79">
        <f t="shared" si="26"/>
        <v>0</v>
      </c>
      <c r="J79" s="79">
        <f t="shared" si="26"/>
        <v>0</v>
      </c>
      <c r="K79" s="79">
        <f t="shared" si="26"/>
        <v>599.45357117076833</v>
      </c>
      <c r="L79" s="79">
        <f t="shared" si="26"/>
        <v>599.45357117076833</v>
      </c>
      <c r="M79" s="79">
        <f t="shared" si="26"/>
        <v>0</v>
      </c>
      <c r="N79" s="79">
        <f t="shared" si="26"/>
        <v>0</v>
      </c>
      <c r="O79" s="79">
        <f t="shared" si="26"/>
        <v>0</v>
      </c>
      <c r="P79" s="79">
        <f t="shared" si="26"/>
        <v>239.22020803889058</v>
      </c>
      <c r="Q79" s="79">
        <f t="shared" si="26"/>
        <v>0</v>
      </c>
      <c r="R79" s="79">
        <f t="shared" si="26"/>
        <v>0</v>
      </c>
      <c r="S79" s="79">
        <f t="shared" si="26"/>
        <v>0</v>
      </c>
      <c r="T79" s="92"/>
      <c r="U79" s="82"/>
    </row>
    <row r="80" spans="1:21" x14ac:dyDescent="0.25">
      <c r="A80" s="82"/>
      <c r="B80" s="88"/>
      <c r="C80" s="89"/>
      <c r="D80" s="90"/>
      <c r="E80" s="89" t="s">
        <v>69</v>
      </c>
      <c r="F80" s="89"/>
      <c r="G80" s="91">
        <f>G79</f>
        <v>0</v>
      </c>
      <c r="H80" s="91">
        <f t="shared" ref="H80:S80" si="27">H79</f>
        <v>0</v>
      </c>
      <c r="I80" s="91">
        <f t="shared" si="27"/>
        <v>0</v>
      </c>
      <c r="J80" s="91">
        <f t="shared" si="27"/>
        <v>0</v>
      </c>
      <c r="K80" s="91">
        <f t="shared" si="27"/>
        <v>599.45357117076833</v>
      </c>
      <c r="L80" s="91">
        <f t="shared" si="27"/>
        <v>599.45357117076833</v>
      </c>
      <c r="M80" s="91">
        <f t="shared" si="27"/>
        <v>0</v>
      </c>
      <c r="N80" s="91">
        <f t="shared" si="27"/>
        <v>0</v>
      </c>
      <c r="O80" s="91">
        <f t="shared" si="27"/>
        <v>0</v>
      </c>
      <c r="P80" s="91">
        <f t="shared" si="27"/>
        <v>239.22020803889058</v>
      </c>
      <c r="Q80" s="91">
        <f t="shared" si="27"/>
        <v>0</v>
      </c>
      <c r="R80" s="91">
        <f t="shared" si="27"/>
        <v>0</v>
      </c>
      <c r="S80" s="91">
        <f t="shared" si="27"/>
        <v>0</v>
      </c>
      <c r="T80" s="92">
        <f>SUM(G80:S80)/13</f>
        <v>110.62518079849441</v>
      </c>
      <c r="U80" s="82"/>
    </row>
    <row r="81" spans="1:21" x14ac:dyDescent="0.25">
      <c r="A81" s="82"/>
      <c r="B81" s="88"/>
      <c r="C81" s="93"/>
      <c r="D81" s="90"/>
      <c r="E81" s="89"/>
      <c r="F81" s="89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2"/>
      <c r="U81" s="82"/>
    </row>
    <row r="82" spans="1:21" x14ac:dyDescent="0.25">
      <c r="A82" s="82"/>
      <c r="B82" s="88"/>
      <c r="C82" s="89" t="s">
        <v>413</v>
      </c>
      <c r="D82" s="90">
        <f>D76</f>
        <v>0.17538138419273502</v>
      </c>
      <c r="E82" s="89"/>
      <c r="F82" s="89"/>
      <c r="G82" s="79">
        <f>(G$48)*$D82</f>
        <v>-105469.93081211843</v>
      </c>
      <c r="H82" s="79">
        <f t="shared" ref="H82:S82" si="28">(H$48)*$D82</f>
        <v>-113928.66967768151</v>
      </c>
      <c r="I82" s="79">
        <f t="shared" si="28"/>
        <v>-122386.87012239511</v>
      </c>
      <c r="J82" s="79">
        <f t="shared" si="28"/>
        <v>-130211.5123319678</v>
      </c>
      <c r="K82" s="79">
        <f t="shared" si="28"/>
        <v>-128892.20586937795</v>
      </c>
      <c r="L82" s="79">
        <f t="shared" si="28"/>
        <v>-137361.69736760587</v>
      </c>
      <c r="M82" s="79">
        <f t="shared" si="28"/>
        <v>-145758.06184388083</v>
      </c>
      <c r="N82" s="79">
        <f t="shared" si="28"/>
        <v>-154147.09713211033</v>
      </c>
      <c r="O82" s="79">
        <f t="shared" si="28"/>
        <v>-162565.49126405371</v>
      </c>
      <c r="P82" s="79">
        <f t="shared" si="28"/>
        <v>-165372.13884724234</v>
      </c>
      <c r="Q82" s="79">
        <f t="shared" si="28"/>
        <v>-173835.32889233623</v>
      </c>
      <c r="R82" s="79">
        <f t="shared" si="28"/>
        <v>-182251.48340400346</v>
      </c>
      <c r="S82" s="79">
        <f t="shared" si="28"/>
        <v>-159839.99966258646</v>
      </c>
      <c r="T82" s="92"/>
      <c r="U82" s="82"/>
    </row>
    <row r="83" spans="1:21" x14ac:dyDescent="0.25">
      <c r="A83" s="82"/>
      <c r="B83" s="88"/>
      <c r="C83" s="89"/>
      <c r="D83" s="90"/>
      <c r="E83" s="89" t="s">
        <v>396</v>
      </c>
      <c r="F83" s="89"/>
      <c r="G83" s="91">
        <f>G82</f>
        <v>-105469.93081211843</v>
      </c>
      <c r="H83" s="91">
        <f t="shared" ref="H83:S83" si="29">H82</f>
        <v>-113928.66967768151</v>
      </c>
      <c r="I83" s="91">
        <f t="shared" si="29"/>
        <v>-122386.87012239511</v>
      </c>
      <c r="J83" s="91">
        <f t="shared" si="29"/>
        <v>-130211.5123319678</v>
      </c>
      <c r="K83" s="91">
        <f t="shared" si="29"/>
        <v>-128892.20586937795</v>
      </c>
      <c r="L83" s="91">
        <f t="shared" si="29"/>
        <v>-137361.69736760587</v>
      </c>
      <c r="M83" s="91">
        <f t="shared" si="29"/>
        <v>-145758.06184388083</v>
      </c>
      <c r="N83" s="91">
        <f t="shared" si="29"/>
        <v>-154147.09713211033</v>
      </c>
      <c r="O83" s="91">
        <f t="shared" si="29"/>
        <v>-162565.49126405371</v>
      </c>
      <c r="P83" s="91">
        <f t="shared" si="29"/>
        <v>-165372.13884724234</v>
      </c>
      <c r="Q83" s="91">
        <f t="shared" si="29"/>
        <v>-173835.32889233623</v>
      </c>
      <c r="R83" s="91">
        <f t="shared" si="29"/>
        <v>-182251.48340400346</v>
      </c>
      <c r="S83" s="91">
        <f t="shared" si="29"/>
        <v>-159839.99966258646</v>
      </c>
      <c r="T83" s="92">
        <f>SUM(G83:S83)/13</f>
        <v>-144770.80670979692</v>
      </c>
      <c r="U83" s="82"/>
    </row>
    <row r="84" spans="1:21" ht="15.75" thickBot="1" x14ac:dyDescent="0.3">
      <c r="A84" s="82"/>
      <c r="B84" s="94"/>
      <c r="C84" s="95"/>
      <c r="D84" s="96"/>
      <c r="E84" s="95"/>
      <c r="F84" s="95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2"/>
      <c r="U84" s="82"/>
    </row>
    <row r="85" spans="1:21" x14ac:dyDescent="0.25">
      <c r="A85" s="82"/>
      <c r="B85" s="83" t="s">
        <v>417</v>
      </c>
      <c r="C85" s="84" t="s">
        <v>411</v>
      </c>
      <c r="D85" s="85">
        <v>-2.6963863219386323E-3</v>
      </c>
      <c r="E85" s="84"/>
      <c r="F85" s="84"/>
      <c r="G85" s="86">
        <f>(G$26)*$D85</f>
        <v>-32964.117518604311</v>
      </c>
      <c r="H85" s="86">
        <f t="shared" ref="H85:S85" si="30">(H$26)*$D85</f>
        <v>-32990.913208208804</v>
      </c>
      <c r="I85" s="86">
        <f t="shared" si="30"/>
        <v>-33013.10050395046</v>
      </c>
      <c r="J85" s="86">
        <f t="shared" si="30"/>
        <v>-33016.880109549507</v>
      </c>
      <c r="K85" s="86">
        <f t="shared" si="30"/>
        <v>-32870.329167096046</v>
      </c>
      <c r="L85" s="86">
        <f t="shared" si="30"/>
        <v>-32874.603370838129</v>
      </c>
      <c r="M85" s="86">
        <f t="shared" si="30"/>
        <v>-32900.595132860726</v>
      </c>
      <c r="N85" s="86">
        <f t="shared" si="30"/>
        <v>-32943.110350264171</v>
      </c>
      <c r="O85" s="86">
        <f t="shared" si="30"/>
        <v>-32968.524114914799</v>
      </c>
      <c r="P85" s="86">
        <f t="shared" si="30"/>
        <v>-32881.768073753468</v>
      </c>
      <c r="Q85" s="86">
        <f t="shared" si="30"/>
        <v>-32908.885145643668</v>
      </c>
      <c r="R85" s="86">
        <f t="shared" si="30"/>
        <v>-32921.012898114757</v>
      </c>
      <c r="S85" s="86">
        <f t="shared" si="30"/>
        <v>-32871.658997866165</v>
      </c>
      <c r="T85" s="87"/>
      <c r="U85" s="82"/>
    </row>
    <row r="86" spans="1:21" x14ac:dyDescent="0.25">
      <c r="A86" s="82"/>
      <c r="B86" s="88"/>
      <c r="C86" s="98" t="s">
        <v>418</v>
      </c>
      <c r="D86" s="90"/>
      <c r="E86" s="89" t="s">
        <v>381</v>
      </c>
      <c r="F86" s="89"/>
      <c r="G86" s="91">
        <f>G85</f>
        <v>-32964.117518604311</v>
      </c>
      <c r="H86" s="91">
        <f t="shared" ref="H86:S86" si="31">H85</f>
        <v>-32990.913208208804</v>
      </c>
      <c r="I86" s="91">
        <f t="shared" si="31"/>
        <v>-33013.10050395046</v>
      </c>
      <c r="J86" s="91">
        <f t="shared" si="31"/>
        <v>-33016.880109549507</v>
      </c>
      <c r="K86" s="91">
        <f t="shared" si="31"/>
        <v>-32870.329167096046</v>
      </c>
      <c r="L86" s="91">
        <f t="shared" si="31"/>
        <v>-32874.603370838129</v>
      </c>
      <c r="M86" s="91">
        <f t="shared" si="31"/>
        <v>-32900.595132860726</v>
      </c>
      <c r="N86" s="91">
        <f t="shared" si="31"/>
        <v>-32943.110350264171</v>
      </c>
      <c r="O86" s="91">
        <f t="shared" si="31"/>
        <v>-32968.524114914799</v>
      </c>
      <c r="P86" s="91">
        <f t="shared" si="31"/>
        <v>-32881.768073753468</v>
      </c>
      <c r="Q86" s="91">
        <f t="shared" si="31"/>
        <v>-32908.885145643668</v>
      </c>
      <c r="R86" s="91">
        <f t="shared" si="31"/>
        <v>-32921.012898114757</v>
      </c>
      <c r="S86" s="91">
        <f t="shared" si="31"/>
        <v>-32871.658997866165</v>
      </c>
      <c r="T86" s="92">
        <f>SUM(G86:S86)/13</f>
        <v>-32932.730660897309</v>
      </c>
      <c r="U86" s="82"/>
    </row>
    <row r="87" spans="1:21" x14ac:dyDescent="0.25">
      <c r="A87" s="82"/>
      <c r="B87" s="88"/>
      <c r="C87" s="89"/>
      <c r="D87" s="90"/>
      <c r="E87" s="89"/>
      <c r="F87" s="89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2"/>
      <c r="U87" s="82"/>
    </row>
    <row r="88" spans="1:21" x14ac:dyDescent="0.25">
      <c r="A88" s="82"/>
      <c r="B88" s="88"/>
      <c r="C88" s="89" t="s">
        <v>412</v>
      </c>
      <c r="D88" s="90">
        <f>D85</f>
        <v>-2.6963863219386323E-3</v>
      </c>
      <c r="E88" s="89"/>
      <c r="F88" s="89"/>
      <c r="G88" s="79">
        <f>G$8*$D88</f>
        <v>0</v>
      </c>
      <c r="H88" s="79">
        <f t="shared" ref="H88:S88" si="32">H$8*$D88</f>
        <v>0</v>
      </c>
      <c r="I88" s="79">
        <f t="shared" si="32"/>
        <v>0</v>
      </c>
      <c r="J88" s="79">
        <f t="shared" si="32"/>
        <v>0</v>
      </c>
      <c r="K88" s="79">
        <f t="shared" si="32"/>
        <v>-9.2162484483862457</v>
      </c>
      <c r="L88" s="79">
        <f t="shared" si="32"/>
        <v>-9.2162484483862457</v>
      </c>
      <c r="M88" s="79">
        <f t="shared" si="32"/>
        <v>0</v>
      </c>
      <c r="N88" s="79">
        <f t="shared" si="32"/>
        <v>0</v>
      </c>
      <c r="O88" s="79">
        <f t="shared" si="32"/>
        <v>0</v>
      </c>
      <c r="P88" s="79">
        <f t="shared" si="32"/>
        <v>-3.6778709431242946</v>
      </c>
      <c r="Q88" s="79">
        <f t="shared" si="32"/>
        <v>0</v>
      </c>
      <c r="R88" s="79">
        <f t="shared" si="32"/>
        <v>0</v>
      </c>
      <c r="S88" s="79">
        <f t="shared" si="32"/>
        <v>0</v>
      </c>
      <c r="T88" s="92"/>
      <c r="U88" s="82"/>
    </row>
    <row r="89" spans="1:21" x14ac:dyDescent="0.25">
      <c r="A89" s="82"/>
      <c r="B89" s="88"/>
      <c r="C89" s="89"/>
      <c r="D89" s="90"/>
      <c r="E89" s="89" t="s">
        <v>69</v>
      </c>
      <c r="F89" s="89"/>
      <c r="G89" s="91">
        <f>G88</f>
        <v>0</v>
      </c>
      <c r="H89" s="91">
        <f t="shared" ref="H89:S89" si="33">H88</f>
        <v>0</v>
      </c>
      <c r="I89" s="91">
        <f t="shared" si="33"/>
        <v>0</v>
      </c>
      <c r="J89" s="91">
        <f t="shared" si="33"/>
        <v>0</v>
      </c>
      <c r="K89" s="91">
        <f t="shared" si="33"/>
        <v>-9.2162484483862457</v>
      </c>
      <c r="L89" s="91">
        <f t="shared" si="33"/>
        <v>-9.2162484483862457</v>
      </c>
      <c r="M89" s="91">
        <f t="shared" si="33"/>
        <v>0</v>
      </c>
      <c r="N89" s="91">
        <f t="shared" si="33"/>
        <v>0</v>
      </c>
      <c r="O89" s="91">
        <f t="shared" si="33"/>
        <v>0</v>
      </c>
      <c r="P89" s="91">
        <f t="shared" si="33"/>
        <v>-3.6778709431242946</v>
      </c>
      <c r="Q89" s="91">
        <f t="shared" si="33"/>
        <v>0</v>
      </c>
      <c r="R89" s="91">
        <f t="shared" si="33"/>
        <v>0</v>
      </c>
      <c r="S89" s="91">
        <f t="shared" si="33"/>
        <v>0</v>
      </c>
      <c r="T89" s="92">
        <f>SUM(G89:S89)/13</f>
        <v>-1.7007975261459065</v>
      </c>
      <c r="U89" s="82"/>
    </row>
    <row r="90" spans="1:21" x14ac:dyDescent="0.25">
      <c r="A90" s="82"/>
      <c r="B90" s="88"/>
      <c r="C90" s="93"/>
      <c r="D90" s="90"/>
      <c r="E90" s="89"/>
      <c r="F90" s="89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2"/>
      <c r="U90" s="82"/>
    </row>
    <row r="91" spans="1:21" x14ac:dyDescent="0.25">
      <c r="A91" s="82"/>
      <c r="B91" s="88"/>
      <c r="C91" s="89" t="s">
        <v>413</v>
      </c>
      <c r="D91" s="90">
        <f>D85</f>
        <v>-2.6963863219386323E-3</v>
      </c>
      <c r="E91" s="89"/>
      <c r="F91" s="89"/>
      <c r="G91" s="79">
        <f>(G$48)*$D91</f>
        <v>1621.5385693676744</v>
      </c>
      <c r="H91" s="79">
        <f t="shared" ref="H91:S91" si="34">(H$48)*$D91</f>
        <v>1751.5867377233885</v>
      </c>
      <c r="I91" s="79">
        <f t="shared" si="34"/>
        <v>1881.6266281730943</v>
      </c>
      <c r="J91" s="79">
        <f t="shared" si="34"/>
        <v>2001.9259308902492</v>
      </c>
      <c r="K91" s="79">
        <f t="shared" si="34"/>
        <v>1981.6423647834658</v>
      </c>
      <c r="L91" s="79">
        <f t="shared" si="34"/>
        <v>2111.8558485845779</v>
      </c>
      <c r="M91" s="79">
        <f t="shared" si="34"/>
        <v>2240.9450471448949</v>
      </c>
      <c r="N91" s="79">
        <f t="shared" si="34"/>
        <v>2369.9215637208176</v>
      </c>
      <c r="O91" s="79">
        <f t="shared" si="34"/>
        <v>2499.349455367033</v>
      </c>
      <c r="P91" s="79">
        <f t="shared" si="34"/>
        <v>2542.5000222795129</v>
      </c>
      <c r="Q91" s="79">
        <f t="shared" si="34"/>
        <v>2672.6166249200778</v>
      </c>
      <c r="R91" s="79">
        <f t="shared" si="34"/>
        <v>2802.0100837129617</v>
      </c>
      <c r="S91" s="79">
        <f t="shared" si="34"/>
        <v>2457.4466142611677</v>
      </c>
      <c r="T91" s="92"/>
      <c r="U91" s="82"/>
    </row>
    <row r="92" spans="1:21" x14ac:dyDescent="0.25">
      <c r="A92" s="82"/>
      <c r="B92" s="88"/>
      <c r="C92" s="89"/>
      <c r="D92" s="90"/>
      <c r="E92" s="89" t="s">
        <v>396</v>
      </c>
      <c r="F92" s="89"/>
      <c r="G92" s="91">
        <f>G91</f>
        <v>1621.5385693676744</v>
      </c>
      <c r="H92" s="91">
        <f t="shared" ref="H92:S92" si="35">H91</f>
        <v>1751.5867377233885</v>
      </c>
      <c r="I92" s="91">
        <f t="shared" si="35"/>
        <v>1881.6266281730943</v>
      </c>
      <c r="J92" s="91">
        <f t="shared" si="35"/>
        <v>2001.9259308902492</v>
      </c>
      <c r="K92" s="91">
        <f t="shared" si="35"/>
        <v>1981.6423647834658</v>
      </c>
      <c r="L92" s="91">
        <f t="shared" si="35"/>
        <v>2111.8558485845779</v>
      </c>
      <c r="M92" s="91">
        <f t="shared" si="35"/>
        <v>2240.9450471448949</v>
      </c>
      <c r="N92" s="91">
        <f t="shared" si="35"/>
        <v>2369.9215637208176</v>
      </c>
      <c r="O92" s="91">
        <f t="shared" si="35"/>
        <v>2499.349455367033</v>
      </c>
      <c r="P92" s="91">
        <f t="shared" si="35"/>
        <v>2542.5000222795129</v>
      </c>
      <c r="Q92" s="91">
        <f t="shared" si="35"/>
        <v>2672.6166249200778</v>
      </c>
      <c r="R92" s="91">
        <f t="shared" si="35"/>
        <v>2802.0100837129617</v>
      </c>
      <c r="S92" s="91">
        <f t="shared" si="35"/>
        <v>2457.4466142611677</v>
      </c>
      <c r="T92" s="92">
        <f>SUM(G92:S92)/13</f>
        <v>2225.7665762253014</v>
      </c>
      <c r="U92" s="82"/>
    </row>
    <row r="93" spans="1:21" ht="15.75" thickBot="1" x14ac:dyDescent="0.3">
      <c r="A93" s="82"/>
      <c r="B93" s="94"/>
      <c r="C93" s="95"/>
      <c r="D93" s="96"/>
      <c r="E93" s="95"/>
      <c r="F93" s="95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2"/>
      <c r="U93" s="82"/>
    </row>
    <row r="94" spans="1:21" x14ac:dyDescent="0.25">
      <c r="A94" s="82"/>
      <c r="B94" s="83" t="s">
        <v>419</v>
      </c>
      <c r="C94" s="84" t="s">
        <v>411</v>
      </c>
      <c r="D94" s="85">
        <v>2.4706719004354946E-3</v>
      </c>
      <c r="E94" s="84"/>
      <c r="F94" s="84"/>
      <c r="G94" s="86">
        <f>(G$26)*$D94</f>
        <v>30204.692188659861</v>
      </c>
      <c r="H94" s="86">
        <f t="shared" ref="H94:S94" si="36">(H$26)*$D94</f>
        <v>30229.244811857789</v>
      </c>
      <c r="I94" s="86">
        <f t="shared" si="36"/>
        <v>30249.574809710677</v>
      </c>
      <c r="J94" s="86">
        <f t="shared" si="36"/>
        <v>30253.038024633672</v>
      </c>
      <c r="K94" s="86">
        <f t="shared" si="36"/>
        <v>30118.754857360451</v>
      </c>
      <c r="L94" s="86">
        <f t="shared" si="36"/>
        <v>30122.671267630147</v>
      </c>
      <c r="M94" s="86">
        <f t="shared" si="36"/>
        <v>30146.487260000951</v>
      </c>
      <c r="N94" s="86">
        <f t="shared" si="36"/>
        <v>30185.443529777633</v>
      </c>
      <c r="O94" s="86">
        <f t="shared" si="36"/>
        <v>30208.72990891986</v>
      </c>
      <c r="P94" s="86">
        <f t="shared" si="36"/>
        <v>30129.236213470384</v>
      </c>
      <c r="Q94" s="86">
        <f t="shared" si="36"/>
        <v>30154.083316052122</v>
      </c>
      <c r="R94" s="86">
        <f t="shared" si="36"/>
        <v>30165.19585471246</v>
      </c>
      <c r="S94" s="86">
        <f t="shared" si="36"/>
        <v>30119.973368035025</v>
      </c>
      <c r="T94" s="87"/>
      <c r="U94" s="82"/>
    </row>
    <row r="95" spans="1:21" x14ac:dyDescent="0.25">
      <c r="A95" s="82"/>
      <c r="B95" s="88"/>
      <c r="C95" s="89"/>
      <c r="D95" s="90"/>
      <c r="E95" s="89" t="s">
        <v>381</v>
      </c>
      <c r="F95" s="89"/>
      <c r="G95" s="91">
        <f>G94</f>
        <v>30204.692188659861</v>
      </c>
      <c r="H95" s="91">
        <f t="shared" ref="H95:S95" si="37">H94</f>
        <v>30229.244811857789</v>
      </c>
      <c r="I95" s="91">
        <f t="shared" si="37"/>
        <v>30249.574809710677</v>
      </c>
      <c r="J95" s="91">
        <f t="shared" si="37"/>
        <v>30253.038024633672</v>
      </c>
      <c r="K95" s="91">
        <f t="shared" si="37"/>
        <v>30118.754857360451</v>
      </c>
      <c r="L95" s="91">
        <f t="shared" si="37"/>
        <v>30122.671267630147</v>
      </c>
      <c r="M95" s="91">
        <f t="shared" si="37"/>
        <v>30146.487260000951</v>
      </c>
      <c r="N95" s="91">
        <f t="shared" si="37"/>
        <v>30185.443529777633</v>
      </c>
      <c r="O95" s="91">
        <f t="shared" si="37"/>
        <v>30208.72990891986</v>
      </c>
      <c r="P95" s="91">
        <f t="shared" si="37"/>
        <v>30129.236213470384</v>
      </c>
      <c r="Q95" s="91">
        <f t="shared" si="37"/>
        <v>30154.083316052122</v>
      </c>
      <c r="R95" s="91">
        <f t="shared" si="37"/>
        <v>30165.19585471246</v>
      </c>
      <c r="S95" s="91">
        <f t="shared" si="37"/>
        <v>30119.973368035025</v>
      </c>
      <c r="T95" s="92">
        <f>SUM(G95:S95)/13</f>
        <v>30175.932723909311</v>
      </c>
      <c r="U95" s="82"/>
    </row>
    <row r="96" spans="1:21" x14ac:dyDescent="0.25">
      <c r="A96" s="82"/>
      <c r="B96" s="88"/>
      <c r="C96" s="89"/>
      <c r="D96" s="90"/>
      <c r="E96" s="89"/>
      <c r="F96" s="89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2"/>
      <c r="U96" s="82"/>
    </row>
    <row r="97" spans="1:21" x14ac:dyDescent="0.25">
      <c r="A97" s="82"/>
      <c r="B97" s="88"/>
      <c r="C97" s="89" t="s">
        <v>412</v>
      </c>
      <c r="D97" s="90">
        <f>D94</f>
        <v>2.4706719004354946E-3</v>
      </c>
      <c r="E97" s="89"/>
      <c r="F97" s="89"/>
      <c r="G97" s="79">
        <f>G$8*$D97</f>
        <v>0</v>
      </c>
      <c r="H97" s="79">
        <f t="shared" ref="H97:S97" si="38">H$8*$D97</f>
        <v>0</v>
      </c>
      <c r="I97" s="79">
        <f t="shared" si="38"/>
        <v>0</v>
      </c>
      <c r="J97" s="79">
        <f t="shared" si="38"/>
        <v>0</v>
      </c>
      <c r="K97" s="79">
        <f t="shared" si="38"/>
        <v>8.4447565556885209</v>
      </c>
      <c r="L97" s="79">
        <f t="shared" si="38"/>
        <v>8.4447565556885209</v>
      </c>
      <c r="M97" s="79">
        <f t="shared" si="38"/>
        <v>0</v>
      </c>
      <c r="N97" s="79">
        <f t="shared" si="38"/>
        <v>0</v>
      </c>
      <c r="O97" s="79">
        <f t="shared" si="38"/>
        <v>0</v>
      </c>
      <c r="P97" s="79">
        <f t="shared" si="38"/>
        <v>3.3699964721940145</v>
      </c>
      <c r="Q97" s="79">
        <f t="shared" si="38"/>
        <v>0</v>
      </c>
      <c r="R97" s="79">
        <f t="shared" si="38"/>
        <v>0</v>
      </c>
      <c r="S97" s="79">
        <f t="shared" si="38"/>
        <v>0</v>
      </c>
      <c r="T97" s="92"/>
      <c r="U97" s="82"/>
    </row>
    <row r="98" spans="1:21" x14ac:dyDescent="0.25">
      <c r="A98" s="82"/>
      <c r="B98" s="88"/>
      <c r="C98" s="89"/>
      <c r="D98" s="90"/>
      <c r="E98" s="89" t="s">
        <v>69</v>
      </c>
      <c r="F98" s="89"/>
      <c r="G98" s="91">
        <f>G97</f>
        <v>0</v>
      </c>
      <c r="H98" s="91">
        <f t="shared" ref="H98:S98" si="39">H97</f>
        <v>0</v>
      </c>
      <c r="I98" s="91">
        <f t="shared" si="39"/>
        <v>0</v>
      </c>
      <c r="J98" s="91">
        <f t="shared" si="39"/>
        <v>0</v>
      </c>
      <c r="K98" s="91">
        <f t="shared" si="39"/>
        <v>8.4447565556885209</v>
      </c>
      <c r="L98" s="91">
        <f t="shared" si="39"/>
        <v>8.4447565556885209</v>
      </c>
      <c r="M98" s="91">
        <f t="shared" si="39"/>
        <v>0</v>
      </c>
      <c r="N98" s="91">
        <f t="shared" si="39"/>
        <v>0</v>
      </c>
      <c r="O98" s="91">
        <f t="shared" si="39"/>
        <v>0</v>
      </c>
      <c r="P98" s="91">
        <f t="shared" si="39"/>
        <v>3.3699964721940145</v>
      </c>
      <c r="Q98" s="91">
        <f t="shared" si="39"/>
        <v>0</v>
      </c>
      <c r="R98" s="91">
        <f t="shared" si="39"/>
        <v>0</v>
      </c>
      <c r="S98" s="91">
        <f t="shared" si="39"/>
        <v>0</v>
      </c>
      <c r="T98" s="92">
        <f>SUM(G98:S98)/13</f>
        <v>1.5584238141208504</v>
      </c>
      <c r="U98" s="82"/>
    </row>
    <row r="99" spans="1:21" x14ac:dyDescent="0.25">
      <c r="A99" s="82"/>
      <c r="B99" s="88"/>
      <c r="C99" s="93"/>
      <c r="D99" s="90"/>
      <c r="E99" s="89"/>
      <c r="F99" s="89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2"/>
      <c r="U99" s="82"/>
    </row>
    <row r="100" spans="1:21" x14ac:dyDescent="0.25">
      <c r="A100" s="82"/>
      <c r="B100" s="88"/>
      <c r="C100" s="89" t="s">
        <v>413</v>
      </c>
      <c r="D100" s="90">
        <f>D94</f>
        <v>2.4706719004354946E-3</v>
      </c>
      <c r="E100" s="89"/>
      <c r="F100" s="89"/>
      <c r="G100" s="79">
        <f>(G$48)*$D100</f>
        <v>-1485.7996223362632</v>
      </c>
      <c r="H100" s="79">
        <f t="shared" ref="H100:S100" si="40">(H$48)*$D100</f>
        <v>-1604.9614622570934</v>
      </c>
      <c r="I100" s="79">
        <f t="shared" si="40"/>
        <v>-1724.1157172151891</v>
      </c>
      <c r="J100" s="79">
        <f t="shared" si="40"/>
        <v>-1834.3447687598375</v>
      </c>
      <c r="K100" s="79">
        <f t="shared" si="40"/>
        <v>-1815.7591393888115</v>
      </c>
      <c r="L100" s="79">
        <f t="shared" si="40"/>
        <v>-1935.0724562038572</v>
      </c>
      <c r="M100" s="79">
        <f t="shared" si="40"/>
        <v>-2053.3556016632979</v>
      </c>
      <c r="N100" s="79">
        <f t="shared" si="40"/>
        <v>-2171.5354977440188</v>
      </c>
      <c r="O100" s="79">
        <f t="shared" si="40"/>
        <v>-2290.1289843008726</v>
      </c>
      <c r="P100" s="79">
        <f t="shared" si="40"/>
        <v>-2329.6674184974513</v>
      </c>
      <c r="Q100" s="79">
        <f t="shared" si="40"/>
        <v>-2448.8919640711147</v>
      </c>
      <c r="R100" s="79">
        <f t="shared" si="40"/>
        <v>-2567.4539001477997</v>
      </c>
      <c r="S100" s="79">
        <f t="shared" si="40"/>
        <v>-2251.7338288195019</v>
      </c>
      <c r="T100" s="92"/>
      <c r="U100" s="82"/>
    </row>
    <row r="101" spans="1:21" x14ac:dyDescent="0.25">
      <c r="A101" s="82"/>
      <c r="B101" s="88"/>
      <c r="C101" s="89"/>
      <c r="D101" s="90"/>
      <c r="E101" s="89" t="s">
        <v>396</v>
      </c>
      <c r="F101" s="89"/>
      <c r="G101" s="91">
        <f>G100</f>
        <v>-1485.7996223362632</v>
      </c>
      <c r="H101" s="91">
        <f t="shared" ref="H101:S101" si="41">H100</f>
        <v>-1604.9614622570934</v>
      </c>
      <c r="I101" s="91">
        <f t="shared" si="41"/>
        <v>-1724.1157172151891</v>
      </c>
      <c r="J101" s="91">
        <f t="shared" si="41"/>
        <v>-1834.3447687598375</v>
      </c>
      <c r="K101" s="91">
        <f t="shared" si="41"/>
        <v>-1815.7591393888115</v>
      </c>
      <c r="L101" s="91">
        <f t="shared" si="41"/>
        <v>-1935.0724562038572</v>
      </c>
      <c r="M101" s="91">
        <f t="shared" si="41"/>
        <v>-2053.3556016632979</v>
      </c>
      <c r="N101" s="91">
        <f t="shared" si="41"/>
        <v>-2171.5354977440188</v>
      </c>
      <c r="O101" s="91">
        <f t="shared" si="41"/>
        <v>-2290.1289843008726</v>
      </c>
      <c r="P101" s="91">
        <f t="shared" si="41"/>
        <v>-2329.6674184974513</v>
      </c>
      <c r="Q101" s="91">
        <f t="shared" si="41"/>
        <v>-2448.8919640711147</v>
      </c>
      <c r="R101" s="91">
        <f t="shared" si="41"/>
        <v>-2567.4539001477997</v>
      </c>
      <c r="S101" s="91">
        <f t="shared" si="41"/>
        <v>-2251.7338288195019</v>
      </c>
      <c r="T101" s="92">
        <f>SUM(G101:S101)/13</f>
        <v>-2039.4477201080854</v>
      </c>
      <c r="U101" s="82"/>
    </row>
    <row r="102" spans="1:21" ht="15.75" thickBot="1" x14ac:dyDescent="0.3">
      <c r="A102" s="82"/>
      <c r="B102" s="94"/>
      <c r="C102" s="95"/>
      <c r="D102" s="96"/>
      <c r="E102" s="95"/>
      <c r="F102" s="95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2"/>
      <c r="U102" s="82"/>
    </row>
    <row r="103" spans="1:21" x14ac:dyDescent="0.25">
      <c r="A103" s="82"/>
      <c r="B103" s="83" t="s">
        <v>420</v>
      </c>
      <c r="C103" s="84" t="s">
        <v>411</v>
      </c>
      <c r="D103" s="85">
        <v>0.22915694188985516</v>
      </c>
      <c r="E103" s="84"/>
      <c r="F103" s="84"/>
      <c r="G103" s="86">
        <f>(G$26)*$D103</f>
        <v>2801511.1563205323</v>
      </c>
      <c r="H103" s="86">
        <f t="shared" ref="H103:S103" si="42">(H$26)*$D103</f>
        <v>2803788.4332209653</v>
      </c>
      <c r="I103" s="86">
        <f t="shared" si="42"/>
        <v>2805674.0579920141</v>
      </c>
      <c r="J103" s="86">
        <f t="shared" si="42"/>
        <v>2805995.2741521695</v>
      </c>
      <c r="K103" s="86">
        <f t="shared" si="42"/>
        <v>2793540.3949939162</v>
      </c>
      <c r="L103" s="86">
        <f t="shared" si="42"/>
        <v>2793903.6454119226</v>
      </c>
      <c r="M103" s="86">
        <f t="shared" si="42"/>
        <v>2796112.5991701307</v>
      </c>
      <c r="N103" s="86">
        <f t="shared" si="42"/>
        <v>2799725.8266682401</v>
      </c>
      <c r="O103" s="86">
        <f t="shared" si="42"/>
        <v>2801885.6583443847</v>
      </c>
      <c r="P103" s="86">
        <f t="shared" si="42"/>
        <v>2794512.5497800647</v>
      </c>
      <c r="Q103" s="86">
        <f t="shared" si="42"/>
        <v>2796817.1398964017</v>
      </c>
      <c r="R103" s="86">
        <f t="shared" si="42"/>
        <v>2797847.8374064947</v>
      </c>
      <c r="S103" s="86">
        <f t="shared" si="42"/>
        <v>2793653.412906087</v>
      </c>
      <c r="T103" s="87"/>
      <c r="U103" s="82"/>
    </row>
    <row r="104" spans="1:21" x14ac:dyDescent="0.25">
      <c r="A104" s="82"/>
      <c r="B104" s="88"/>
      <c r="C104" s="89"/>
      <c r="D104" s="90"/>
      <c r="E104" s="89" t="s">
        <v>381</v>
      </c>
      <c r="F104" s="89"/>
      <c r="G104" s="91">
        <f>G103</f>
        <v>2801511.1563205323</v>
      </c>
      <c r="H104" s="91">
        <f t="shared" ref="H104:S104" si="43">H103</f>
        <v>2803788.4332209653</v>
      </c>
      <c r="I104" s="91">
        <f t="shared" si="43"/>
        <v>2805674.0579920141</v>
      </c>
      <c r="J104" s="91">
        <f t="shared" si="43"/>
        <v>2805995.2741521695</v>
      </c>
      <c r="K104" s="91">
        <f t="shared" si="43"/>
        <v>2793540.3949939162</v>
      </c>
      <c r="L104" s="91">
        <f t="shared" si="43"/>
        <v>2793903.6454119226</v>
      </c>
      <c r="M104" s="91">
        <f t="shared" si="43"/>
        <v>2796112.5991701307</v>
      </c>
      <c r="N104" s="91">
        <f t="shared" si="43"/>
        <v>2799725.8266682401</v>
      </c>
      <c r="O104" s="91">
        <f t="shared" si="43"/>
        <v>2801885.6583443847</v>
      </c>
      <c r="P104" s="91">
        <f t="shared" si="43"/>
        <v>2794512.5497800647</v>
      </c>
      <c r="Q104" s="91">
        <f t="shared" si="43"/>
        <v>2796817.1398964017</v>
      </c>
      <c r="R104" s="91">
        <f t="shared" si="43"/>
        <v>2797847.8374064947</v>
      </c>
      <c r="S104" s="91">
        <f t="shared" si="43"/>
        <v>2793653.412906087</v>
      </c>
      <c r="T104" s="92">
        <f>SUM(G104:S104)/13</f>
        <v>2798843.6912510246</v>
      </c>
      <c r="U104" s="82"/>
    </row>
    <row r="105" spans="1:21" x14ac:dyDescent="0.25">
      <c r="A105" s="82"/>
      <c r="B105" s="88"/>
      <c r="C105" s="89"/>
      <c r="D105" s="90"/>
      <c r="E105" s="89"/>
      <c r="F105" s="89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2"/>
      <c r="U105" s="82"/>
    </row>
    <row r="106" spans="1:21" x14ac:dyDescent="0.25">
      <c r="A106" s="82"/>
      <c r="B106" s="88"/>
      <c r="C106" s="89" t="s">
        <v>412</v>
      </c>
      <c r="D106" s="90">
        <f>D103</f>
        <v>0.22915694188985516</v>
      </c>
      <c r="E106" s="89"/>
      <c r="F106" s="89"/>
      <c r="G106" s="79">
        <f>G$8*$D106</f>
        <v>0</v>
      </c>
      <c r="H106" s="79">
        <f t="shared" ref="H106:S106" si="44">H$8*$D106</f>
        <v>0</v>
      </c>
      <c r="I106" s="79">
        <f t="shared" si="44"/>
        <v>0</v>
      </c>
      <c r="J106" s="79">
        <f t="shared" si="44"/>
        <v>0</v>
      </c>
      <c r="K106" s="79">
        <f t="shared" si="44"/>
        <v>783.25842737952496</v>
      </c>
      <c r="L106" s="79">
        <f t="shared" si="44"/>
        <v>783.25842737952496</v>
      </c>
      <c r="M106" s="79">
        <f t="shared" si="44"/>
        <v>0</v>
      </c>
      <c r="N106" s="79">
        <f t="shared" si="44"/>
        <v>0</v>
      </c>
      <c r="O106" s="79">
        <f t="shared" si="44"/>
        <v>0</v>
      </c>
      <c r="P106" s="79">
        <f t="shared" si="44"/>
        <v>312.57006873776243</v>
      </c>
      <c r="Q106" s="79">
        <f t="shared" si="44"/>
        <v>0</v>
      </c>
      <c r="R106" s="79">
        <f t="shared" si="44"/>
        <v>0</v>
      </c>
      <c r="S106" s="79">
        <f t="shared" si="44"/>
        <v>0</v>
      </c>
      <c r="T106" s="92"/>
      <c r="U106" s="82"/>
    </row>
    <row r="107" spans="1:21" x14ac:dyDescent="0.25">
      <c r="A107" s="82"/>
      <c r="B107" s="88"/>
      <c r="C107" s="89"/>
      <c r="D107" s="90"/>
      <c r="E107" s="89" t="s">
        <v>69</v>
      </c>
      <c r="F107" s="89"/>
      <c r="G107" s="91">
        <f>G106</f>
        <v>0</v>
      </c>
      <c r="H107" s="91">
        <f t="shared" ref="H107:S107" si="45">H106</f>
        <v>0</v>
      </c>
      <c r="I107" s="91">
        <f t="shared" si="45"/>
        <v>0</v>
      </c>
      <c r="J107" s="91">
        <f t="shared" si="45"/>
        <v>0</v>
      </c>
      <c r="K107" s="91">
        <f t="shared" si="45"/>
        <v>783.25842737952496</v>
      </c>
      <c r="L107" s="91">
        <f t="shared" si="45"/>
        <v>783.25842737952496</v>
      </c>
      <c r="M107" s="91">
        <f t="shared" si="45"/>
        <v>0</v>
      </c>
      <c r="N107" s="91">
        <f t="shared" si="45"/>
        <v>0</v>
      </c>
      <c r="O107" s="91">
        <f t="shared" si="45"/>
        <v>0</v>
      </c>
      <c r="P107" s="91">
        <f t="shared" si="45"/>
        <v>312.57006873776243</v>
      </c>
      <c r="Q107" s="91">
        <f t="shared" si="45"/>
        <v>0</v>
      </c>
      <c r="R107" s="91">
        <f t="shared" si="45"/>
        <v>0</v>
      </c>
      <c r="S107" s="91">
        <f t="shared" si="45"/>
        <v>0</v>
      </c>
      <c r="T107" s="92">
        <f>SUM(G107:S107)/13</f>
        <v>144.54514796129325</v>
      </c>
      <c r="U107" s="82"/>
    </row>
    <row r="108" spans="1:21" x14ac:dyDescent="0.25">
      <c r="A108" s="82"/>
      <c r="B108" s="88"/>
      <c r="C108" s="93"/>
      <c r="D108" s="90"/>
      <c r="E108" s="89"/>
      <c r="F108" s="89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2"/>
      <c r="U108" s="82"/>
    </row>
    <row r="109" spans="1:21" x14ac:dyDescent="0.25">
      <c r="A109" s="82"/>
      <c r="B109" s="88"/>
      <c r="C109" s="89" t="s">
        <v>413</v>
      </c>
      <c r="D109" s="90">
        <f>D103</f>
        <v>0.22915694188985516</v>
      </c>
      <c r="E109" s="89"/>
      <c r="F109" s="89"/>
      <c r="G109" s="79">
        <f>(G$48)*$D109</f>
        <v>-137809.1917650679</v>
      </c>
      <c r="H109" s="79">
        <f t="shared" ref="H109:S109" si="46">(H$48)*$D109</f>
        <v>-148861.55481716423</v>
      </c>
      <c r="I109" s="79">
        <f t="shared" si="46"/>
        <v>-159913.21435744895</v>
      </c>
      <c r="J109" s="79">
        <f t="shared" si="46"/>
        <v>-170137.05361143424</v>
      </c>
      <c r="K109" s="79">
        <f t="shared" si="46"/>
        <v>-168413.22051606781</v>
      </c>
      <c r="L109" s="79">
        <f t="shared" si="46"/>
        <v>-179479.6331802714</v>
      </c>
      <c r="M109" s="79">
        <f t="shared" si="46"/>
        <v>-190450.49656598465</v>
      </c>
      <c r="N109" s="79">
        <f t="shared" si="46"/>
        <v>-201411.78348309625</v>
      </c>
      <c r="O109" s="79">
        <f t="shared" si="46"/>
        <v>-212411.43127228026</v>
      </c>
      <c r="P109" s="79">
        <f t="shared" si="46"/>
        <v>-216078.65502060726</v>
      </c>
      <c r="Q109" s="79">
        <f t="shared" si="46"/>
        <v>-227136.83407588876</v>
      </c>
      <c r="R109" s="79">
        <f t="shared" si="46"/>
        <v>-238133.55553092482</v>
      </c>
      <c r="S109" s="79">
        <f t="shared" si="46"/>
        <v>-208850.24760724342</v>
      </c>
      <c r="T109" s="92"/>
      <c r="U109" s="82"/>
    </row>
    <row r="110" spans="1:21" x14ac:dyDescent="0.25">
      <c r="A110" s="82"/>
      <c r="B110" s="88"/>
      <c r="C110" s="89"/>
      <c r="D110" s="99"/>
      <c r="E110" s="89" t="s">
        <v>396</v>
      </c>
      <c r="F110" s="89"/>
      <c r="G110" s="91">
        <f>G109</f>
        <v>-137809.1917650679</v>
      </c>
      <c r="H110" s="91">
        <f t="shared" ref="H110:S110" si="47">H109</f>
        <v>-148861.55481716423</v>
      </c>
      <c r="I110" s="91">
        <f t="shared" si="47"/>
        <v>-159913.21435744895</v>
      </c>
      <c r="J110" s="91">
        <f t="shared" si="47"/>
        <v>-170137.05361143424</v>
      </c>
      <c r="K110" s="91">
        <f t="shared" si="47"/>
        <v>-168413.22051606781</v>
      </c>
      <c r="L110" s="91">
        <f t="shared" si="47"/>
        <v>-179479.6331802714</v>
      </c>
      <c r="M110" s="91">
        <f t="shared" si="47"/>
        <v>-190450.49656598465</v>
      </c>
      <c r="N110" s="91">
        <f t="shared" si="47"/>
        <v>-201411.78348309625</v>
      </c>
      <c r="O110" s="91">
        <f t="shared" si="47"/>
        <v>-212411.43127228026</v>
      </c>
      <c r="P110" s="91">
        <f t="shared" si="47"/>
        <v>-216078.65502060726</v>
      </c>
      <c r="Q110" s="91">
        <f t="shared" si="47"/>
        <v>-227136.83407588876</v>
      </c>
      <c r="R110" s="91">
        <f t="shared" si="47"/>
        <v>-238133.55553092482</v>
      </c>
      <c r="S110" s="91">
        <f t="shared" si="47"/>
        <v>-208850.24760724342</v>
      </c>
      <c r="T110" s="92">
        <f>SUM(G110:S110)/13</f>
        <v>-189160.52860026763</v>
      </c>
      <c r="U110" s="82"/>
    </row>
    <row r="111" spans="1:21" x14ac:dyDescent="0.25">
      <c r="A111" s="82"/>
      <c r="B111" s="88"/>
      <c r="C111" s="89"/>
      <c r="D111" s="100"/>
      <c r="E111" s="89"/>
      <c r="F111" s="89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2"/>
      <c r="U111" s="82"/>
    </row>
    <row r="112" spans="1:21" ht="15.75" thickBot="1" x14ac:dyDescent="0.3">
      <c r="A112" s="82"/>
      <c r="B112" s="94"/>
      <c r="C112" s="95"/>
      <c r="D112" s="101"/>
      <c r="E112" s="95"/>
      <c r="F112" s="95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102"/>
      <c r="U112" s="82"/>
    </row>
    <row r="113" spans="1:21" x14ac:dyDescent="0.25">
      <c r="A113" s="82"/>
      <c r="B113" s="82"/>
      <c r="C113" s="103"/>
      <c r="D113" s="103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</row>
    <row r="115" spans="1:21" x14ac:dyDescent="0.25">
      <c r="D115" s="131">
        <f>+D103+D94+D85+D76+D67+D58</f>
        <v>1</v>
      </c>
      <c r="E115" t="s">
        <v>463</v>
      </c>
      <c r="T115" s="105">
        <f>+T59+T68+T77+T86+T95+T104</f>
        <v>12213654.398461539</v>
      </c>
    </row>
    <row r="116" spans="1:21" x14ac:dyDescent="0.25">
      <c r="E116" t="s">
        <v>464</v>
      </c>
      <c r="T116" s="105">
        <f>+T62+T71+T80+T89+T98+T107</f>
        <v>630.76923076923072</v>
      </c>
    </row>
    <row r="117" spans="1:21" x14ac:dyDescent="0.25">
      <c r="E117" t="s">
        <v>465</v>
      </c>
      <c r="T117" s="105">
        <f>+T65+T74+T83+T92+T101+T110</f>
        <v>-825462.7899999998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17"/>
  <sheetViews>
    <sheetView topLeftCell="A4" workbookViewId="0">
      <pane xSplit="6" ySplit="2" topLeftCell="N18" activePane="bottomRight" state="frozen"/>
      <selection activeCell="A4" sqref="A4"/>
      <selection pane="topRight" activeCell="G4" sqref="G4"/>
      <selection pane="bottomLeft" activeCell="A6" sqref="A6"/>
      <selection pane="bottomRight" activeCell="H26" sqref="H26:S26"/>
    </sheetView>
  </sheetViews>
  <sheetFormatPr defaultRowHeight="15" x14ac:dyDescent="0.25"/>
  <cols>
    <col min="1" max="1" width="3" customWidth="1"/>
    <col min="2" max="2" width="16.42578125" customWidth="1"/>
    <col min="3" max="3" width="47.42578125" bestFit="1" customWidth="1"/>
    <col min="4" max="4" width="15.85546875" style="13" customWidth="1"/>
    <col min="5" max="5" width="17.85546875" customWidth="1"/>
    <col min="6" max="6" width="4.42578125" customWidth="1"/>
    <col min="7" max="7" width="13" customWidth="1"/>
    <col min="8" max="8" width="12.140625" customWidth="1"/>
    <col min="9" max="9" width="12.7109375" customWidth="1"/>
    <col min="10" max="10" width="13.42578125" customWidth="1"/>
    <col min="11" max="11" width="11.28515625" customWidth="1"/>
    <col min="12" max="12" width="12.28515625" customWidth="1"/>
    <col min="13" max="13" width="13.7109375" customWidth="1"/>
    <col min="14" max="14" width="13.5703125" customWidth="1"/>
    <col min="15" max="15" width="11.42578125" customWidth="1"/>
    <col min="16" max="16" width="13.5703125" customWidth="1"/>
    <col min="17" max="17" width="12.7109375" customWidth="1"/>
    <col min="18" max="18" width="12.85546875" customWidth="1"/>
    <col min="19" max="19" width="14.140625" customWidth="1"/>
    <col min="20" max="20" width="11.85546875" customWidth="1"/>
    <col min="21" max="21" width="3.28515625" customWidth="1"/>
    <col min="24" max="24" width="17" bestFit="1" customWidth="1"/>
  </cols>
  <sheetData>
    <row r="1" spans="1:26" x14ac:dyDescent="0.25">
      <c r="A1" t="s">
        <v>373</v>
      </c>
    </row>
    <row r="2" spans="1:26" x14ac:dyDescent="0.25">
      <c r="A2" t="s">
        <v>374</v>
      </c>
    </row>
    <row r="5" spans="1:26" x14ac:dyDescent="0.25">
      <c r="B5" t="s">
        <v>375</v>
      </c>
      <c r="C5" t="s">
        <v>376</v>
      </c>
      <c r="D5" s="13" t="s">
        <v>377</v>
      </c>
      <c r="E5" t="s">
        <v>378</v>
      </c>
      <c r="G5" s="65">
        <v>44544</v>
      </c>
      <c r="H5" s="65">
        <v>44574</v>
      </c>
      <c r="I5" s="65">
        <f>H5+30</f>
        <v>44604</v>
      </c>
      <c r="J5" s="65">
        <f t="shared" ref="J5:S5" si="0">I5+30</f>
        <v>44634</v>
      </c>
      <c r="K5" s="65">
        <f t="shared" si="0"/>
        <v>44664</v>
      </c>
      <c r="L5" s="65">
        <f t="shared" si="0"/>
        <v>44694</v>
      </c>
      <c r="M5" s="65">
        <f t="shared" si="0"/>
        <v>44724</v>
      </c>
      <c r="N5" s="65">
        <f t="shared" si="0"/>
        <v>44754</v>
      </c>
      <c r="O5" s="65">
        <f t="shared" si="0"/>
        <v>44784</v>
      </c>
      <c r="P5" s="65">
        <f t="shared" si="0"/>
        <v>44814</v>
      </c>
      <c r="Q5" s="65">
        <f t="shared" si="0"/>
        <v>44844</v>
      </c>
      <c r="R5" s="65">
        <f t="shared" si="0"/>
        <v>44874</v>
      </c>
      <c r="S5" s="65">
        <f t="shared" si="0"/>
        <v>44904</v>
      </c>
      <c r="T5" s="66" t="s">
        <v>379</v>
      </c>
    </row>
    <row r="6" spans="1:26" x14ac:dyDescent="0.25">
      <c r="C6" s="67" t="s">
        <v>380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6"/>
    </row>
    <row r="7" spans="1:26" x14ac:dyDescent="0.25"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6"/>
    </row>
    <row r="8" spans="1:26" x14ac:dyDescent="0.25">
      <c r="B8" t="s">
        <v>381</v>
      </c>
      <c r="C8" t="s">
        <v>382</v>
      </c>
      <c r="D8" s="13" t="s">
        <v>71</v>
      </c>
      <c r="E8" t="s">
        <v>383</v>
      </c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>
        <f>SUM(G8:S8)/13</f>
        <v>0</v>
      </c>
      <c r="U8" s="68"/>
      <c r="V8" s="68"/>
      <c r="W8" s="68"/>
      <c r="X8" s="68"/>
      <c r="Y8" s="68"/>
      <c r="Z8" s="68"/>
    </row>
    <row r="9" spans="1:26" x14ac:dyDescent="0.25">
      <c r="C9" s="69"/>
      <c r="D9" s="70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x14ac:dyDescent="0.25">
      <c r="G10" s="71">
        <f t="shared" ref="G10:T10" si="1">SUM(G8:G9)</f>
        <v>0</v>
      </c>
      <c r="H10" s="71">
        <f t="shared" si="1"/>
        <v>0</v>
      </c>
      <c r="I10" s="71">
        <f t="shared" si="1"/>
        <v>0</v>
      </c>
      <c r="J10" s="71">
        <f t="shared" si="1"/>
        <v>0</v>
      </c>
      <c r="K10" s="71">
        <f t="shared" si="1"/>
        <v>0</v>
      </c>
      <c r="L10" s="71">
        <f t="shared" si="1"/>
        <v>0</v>
      </c>
      <c r="M10" s="71">
        <f t="shared" si="1"/>
        <v>0</v>
      </c>
      <c r="N10" s="71">
        <f t="shared" si="1"/>
        <v>0</v>
      </c>
      <c r="O10" s="71">
        <f t="shared" si="1"/>
        <v>0</v>
      </c>
      <c r="P10" s="71">
        <f t="shared" si="1"/>
        <v>0</v>
      </c>
      <c r="Q10" s="72">
        <f t="shared" si="1"/>
        <v>0</v>
      </c>
      <c r="R10" s="72">
        <f t="shared" si="1"/>
        <v>0</v>
      </c>
      <c r="S10" s="72">
        <f t="shared" si="1"/>
        <v>0</v>
      </c>
      <c r="T10" s="72">
        <f t="shared" si="1"/>
        <v>0</v>
      </c>
      <c r="U10" s="68"/>
      <c r="V10" s="68"/>
      <c r="W10" s="68"/>
      <c r="X10" s="68"/>
      <c r="Y10" s="68"/>
      <c r="Z10" s="68"/>
    </row>
    <row r="11" spans="1:26" x14ac:dyDescent="0.25"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73"/>
      <c r="R11" s="73"/>
      <c r="S11" s="73"/>
      <c r="T11" s="73"/>
      <c r="U11" s="68"/>
      <c r="V11" s="68"/>
      <c r="W11" s="68"/>
      <c r="X11" s="68"/>
      <c r="Y11" s="68"/>
      <c r="Z11" s="68"/>
    </row>
    <row r="12" spans="1:26" x14ac:dyDescent="0.25"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3"/>
      <c r="R12" s="73"/>
      <c r="S12" s="73"/>
      <c r="T12" s="73"/>
      <c r="U12" s="68"/>
      <c r="V12" s="68"/>
      <c r="W12" s="68"/>
      <c r="X12" s="68"/>
      <c r="Y12" s="68"/>
      <c r="Z12" s="68"/>
    </row>
    <row r="13" spans="1:26" x14ac:dyDescent="0.25">
      <c r="C13" s="67" t="s">
        <v>384</v>
      </c>
      <c r="D13" s="13">
        <v>10101010</v>
      </c>
      <c r="E13" t="s">
        <v>385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73">
        <f t="shared" ref="T13:T25" si="2">SUM(G13:S13)/13</f>
        <v>0</v>
      </c>
      <c r="U13" s="68"/>
      <c r="V13" s="68"/>
      <c r="W13" s="68"/>
      <c r="X13" s="68"/>
      <c r="Y13" s="68"/>
      <c r="Z13" s="68"/>
    </row>
    <row r="14" spans="1:26" x14ac:dyDescent="0.25">
      <c r="C14" t="s">
        <v>386</v>
      </c>
      <c r="D14" s="13" t="s">
        <v>44</v>
      </c>
      <c r="E14" t="s">
        <v>385</v>
      </c>
      <c r="G14" s="68">
        <v>596857.97</v>
      </c>
      <c r="H14" s="68">
        <v>596857.97</v>
      </c>
      <c r="I14" s="68">
        <v>596857.97</v>
      </c>
      <c r="J14" s="68">
        <v>596857.97</v>
      </c>
      <c r="K14" s="68">
        <v>596857.97</v>
      </c>
      <c r="L14" s="68">
        <v>596857.97</v>
      </c>
      <c r="M14" s="68">
        <v>596857.97</v>
      </c>
      <c r="N14" s="68">
        <v>596857.97</v>
      </c>
      <c r="O14" s="68">
        <v>596857.97</v>
      </c>
      <c r="P14" s="68">
        <v>596857.97</v>
      </c>
      <c r="Q14" s="68">
        <v>596857.97</v>
      </c>
      <c r="R14" s="68">
        <v>596857.97</v>
      </c>
      <c r="S14" s="68">
        <v>596857.97</v>
      </c>
      <c r="T14" s="73">
        <f t="shared" si="2"/>
        <v>596857.96999999986</v>
      </c>
      <c r="U14" s="68"/>
      <c r="V14" s="68"/>
      <c r="W14" s="68"/>
      <c r="X14" s="68"/>
      <c r="Y14" s="68"/>
      <c r="Z14" s="68"/>
    </row>
    <row r="15" spans="1:26" x14ac:dyDescent="0.25">
      <c r="C15" t="s">
        <v>387</v>
      </c>
      <c r="D15" s="13" t="s">
        <v>46</v>
      </c>
      <c r="E15" t="s">
        <v>385</v>
      </c>
      <c r="G15" s="68">
        <v>7746101.1600000001</v>
      </c>
      <c r="H15" s="68">
        <v>7746101.1600000001</v>
      </c>
      <c r="I15" s="68">
        <f>7746101.16-35976.27</f>
        <v>7710124.8900000006</v>
      </c>
      <c r="J15" s="68">
        <f t="shared" ref="J15:S15" si="3">7746101.16-35976.27</f>
        <v>7710124.8900000006</v>
      </c>
      <c r="K15" s="68">
        <f t="shared" si="3"/>
        <v>7710124.8900000006</v>
      </c>
      <c r="L15" s="68">
        <f t="shared" si="3"/>
        <v>7710124.8900000006</v>
      </c>
      <c r="M15" s="68">
        <f t="shared" si="3"/>
        <v>7710124.8900000006</v>
      </c>
      <c r="N15" s="68">
        <f t="shared" si="3"/>
        <v>7710124.8900000006</v>
      </c>
      <c r="O15" s="68">
        <f t="shared" si="3"/>
        <v>7710124.8900000006</v>
      </c>
      <c r="P15" s="68">
        <f t="shared" si="3"/>
        <v>7710124.8900000006</v>
      </c>
      <c r="Q15" s="68">
        <f t="shared" si="3"/>
        <v>7710124.8900000006</v>
      </c>
      <c r="R15" s="68">
        <f t="shared" si="3"/>
        <v>7710124.8900000006</v>
      </c>
      <c r="S15" s="68">
        <f t="shared" si="3"/>
        <v>7710124.8900000006</v>
      </c>
      <c r="T15" s="73">
        <f t="shared" si="2"/>
        <v>7715659.7007692317</v>
      </c>
      <c r="U15" s="68"/>
      <c r="V15" s="68"/>
      <c r="W15" s="68"/>
      <c r="X15" s="68"/>
      <c r="Y15" s="68"/>
      <c r="Z15" s="68"/>
    </row>
    <row r="16" spans="1:26" x14ac:dyDescent="0.25">
      <c r="C16" t="s">
        <v>388</v>
      </c>
      <c r="D16" s="13" t="s">
        <v>48</v>
      </c>
      <c r="E16" t="s">
        <v>385</v>
      </c>
      <c r="G16" s="68">
        <v>742002.67</v>
      </c>
      <c r="H16" s="68">
        <v>742002.67</v>
      </c>
      <c r="I16" s="68">
        <f>742002.67-193448.15</f>
        <v>548554.52</v>
      </c>
      <c r="J16" s="68">
        <f t="shared" ref="J16:S16" si="4">742002.67-193448.15</f>
        <v>548554.52</v>
      </c>
      <c r="K16" s="68">
        <f t="shared" si="4"/>
        <v>548554.52</v>
      </c>
      <c r="L16" s="68">
        <f t="shared" si="4"/>
        <v>548554.52</v>
      </c>
      <c r="M16" s="68">
        <f t="shared" si="4"/>
        <v>548554.52</v>
      </c>
      <c r="N16" s="68">
        <f t="shared" si="4"/>
        <v>548554.52</v>
      </c>
      <c r="O16" s="68">
        <f t="shared" si="4"/>
        <v>548554.52</v>
      </c>
      <c r="P16" s="68">
        <f t="shared" si="4"/>
        <v>548554.52</v>
      </c>
      <c r="Q16" s="68">
        <f t="shared" si="4"/>
        <v>548554.52</v>
      </c>
      <c r="R16" s="68">
        <f t="shared" si="4"/>
        <v>548554.52</v>
      </c>
      <c r="S16" s="68">
        <f t="shared" si="4"/>
        <v>548554.52</v>
      </c>
      <c r="T16" s="73">
        <f t="shared" si="2"/>
        <v>578315.77384615364</v>
      </c>
      <c r="U16" s="68"/>
      <c r="V16" s="68"/>
      <c r="W16" s="68"/>
      <c r="X16" s="68"/>
      <c r="Y16" s="68"/>
      <c r="Z16" s="68"/>
    </row>
    <row r="17" spans="2:26" x14ac:dyDescent="0.25">
      <c r="C17" t="s">
        <v>382</v>
      </c>
      <c r="D17" s="13">
        <v>10103912</v>
      </c>
      <c r="E17" t="s">
        <v>385</v>
      </c>
      <c r="G17" s="68">
        <v>41832.54</v>
      </c>
      <c r="H17" s="68">
        <v>41832.54</v>
      </c>
      <c r="I17" s="68">
        <v>41832.54</v>
      </c>
      <c r="J17" s="68">
        <v>41832.54</v>
      </c>
      <c r="K17" s="68">
        <v>41832.54</v>
      </c>
      <c r="L17" s="68">
        <v>41832.54</v>
      </c>
      <c r="M17" s="68">
        <v>41832.54</v>
      </c>
      <c r="N17" s="68">
        <v>41832.54</v>
      </c>
      <c r="O17" s="68">
        <v>41832.54</v>
      </c>
      <c r="P17" s="68">
        <v>41832.54</v>
      </c>
      <c r="Q17" s="68">
        <v>41832.54</v>
      </c>
      <c r="R17" s="68">
        <v>41832.54</v>
      </c>
      <c r="S17" s="68">
        <v>41832.54</v>
      </c>
      <c r="T17" s="73">
        <f t="shared" si="2"/>
        <v>41832.539999999994</v>
      </c>
      <c r="U17" s="68"/>
      <c r="V17" s="68"/>
      <c r="W17" s="68"/>
      <c r="X17" s="68"/>
      <c r="Y17" s="68"/>
      <c r="Z17" s="68"/>
    </row>
    <row r="18" spans="2:26" x14ac:dyDescent="0.25">
      <c r="C18" t="s">
        <v>389</v>
      </c>
      <c r="D18" s="13" t="s">
        <v>52</v>
      </c>
      <c r="E18" t="s">
        <v>385</v>
      </c>
      <c r="G18" s="68">
        <v>432439.96</v>
      </c>
      <c r="H18" s="68">
        <v>432439.96</v>
      </c>
      <c r="I18" s="68">
        <f>432439.96-322298.3</f>
        <v>110141.66000000003</v>
      </c>
      <c r="J18" s="68">
        <f t="shared" ref="J18:S18" si="5">432439.96-322298.3</f>
        <v>110141.66000000003</v>
      </c>
      <c r="K18" s="68">
        <f t="shared" si="5"/>
        <v>110141.66000000003</v>
      </c>
      <c r="L18" s="68">
        <f t="shared" si="5"/>
        <v>110141.66000000003</v>
      </c>
      <c r="M18" s="68">
        <f t="shared" si="5"/>
        <v>110141.66000000003</v>
      </c>
      <c r="N18" s="68">
        <f t="shared" si="5"/>
        <v>110141.66000000003</v>
      </c>
      <c r="O18" s="68">
        <f t="shared" si="5"/>
        <v>110141.66000000003</v>
      </c>
      <c r="P18" s="68">
        <f t="shared" si="5"/>
        <v>110141.66000000003</v>
      </c>
      <c r="Q18" s="68">
        <f t="shared" si="5"/>
        <v>110141.66000000003</v>
      </c>
      <c r="R18" s="68">
        <f t="shared" si="5"/>
        <v>110141.66000000003</v>
      </c>
      <c r="S18" s="68">
        <f t="shared" si="5"/>
        <v>110141.66000000003</v>
      </c>
      <c r="T18" s="73">
        <f t="shared" si="2"/>
        <v>159726.01384615398</v>
      </c>
      <c r="U18" s="68"/>
      <c r="V18" s="68"/>
      <c r="W18" s="68"/>
      <c r="X18" s="68"/>
      <c r="Y18" s="68"/>
      <c r="Z18" s="68"/>
    </row>
    <row r="19" spans="2:26" x14ac:dyDescent="0.25">
      <c r="C19" t="s">
        <v>390</v>
      </c>
      <c r="D19" s="13" t="s">
        <v>54</v>
      </c>
      <c r="E19" t="s">
        <v>385</v>
      </c>
      <c r="G19" s="68">
        <v>936225.38</v>
      </c>
      <c r="H19" s="68">
        <v>936225.38</v>
      </c>
      <c r="I19" s="68">
        <v>936225.38</v>
      </c>
      <c r="J19" s="68">
        <v>936225.38</v>
      </c>
      <c r="K19" s="68">
        <v>936225.38</v>
      </c>
      <c r="L19" s="68">
        <v>936225.38</v>
      </c>
      <c r="M19" s="68">
        <v>936225.38</v>
      </c>
      <c r="N19" s="68">
        <v>936225.38</v>
      </c>
      <c r="O19" s="68">
        <v>936225.38</v>
      </c>
      <c r="P19" s="68">
        <v>936225.38</v>
      </c>
      <c r="Q19" s="68">
        <v>936225.38</v>
      </c>
      <c r="R19" s="68">
        <v>936225.38</v>
      </c>
      <c r="S19" s="68">
        <v>936225.38</v>
      </c>
      <c r="T19" s="73">
        <f t="shared" si="2"/>
        <v>936225.38000000024</v>
      </c>
      <c r="U19" s="68"/>
      <c r="V19" s="68"/>
      <c r="W19" s="68"/>
      <c r="X19" s="68"/>
      <c r="Y19" s="68"/>
      <c r="Z19" s="68"/>
    </row>
    <row r="20" spans="2:26" x14ac:dyDescent="0.25">
      <c r="C20" t="s">
        <v>391</v>
      </c>
      <c r="D20" s="13" t="s">
        <v>56</v>
      </c>
      <c r="E20" t="s">
        <v>385</v>
      </c>
      <c r="G20" s="68">
        <v>258116.52000000002</v>
      </c>
      <c r="H20" s="68">
        <v>258116.52000000002</v>
      </c>
      <c r="I20" s="68">
        <v>258116.52000000002</v>
      </c>
      <c r="J20" s="68">
        <v>258116.52000000002</v>
      </c>
      <c r="K20" s="68">
        <v>258116.52000000002</v>
      </c>
      <c r="L20" s="68">
        <v>258116.52000000002</v>
      </c>
      <c r="M20" s="68">
        <v>258116.52000000002</v>
      </c>
      <c r="N20" s="68">
        <v>258116.52000000002</v>
      </c>
      <c r="O20" s="68">
        <v>258116.52000000002</v>
      </c>
      <c r="P20" s="68">
        <v>258116.52000000002</v>
      </c>
      <c r="Q20" s="68">
        <v>258116.52000000002</v>
      </c>
      <c r="R20" s="68">
        <v>258116.52000000002</v>
      </c>
      <c r="S20" s="68">
        <v>258116.52000000002</v>
      </c>
      <c r="T20" s="73">
        <f t="shared" si="2"/>
        <v>258116.52000000002</v>
      </c>
      <c r="U20" s="68"/>
      <c r="V20" s="68"/>
      <c r="W20" s="68"/>
      <c r="X20" s="68"/>
      <c r="Y20" s="68"/>
      <c r="Z20" s="68"/>
    </row>
    <row r="21" spans="2:26" x14ac:dyDescent="0.25">
      <c r="C21" t="s">
        <v>392</v>
      </c>
      <c r="D21" s="13" t="s">
        <v>58</v>
      </c>
      <c r="E21" t="s">
        <v>385</v>
      </c>
      <c r="G21" s="68">
        <v>763765.58</v>
      </c>
      <c r="H21" s="68">
        <v>763765.58</v>
      </c>
      <c r="I21" s="68">
        <v>763765.58</v>
      </c>
      <c r="J21" s="68">
        <v>763765.58</v>
      </c>
      <c r="K21" s="68">
        <v>763765.58</v>
      </c>
      <c r="L21" s="68">
        <v>763765.58</v>
      </c>
      <c r="M21" s="68">
        <v>763765.58</v>
      </c>
      <c r="N21" s="68">
        <v>763765.58</v>
      </c>
      <c r="O21" s="68">
        <v>763765.58</v>
      </c>
      <c r="P21" s="68">
        <v>763765.58</v>
      </c>
      <c r="Q21" s="68">
        <v>763765.58</v>
      </c>
      <c r="R21" s="68">
        <v>763765.58</v>
      </c>
      <c r="S21" s="68">
        <v>763765.58</v>
      </c>
      <c r="T21" s="73">
        <f t="shared" si="2"/>
        <v>763765.58</v>
      </c>
      <c r="U21" s="68"/>
      <c r="V21" s="68"/>
      <c r="W21" s="68"/>
      <c r="X21" s="68"/>
      <c r="Y21" s="68"/>
      <c r="Z21" s="68"/>
    </row>
    <row r="22" spans="2:26" x14ac:dyDescent="0.25">
      <c r="C22" t="s">
        <v>59</v>
      </c>
      <c r="D22" s="13" t="s">
        <v>60</v>
      </c>
      <c r="E22" t="s">
        <v>385</v>
      </c>
      <c r="G22" s="68">
        <v>640740.72</v>
      </c>
      <c r="H22" s="68">
        <v>640740.72</v>
      </c>
      <c r="I22" s="68">
        <v>640740.72</v>
      </c>
      <c r="J22" s="68">
        <v>640740.72</v>
      </c>
      <c r="K22" s="68">
        <v>640740.72</v>
      </c>
      <c r="L22" s="68">
        <v>640740.72</v>
      </c>
      <c r="M22" s="68">
        <v>640740.72</v>
      </c>
      <c r="N22" s="68">
        <v>640740.72</v>
      </c>
      <c r="O22" s="68">
        <v>640740.72</v>
      </c>
      <c r="P22" s="68">
        <v>640740.72</v>
      </c>
      <c r="Q22" s="68">
        <v>640740.72</v>
      </c>
      <c r="R22" s="68">
        <v>640740.72</v>
      </c>
      <c r="S22" s="68">
        <v>640740.72</v>
      </c>
      <c r="T22" s="73">
        <f t="shared" si="2"/>
        <v>640740.71999999986</v>
      </c>
      <c r="U22" s="68"/>
      <c r="V22" s="68"/>
      <c r="W22" s="68"/>
      <c r="X22" s="68"/>
      <c r="Y22" s="68"/>
      <c r="Z22" s="68"/>
    </row>
    <row r="23" spans="2:26" x14ac:dyDescent="0.25">
      <c r="C23" t="s">
        <v>61</v>
      </c>
      <c r="D23" s="13" t="s">
        <v>62</v>
      </c>
      <c r="E23" t="s">
        <v>385</v>
      </c>
      <c r="G23" s="68">
        <v>32922.449999999997</v>
      </c>
      <c r="H23" s="68">
        <v>32922.449999999997</v>
      </c>
      <c r="I23" s="68">
        <v>32922.449999999997</v>
      </c>
      <c r="J23" s="68">
        <v>32922.449999999997</v>
      </c>
      <c r="K23" s="68">
        <v>32922.449999999997</v>
      </c>
      <c r="L23" s="68">
        <v>32922.449999999997</v>
      </c>
      <c r="M23" s="68">
        <v>32922.449999999997</v>
      </c>
      <c r="N23" s="68">
        <v>32922.449999999997</v>
      </c>
      <c r="O23" s="68">
        <v>32922.449999999997</v>
      </c>
      <c r="P23" s="68">
        <v>32922.449999999997</v>
      </c>
      <c r="Q23" s="68">
        <v>32922.449999999997</v>
      </c>
      <c r="R23" s="68">
        <v>32922.449999999997</v>
      </c>
      <c r="S23" s="68">
        <v>32922.449999999997</v>
      </c>
      <c r="T23" s="73">
        <f t="shared" si="2"/>
        <v>32922.450000000004</v>
      </c>
      <c r="U23" s="68"/>
      <c r="V23" s="68"/>
      <c r="W23" s="68"/>
      <c r="X23" s="68"/>
      <c r="Y23" s="68"/>
      <c r="Z23" s="68"/>
    </row>
    <row r="24" spans="2:26" x14ac:dyDescent="0.25">
      <c r="C24" t="s">
        <v>393</v>
      </c>
      <c r="D24" s="13" t="s">
        <v>64</v>
      </c>
      <c r="E24" t="s">
        <v>385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0</v>
      </c>
      <c r="T24" s="74">
        <f t="shared" si="2"/>
        <v>0</v>
      </c>
      <c r="U24" s="68"/>
      <c r="V24" s="68"/>
      <c r="W24" s="68"/>
      <c r="X24" s="68"/>
      <c r="Y24" s="68"/>
      <c r="Z24" s="68"/>
    </row>
    <row r="25" spans="2:26" x14ac:dyDescent="0.25">
      <c r="C25" t="s">
        <v>394</v>
      </c>
      <c r="D25" s="13" t="s">
        <v>395</v>
      </c>
      <c r="E25" t="s">
        <v>385</v>
      </c>
      <c r="G25" s="68">
        <v>0</v>
      </c>
      <c r="H25" s="68">
        <v>0</v>
      </c>
      <c r="I25" s="68">
        <v>0</v>
      </c>
      <c r="J25" s="68">
        <v>0</v>
      </c>
      <c r="K25" s="68">
        <v>0</v>
      </c>
      <c r="L25" s="68">
        <v>0</v>
      </c>
      <c r="M25" s="68">
        <v>0</v>
      </c>
      <c r="N25" s="68">
        <v>0</v>
      </c>
      <c r="O25" s="68">
        <v>0</v>
      </c>
      <c r="P25" s="68">
        <v>0</v>
      </c>
      <c r="Q25" s="68">
        <v>0</v>
      </c>
      <c r="R25" s="68">
        <v>0</v>
      </c>
      <c r="S25" s="68">
        <v>0</v>
      </c>
      <c r="T25" s="75">
        <f t="shared" si="2"/>
        <v>0</v>
      </c>
      <c r="U25" s="68"/>
      <c r="V25" s="68"/>
      <c r="W25" s="68"/>
      <c r="X25" s="68"/>
      <c r="Y25" s="68"/>
      <c r="Z25" s="68"/>
    </row>
    <row r="26" spans="2:26" x14ac:dyDescent="0.25">
      <c r="G26" s="76">
        <f t="shared" ref="G26:T26" si="6">SUM(G13:G25)</f>
        <v>12191004.950000001</v>
      </c>
      <c r="H26" s="76">
        <f t="shared" si="6"/>
        <v>12191004.950000001</v>
      </c>
      <c r="I26" s="76">
        <f t="shared" si="6"/>
        <v>11639282.23</v>
      </c>
      <c r="J26" s="76">
        <f t="shared" si="6"/>
        <v>11639282.23</v>
      </c>
      <c r="K26" s="76">
        <f t="shared" si="6"/>
        <v>11639282.23</v>
      </c>
      <c r="L26" s="76">
        <f t="shared" si="6"/>
        <v>11639282.23</v>
      </c>
      <c r="M26" s="76">
        <f t="shared" si="6"/>
        <v>11639282.23</v>
      </c>
      <c r="N26" s="76">
        <f t="shared" si="6"/>
        <v>11639282.23</v>
      </c>
      <c r="O26" s="76">
        <f t="shared" si="6"/>
        <v>11639282.23</v>
      </c>
      <c r="P26" s="76">
        <f t="shared" si="6"/>
        <v>11639282.23</v>
      </c>
      <c r="Q26" s="76">
        <f t="shared" si="6"/>
        <v>11639282.23</v>
      </c>
      <c r="R26" s="76">
        <f t="shared" si="6"/>
        <v>11639282.23</v>
      </c>
      <c r="S26" s="76">
        <f t="shared" si="6"/>
        <v>11639282.23</v>
      </c>
      <c r="T26" s="76">
        <f t="shared" si="6"/>
        <v>11724162.648461537</v>
      </c>
      <c r="U26" s="68"/>
      <c r="V26" s="68"/>
      <c r="W26" s="68"/>
      <c r="X26" s="68"/>
      <c r="Y26" s="68"/>
      <c r="Z26" s="68"/>
    </row>
    <row r="27" spans="2:26" x14ac:dyDescent="0.25"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2:26" x14ac:dyDescent="0.25"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73"/>
      <c r="R28" s="73"/>
      <c r="S28" s="73"/>
      <c r="T28" s="73"/>
      <c r="U28" s="68"/>
      <c r="V28" s="68"/>
      <c r="W28" s="68"/>
      <c r="X28" s="68"/>
      <c r="Y28" s="68"/>
      <c r="Z28" s="68"/>
    </row>
    <row r="29" spans="2:26" x14ac:dyDescent="0.25">
      <c r="G29" s="77">
        <f>G26</f>
        <v>12191004.950000001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5">
        <f>SUM(G29:S29)/13</f>
        <v>937769.61153846164</v>
      </c>
      <c r="U29" s="68"/>
      <c r="V29" s="68"/>
      <c r="W29" s="68"/>
      <c r="X29" s="68"/>
      <c r="Y29" s="68"/>
      <c r="Z29" s="68"/>
    </row>
    <row r="30" spans="2:26" x14ac:dyDescent="0.25">
      <c r="G30" s="68">
        <f>G29-G26-G10</f>
        <v>0</v>
      </c>
      <c r="H30" s="68">
        <f t="shared" ref="H30:T30" si="7">H29-H26-H10</f>
        <v>-12191004.950000001</v>
      </c>
      <c r="I30" s="68">
        <f t="shared" si="7"/>
        <v>-11639282.23</v>
      </c>
      <c r="J30" s="68">
        <f t="shared" si="7"/>
        <v>-11639282.23</v>
      </c>
      <c r="K30" s="68">
        <f t="shared" si="7"/>
        <v>-11639282.23</v>
      </c>
      <c r="L30" s="68">
        <f t="shared" si="7"/>
        <v>-11639282.23</v>
      </c>
      <c r="M30" s="68">
        <f t="shared" si="7"/>
        <v>-11639282.23</v>
      </c>
      <c r="N30" s="68">
        <f t="shared" si="7"/>
        <v>-11639282.23</v>
      </c>
      <c r="O30" s="68">
        <f t="shared" si="7"/>
        <v>-11639282.23</v>
      </c>
      <c r="P30" s="68">
        <f t="shared" si="7"/>
        <v>-11639282.23</v>
      </c>
      <c r="Q30" s="68">
        <f t="shared" si="7"/>
        <v>-11639282.23</v>
      </c>
      <c r="R30" s="68">
        <f t="shared" si="7"/>
        <v>-11639282.23</v>
      </c>
      <c r="S30" s="68">
        <f t="shared" si="7"/>
        <v>-11639282.23</v>
      </c>
      <c r="T30" s="68">
        <f t="shared" si="7"/>
        <v>-10786393.036923075</v>
      </c>
      <c r="U30" s="68"/>
      <c r="V30" s="68"/>
      <c r="W30" s="68"/>
      <c r="X30" s="68"/>
      <c r="Y30" s="68"/>
      <c r="Z30" s="68"/>
    </row>
    <row r="31" spans="2:26" x14ac:dyDescent="0.25">
      <c r="B31" t="s">
        <v>396</v>
      </c>
      <c r="C31" s="67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3"/>
      <c r="U31" s="68"/>
      <c r="V31" s="68"/>
      <c r="W31" s="68"/>
      <c r="X31" s="68"/>
      <c r="Y31" s="68"/>
      <c r="Z31" s="68"/>
    </row>
    <row r="32" spans="2:26" x14ac:dyDescent="0.25"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73"/>
      <c r="R32" s="73"/>
      <c r="S32" s="73"/>
      <c r="T32" s="73"/>
      <c r="U32" s="68"/>
      <c r="V32" s="68"/>
      <c r="W32" s="68"/>
      <c r="X32" s="68"/>
      <c r="Y32" s="68"/>
      <c r="Z32" s="68"/>
    </row>
    <row r="33" spans="3:26" x14ac:dyDescent="0.25"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73"/>
      <c r="R33" s="73"/>
      <c r="S33" s="73"/>
      <c r="T33" s="73"/>
      <c r="U33" s="68"/>
      <c r="V33" s="68"/>
      <c r="W33" s="68"/>
      <c r="X33" s="68"/>
      <c r="Y33" s="68"/>
      <c r="Z33" s="68"/>
    </row>
    <row r="34" spans="3:26" x14ac:dyDescent="0.25">
      <c r="C34" s="67" t="s">
        <v>397</v>
      </c>
      <c r="D34" s="13">
        <v>10801080</v>
      </c>
      <c r="E34" t="s">
        <v>398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73">
        <f t="shared" ref="T34" si="8">SUM(G34:S34)/13</f>
        <v>0</v>
      </c>
      <c r="U34" s="68"/>
      <c r="V34" s="68"/>
      <c r="W34" s="68"/>
      <c r="X34" s="68"/>
      <c r="Y34" s="68"/>
      <c r="Z34" s="68"/>
    </row>
    <row r="35" spans="3:26" x14ac:dyDescent="0.25">
      <c r="C35" t="s">
        <v>399</v>
      </c>
      <c r="D35" s="13" t="s">
        <v>76</v>
      </c>
      <c r="E35" t="s">
        <v>385</v>
      </c>
      <c r="G35" s="68">
        <f>'FC common plant 21'!S35</f>
        <v>-420142.72</v>
      </c>
      <c r="H35" s="68">
        <f>G35-'FC depreciation adjustment 22'!B4</f>
        <v>-434989.39882725693</v>
      </c>
      <c r="I35" s="68">
        <f>H35-'FC depreciation adjustment 22'!C4+35976.27</f>
        <v>-413859.80765451386</v>
      </c>
      <c r="J35" s="68">
        <f>I35-'FC depreciation adjustment 22'!D4</f>
        <v>-428616.06981510413</v>
      </c>
      <c r="K35" s="68">
        <f>J35-'FC depreciation adjustment 22'!E4</f>
        <v>-443372.3319756944</v>
      </c>
      <c r="L35" s="68">
        <f>K35-'FC depreciation adjustment 22'!F4</f>
        <v>-458128.59413628466</v>
      </c>
      <c r="M35" s="68">
        <f>L35-'FC depreciation adjustment 22'!G4</f>
        <v>-472884.85629687493</v>
      </c>
      <c r="N35" s="68">
        <f>M35-'FC depreciation adjustment 22'!H4</f>
        <v>-487641.1184574652</v>
      </c>
      <c r="O35" s="68">
        <f>N35-'FC depreciation adjustment 22'!I4</f>
        <v>-502397.38061805547</v>
      </c>
      <c r="P35" s="68">
        <f>O35-'FC depreciation adjustment 22'!J4</f>
        <v>-517153.64277864574</v>
      </c>
      <c r="Q35" s="68">
        <f>P35-'FC depreciation adjustment 22'!K4</f>
        <v>-531909.904939236</v>
      </c>
      <c r="R35" s="68">
        <f>Q35-'FC depreciation adjustment 22'!L4</f>
        <v>-546666.16709982627</v>
      </c>
      <c r="S35" s="68">
        <f>R35-'FC depreciation adjustment 22'!M4</f>
        <v>-561422.42926041654</v>
      </c>
      <c r="T35" s="73">
        <f t="shared" ref="T35:T44" si="9">SUM(G35:S35)/13</f>
        <v>-478398.80168149038</v>
      </c>
      <c r="U35" s="68"/>
      <c r="V35" s="68"/>
      <c r="W35" s="68"/>
      <c r="X35" s="68"/>
      <c r="Y35" s="68"/>
      <c r="Z35" s="68"/>
    </row>
    <row r="36" spans="3:26" x14ac:dyDescent="0.25">
      <c r="C36" t="s">
        <v>400</v>
      </c>
      <c r="D36" s="13" t="s">
        <v>77</v>
      </c>
      <c r="E36" t="s">
        <v>385</v>
      </c>
      <c r="G36" s="68">
        <f>'FC common plant 21'!S36</f>
        <v>-30015.37999999999</v>
      </c>
      <c r="H36" s="68">
        <f>G36-'FC depreciation adjustment 22'!B5</f>
        <v>-34945.659999999989</v>
      </c>
      <c r="I36" s="68">
        <f>H36-'FC depreciation adjustment 22'!C5+193448.15</f>
        <v>153572.21000000002</v>
      </c>
      <c r="J36" s="68">
        <f>I36-'FC depreciation adjustment 22'!D5</f>
        <v>151123.83833333335</v>
      </c>
      <c r="K36" s="68">
        <f>J36-'FC depreciation adjustment 22'!E5</f>
        <v>148675.46666666667</v>
      </c>
      <c r="L36" s="68">
        <f>K36-'FC depreciation adjustment 22'!F5</f>
        <v>146227.095</v>
      </c>
      <c r="M36" s="68">
        <f>L36-'FC depreciation adjustment 22'!G5</f>
        <v>143778.72333333333</v>
      </c>
      <c r="N36" s="68">
        <f>M36-'FC depreciation adjustment 22'!H5</f>
        <v>141330.35166666665</v>
      </c>
      <c r="O36" s="68">
        <f>N36-'FC depreciation adjustment 22'!I5</f>
        <v>138881.97999999998</v>
      </c>
      <c r="P36" s="68">
        <f>O36-'FC depreciation adjustment 22'!J5</f>
        <v>136433.60833333331</v>
      </c>
      <c r="Q36" s="68">
        <f>P36-'FC depreciation adjustment 22'!K5</f>
        <v>133985.23666666663</v>
      </c>
      <c r="R36" s="68">
        <f>Q36-'FC depreciation adjustment 22'!L5</f>
        <v>131536.86499999996</v>
      </c>
      <c r="S36" s="68">
        <f>R36-'FC depreciation adjustment 22'!M5</f>
        <v>129088.49333333329</v>
      </c>
      <c r="T36" s="73">
        <f t="shared" si="9"/>
        <v>114590.21756410255</v>
      </c>
      <c r="U36" s="68"/>
      <c r="V36" s="68"/>
      <c r="W36" s="68"/>
      <c r="X36" s="68"/>
      <c r="Y36" s="68"/>
      <c r="Z36" s="68"/>
    </row>
    <row r="37" spans="3:26" x14ac:dyDescent="0.25">
      <c r="C37" t="s">
        <v>401</v>
      </c>
      <c r="D37" s="13">
        <v>10803912</v>
      </c>
      <c r="E37" t="s">
        <v>383</v>
      </c>
      <c r="G37" s="68">
        <f>'FC common plant 21'!S37</f>
        <v>-100219.34</v>
      </c>
      <c r="H37" s="68">
        <f>G37-'FC depreciation adjustment 22'!B6</f>
        <v>-114847.76999999999</v>
      </c>
      <c r="I37" s="68">
        <f>H37-'FC depreciation adjustment 22'!C6</f>
        <v>-129476.19999999998</v>
      </c>
      <c r="J37" s="68">
        <f>I37-'FC depreciation adjustment 22'!D6</f>
        <v>-144104.62999999998</v>
      </c>
      <c r="K37" s="68">
        <f>J37-'FC depreciation adjustment 22'!E6</f>
        <v>-158733.05999999997</v>
      </c>
      <c r="L37" s="68">
        <f>K37-'FC depreciation adjustment 22'!F6</f>
        <v>-173361.48999999996</v>
      </c>
      <c r="M37" s="68">
        <f>L37-'FC depreciation adjustment 22'!G6</f>
        <v>-187989.91999999995</v>
      </c>
      <c r="N37" s="68">
        <f>M37-'FC depreciation adjustment 22'!H6</f>
        <v>-202618.34999999995</v>
      </c>
      <c r="O37" s="68">
        <f>N37-'FC depreciation adjustment 22'!I6</f>
        <v>-217246.77999999994</v>
      </c>
      <c r="P37" s="68">
        <f>O37-'FC depreciation adjustment 22'!J6</f>
        <v>-231875.20999999993</v>
      </c>
      <c r="Q37" s="68">
        <f>P37-'FC depreciation adjustment 22'!K6</f>
        <v>-246503.63999999993</v>
      </c>
      <c r="R37" s="68">
        <f>Q37-'FC depreciation adjustment 22'!L6</f>
        <v>-261132.06999999992</v>
      </c>
      <c r="S37" s="68">
        <f>R37-'FC depreciation adjustment 22'!M6</f>
        <v>-275760.49999999994</v>
      </c>
      <c r="T37" s="73">
        <f t="shared" si="9"/>
        <v>-187989.91999999995</v>
      </c>
      <c r="U37" s="68"/>
      <c r="V37" s="68"/>
      <c r="W37" s="68"/>
      <c r="X37" s="68"/>
      <c r="Y37" s="68"/>
      <c r="Z37" s="68"/>
    </row>
    <row r="38" spans="3:26" x14ac:dyDescent="0.25">
      <c r="C38" t="s">
        <v>402</v>
      </c>
      <c r="D38" s="13">
        <v>10803913</v>
      </c>
      <c r="E38" t="s">
        <v>385</v>
      </c>
      <c r="G38" s="68">
        <f>'FC common plant 21'!S38</f>
        <v>240146.58000000002</v>
      </c>
      <c r="H38" s="68">
        <f>G38-'FC depreciation adjustment 22'!B7</f>
        <v>240699.74000000002</v>
      </c>
      <c r="I38" s="68">
        <f>H38-'FC depreciation adjustment 22'!C7+322298.3</f>
        <v>563551.19999999995</v>
      </c>
      <c r="J38" s="68">
        <f>I38-'FC depreciation adjustment 22'!D7</f>
        <v>565977.45833333326</v>
      </c>
      <c r="K38" s="68">
        <f>J38-'FC depreciation adjustment 22'!E7</f>
        <v>568403.71666666656</v>
      </c>
      <c r="L38" s="68">
        <f>K38-'FC depreciation adjustment 22'!F7</f>
        <v>570829.97499999986</v>
      </c>
      <c r="M38" s="68">
        <f>L38-'FC depreciation adjustment 22'!G7</f>
        <v>573256.23333333316</v>
      </c>
      <c r="N38" s="68">
        <f>M38-'FC depreciation adjustment 22'!H7</f>
        <v>575682.49166666646</v>
      </c>
      <c r="O38" s="68">
        <f>N38-'FC depreciation adjustment 22'!I7</f>
        <v>578108.74999999977</v>
      </c>
      <c r="P38" s="68">
        <f>O38-'FC depreciation adjustment 22'!J7</f>
        <v>580535.00833333307</v>
      </c>
      <c r="Q38" s="68">
        <f>P38-'FC depreciation adjustment 22'!K7</f>
        <v>582961.26666666637</v>
      </c>
      <c r="R38" s="68">
        <f>Q38-'FC depreciation adjustment 22'!L7</f>
        <v>585387.52499999967</v>
      </c>
      <c r="S38" s="68">
        <f>R38-'FC depreciation adjustment 22'!M7</f>
        <v>587813.78333333298</v>
      </c>
      <c r="T38" s="73">
        <f t="shared" si="9"/>
        <v>524104.1329487178</v>
      </c>
      <c r="U38" s="68"/>
      <c r="V38" s="68"/>
      <c r="W38" s="68"/>
      <c r="X38" s="68"/>
      <c r="Y38" s="68"/>
      <c r="Z38" s="68"/>
    </row>
    <row r="39" spans="3:26" x14ac:dyDescent="0.25">
      <c r="C39" t="s">
        <v>403</v>
      </c>
      <c r="D39" s="13" t="s">
        <v>80</v>
      </c>
      <c r="E39" t="s">
        <v>385</v>
      </c>
      <c r="G39" s="68">
        <f>'FC common plant 21'!S39</f>
        <v>9031.5400000000009</v>
      </c>
      <c r="H39" s="68">
        <f>G39-'FC depreciation adjustment 22'!B8</f>
        <v>11236.386306714801</v>
      </c>
      <c r="I39" s="68">
        <f>H39-'FC depreciation adjustment 22'!C8</f>
        <v>13441.232613429602</v>
      </c>
      <c r="J39" s="68">
        <f>I39-'FC depreciation adjustment 22'!D8</f>
        <v>15646.078920144402</v>
      </c>
      <c r="K39" s="68">
        <f>J39-'FC depreciation adjustment 22'!E8</f>
        <v>17850.925226859203</v>
      </c>
      <c r="L39" s="68">
        <f>K39-'FC depreciation adjustment 22'!F8</f>
        <v>20055.771533574003</v>
      </c>
      <c r="M39" s="68">
        <f>L39-'FC depreciation adjustment 22'!G8</f>
        <v>22260.617840288804</v>
      </c>
      <c r="N39" s="68">
        <f>M39-'FC depreciation adjustment 22'!H8</f>
        <v>24465.464147003604</v>
      </c>
      <c r="O39" s="68">
        <f>N39-'FC depreciation adjustment 22'!I8</f>
        <v>26670.310453718404</v>
      </c>
      <c r="P39" s="68">
        <f>O39-'FC depreciation adjustment 22'!J8</f>
        <v>28875.156760433205</v>
      </c>
      <c r="Q39" s="68">
        <f>P39-'FC depreciation adjustment 22'!K8</f>
        <v>31080.003067148005</v>
      </c>
      <c r="R39" s="68">
        <f>Q39-'FC depreciation adjustment 22'!L8</f>
        <v>33284.849373862802</v>
      </c>
      <c r="S39" s="68">
        <f>R39-'FC depreciation adjustment 22'!M8</f>
        <v>35489.695680577599</v>
      </c>
      <c r="T39" s="73">
        <f t="shared" si="9"/>
        <v>22260.617840288804</v>
      </c>
      <c r="U39" s="68"/>
      <c r="V39" s="68"/>
      <c r="W39" s="68"/>
      <c r="X39" s="68"/>
      <c r="Y39" s="68"/>
      <c r="Z39" s="68"/>
    </row>
    <row r="40" spans="3:26" x14ac:dyDescent="0.25">
      <c r="C40" t="s">
        <v>404</v>
      </c>
      <c r="D40" s="13" t="s">
        <v>81</v>
      </c>
      <c r="E40" t="s">
        <v>385</v>
      </c>
      <c r="G40" s="68">
        <f>'FC common plant 21'!S40</f>
        <v>-155825.82999999999</v>
      </c>
      <c r="H40" s="68">
        <f>G40-'FC depreciation adjustment 22'!B9</f>
        <v>-159568.51990293068</v>
      </c>
      <c r="I40" s="68">
        <f>H40-'FC depreciation adjustment 22'!C9</f>
        <v>-163311.20980586138</v>
      </c>
      <c r="J40" s="68">
        <f>I40-'FC depreciation adjustment 22'!D9</f>
        <v>-167053.89970879207</v>
      </c>
      <c r="K40" s="68">
        <f>J40-'FC depreciation adjustment 22'!E9</f>
        <v>-170796.58961172277</v>
      </c>
      <c r="L40" s="68">
        <f>K40-'FC depreciation adjustment 22'!F9</f>
        <v>-174539.27951465346</v>
      </c>
      <c r="M40" s="68">
        <f>L40-'FC depreciation adjustment 22'!G9</f>
        <v>-178281.96941758416</v>
      </c>
      <c r="N40" s="68">
        <f>M40-'FC depreciation adjustment 22'!H9</f>
        <v>-182024.65932051485</v>
      </c>
      <c r="O40" s="68">
        <f>N40-'FC depreciation adjustment 22'!I9</f>
        <v>-185767.34922344555</v>
      </c>
      <c r="P40" s="68">
        <f>O40-'FC depreciation adjustment 22'!J9</f>
        <v>-189510.03912637624</v>
      </c>
      <c r="Q40" s="68">
        <f>P40-'FC depreciation adjustment 22'!K9</f>
        <v>-193252.72902930694</v>
      </c>
      <c r="R40" s="68">
        <f>Q40-'FC depreciation adjustment 22'!L9</f>
        <v>-196995.41893223763</v>
      </c>
      <c r="S40" s="68">
        <f>R40-'FC depreciation adjustment 22'!M9</f>
        <v>-200738.10883516833</v>
      </c>
      <c r="T40" s="73">
        <f t="shared" si="9"/>
        <v>-178281.96941758413</v>
      </c>
      <c r="U40" s="68"/>
      <c r="V40" s="68"/>
      <c r="W40" s="68"/>
      <c r="X40" s="68"/>
      <c r="Y40" s="68"/>
      <c r="Z40" s="68"/>
    </row>
    <row r="41" spans="3:26" x14ac:dyDescent="0.25">
      <c r="C41" t="s">
        <v>405</v>
      </c>
      <c r="D41" s="13" t="s">
        <v>82</v>
      </c>
      <c r="E41" t="s">
        <v>385</v>
      </c>
      <c r="G41" s="68">
        <f>'FC common plant 21'!S41</f>
        <v>-254232.94</v>
      </c>
      <c r="H41" s="68">
        <f>G41-'FC depreciation adjustment 22'!B10</f>
        <v>-259579.29993383662</v>
      </c>
      <c r="I41" s="68">
        <f>H41-'FC depreciation adjustment 22'!C10</f>
        <v>-264925.65986767324</v>
      </c>
      <c r="J41" s="68">
        <f>I41-'FC depreciation adjustment 22'!D10</f>
        <v>-270272.01980150986</v>
      </c>
      <c r="K41" s="68">
        <f>J41-'FC depreciation adjustment 22'!E10</f>
        <v>-275618.37973534648</v>
      </c>
      <c r="L41" s="68">
        <f>K41-'FC depreciation adjustment 22'!F10</f>
        <v>-280964.73966918309</v>
      </c>
      <c r="M41" s="68">
        <f>L41-'FC depreciation adjustment 22'!G10</f>
        <v>-286311.09960301971</v>
      </c>
      <c r="N41" s="68">
        <f>M41-'FC depreciation adjustment 22'!H10</f>
        <v>-291657.45953685633</v>
      </c>
      <c r="O41" s="68">
        <f>N41-'FC depreciation adjustment 22'!I10</f>
        <v>-297003.81947069295</v>
      </c>
      <c r="P41" s="68">
        <f>O41-'FC depreciation adjustment 22'!J10</f>
        <v>-302350.17940452957</v>
      </c>
      <c r="Q41" s="68">
        <f>P41-'FC depreciation adjustment 22'!K10</f>
        <v>-307696.53933836619</v>
      </c>
      <c r="R41" s="68">
        <f>Q41-'FC depreciation adjustment 22'!L10</f>
        <v>-313042.89927220281</v>
      </c>
      <c r="S41" s="68">
        <f>R41-'FC depreciation adjustment 22'!M10</f>
        <v>-318389.25920603942</v>
      </c>
      <c r="T41" s="73">
        <f t="shared" si="9"/>
        <v>-286311.09960301971</v>
      </c>
      <c r="U41" s="68"/>
      <c r="V41" s="68"/>
      <c r="W41" s="68"/>
      <c r="X41" s="68"/>
      <c r="Y41" s="68"/>
      <c r="Z41" s="68"/>
    </row>
    <row r="42" spans="3:26" x14ac:dyDescent="0.25">
      <c r="C42" t="s">
        <v>406</v>
      </c>
      <c r="D42" s="13" t="s">
        <v>83</v>
      </c>
      <c r="E42" t="s">
        <v>385</v>
      </c>
      <c r="G42" s="68">
        <f>'FC common plant 21'!S42</f>
        <v>-192055.3</v>
      </c>
      <c r="H42" s="68">
        <f>G42-'FC depreciation adjustment 22'!B11</f>
        <v>-198163.28123953217</v>
      </c>
      <c r="I42" s="68">
        <f>H42-'FC depreciation adjustment 22'!C11</f>
        <v>-204271.26247906435</v>
      </c>
      <c r="J42" s="68">
        <f>I42-'FC depreciation adjustment 22'!D11</f>
        <v>-210379.24371859652</v>
      </c>
      <c r="K42" s="68">
        <f>J42-'FC depreciation adjustment 22'!E11</f>
        <v>-216487.2249581287</v>
      </c>
      <c r="L42" s="68">
        <f>K42-'FC depreciation adjustment 22'!F11</f>
        <v>-222595.20619766088</v>
      </c>
      <c r="M42" s="68">
        <f>L42-'FC depreciation adjustment 22'!G11</f>
        <v>-228703.18743719306</v>
      </c>
      <c r="N42" s="68">
        <f>M42-'FC depreciation adjustment 22'!H11</f>
        <v>-234811.16867672524</v>
      </c>
      <c r="O42" s="68">
        <f>N42-'FC depreciation adjustment 22'!I11</f>
        <v>-240919.14991625742</v>
      </c>
      <c r="P42" s="68">
        <f>O42-'FC depreciation adjustment 22'!J11</f>
        <v>-247027.1311557896</v>
      </c>
      <c r="Q42" s="68">
        <f>P42-'FC depreciation adjustment 22'!K11</f>
        <v>-253135.11239532178</v>
      </c>
      <c r="R42" s="68">
        <f>Q42-'FC depreciation adjustment 22'!L11</f>
        <v>-259243.09363485395</v>
      </c>
      <c r="S42" s="68">
        <f>R42-'FC depreciation adjustment 22'!M11</f>
        <v>-265351.07487438613</v>
      </c>
      <c r="T42" s="73">
        <f t="shared" si="9"/>
        <v>-228703.18743719306</v>
      </c>
      <c r="U42" s="68"/>
      <c r="V42" s="68"/>
      <c r="W42" s="68"/>
      <c r="X42" s="68"/>
      <c r="Y42" s="68"/>
      <c r="Z42" s="68"/>
    </row>
    <row r="43" spans="3:26" x14ac:dyDescent="0.25">
      <c r="C43" t="s">
        <v>407</v>
      </c>
      <c r="D43" s="13" t="s">
        <v>84</v>
      </c>
      <c r="E43" t="s">
        <v>385</v>
      </c>
      <c r="G43" s="68">
        <f>'FC common plant 21'!S43</f>
        <v>-9977.82</v>
      </c>
      <c r="H43" s="68">
        <f>G43-'FC depreciation adjustment 22'!B12</f>
        <v>-10708.0299873227</v>
      </c>
      <c r="I43" s="68">
        <f>H43-'FC depreciation adjustment 22'!C12</f>
        <v>-11438.239974645399</v>
      </c>
      <c r="J43" s="68">
        <f>I43-'FC depreciation adjustment 22'!D12</f>
        <v>-12168.449961968099</v>
      </c>
      <c r="K43" s="68">
        <f>J43-'FC depreciation adjustment 22'!E12</f>
        <v>-12898.659949290799</v>
      </c>
      <c r="L43" s="68">
        <f>K43-'FC depreciation adjustment 22'!F12</f>
        <v>-13628.869936613499</v>
      </c>
      <c r="M43" s="68">
        <f>L43-'FC depreciation adjustment 22'!G12</f>
        <v>-14359.079923936199</v>
      </c>
      <c r="N43" s="68">
        <f>M43-'FC depreciation adjustment 22'!H12</f>
        <v>-15089.289911258898</v>
      </c>
      <c r="O43" s="68">
        <f>N43-'FC depreciation adjustment 22'!I12</f>
        <v>-15819.499898581598</v>
      </c>
      <c r="P43" s="68">
        <f>O43-'FC depreciation adjustment 22'!J12</f>
        <v>-16549.709885904296</v>
      </c>
      <c r="Q43" s="68">
        <f>P43-'FC depreciation adjustment 22'!K12</f>
        <v>-17279.919873226994</v>
      </c>
      <c r="R43" s="68">
        <f>Q43-'FC depreciation adjustment 22'!L12</f>
        <v>-18010.129860549692</v>
      </c>
      <c r="S43" s="68">
        <f>R43-'FC depreciation adjustment 22'!M12</f>
        <v>-18740.33984787239</v>
      </c>
      <c r="T43" s="73">
        <f t="shared" si="9"/>
        <v>-14359.079923936197</v>
      </c>
      <c r="U43" s="68"/>
      <c r="V43" s="68"/>
      <c r="W43" s="68"/>
      <c r="X43" s="68"/>
      <c r="Y43" s="68"/>
      <c r="Z43" s="68"/>
    </row>
    <row r="44" spans="3:26" x14ac:dyDescent="0.25">
      <c r="C44" t="s">
        <v>408</v>
      </c>
      <c r="D44" s="13" t="s">
        <v>85</v>
      </c>
      <c r="E44" t="s">
        <v>385</v>
      </c>
      <c r="G44" s="68">
        <f>'FC common plant 21'!S44</f>
        <v>0</v>
      </c>
      <c r="H44" s="68">
        <f>G44</f>
        <v>0</v>
      </c>
      <c r="I44" s="68">
        <f t="shared" ref="I44:S44" si="10">H44</f>
        <v>0</v>
      </c>
      <c r="J44" s="68">
        <f t="shared" si="10"/>
        <v>0</v>
      </c>
      <c r="K44" s="68">
        <f t="shared" si="10"/>
        <v>0</v>
      </c>
      <c r="L44" s="68">
        <f t="shared" si="10"/>
        <v>0</v>
      </c>
      <c r="M44" s="68">
        <f t="shared" si="10"/>
        <v>0</v>
      </c>
      <c r="N44" s="68">
        <f t="shared" si="10"/>
        <v>0</v>
      </c>
      <c r="O44" s="68">
        <f t="shared" si="10"/>
        <v>0</v>
      </c>
      <c r="P44" s="68">
        <f t="shared" si="10"/>
        <v>0</v>
      </c>
      <c r="Q44" s="68">
        <f t="shared" si="10"/>
        <v>0</v>
      </c>
      <c r="R44" s="68">
        <f t="shared" si="10"/>
        <v>0</v>
      </c>
      <c r="S44" s="68">
        <f t="shared" si="10"/>
        <v>0</v>
      </c>
      <c r="T44" s="73">
        <f t="shared" si="9"/>
        <v>0</v>
      </c>
      <c r="U44" s="68"/>
      <c r="V44" s="68"/>
      <c r="W44" s="68"/>
      <c r="X44" s="68"/>
      <c r="Y44" s="68"/>
      <c r="Z44" s="68"/>
    </row>
    <row r="45" spans="3:26" x14ac:dyDescent="0.25">
      <c r="C45" s="13" t="s">
        <v>86</v>
      </c>
      <c r="D45" s="13" t="s">
        <v>87</v>
      </c>
      <c r="E45" t="s">
        <v>385</v>
      </c>
      <c r="G45" s="68">
        <f>'FC common plant 21'!S45</f>
        <v>25334</v>
      </c>
      <c r="H45" s="68">
        <f>G45</f>
        <v>25334</v>
      </c>
      <c r="I45" s="68">
        <f t="shared" ref="I45:S45" si="11">H45</f>
        <v>25334</v>
      </c>
      <c r="J45" s="68">
        <f t="shared" si="11"/>
        <v>25334</v>
      </c>
      <c r="K45" s="68">
        <f t="shared" si="11"/>
        <v>25334</v>
      </c>
      <c r="L45" s="68">
        <f t="shared" si="11"/>
        <v>25334</v>
      </c>
      <c r="M45" s="68">
        <f t="shared" si="11"/>
        <v>25334</v>
      </c>
      <c r="N45" s="68">
        <f t="shared" si="11"/>
        <v>25334</v>
      </c>
      <c r="O45" s="68">
        <f t="shared" si="11"/>
        <v>25334</v>
      </c>
      <c r="P45" s="68">
        <f t="shared" si="11"/>
        <v>25334</v>
      </c>
      <c r="Q45" s="68">
        <f t="shared" si="11"/>
        <v>25334</v>
      </c>
      <c r="R45" s="68">
        <f t="shared" si="11"/>
        <v>25334</v>
      </c>
      <c r="S45" s="68">
        <f t="shared" si="11"/>
        <v>25334</v>
      </c>
      <c r="T45" s="73">
        <f t="shared" ref="T45:T47" si="12">SUM(G45:S45)/13</f>
        <v>25334</v>
      </c>
      <c r="U45" s="68"/>
      <c r="V45" s="68"/>
      <c r="W45" s="68"/>
      <c r="X45" s="68"/>
      <c r="Y45" s="68"/>
      <c r="Z45" s="68"/>
    </row>
    <row r="46" spans="3:26" x14ac:dyDescent="0.25">
      <c r="C46" s="13" t="s">
        <v>88</v>
      </c>
      <c r="D46" s="13" t="s">
        <v>89</v>
      </c>
      <c r="E46" t="s">
        <v>385</v>
      </c>
      <c r="G46" s="68">
        <f>'FC common plant 21'!S46</f>
        <v>22241</v>
      </c>
      <c r="H46" s="68">
        <f t="shared" ref="H46:S47" si="13">G46</f>
        <v>22241</v>
      </c>
      <c r="I46" s="68">
        <f t="shared" si="13"/>
        <v>22241</v>
      </c>
      <c r="J46" s="68">
        <f t="shared" si="13"/>
        <v>22241</v>
      </c>
      <c r="K46" s="68">
        <f t="shared" si="13"/>
        <v>22241</v>
      </c>
      <c r="L46" s="68">
        <f t="shared" si="13"/>
        <v>22241</v>
      </c>
      <c r="M46" s="68">
        <f t="shared" si="13"/>
        <v>22241</v>
      </c>
      <c r="N46" s="68">
        <f t="shared" si="13"/>
        <v>22241</v>
      </c>
      <c r="O46" s="68">
        <f t="shared" si="13"/>
        <v>22241</v>
      </c>
      <c r="P46" s="68">
        <f t="shared" si="13"/>
        <v>22241</v>
      </c>
      <c r="Q46" s="68">
        <f t="shared" si="13"/>
        <v>22241</v>
      </c>
      <c r="R46" s="68">
        <f t="shared" si="13"/>
        <v>22241</v>
      </c>
      <c r="S46" s="68">
        <f t="shared" si="13"/>
        <v>22241</v>
      </c>
      <c r="T46" s="73">
        <f t="shared" si="12"/>
        <v>22241</v>
      </c>
      <c r="U46" s="68"/>
      <c r="V46" s="68"/>
      <c r="W46" s="68"/>
      <c r="X46" s="68"/>
      <c r="Y46" s="68"/>
      <c r="Z46" s="68"/>
    </row>
    <row r="47" spans="3:26" x14ac:dyDescent="0.25">
      <c r="C47" s="13" t="s">
        <v>90</v>
      </c>
      <c r="D47" s="13" t="s">
        <v>91</v>
      </c>
      <c r="E47" t="s">
        <v>385</v>
      </c>
      <c r="G47" s="68">
        <f>'FC common plant 21'!S47</f>
        <v>-45669</v>
      </c>
      <c r="H47" s="68">
        <f t="shared" si="13"/>
        <v>-45669</v>
      </c>
      <c r="I47" s="68">
        <f t="shared" si="13"/>
        <v>-45669</v>
      </c>
      <c r="J47" s="68">
        <f t="shared" si="13"/>
        <v>-45669</v>
      </c>
      <c r="K47" s="68">
        <f t="shared" si="13"/>
        <v>-45669</v>
      </c>
      <c r="L47" s="68">
        <f t="shared" si="13"/>
        <v>-45669</v>
      </c>
      <c r="M47" s="68">
        <f t="shared" si="13"/>
        <v>-45669</v>
      </c>
      <c r="N47" s="68">
        <f t="shared" si="13"/>
        <v>-45669</v>
      </c>
      <c r="O47" s="68">
        <f t="shared" si="13"/>
        <v>-45669</v>
      </c>
      <c r="P47" s="68">
        <f t="shared" si="13"/>
        <v>-45669</v>
      </c>
      <c r="Q47" s="68">
        <f t="shared" si="13"/>
        <v>-45669</v>
      </c>
      <c r="R47" s="68">
        <f t="shared" si="13"/>
        <v>-45669</v>
      </c>
      <c r="S47" s="68">
        <f t="shared" si="13"/>
        <v>-45669</v>
      </c>
      <c r="T47" s="73">
        <f t="shared" si="12"/>
        <v>-45669</v>
      </c>
      <c r="U47" s="68"/>
      <c r="V47" s="68"/>
      <c r="W47" s="68"/>
      <c r="X47" s="68"/>
      <c r="Y47" s="68"/>
      <c r="Z47" s="68"/>
    </row>
    <row r="48" spans="3:26" x14ac:dyDescent="0.25">
      <c r="G48" s="71">
        <f t="shared" ref="G48:T48" si="14">SUM(G34:G47)</f>
        <v>-911385.20999999985</v>
      </c>
      <c r="H48" s="71">
        <f t="shared" si="14"/>
        <v>-958959.83358416439</v>
      </c>
      <c r="I48" s="71">
        <f t="shared" si="14"/>
        <v>-454811.73716832866</v>
      </c>
      <c r="J48" s="71">
        <f t="shared" si="14"/>
        <v>-497940.93741915969</v>
      </c>
      <c r="K48" s="71">
        <f t="shared" si="14"/>
        <v>-541070.13766999065</v>
      </c>
      <c r="L48" s="71">
        <f t="shared" si="14"/>
        <v>-584199.33792082174</v>
      </c>
      <c r="M48" s="71">
        <f t="shared" si="14"/>
        <v>-627328.5381716527</v>
      </c>
      <c r="N48" s="71">
        <f t="shared" si="14"/>
        <v>-670457.73842248367</v>
      </c>
      <c r="O48" s="71">
        <f t="shared" si="14"/>
        <v>-713586.93867331475</v>
      </c>
      <c r="P48" s="71">
        <f t="shared" si="14"/>
        <v>-756716.13892414584</v>
      </c>
      <c r="Q48" s="71">
        <f t="shared" si="14"/>
        <v>-799845.33917497692</v>
      </c>
      <c r="R48" s="71">
        <f t="shared" si="14"/>
        <v>-842974.53942580789</v>
      </c>
      <c r="S48" s="71">
        <f t="shared" si="14"/>
        <v>-886103.73967663909</v>
      </c>
      <c r="T48" s="71">
        <f t="shared" si="14"/>
        <v>-711183.08971011429</v>
      </c>
      <c r="U48" s="68"/>
      <c r="V48" s="68"/>
      <c r="W48" s="68"/>
      <c r="X48" s="68"/>
      <c r="Y48" s="68"/>
      <c r="Z48" s="68"/>
    </row>
    <row r="49" spans="1:26" x14ac:dyDescent="0.25">
      <c r="G49" s="76">
        <f t="shared" ref="G49:T49" si="15">G48+G31</f>
        <v>-911385.20999999985</v>
      </c>
      <c r="H49" s="76">
        <f t="shared" si="15"/>
        <v>-958959.83358416439</v>
      </c>
      <c r="I49" s="76">
        <f t="shared" si="15"/>
        <v>-454811.73716832866</v>
      </c>
      <c r="J49" s="76">
        <f t="shared" si="15"/>
        <v>-497940.93741915969</v>
      </c>
      <c r="K49" s="76">
        <f t="shared" si="15"/>
        <v>-541070.13766999065</v>
      </c>
      <c r="L49" s="76">
        <f t="shared" si="15"/>
        <v>-584199.33792082174</v>
      </c>
      <c r="M49" s="76">
        <f t="shared" si="15"/>
        <v>-627328.5381716527</v>
      </c>
      <c r="N49" s="76">
        <f t="shared" si="15"/>
        <v>-670457.73842248367</v>
      </c>
      <c r="O49" s="76">
        <f t="shared" si="15"/>
        <v>-713586.93867331475</v>
      </c>
      <c r="P49" s="76">
        <f t="shared" si="15"/>
        <v>-756716.13892414584</v>
      </c>
      <c r="Q49" s="76">
        <f t="shared" si="15"/>
        <v>-799845.33917497692</v>
      </c>
      <c r="R49" s="76">
        <f t="shared" si="15"/>
        <v>-842974.53942580789</v>
      </c>
      <c r="S49" s="76">
        <f t="shared" si="15"/>
        <v>-886103.73967663909</v>
      </c>
      <c r="T49" s="76">
        <f t="shared" si="15"/>
        <v>-711183.08971011429</v>
      </c>
      <c r="U49" s="68"/>
      <c r="V49" s="68"/>
      <c r="W49" s="68"/>
      <c r="X49" s="68"/>
      <c r="Y49" s="68"/>
      <c r="Z49" s="68"/>
    </row>
    <row r="50" spans="1:26" x14ac:dyDescent="0.25"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73"/>
      <c r="R50" s="73"/>
      <c r="S50" s="73"/>
      <c r="T50" s="68"/>
      <c r="U50" s="68"/>
      <c r="V50" s="68"/>
      <c r="W50" s="68"/>
      <c r="X50" s="68"/>
      <c r="Y50" s="68"/>
      <c r="Z50" s="68"/>
    </row>
    <row r="51" spans="1:26" x14ac:dyDescent="0.25">
      <c r="G51" s="79">
        <v>-601375</v>
      </c>
      <c r="H51" s="79">
        <v>-649606</v>
      </c>
      <c r="I51" s="79">
        <v>-697833</v>
      </c>
      <c r="J51" s="79">
        <v>-742448</v>
      </c>
      <c r="K51" s="79">
        <v>-734925</v>
      </c>
      <c r="L51" s="79">
        <v>-783218</v>
      </c>
      <c r="M51" s="79">
        <v>-831093</v>
      </c>
      <c r="N51" s="79">
        <v>-878925</v>
      </c>
      <c r="O51" s="79">
        <v>-926927</v>
      </c>
      <c r="P51" s="79">
        <v>-942929</v>
      </c>
      <c r="Q51" s="75">
        <v>-991185</v>
      </c>
      <c r="R51" s="75">
        <v>-1039173</v>
      </c>
      <c r="S51" s="75">
        <v>-911386</v>
      </c>
      <c r="T51" s="79">
        <v>-825463.30769230775</v>
      </c>
      <c r="U51" s="68"/>
      <c r="V51" s="68"/>
      <c r="W51" s="68"/>
      <c r="X51" s="68"/>
      <c r="Y51" s="68"/>
      <c r="Z51" s="68"/>
    </row>
    <row r="52" spans="1:26" x14ac:dyDescent="0.25">
      <c r="G52" s="68">
        <f>G48-G51</f>
        <v>-310010.20999999985</v>
      </c>
      <c r="H52" s="68">
        <f t="shared" ref="H52:T52" si="16">H48-H51</f>
        <v>-309353.83358416439</v>
      </c>
      <c r="I52" s="68">
        <f t="shared" si="16"/>
        <v>243021.26283167134</v>
      </c>
      <c r="J52" s="68">
        <f t="shared" si="16"/>
        <v>244507.06258084031</v>
      </c>
      <c r="K52" s="68">
        <f t="shared" si="16"/>
        <v>193854.86233000935</v>
      </c>
      <c r="L52" s="68">
        <f t="shared" si="16"/>
        <v>199018.66207917826</v>
      </c>
      <c r="M52" s="68">
        <f t="shared" si="16"/>
        <v>203764.4618283473</v>
      </c>
      <c r="N52" s="68">
        <f t="shared" si="16"/>
        <v>208467.26157751633</v>
      </c>
      <c r="O52" s="68">
        <f t="shared" si="16"/>
        <v>213340.06132668525</v>
      </c>
      <c r="P52" s="68">
        <f t="shared" si="16"/>
        <v>186212.86107585416</v>
      </c>
      <c r="Q52" s="68">
        <f t="shared" si="16"/>
        <v>191339.66082502308</v>
      </c>
      <c r="R52" s="68">
        <f t="shared" si="16"/>
        <v>196198.46057419211</v>
      </c>
      <c r="S52" s="68">
        <f t="shared" si="16"/>
        <v>25282.260323360912</v>
      </c>
      <c r="T52" s="68">
        <f t="shared" si="16"/>
        <v>114280.21798219346</v>
      </c>
      <c r="U52" s="68"/>
      <c r="V52" s="68"/>
      <c r="W52" s="68"/>
      <c r="X52" s="68"/>
      <c r="Y52" s="68"/>
      <c r="Z52" s="68"/>
    </row>
    <row r="53" spans="1:26" x14ac:dyDescent="0.25">
      <c r="C53" s="13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73"/>
    </row>
    <row r="54" spans="1:26" x14ac:dyDescent="0.25">
      <c r="C54" s="13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73"/>
    </row>
    <row r="55" spans="1:26" x14ac:dyDescent="0.25">
      <c r="C55" s="13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73"/>
    </row>
    <row r="57" spans="1:26" ht="15.75" thickBot="1" x14ac:dyDescent="0.3">
      <c r="A57" s="80"/>
      <c r="B57" s="80"/>
      <c r="C57" s="80"/>
      <c r="D57" s="80"/>
      <c r="E57" s="80"/>
      <c r="F57" s="80"/>
      <c r="G57" s="81">
        <f t="shared" ref="G57:S57" si="17">+G5</f>
        <v>44544</v>
      </c>
      <c r="H57" s="81">
        <f t="shared" si="17"/>
        <v>44574</v>
      </c>
      <c r="I57" s="81">
        <f t="shared" si="17"/>
        <v>44604</v>
      </c>
      <c r="J57" s="81">
        <f t="shared" si="17"/>
        <v>44634</v>
      </c>
      <c r="K57" s="81">
        <f t="shared" si="17"/>
        <v>44664</v>
      </c>
      <c r="L57" s="81">
        <f t="shared" si="17"/>
        <v>44694</v>
      </c>
      <c r="M57" s="81">
        <f t="shared" si="17"/>
        <v>44724</v>
      </c>
      <c r="N57" s="81">
        <f t="shared" si="17"/>
        <v>44754</v>
      </c>
      <c r="O57" s="81">
        <f t="shared" si="17"/>
        <v>44784</v>
      </c>
      <c r="P57" s="81">
        <f t="shared" si="17"/>
        <v>44814</v>
      </c>
      <c r="Q57" s="81">
        <f t="shared" si="17"/>
        <v>44844</v>
      </c>
      <c r="R57" s="81">
        <f t="shared" si="17"/>
        <v>44874</v>
      </c>
      <c r="S57" s="81">
        <f t="shared" si="17"/>
        <v>44904</v>
      </c>
      <c r="T57" s="80" t="s">
        <v>409</v>
      </c>
      <c r="U57" s="82"/>
    </row>
    <row r="58" spans="1:26" x14ac:dyDescent="0.25">
      <c r="A58" s="82"/>
      <c r="B58" s="83" t="s">
        <v>410</v>
      </c>
      <c r="C58" s="84" t="s">
        <v>411</v>
      </c>
      <c r="D58" s="85">
        <v>0.40075371178398028</v>
      </c>
      <c r="E58" s="84"/>
      <c r="F58" s="84"/>
      <c r="G58" s="86">
        <f t="shared" ref="G58:S58" si="18">(G$26)*$D58</f>
        <v>4885590.4840893773</v>
      </c>
      <c r="H58" s="86">
        <f t="shared" si="18"/>
        <v>4885590.4840893773</v>
      </c>
      <c r="I58" s="86">
        <f t="shared" si="18"/>
        <v>4664485.5561738238</v>
      </c>
      <c r="J58" s="86">
        <f t="shared" si="18"/>
        <v>4664485.5561738238</v>
      </c>
      <c r="K58" s="86">
        <f t="shared" si="18"/>
        <v>4664485.5561738238</v>
      </c>
      <c r="L58" s="86">
        <f t="shared" si="18"/>
        <v>4664485.5561738238</v>
      </c>
      <c r="M58" s="86">
        <f t="shared" si="18"/>
        <v>4664485.5561738238</v>
      </c>
      <c r="N58" s="86">
        <f t="shared" si="18"/>
        <v>4664485.5561738238</v>
      </c>
      <c r="O58" s="86">
        <f t="shared" si="18"/>
        <v>4664485.5561738238</v>
      </c>
      <c r="P58" s="86">
        <f t="shared" si="18"/>
        <v>4664485.5561738238</v>
      </c>
      <c r="Q58" s="86">
        <f t="shared" si="18"/>
        <v>4664485.5561738238</v>
      </c>
      <c r="R58" s="86">
        <f t="shared" si="18"/>
        <v>4664485.5561738238</v>
      </c>
      <c r="S58" s="86">
        <f t="shared" si="18"/>
        <v>4664485.5561738238</v>
      </c>
      <c r="T58" s="87"/>
      <c r="U58" s="82"/>
    </row>
    <row r="59" spans="1:26" x14ac:dyDescent="0.25">
      <c r="A59" s="82"/>
      <c r="B59" s="88"/>
      <c r="C59" s="89"/>
      <c r="D59" s="90"/>
      <c r="E59" s="89" t="s">
        <v>381</v>
      </c>
      <c r="F59" s="89"/>
      <c r="G59" s="91">
        <f>G58</f>
        <v>4885590.4840893773</v>
      </c>
      <c r="H59" s="91">
        <f t="shared" ref="H59:S59" si="19">H58</f>
        <v>4885590.4840893773</v>
      </c>
      <c r="I59" s="91">
        <f t="shared" si="19"/>
        <v>4664485.5561738238</v>
      </c>
      <c r="J59" s="91">
        <f t="shared" si="19"/>
        <v>4664485.5561738238</v>
      </c>
      <c r="K59" s="91">
        <f t="shared" si="19"/>
        <v>4664485.5561738238</v>
      </c>
      <c r="L59" s="91">
        <f t="shared" si="19"/>
        <v>4664485.5561738238</v>
      </c>
      <c r="M59" s="91">
        <f t="shared" si="19"/>
        <v>4664485.5561738238</v>
      </c>
      <c r="N59" s="91">
        <f t="shared" si="19"/>
        <v>4664485.5561738238</v>
      </c>
      <c r="O59" s="91">
        <f t="shared" si="19"/>
        <v>4664485.5561738238</v>
      </c>
      <c r="P59" s="91">
        <f t="shared" si="19"/>
        <v>4664485.5561738238</v>
      </c>
      <c r="Q59" s="91">
        <f t="shared" si="19"/>
        <v>4664485.5561738238</v>
      </c>
      <c r="R59" s="91">
        <f t="shared" si="19"/>
        <v>4664485.5561738238</v>
      </c>
      <c r="S59" s="91">
        <f t="shared" si="19"/>
        <v>4664485.5561738238</v>
      </c>
      <c r="T59" s="92">
        <f>SUM(G59:S59)/13</f>
        <v>4698501.6989300633</v>
      </c>
      <c r="U59" s="82"/>
    </row>
    <row r="60" spans="1:26" x14ac:dyDescent="0.25">
      <c r="A60" s="82"/>
      <c r="B60" s="88"/>
      <c r="C60" s="89"/>
      <c r="D60" s="90"/>
      <c r="E60" s="89"/>
      <c r="F60" s="89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2"/>
      <c r="U60" s="82"/>
    </row>
    <row r="61" spans="1:26" x14ac:dyDescent="0.25">
      <c r="A61" s="82"/>
      <c r="B61" s="88"/>
      <c r="C61" s="89" t="s">
        <v>412</v>
      </c>
      <c r="D61" s="90">
        <f>D58</f>
        <v>0.40075371178398028</v>
      </c>
      <c r="E61" s="89"/>
      <c r="F61" s="89"/>
      <c r="G61" s="79">
        <f t="shared" ref="G61:S61" si="20">G$8*$D61</f>
        <v>0</v>
      </c>
      <c r="H61" s="79">
        <f t="shared" si="20"/>
        <v>0</v>
      </c>
      <c r="I61" s="79">
        <f t="shared" si="20"/>
        <v>0</v>
      </c>
      <c r="J61" s="79">
        <f t="shared" si="20"/>
        <v>0</v>
      </c>
      <c r="K61" s="79">
        <f t="shared" si="20"/>
        <v>0</v>
      </c>
      <c r="L61" s="79">
        <f t="shared" si="20"/>
        <v>0</v>
      </c>
      <c r="M61" s="79">
        <f t="shared" si="20"/>
        <v>0</v>
      </c>
      <c r="N61" s="79">
        <f t="shared" si="20"/>
        <v>0</v>
      </c>
      <c r="O61" s="79">
        <f t="shared" si="20"/>
        <v>0</v>
      </c>
      <c r="P61" s="79">
        <f t="shared" si="20"/>
        <v>0</v>
      </c>
      <c r="Q61" s="79">
        <f t="shared" si="20"/>
        <v>0</v>
      </c>
      <c r="R61" s="79">
        <f t="shared" si="20"/>
        <v>0</v>
      </c>
      <c r="S61" s="79">
        <f t="shared" si="20"/>
        <v>0</v>
      </c>
      <c r="T61" s="92"/>
      <c r="U61" s="82"/>
    </row>
    <row r="62" spans="1:26" x14ac:dyDescent="0.25">
      <c r="A62" s="82"/>
      <c r="B62" s="88"/>
      <c r="C62" s="89"/>
      <c r="D62" s="90"/>
      <c r="E62" s="89" t="s">
        <v>69</v>
      </c>
      <c r="F62" s="89"/>
      <c r="G62" s="91">
        <f>G61</f>
        <v>0</v>
      </c>
      <c r="H62" s="91">
        <f t="shared" ref="H62:S62" si="21">H61</f>
        <v>0</v>
      </c>
      <c r="I62" s="91">
        <f t="shared" si="21"/>
        <v>0</v>
      </c>
      <c r="J62" s="91">
        <f t="shared" si="21"/>
        <v>0</v>
      </c>
      <c r="K62" s="91">
        <f t="shared" si="21"/>
        <v>0</v>
      </c>
      <c r="L62" s="91">
        <f t="shared" si="21"/>
        <v>0</v>
      </c>
      <c r="M62" s="91">
        <f t="shared" si="21"/>
        <v>0</v>
      </c>
      <c r="N62" s="91">
        <f t="shared" si="21"/>
        <v>0</v>
      </c>
      <c r="O62" s="91">
        <f t="shared" si="21"/>
        <v>0</v>
      </c>
      <c r="P62" s="91">
        <f t="shared" si="21"/>
        <v>0</v>
      </c>
      <c r="Q62" s="91">
        <f t="shared" si="21"/>
        <v>0</v>
      </c>
      <c r="R62" s="91">
        <f t="shared" si="21"/>
        <v>0</v>
      </c>
      <c r="S62" s="91">
        <f t="shared" si="21"/>
        <v>0</v>
      </c>
      <c r="T62" s="92">
        <f>SUM(G62:S62)/13</f>
        <v>0</v>
      </c>
      <c r="U62" s="82"/>
    </row>
    <row r="63" spans="1:26" x14ac:dyDescent="0.25">
      <c r="A63" s="82"/>
      <c r="B63" s="88"/>
      <c r="C63" s="93"/>
      <c r="D63" s="90"/>
      <c r="E63" s="89"/>
      <c r="F63" s="89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2"/>
      <c r="U63" s="82"/>
    </row>
    <row r="64" spans="1:26" x14ac:dyDescent="0.25">
      <c r="A64" s="82"/>
      <c r="B64" s="88"/>
      <c r="C64" s="89" t="s">
        <v>413</v>
      </c>
      <c r="D64" s="90">
        <f>D58</f>
        <v>0.40075371178398028</v>
      </c>
      <c r="E64" s="89"/>
      <c r="F64" s="89"/>
      <c r="G64" s="79">
        <f t="shared" ref="G64:S64" si="22">(G$48)*$D64</f>
        <v>-365241.0057725223</v>
      </c>
      <c r="H64" s="79">
        <f t="shared" si="22"/>
        <v>-384306.71276060189</v>
      </c>
      <c r="I64" s="79">
        <f t="shared" si="22"/>
        <v>-182267.49183312777</v>
      </c>
      <c r="J64" s="79">
        <f t="shared" si="22"/>
        <v>-199551.67891992288</v>
      </c>
      <c r="K64" s="79">
        <f t="shared" si="22"/>
        <v>-216835.86600671796</v>
      </c>
      <c r="L64" s="79">
        <f t="shared" si="22"/>
        <v>-234120.0530935131</v>
      </c>
      <c r="M64" s="79">
        <f t="shared" si="22"/>
        <v>-251404.24018030817</v>
      </c>
      <c r="N64" s="79">
        <f t="shared" si="22"/>
        <v>-268688.42726710328</v>
      </c>
      <c r="O64" s="79">
        <f t="shared" si="22"/>
        <v>-285972.61435389839</v>
      </c>
      <c r="P64" s="79">
        <f t="shared" si="22"/>
        <v>-303256.8014406935</v>
      </c>
      <c r="Q64" s="79">
        <f t="shared" si="22"/>
        <v>-320540.98852748866</v>
      </c>
      <c r="R64" s="79">
        <f t="shared" si="22"/>
        <v>-337825.17561428371</v>
      </c>
      <c r="S64" s="79">
        <f t="shared" si="22"/>
        <v>-355109.36270107894</v>
      </c>
      <c r="T64" s="92"/>
      <c r="U64" s="82"/>
    </row>
    <row r="65" spans="1:21" x14ac:dyDescent="0.25">
      <c r="A65" s="82"/>
      <c r="B65" s="88"/>
      <c r="C65" s="89"/>
      <c r="D65" s="90"/>
      <c r="E65" s="89" t="s">
        <v>396</v>
      </c>
      <c r="F65" s="89"/>
      <c r="G65" s="91">
        <f>G64</f>
        <v>-365241.0057725223</v>
      </c>
      <c r="H65" s="91">
        <f t="shared" ref="H65:S65" si="23">H64</f>
        <v>-384306.71276060189</v>
      </c>
      <c r="I65" s="91">
        <f t="shared" si="23"/>
        <v>-182267.49183312777</v>
      </c>
      <c r="J65" s="91">
        <f t="shared" si="23"/>
        <v>-199551.67891992288</v>
      </c>
      <c r="K65" s="91">
        <f t="shared" si="23"/>
        <v>-216835.86600671796</v>
      </c>
      <c r="L65" s="91">
        <f t="shared" si="23"/>
        <v>-234120.0530935131</v>
      </c>
      <c r="M65" s="91">
        <f t="shared" si="23"/>
        <v>-251404.24018030817</v>
      </c>
      <c r="N65" s="91">
        <f t="shared" si="23"/>
        <v>-268688.42726710328</v>
      </c>
      <c r="O65" s="91">
        <f t="shared" si="23"/>
        <v>-285972.61435389839</v>
      </c>
      <c r="P65" s="91">
        <f t="shared" si="23"/>
        <v>-303256.8014406935</v>
      </c>
      <c r="Q65" s="91">
        <f t="shared" si="23"/>
        <v>-320540.98852748866</v>
      </c>
      <c r="R65" s="91">
        <f t="shared" si="23"/>
        <v>-337825.17561428371</v>
      </c>
      <c r="S65" s="91">
        <f t="shared" si="23"/>
        <v>-355109.36270107894</v>
      </c>
      <c r="T65" s="92">
        <f>SUM(G65:S65)/13</f>
        <v>-285009.26295932772</v>
      </c>
      <c r="U65" s="82"/>
    </row>
    <row r="66" spans="1:21" ht="15.75" thickBot="1" x14ac:dyDescent="0.3">
      <c r="A66" s="82"/>
      <c r="B66" s="94"/>
      <c r="C66" s="95"/>
      <c r="D66" s="96"/>
      <c r="E66" s="95"/>
      <c r="F66" s="95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2"/>
      <c r="U66" s="82"/>
    </row>
    <row r="67" spans="1:21" x14ac:dyDescent="0.25">
      <c r="A67" s="82"/>
      <c r="B67" s="83" t="s">
        <v>414</v>
      </c>
      <c r="C67" s="84" t="s">
        <v>411</v>
      </c>
      <c r="D67" s="85">
        <v>0.19493367655493263</v>
      </c>
      <c r="E67" s="84"/>
      <c r="F67" s="84"/>
      <c r="G67" s="86">
        <f t="shared" ref="G67:S67" si="24">(G$26)*$D67</f>
        <v>2376437.415802883</v>
      </c>
      <c r="H67" s="86">
        <f t="shared" si="24"/>
        <v>2376437.415802883</v>
      </c>
      <c r="I67" s="86">
        <f t="shared" si="24"/>
        <v>2268888.077554395</v>
      </c>
      <c r="J67" s="86">
        <f t="shared" si="24"/>
        <v>2268888.077554395</v>
      </c>
      <c r="K67" s="86">
        <f t="shared" si="24"/>
        <v>2268888.077554395</v>
      </c>
      <c r="L67" s="86">
        <f t="shared" si="24"/>
        <v>2268888.077554395</v>
      </c>
      <c r="M67" s="86">
        <f t="shared" si="24"/>
        <v>2268888.077554395</v>
      </c>
      <c r="N67" s="86">
        <f t="shared" si="24"/>
        <v>2268888.077554395</v>
      </c>
      <c r="O67" s="86">
        <f t="shared" si="24"/>
        <v>2268888.077554395</v>
      </c>
      <c r="P67" s="86">
        <f t="shared" si="24"/>
        <v>2268888.077554395</v>
      </c>
      <c r="Q67" s="86">
        <f t="shared" si="24"/>
        <v>2268888.077554395</v>
      </c>
      <c r="R67" s="86">
        <f t="shared" si="24"/>
        <v>2268888.077554395</v>
      </c>
      <c r="S67" s="86">
        <f t="shared" si="24"/>
        <v>2268888.077554395</v>
      </c>
      <c r="T67" s="87"/>
      <c r="U67" s="82"/>
    </row>
    <row r="68" spans="1:21" x14ac:dyDescent="0.25">
      <c r="A68" s="82"/>
      <c r="B68" s="88"/>
      <c r="C68" s="89"/>
      <c r="D68" s="90"/>
      <c r="E68" s="89" t="s">
        <v>381</v>
      </c>
      <c r="F68" s="89"/>
      <c r="G68" s="91">
        <f>G67</f>
        <v>2376437.415802883</v>
      </c>
      <c r="H68" s="91">
        <f t="shared" ref="H68:S68" si="25">H67</f>
        <v>2376437.415802883</v>
      </c>
      <c r="I68" s="91">
        <f t="shared" si="25"/>
        <v>2268888.077554395</v>
      </c>
      <c r="J68" s="91">
        <f t="shared" si="25"/>
        <v>2268888.077554395</v>
      </c>
      <c r="K68" s="91">
        <f t="shared" si="25"/>
        <v>2268888.077554395</v>
      </c>
      <c r="L68" s="91">
        <f t="shared" si="25"/>
        <v>2268888.077554395</v>
      </c>
      <c r="M68" s="91">
        <f t="shared" si="25"/>
        <v>2268888.077554395</v>
      </c>
      <c r="N68" s="91">
        <f t="shared" si="25"/>
        <v>2268888.077554395</v>
      </c>
      <c r="O68" s="91">
        <f t="shared" si="25"/>
        <v>2268888.077554395</v>
      </c>
      <c r="P68" s="91">
        <f t="shared" si="25"/>
        <v>2268888.077554395</v>
      </c>
      <c r="Q68" s="91">
        <f t="shared" si="25"/>
        <v>2268888.077554395</v>
      </c>
      <c r="R68" s="91">
        <f t="shared" si="25"/>
        <v>2268888.077554395</v>
      </c>
      <c r="S68" s="91">
        <f t="shared" si="25"/>
        <v>2268888.077554395</v>
      </c>
      <c r="T68" s="92">
        <f>SUM(G68:S68)/13</f>
        <v>2285434.1295926236</v>
      </c>
      <c r="U68" s="82"/>
    </row>
    <row r="69" spans="1:21" x14ac:dyDescent="0.25">
      <c r="A69" s="82"/>
      <c r="B69" s="88"/>
      <c r="C69" s="89"/>
      <c r="D69" s="90"/>
      <c r="E69" s="89"/>
      <c r="F69" s="89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2"/>
      <c r="U69" s="82"/>
    </row>
    <row r="70" spans="1:21" x14ac:dyDescent="0.25">
      <c r="A70" s="82"/>
      <c r="B70" s="88"/>
      <c r="C70" s="89" t="s">
        <v>412</v>
      </c>
      <c r="D70" s="90">
        <f>D67</f>
        <v>0.19493367655493263</v>
      </c>
      <c r="E70" s="89"/>
      <c r="F70" s="89"/>
      <c r="G70" s="79">
        <f t="shared" ref="G70:S70" si="26">G$8*$D70</f>
        <v>0</v>
      </c>
      <c r="H70" s="79">
        <f t="shared" si="26"/>
        <v>0</v>
      </c>
      <c r="I70" s="79">
        <f t="shared" si="26"/>
        <v>0</v>
      </c>
      <c r="J70" s="79">
        <f t="shared" si="26"/>
        <v>0</v>
      </c>
      <c r="K70" s="79">
        <f t="shared" si="26"/>
        <v>0</v>
      </c>
      <c r="L70" s="79">
        <f t="shared" si="26"/>
        <v>0</v>
      </c>
      <c r="M70" s="79">
        <f t="shared" si="26"/>
        <v>0</v>
      </c>
      <c r="N70" s="79">
        <f t="shared" si="26"/>
        <v>0</v>
      </c>
      <c r="O70" s="79">
        <f t="shared" si="26"/>
        <v>0</v>
      </c>
      <c r="P70" s="79">
        <f t="shared" si="26"/>
        <v>0</v>
      </c>
      <c r="Q70" s="79">
        <f t="shared" si="26"/>
        <v>0</v>
      </c>
      <c r="R70" s="79">
        <f t="shared" si="26"/>
        <v>0</v>
      </c>
      <c r="S70" s="79">
        <f t="shared" si="26"/>
        <v>0</v>
      </c>
      <c r="T70" s="92"/>
      <c r="U70" s="82"/>
    </row>
    <row r="71" spans="1:21" x14ac:dyDescent="0.25">
      <c r="A71" s="82"/>
      <c r="B71" s="88"/>
      <c r="C71" s="89"/>
      <c r="D71" s="90"/>
      <c r="E71" s="89" t="s">
        <v>69</v>
      </c>
      <c r="F71" s="89"/>
      <c r="G71" s="91">
        <f>G70</f>
        <v>0</v>
      </c>
      <c r="H71" s="91">
        <f t="shared" ref="H71:S71" si="27">H70</f>
        <v>0</v>
      </c>
      <c r="I71" s="91">
        <f t="shared" si="27"/>
        <v>0</v>
      </c>
      <c r="J71" s="91">
        <f t="shared" si="27"/>
        <v>0</v>
      </c>
      <c r="K71" s="91">
        <f t="shared" si="27"/>
        <v>0</v>
      </c>
      <c r="L71" s="91">
        <f t="shared" si="27"/>
        <v>0</v>
      </c>
      <c r="M71" s="91">
        <f t="shared" si="27"/>
        <v>0</v>
      </c>
      <c r="N71" s="91">
        <f t="shared" si="27"/>
        <v>0</v>
      </c>
      <c r="O71" s="91">
        <f t="shared" si="27"/>
        <v>0</v>
      </c>
      <c r="P71" s="91">
        <f t="shared" si="27"/>
        <v>0</v>
      </c>
      <c r="Q71" s="91">
        <f t="shared" si="27"/>
        <v>0</v>
      </c>
      <c r="R71" s="91">
        <f t="shared" si="27"/>
        <v>0</v>
      </c>
      <c r="S71" s="91">
        <f t="shared" si="27"/>
        <v>0</v>
      </c>
      <c r="T71" s="92">
        <f>SUM(G71:S71)/13</f>
        <v>0</v>
      </c>
      <c r="U71" s="82"/>
    </row>
    <row r="72" spans="1:21" x14ac:dyDescent="0.25">
      <c r="A72" s="82"/>
      <c r="B72" s="88"/>
      <c r="C72" s="89"/>
      <c r="D72" s="90"/>
      <c r="E72" s="89"/>
      <c r="F72" s="89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2"/>
      <c r="U72" s="82"/>
    </row>
    <row r="73" spans="1:21" x14ac:dyDescent="0.25">
      <c r="A73" s="82"/>
      <c r="B73" s="88"/>
      <c r="C73" s="93" t="s">
        <v>415</v>
      </c>
      <c r="D73" s="90">
        <f>+D67</f>
        <v>0.19493367655493263</v>
      </c>
      <c r="E73" s="89"/>
      <c r="F73" s="89"/>
      <c r="G73" s="79">
        <f>G$48*$D73</f>
        <v>-177659.66974308933</v>
      </c>
      <c r="H73" s="79">
        <f>H$48*$D73</f>
        <v>-186933.56602906753</v>
      </c>
      <c r="I73" s="79">
        <f t="shared" ref="I73:S73" si="28">I$48*$D73</f>
        <v>-88658.124066558012</v>
      </c>
      <c r="J73" s="79">
        <f t="shared" si="28"/>
        <v>-97065.457638326421</v>
      </c>
      <c r="K73" s="79">
        <f t="shared" si="28"/>
        <v>-105472.79121009483</v>
      </c>
      <c r="L73" s="79">
        <f t="shared" si="28"/>
        <v>-113880.12478186325</v>
      </c>
      <c r="M73" s="79">
        <f t="shared" si="28"/>
        <v>-122287.45835363165</v>
      </c>
      <c r="N73" s="79">
        <f t="shared" si="28"/>
        <v>-130694.79192540006</v>
      </c>
      <c r="O73" s="79">
        <f t="shared" si="28"/>
        <v>-139102.12549716848</v>
      </c>
      <c r="P73" s="79">
        <f t="shared" si="28"/>
        <v>-147509.45906893691</v>
      </c>
      <c r="Q73" s="79">
        <f t="shared" si="28"/>
        <v>-155916.79264070533</v>
      </c>
      <c r="R73" s="79">
        <f t="shared" si="28"/>
        <v>-164324.12621247373</v>
      </c>
      <c r="S73" s="79">
        <f t="shared" si="28"/>
        <v>-172731.45978424218</v>
      </c>
      <c r="T73" s="92"/>
      <c r="U73" s="82"/>
    </row>
    <row r="74" spans="1:21" x14ac:dyDescent="0.25">
      <c r="A74" s="82"/>
      <c r="B74" s="88"/>
      <c r="C74" s="89"/>
      <c r="D74" s="90"/>
      <c r="E74" s="89" t="s">
        <v>396</v>
      </c>
      <c r="F74" s="89"/>
      <c r="G74" s="91">
        <f>+G73</f>
        <v>-177659.66974308933</v>
      </c>
      <c r="H74" s="91">
        <f t="shared" ref="H74:S74" si="29">+H73</f>
        <v>-186933.56602906753</v>
      </c>
      <c r="I74" s="91">
        <f t="shared" si="29"/>
        <v>-88658.124066558012</v>
      </c>
      <c r="J74" s="91">
        <f t="shared" si="29"/>
        <v>-97065.457638326421</v>
      </c>
      <c r="K74" s="91">
        <f t="shared" si="29"/>
        <v>-105472.79121009483</v>
      </c>
      <c r="L74" s="91">
        <f t="shared" si="29"/>
        <v>-113880.12478186325</v>
      </c>
      <c r="M74" s="91">
        <f t="shared" si="29"/>
        <v>-122287.45835363165</v>
      </c>
      <c r="N74" s="91">
        <f t="shared" si="29"/>
        <v>-130694.79192540006</v>
      </c>
      <c r="O74" s="91">
        <f t="shared" si="29"/>
        <v>-139102.12549716848</v>
      </c>
      <c r="P74" s="91">
        <f t="shared" si="29"/>
        <v>-147509.45906893691</v>
      </c>
      <c r="Q74" s="91">
        <f t="shared" si="29"/>
        <v>-155916.79264070533</v>
      </c>
      <c r="R74" s="91">
        <f t="shared" si="29"/>
        <v>-164324.12621247373</v>
      </c>
      <c r="S74" s="91">
        <f t="shared" si="29"/>
        <v>-172731.45978424218</v>
      </c>
      <c r="T74" s="92">
        <f>SUM(G74:S74)/13</f>
        <v>-138633.53438088906</v>
      </c>
      <c r="U74" s="82"/>
    </row>
    <row r="75" spans="1:21" ht="15.75" thickBot="1" x14ac:dyDescent="0.3">
      <c r="A75" s="82"/>
      <c r="B75" s="94"/>
      <c r="C75" s="95"/>
      <c r="D75" s="96"/>
      <c r="E75" s="95"/>
      <c r="F75" s="95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2"/>
      <c r="U75" s="82"/>
    </row>
    <row r="76" spans="1:21" x14ac:dyDescent="0.25">
      <c r="A76" s="82"/>
      <c r="B76" s="83" t="s">
        <v>416</v>
      </c>
      <c r="C76" s="84" t="s">
        <v>411</v>
      </c>
      <c r="D76" s="85">
        <v>0.17538138419273502</v>
      </c>
      <c r="E76" s="84"/>
      <c r="F76" s="84"/>
      <c r="G76" s="86">
        <f t="shared" ref="G76:S76" si="30">(G$26)*$D76</f>
        <v>2138075.3228314845</v>
      </c>
      <c r="H76" s="86">
        <f t="shared" si="30"/>
        <v>2138075.3228314845</v>
      </c>
      <c r="I76" s="86">
        <f t="shared" si="30"/>
        <v>2041313.4285073038</v>
      </c>
      <c r="J76" s="86">
        <f t="shared" si="30"/>
        <v>2041313.4285073038</v>
      </c>
      <c r="K76" s="86">
        <f t="shared" si="30"/>
        <v>2041313.4285073038</v>
      </c>
      <c r="L76" s="86">
        <f t="shared" si="30"/>
        <v>2041313.4285073038</v>
      </c>
      <c r="M76" s="86">
        <f t="shared" si="30"/>
        <v>2041313.4285073038</v>
      </c>
      <c r="N76" s="86">
        <f t="shared" si="30"/>
        <v>2041313.4285073038</v>
      </c>
      <c r="O76" s="86">
        <f t="shared" si="30"/>
        <v>2041313.4285073038</v>
      </c>
      <c r="P76" s="86">
        <f t="shared" si="30"/>
        <v>2041313.4285073038</v>
      </c>
      <c r="Q76" s="86">
        <f t="shared" si="30"/>
        <v>2041313.4285073038</v>
      </c>
      <c r="R76" s="86">
        <f t="shared" si="30"/>
        <v>2041313.4285073038</v>
      </c>
      <c r="S76" s="86">
        <f t="shared" si="30"/>
        <v>2041313.4285073038</v>
      </c>
      <c r="T76" s="87"/>
      <c r="U76" s="82"/>
    </row>
    <row r="77" spans="1:21" x14ac:dyDescent="0.25">
      <c r="A77" s="82"/>
      <c r="B77" s="88"/>
      <c r="C77" s="89"/>
      <c r="D77" s="90"/>
      <c r="E77" s="89" t="s">
        <v>381</v>
      </c>
      <c r="F77" s="89"/>
      <c r="G77" s="91">
        <f>G76</f>
        <v>2138075.3228314845</v>
      </c>
      <c r="H77" s="91">
        <f t="shared" ref="H77:S77" si="31">H76</f>
        <v>2138075.3228314845</v>
      </c>
      <c r="I77" s="91">
        <f t="shared" si="31"/>
        <v>2041313.4285073038</v>
      </c>
      <c r="J77" s="91">
        <f t="shared" si="31"/>
        <v>2041313.4285073038</v>
      </c>
      <c r="K77" s="91">
        <f t="shared" si="31"/>
        <v>2041313.4285073038</v>
      </c>
      <c r="L77" s="91">
        <f t="shared" si="31"/>
        <v>2041313.4285073038</v>
      </c>
      <c r="M77" s="91">
        <f t="shared" si="31"/>
        <v>2041313.4285073038</v>
      </c>
      <c r="N77" s="91">
        <f t="shared" si="31"/>
        <v>2041313.4285073038</v>
      </c>
      <c r="O77" s="91">
        <f t="shared" si="31"/>
        <v>2041313.4285073038</v>
      </c>
      <c r="P77" s="91">
        <f t="shared" si="31"/>
        <v>2041313.4285073038</v>
      </c>
      <c r="Q77" s="91">
        <f t="shared" si="31"/>
        <v>2041313.4285073038</v>
      </c>
      <c r="R77" s="91">
        <f t="shared" si="31"/>
        <v>2041313.4285073038</v>
      </c>
      <c r="S77" s="91">
        <f t="shared" si="31"/>
        <v>2041313.4285073038</v>
      </c>
      <c r="T77" s="92">
        <f>SUM(G77:S77)/13</f>
        <v>2056199.8737879475</v>
      </c>
      <c r="U77" s="82"/>
    </row>
    <row r="78" spans="1:21" x14ac:dyDescent="0.25">
      <c r="A78" s="82"/>
      <c r="B78" s="88"/>
      <c r="C78" s="89"/>
      <c r="D78" s="90"/>
      <c r="E78" s="89"/>
      <c r="F78" s="89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2"/>
      <c r="U78" s="82"/>
    </row>
    <row r="79" spans="1:21" x14ac:dyDescent="0.25">
      <c r="A79" s="82"/>
      <c r="B79" s="88"/>
      <c r="C79" s="89" t="s">
        <v>412</v>
      </c>
      <c r="D79" s="90">
        <f>D76</f>
        <v>0.17538138419273502</v>
      </c>
      <c r="E79" s="89"/>
      <c r="F79" s="89"/>
      <c r="G79" s="79">
        <f>G$8*$D79</f>
        <v>0</v>
      </c>
      <c r="H79" s="79">
        <f t="shared" ref="H79:S79" si="32">H$8*$D79</f>
        <v>0</v>
      </c>
      <c r="I79" s="79">
        <f t="shared" si="32"/>
        <v>0</v>
      </c>
      <c r="J79" s="79">
        <f t="shared" si="32"/>
        <v>0</v>
      </c>
      <c r="K79" s="79">
        <f t="shared" si="32"/>
        <v>0</v>
      </c>
      <c r="L79" s="79">
        <f t="shared" si="32"/>
        <v>0</v>
      </c>
      <c r="M79" s="79">
        <f t="shared" si="32"/>
        <v>0</v>
      </c>
      <c r="N79" s="79">
        <f t="shared" si="32"/>
        <v>0</v>
      </c>
      <c r="O79" s="79">
        <f t="shared" si="32"/>
        <v>0</v>
      </c>
      <c r="P79" s="79">
        <f t="shared" si="32"/>
        <v>0</v>
      </c>
      <c r="Q79" s="79">
        <f t="shared" si="32"/>
        <v>0</v>
      </c>
      <c r="R79" s="79">
        <f t="shared" si="32"/>
        <v>0</v>
      </c>
      <c r="S79" s="79">
        <f t="shared" si="32"/>
        <v>0</v>
      </c>
      <c r="T79" s="92"/>
      <c r="U79" s="82"/>
    </row>
    <row r="80" spans="1:21" x14ac:dyDescent="0.25">
      <c r="A80" s="82"/>
      <c r="B80" s="88"/>
      <c r="C80" s="89"/>
      <c r="D80" s="90"/>
      <c r="E80" s="89" t="s">
        <v>69</v>
      </c>
      <c r="F80" s="89"/>
      <c r="G80" s="91">
        <f>G79</f>
        <v>0</v>
      </c>
      <c r="H80" s="91">
        <f t="shared" ref="H80:S80" si="33">H79</f>
        <v>0</v>
      </c>
      <c r="I80" s="91">
        <f t="shared" si="33"/>
        <v>0</v>
      </c>
      <c r="J80" s="91">
        <f t="shared" si="33"/>
        <v>0</v>
      </c>
      <c r="K80" s="91">
        <f t="shared" si="33"/>
        <v>0</v>
      </c>
      <c r="L80" s="91">
        <f t="shared" si="33"/>
        <v>0</v>
      </c>
      <c r="M80" s="91">
        <f t="shared" si="33"/>
        <v>0</v>
      </c>
      <c r="N80" s="91">
        <f t="shared" si="33"/>
        <v>0</v>
      </c>
      <c r="O80" s="91">
        <f t="shared" si="33"/>
        <v>0</v>
      </c>
      <c r="P80" s="91">
        <f t="shared" si="33"/>
        <v>0</v>
      </c>
      <c r="Q80" s="91">
        <f t="shared" si="33"/>
        <v>0</v>
      </c>
      <c r="R80" s="91">
        <f t="shared" si="33"/>
        <v>0</v>
      </c>
      <c r="S80" s="91">
        <f t="shared" si="33"/>
        <v>0</v>
      </c>
      <c r="T80" s="92">
        <f>SUM(G80:S80)/13</f>
        <v>0</v>
      </c>
      <c r="U80" s="82"/>
    </row>
    <row r="81" spans="1:21" x14ac:dyDescent="0.25">
      <c r="A81" s="82"/>
      <c r="B81" s="88"/>
      <c r="C81" s="93"/>
      <c r="D81" s="90"/>
      <c r="E81" s="89"/>
      <c r="F81" s="89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2"/>
      <c r="U81" s="82"/>
    </row>
    <row r="82" spans="1:21" x14ac:dyDescent="0.25">
      <c r="A82" s="82"/>
      <c r="B82" s="88"/>
      <c r="C82" s="89" t="s">
        <v>413</v>
      </c>
      <c r="D82" s="90">
        <f>D76</f>
        <v>0.17538138419273502</v>
      </c>
      <c r="E82" s="89"/>
      <c r="F82" s="89"/>
      <c r="G82" s="79">
        <f>(G$48)*$D82</f>
        <v>-159839.99966258646</v>
      </c>
      <c r="H82" s="79">
        <f t="shared" ref="H82:S82" si="34">(H$48)*$D82</f>
        <v>-168183.70299922558</v>
      </c>
      <c r="I82" s="79">
        <f t="shared" si="34"/>
        <v>-79765.512011683866</v>
      </c>
      <c r="J82" s="79">
        <f t="shared" si="34"/>
        <v>-87329.570850800272</v>
      </c>
      <c r="K82" s="79">
        <f t="shared" si="34"/>
        <v>-94893.629689916663</v>
      </c>
      <c r="L82" s="79">
        <f t="shared" si="34"/>
        <v>-102457.68852903307</v>
      </c>
      <c r="M82" s="79">
        <f t="shared" si="34"/>
        <v>-110021.74736814946</v>
      </c>
      <c r="N82" s="79">
        <f t="shared" si="34"/>
        <v>-117585.80620726585</v>
      </c>
      <c r="O82" s="79">
        <f t="shared" si="34"/>
        <v>-125149.86504638226</v>
      </c>
      <c r="P82" s="79">
        <f t="shared" si="34"/>
        <v>-132713.92388549866</v>
      </c>
      <c r="Q82" s="79">
        <f t="shared" si="34"/>
        <v>-140277.98272461508</v>
      </c>
      <c r="R82" s="79">
        <f t="shared" si="34"/>
        <v>-147842.04156373147</v>
      </c>
      <c r="S82" s="79">
        <f t="shared" si="34"/>
        <v>-155406.10040284789</v>
      </c>
      <c r="T82" s="92"/>
      <c r="U82" s="82"/>
    </row>
    <row r="83" spans="1:21" x14ac:dyDescent="0.25">
      <c r="A83" s="82"/>
      <c r="B83" s="88"/>
      <c r="C83" s="89"/>
      <c r="D83" s="90"/>
      <c r="E83" s="89" t="s">
        <v>396</v>
      </c>
      <c r="F83" s="89"/>
      <c r="G83" s="91">
        <f>G82</f>
        <v>-159839.99966258646</v>
      </c>
      <c r="H83" s="91">
        <f t="shared" ref="H83:S83" si="35">H82</f>
        <v>-168183.70299922558</v>
      </c>
      <c r="I83" s="91">
        <f t="shared" si="35"/>
        <v>-79765.512011683866</v>
      </c>
      <c r="J83" s="91">
        <f t="shared" si="35"/>
        <v>-87329.570850800272</v>
      </c>
      <c r="K83" s="91">
        <f t="shared" si="35"/>
        <v>-94893.629689916663</v>
      </c>
      <c r="L83" s="91">
        <f t="shared" si="35"/>
        <v>-102457.68852903307</v>
      </c>
      <c r="M83" s="91">
        <f t="shared" si="35"/>
        <v>-110021.74736814946</v>
      </c>
      <c r="N83" s="91">
        <f t="shared" si="35"/>
        <v>-117585.80620726585</v>
      </c>
      <c r="O83" s="91">
        <f t="shared" si="35"/>
        <v>-125149.86504638226</v>
      </c>
      <c r="P83" s="91">
        <f t="shared" si="35"/>
        <v>-132713.92388549866</v>
      </c>
      <c r="Q83" s="91">
        <f t="shared" si="35"/>
        <v>-140277.98272461508</v>
      </c>
      <c r="R83" s="91">
        <f t="shared" si="35"/>
        <v>-147842.04156373147</v>
      </c>
      <c r="S83" s="91">
        <f t="shared" si="35"/>
        <v>-155406.10040284789</v>
      </c>
      <c r="T83" s="92">
        <f>SUM(G83:S83)/13</f>
        <v>-124728.27468782588</v>
      </c>
      <c r="U83" s="82"/>
    </row>
    <row r="84" spans="1:21" ht="15.75" thickBot="1" x14ac:dyDescent="0.3">
      <c r="A84" s="82"/>
      <c r="B84" s="94"/>
      <c r="C84" s="95"/>
      <c r="D84" s="96"/>
      <c r="E84" s="95"/>
      <c r="F84" s="95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2"/>
      <c r="U84" s="82"/>
    </row>
    <row r="85" spans="1:21" x14ac:dyDescent="0.25">
      <c r="A85" s="82"/>
      <c r="B85" s="83" t="s">
        <v>417</v>
      </c>
      <c r="C85" s="84" t="s">
        <v>411</v>
      </c>
      <c r="D85" s="85">
        <v>-2.6963863219386323E-3</v>
      </c>
      <c r="E85" s="84"/>
      <c r="F85" s="84"/>
      <c r="G85" s="86">
        <f>(G$26)*$D85</f>
        <v>-32871.658997866165</v>
      </c>
      <c r="H85" s="86">
        <f t="shared" ref="H85:S85" si="36">(H$26)*$D85</f>
        <v>-32871.658997866165</v>
      </c>
      <c r="I85" s="86">
        <f t="shared" si="36"/>
        <v>-31384.001402155383</v>
      </c>
      <c r="J85" s="86">
        <f t="shared" si="36"/>
        <v>-31384.001402155383</v>
      </c>
      <c r="K85" s="86">
        <f t="shared" si="36"/>
        <v>-31384.001402155383</v>
      </c>
      <c r="L85" s="86">
        <f t="shared" si="36"/>
        <v>-31384.001402155383</v>
      </c>
      <c r="M85" s="86">
        <f t="shared" si="36"/>
        <v>-31384.001402155383</v>
      </c>
      <c r="N85" s="86">
        <f t="shared" si="36"/>
        <v>-31384.001402155383</v>
      </c>
      <c r="O85" s="86">
        <f t="shared" si="36"/>
        <v>-31384.001402155383</v>
      </c>
      <c r="P85" s="86">
        <f t="shared" si="36"/>
        <v>-31384.001402155383</v>
      </c>
      <c r="Q85" s="86">
        <f t="shared" si="36"/>
        <v>-31384.001402155383</v>
      </c>
      <c r="R85" s="86">
        <f t="shared" si="36"/>
        <v>-31384.001402155383</v>
      </c>
      <c r="S85" s="86">
        <f t="shared" si="36"/>
        <v>-31384.001402155383</v>
      </c>
      <c r="T85" s="87"/>
      <c r="U85" s="82"/>
    </row>
    <row r="86" spans="1:21" x14ac:dyDescent="0.25">
      <c r="A86" s="82"/>
      <c r="B86" s="88"/>
      <c r="C86" s="98" t="s">
        <v>418</v>
      </c>
      <c r="D86" s="90"/>
      <c r="E86" s="89" t="s">
        <v>381</v>
      </c>
      <c r="F86" s="89"/>
      <c r="G86" s="91">
        <f>G85</f>
        <v>-32871.658997866165</v>
      </c>
      <c r="H86" s="91">
        <f t="shared" ref="H86:S86" si="37">H85</f>
        <v>-32871.658997866165</v>
      </c>
      <c r="I86" s="91">
        <f t="shared" si="37"/>
        <v>-31384.001402155383</v>
      </c>
      <c r="J86" s="91">
        <f t="shared" si="37"/>
        <v>-31384.001402155383</v>
      </c>
      <c r="K86" s="91">
        <f t="shared" si="37"/>
        <v>-31384.001402155383</v>
      </c>
      <c r="L86" s="91">
        <f t="shared" si="37"/>
        <v>-31384.001402155383</v>
      </c>
      <c r="M86" s="91">
        <f t="shared" si="37"/>
        <v>-31384.001402155383</v>
      </c>
      <c r="N86" s="91">
        <f t="shared" si="37"/>
        <v>-31384.001402155383</v>
      </c>
      <c r="O86" s="91">
        <f t="shared" si="37"/>
        <v>-31384.001402155383</v>
      </c>
      <c r="P86" s="91">
        <f t="shared" si="37"/>
        <v>-31384.001402155383</v>
      </c>
      <c r="Q86" s="91">
        <f t="shared" si="37"/>
        <v>-31384.001402155383</v>
      </c>
      <c r="R86" s="91">
        <f t="shared" si="37"/>
        <v>-31384.001402155383</v>
      </c>
      <c r="S86" s="91">
        <f t="shared" si="37"/>
        <v>-31384.001402155383</v>
      </c>
      <c r="T86" s="92">
        <f>SUM(G86:S86)/13</f>
        <v>-31612.871801495501</v>
      </c>
      <c r="U86" s="82"/>
    </row>
    <row r="87" spans="1:21" x14ac:dyDescent="0.25">
      <c r="A87" s="82"/>
      <c r="B87" s="88"/>
      <c r="C87" s="89"/>
      <c r="D87" s="90"/>
      <c r="E87" s="89"/>
      <c r="F87" s="89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2"/>
      <c r="U87" s="82"/>
    </row>
    <row r="88" spans="1:21" x14ac:dyDescent="0.25">
      <c r="A88" s="82"/>
      <c r="B88" s="88"/>
      <c r="C88" s="89" t="s">
        <v>412</v>
      </c>
      <c r="D88" s="90">
        <f>D85</f>
        <v>-2.6963863219386323E-3</v>
      </c>
      <c r="E88" s="89"/>
      <c r="F88" s="89"/>
      <c r="G88" s="79">
        <f>G$8*$D88</f>
        <v>0</v>
      </c>
      <c r="H88" s="79">
        <f t="shared" ref="H88:S88" si="38">H$8*$D88</f>
        <v>0</v>
      </c>
      <c r="I88" s="79">
        <f t="shared" si="38"/>
        <v>0</v>
      </c>
      <c r="J88" s="79">
        <f t="shared" si="38"/>
        <v>0</v>
      </c>
      <c r="K88" s="79">
        <f t="shared" si="38"/>
        <v>0</v>
      </c>
      <c r="L88" s="79">
        <f t="shared" si="38"/>
        <v>0</v>
      </c>
      <c r="M88" s="79">
        <f t="shared" si="38"/>
        <v>0</v>
      </c>
      <c r="N88" s="79">
        <f t="shared" si="38"/>
        <v>0</v>
      </c>
      <c r="O88" s="79">
        <f t="shared" si="38"/>
        <v>0</v>
      </c>
      <c r="P88" s="79">
        <f t="shared" si="38"/>
        <v>0</v>
      </c>
      <c r="Q88" s="79">
        <f t="shared" si="38"/>
        <v>0</v>
      </c>
      <c r="R88" s="79">
        <f t="shared" si="38"/>
        <v>0</v>
      </c>
      <c r="S88" s="79">
        <f t="shared" si="38"/>
        <v>0</v>
      </c>
      <c r="T88" s="92"/>
      <c r="U88" s="82"/>
    </row>
    <row r="89" spans="1:21" x14ac:dyDescent="0.25">
      <c r="A89" s="82"/>
      <c r="B89" s="88"/>
      <c r="C89" s="89"/>
      <c r="D89" s="90"/>
      <c r="E89" s="89" t="s">
        <v>69</v>
      </c>
      <c r="F89" s="89"/>
      <c r="G89" s="91">
        <f>G88</f>
        <v>0</v>
      </c>
      <c r="H89" s="91">
        <f t="shared" ref="H89:S89" si="39">H88</f>
        <v>0</v>
      </c>
      <c r="I89" s="91">
        <f t="shared" si="39"/>
        <v>0</v>
      </c>
      <c r="J89" s="91">
        <f t="shared" si="39"/>
        <v>0</v>
      </c>
      <c r="K89" s="91">
        <f t="shared" si="39"/>
        <v>0</v>
      </c>
      <c r="L89" s="91">
        <f t="shared" si="39"/>
        <v>0</v>
      </c>
      <c r="M89" s="91">
        <f t="shared" si="39"/>
        <v>0</v>
      </c>
      <c r="N89" s="91">
        <f t="shared" si="39"/>
        <v>0</v>
      </c>
      <c r="O89" s="91">
        <f t="shared" si="39"/>
        <v>0</v>
      </c>
      <c r="P89" s="91">
        <f t="shared" si="39"/>
        <v>0</v>
      </c>
      <c r="Q89" s="91">
        <f t="shared" si="39"/>
        <v>0</v>
      </c>
      <c r="R89" s="91">
        <f t="shared" si="39"/>
        <v>0</v>
      </c>
      <c r="S89" s="91">
        <f t="shared" si="39"/>
        <v>0</v>
      </c>
      <c r="T89" s="92">
        <f>SUM(G89:S89)/13</f>
        <v>0</v>
      </c>
      <c r="U89" s="82"/>
    </row>
    <row r="90" spans="1:21" x14ac:dyDescent="0.25">
      <c r="A90" s="82"/>
      <c r="B90" s="88"/>
      <c r="C90" s="93"/>
      <c r="D90" s="90"/>
      <c r="E90" s="89"/>
      <c r="F90" s="89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2"/>
      <c r="U90" s="82"/>
    </row>
    <row r="91" spans="1:21" x14ac:dyDescent="0.25">
      <c r="A91" s="82"/>
      <c r="B91" s="88"/>
      <c r="C91" s="89" t="s">
        <v>413</v>
      </c>
      <c r="D91" s="90">
        <f>D85</f>
        <v>-2.6963863219386323E-3</v>
      </c>
      <c r="E91" s="89"/>
      <c r="F91" s="89"/>
      <c r="G91" s="79">
        <f>(G$48)*$D91</f>
        <v>2457.4466142611677</v>
      </c>
      <c r="H91" s="79">
        <f t="shared" ref="H91:S91" si="40">(H$48)*$D91</f>
        <v>2585.726178564888</v>
      </c>
      <c r="I91" s="79">
        <f t="shared" si="40"/>
        <v>1226.3481471578295</v>
      </c>
      <c r="J91" s="79">
        <f t="shared" si="40"/>
        <v>1342.6411327903227</v>
      </c>
      <c r="K91" s="79">
        <f t="shared" si="40"/>
        <v>1458.9341184228156</v>
      </c>
      <c r="L91" s="79">
        <f t="shared" si="40"/>
        <v>1575.2271040553087</v>
      </c>
      <c r="M91" s="79">
        <f t="shared" si="40"/>
        <v>1691.5200896878016</v>
      </c>
      <c r="N91" s="79">
        <f t="shared" si="40"/>
        <v>1807.8130753202943</v>
      </c>
      <c r="O91" s="79">
        <f t="shared" si="40"/>
        <v>1924.1060609527876</v>
      </c>
      <c r="P91" s="79">
        <f t="shared" si="40"/>
        <v>2040.3990465852808</v>
      </c>
      <c r="Q91" s="79">
        <f t="shared" si="40"/>
        <v>2156.6920322177739</v>
      </c>
      <c r="R91" s="79">
        <f t="shared" si="40"/>
        <v>2272.9850178502666</v>
      </c>
      <c r="S91" s="79">
        <f t="shared" si="40"/>
        <v>2389.2780034827601</v>
      </c>
      <c r="T91" s="92"/>
      <c r="U91" s="82"/>
    </row>
    <row r="92" spans="1:21" x14ac:dyDescent="0.25">
      <c r="A92" s="82"/>
      <c r="B92" s="88"/>
      <c r="C92" s="89"/>
      <c r="D92" s="90"/>
      <c r="E92" s="89" t="s">
        <v>396</v>
      </c>
      <c r="F92" s="89"/>
      <c r="G92" s="91">
        <f>G91</f>
        <v>2457.4466142611677</v>
      </c>
      <c r="H92" s="91">
        <f t="shared" ref="H92:S92" si="41">H91</f>
        <v>2585.726178564888</v>
      </c>
      <c r="I92" s="91">
        <f t="shared" si="41"/>
        <v>1226.3481471578295</v>
      </c>
      <c r="J92" s="91">
        <f t="shared" si="41"/>
        <v>1342.6411327903227</v>
      </c>
      <c r="K92" s="91">
        <f t="shared" si="41"/>
        <v>1458.9341184228156</v>
      </c>
      <c r="L92" s="91">
        <f t="shared" si="41"/>
        <v>1575.2271040553087</v>
      </c>
      <c r="M92" s="91">
        <f t="shared" si="41"/>
        <v>1691.5200896878016</v>
      </c>
      <c r="N92" s="91">
        <f t="shared" si="41"/>
        <v>1807.8130753202943</v>
      </c>
      <c r="O92" s="91">
        <f t="shared" si="41"/>
        <v>1924.1060609527876</v>
      </c>
      <c r="P92" s="91">
        <f t="shared" si="41"/>
        <v>2040.3990465852808</v>
      </c>
      <c r="Q92" s="91">
        <f t="shared" si="41"/>
        <v>2156.6920322177739</v>
      </c>
      <c r="R92" s="91">
        <f t="shared" si="41"/>
        <v>2272.9850178502666</v>
      </c>
      <c r="S92" s="91">
        <f t="shared" si="41"/>
        <v>2389.2780034827601</v>
      </c>
      <c r="T92" s="92">
        <f>SUM(G92:S92)/13</f>
        <v>1917.6243554884074</v>
      </c>
      <c r="U92" s="82"/>
    </row>
    <row r="93" spans="1:21" ht="15.75" thickBot="1" x14ac:dyDescent="0.3">
      <c r="A93" s="82"/>
      <c r="B93" s="94"/>
      <c r="C93" s="95"/>
      <c r="D93" s="96"/>
      <c r="E93" s="95"/>
      <c r="F93" s="95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2"/>
      <c r="U93" s="82"/>
    </row>
    <row r="94" spans="1:21" x14ac:dyDescent="0.25">
      <c r="A94" s="82"/>
      <c r="B94" s="83" t="s">
        <v>419</v>
      </c>
      <c r="C94" s="84" t="s">
        <v>411</v>
      </c>
      <c r="D94" s="85">
        <v>2.4706719004354946E-3</v>
      </c>
      <c r="E94" s="84"/>
      <c r="F94" s="84"/>
      <c r="G94" s="86">
        <f>(G$26)*$D94</f>
        <v>30119.973368035025</v>
      </c>
      <c r="H94" s="86">
        <f t="shared" ref="H94:S94" si="42">(H$26)*$D94</f>
        <v>30119.973368035025</v>
      </c>
      <c r="I94" s="86">
        <f t="shared" si="42"/>
        <v>28756.847546899182</v>
      </c>
      <c r="J94" s="86">
        <f t="shared" si="42"/>
        <v>28756.847546899182</v>
      </c>
      <c r="K94" s="86">
        <f t="shared" si="42"/>
        <v>28756.847546899182</v>
      </c>
      <c r="L94" s="86">
        <f t="shared" si="42"/>
        <v>28756.847546899182</v>
      </c>
      <c r="M94" s="86">
        <f t="shared" si="42"/>
        <v>28756.847546899182</v>
      </c>
      <c r="N94" s="86">
        <f t="shared" si="42"/>
        <v>28756.847546899182</v>
      </c>
      <c r="O94" s="86">
        <f t="shared" si="42"/>
        <v>28756.847546899182</v>
      </c>
      <c r="P94" s="86">
        <f t="shared" si="42"/>
        <v>28756.847546899182</v>
      </c>
      <c r="Q94" s="86">
        <f t="shared" si="42"/>
        <v>28756.847546899182</v>
      </c>
      <c r="R94" s="86">
        <f t="shared" si="42"/>
        <v>28756.847546899182</v>
      </c>
      <c r="S94" s="86">
        <f t="shared" si="42"/>
        <v>28756.847546899182</v>
      </c>
      <c r="T94" s="87"/>
      <c r="U94" s="82"/>
    </row>
    <row r="95" spans="1:21" x14ac:dyDescent="0.25">
      <c r="A95" s="82"/>
      <c r="B95" s="88"/>
      <c r="C95" s="89"/>
      <c r="D95" s="90"/>
      <c r="E95" s="89" t="s">
        <v>381</v>
      </c>
      <c r="F95" s="89"/>
      <c r="G95" s="91">
        <f>G94</f>
        <v>30119.973368035025</v>
      </c>
      <c r="H95" s="91">
        <f t="shared" ref="H95:S95" si="43">H94</f>
        <v>30119.973368035025</v>
      </c>
      <c r="I95" s="91">
        <f t="shared" si="43"/>
        <v>28756.847546899182</v>
      </c>
      <c r="J95" s="91">
        <f t="shared" si="43"/>
        <v>28756.847546899182</v>
      </c>
      <c r="K95" s="91">
        <f t="shared" si="43"/>
        <v>28756.847546899182</v>
      </c>
      <c r="L95" s="91">
        <f t="shared" si="43"/>
        <v>28756.847546899182</v>
      </c>
      <c r="M95" s="91">
        <f t="shared" si="43"/>
        <v>28756.847546899182</v>
      </c>
      <c r="N95" s="91">
        <f t="shared" si="43"/>
        <v>28756.847546899182</v>
      </c>
      <c r="O95" s="91">
        <f t="shared" si="43"/>
        <v>28756.847546899182</v>
      </c>
      <c r="P95" s="91">
        <f t="shared" si="43"/>
        <v>28756.847546899182</v>
      </c>
      <c r="Q95" s="91">
        <f t="shared" si="43"/>
        <v>28756.847546899182</v>
      </c>
      <c r="R95" s="91">
        <f t="shared" si="43"/>
        <v>28756.847546899182</v>
      </c>
      <c r="S95" s="91">
        <f t="shared" si="43"/>
        <v>28756.847546899182</v>
      </c>
      <c r="T95" s="92">
        <f>SUM(G95:S95)/13</f>
        <v>28966.559211689302</v>
      </c>
      <c r="U95" s="82"/>
    </row>
    <row r="96" spans="1:21" x14ac:dyDescent="0.25">
      <c r="A96" s="82"/>
      <c r="B96" s="88"/>
      <c r="C96" s="89"/>
      <c r="D96" s="90"/>
      <c r="E96" s="89"/>
      <c r="F96" s="89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2"/>
      <c r="U96" s="82"/>
    </row>
    <row r="97" spans="1:21" x14ac:dyDescent="0.25">
      <c r="A97" s="82"/>
      <c r="B97" s="88"/>
      <c r="C97" s="89" t="s">
        <v>412</v>
      </c>
      <c r="D97" s="90">
        <f>D94</f>
        <v>2.4706719004354946E-3</v>
      </c>
      <c r="E97" s="89"/>
      <c r="F97" s="89"/>
      <c r="G97" s="79">
        <f>G$8*$D97</f>
        <v>0</v>
      </c>
      <c r="H97" s="79">
        <f t="shared" ref="H97:S97" si="44">H$8*$D97</f>
        <v>0</v>
      </c>
      <c r="I97" s="79">
        <f t="shared" si="44"/>
        <v>0</v>
      </c>
      <c r="J97" s="79">
        <f t="shared" si="44"/>
        <v>0</v>
      </c>
      <c r="K97" s="79">
        <f t="shared" si="44"/>
        <v>0</v>
      </c>
      <c r="L97" s="79">
        <f t="shared" si="44"/>
        <v>0</v>
      </c>
      <c r="M97" s="79">
        <f t="shared" si="44"/>
        <v>0</v>
      </c>
      <c r="N97" s="79">
        <f t="shared" si="44"/>
        <v>0</v>
      </c>
      <c r="O97" s="79">
        <f t="shared" si="44"/>
        <v>0</v>
      </c>
      <c r="P97" s="79">
        <f t="shared" si="44"/>
        <v>0</v>
      </c>
      <c r="Q97" s="79">
        <f t="shared" si="44"/>
        <v>0</v>
      </c>
      <c r="R97" s="79">
        <f t="shared" si="44"/>
        <v>0</v>
      </c>
      <c r="S97" s="79">
        <f t="shared" si="44"/>
        <v>0</v>
      </c>
      <c r="T97" s="92"/>
      <c r="U97" s="82"/>
    </row>
    <row r="98" spans="1:21" x14ac:dyDescent="0.25">
      <c r="A98" s="82"/>
      <c r="B98" s="88"/>
      <c r="C98" s="89"/>
      <c r="D98" s="90"/>
      <c r="E98" s="89" t="s">
        <v>69</v>
      </c>
      <c r="F98" s="89"/>
      <c r="G98" s="91">
        <f>G97</f>
        <v>0</v>
      </c>
      <c r="H98" s="91">
        <f t="shared" ref="H98:S98" si="45">H97</f>
        <v>0</v>
      </c>
      <c r="I98" s="91">
        <f t="shared" si="45"/>
        <v>0</v>
      </c>
      <c r="J98" s="91">
        <f t="shared" si="45"/>
        <v>0</v>
      </c>
      <c r="K98" s="91">
        <f t="shared" si="45"/>
        <v>0</v>
      </c>
      <c r="L98" s="91">
        <f t="shared" si="45"/>
        <v>0</v>
      </c>
      <c r="M98" s="91">
        <f t="shared" si="45"/>
        <v>0</v>
      </c>
      <c r="N98" s="91">
        <f t="shared" si="45"/>
        <v>0</v>
      </c>
      <c r="O98" s="91">
        <f t="shared" si="45"/>
        <v>0</v>
      </c>
      <c r="P98" s="91">
        <f t="shared" si="45"/>
        <v>0</v>
      </c>
      <c r="Q98" s="91">
        <f t="shared" si="45"/>
        <v>0</v>
      </c>
      <c r="R98" s="91">
        <f t="shared" si="45"/>
        <v>0</v>
      </c>
      <c r="S98" s="91">
        <f t="shared" si="45"/>
        <v>0</v>
      </c>
      <c r="T98" s="92">
        <f>SUM(G98:S98)/13</f>
        <v>0</v>
      </c>
      <c r="U98" s="82"/>
    </row>
    <row r="99" spans="1:21" x14ac:dyDescent="0.25">
      <c r="A99" s="82"/>
      <c r="B99" s="88"/>
      <c r="C99" s="93"/>
      <c r="D99" s="90"/>
      <c r="E99" s="89"/>
      <c r="F99" s="89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2"/>
      <c r="U99" s="82"/>
    </row>
    <row r="100" spans="1:21" x14ac:dyDescent="0.25">
      <c r="A100" s="82"/>
      <c r="B100" s="88"/>
      <c r="C100" s="89" t="s">
        <v>413</v>
      </c>
      <c r="D100" s="90">
        <f>D94</f>
        <v>2.4706719004354946E-3</v>
      </c>
      <c r="E100" s="89"/>
      <c r="F100" s="89"/>
      <c r="G100" s="79">
        <f>(G$48)*$D100</f>
        <v>-2251.7338288195019</v>
      </c>
      <c r="H100" s="79">
        <f t="shared" ref="H100:S100" si="46">(H$48)*$D100</f>
        <v>-2369.275114482693</v>
      </c>
      <c r="I100" s="79">
        <f t="shared" si="46"/>
        <v>-1123.6905790100432</v>
      </c>
      <c r="J100" s="79">
        <f t="shared" si="46"/>
        <v>-1230.2486821580269</v>
      </c>
      <c r="K100" s="79">
        <f t="shared" si="46"/>
        <v>-1336.8067853060106</v>
      </c>
      <c r="L100" s="79">
        <f t="shared" si="46"/>
        <v>-1443.3648884539944</v>
      </c>
      <c r="M100" s="79">
        <f t="shared" si="46"/>
        <v>-1549.9229916019779</v>
      </c>
      <c r="N100" s="79">
        <f t="shared" si="46"/>
        <v>-1656.4810947499616</v>
      </c>
      <c r="O100" s="79">
        <f t="shared" si="46"/>
        <v>-1763.0391978979453</v>
      </c>
      <c r="P100" s="79">
        <f t="shared" si="46"/>
        <v>-1869.5973010459293</v>
      </c>
      <c r="Q100" s="79">
        <f t="shared" si="46"/>
        <v>-1976.155404193913</v>
      </c>
      <c r="R100" s="79">
        <f t="shared" si="46"/>
        <v>-2082.7135073418967</v>
      </c>
      <c r="S100" s="79">
        <f t="shared" si="46"/>
        <v>-2189.2716104898809</v>
      </c>
      <c r="T100" s="92"/>
      <c r="U100" s="82"/>
    </row>
    <row r="101" spans="1:21" x14ac:dyDescent="0.25">
      <c r="A101" s="82"/>
      <c r="B101" s="88"/>
      <c r="C101" s="89"/>
      <c r="D101" s="90"/>
      <c r="E101" s="89" t="s">
        <v>396</v>
      </c>
      <c r="F101" s="89"/>
      <c r="G101" s="91">
        <f>G100</f>
        <v>-2251.7338288195019</v>
      </c>
      <c r="H101" s="91">
        <f t="shared" ref="H101:S101" si="47">H100</f>
        <v>-2369.275114482693</v>
      </c>
      <c r="I101" s="91">
        <f t="shared" si="47"/>
        <v>-1123.6905790100432</v>
      </c>
      <c r="J101" s="91">
        <f t="shared" si="47"/>
        <v>-1230.2486821580269</v>
      </c>
      <c r="K101" s="91">
        <f t="shared" si="47"/>
        <v>-1336.8067853060106</v>
      </c>
      <c r="L101" s="91">
        <f t="shared" si="47"/>
        <v>-1443.3648884539944</v>
      </c>
      <c r="M101" s="91">
        <f t="shared" si="47"/>
        <v>-1549.9229916019779</v>
      </c>
      <c r="N101" s="91">
        <f t="shared" si="47"/>
        <v>-1656.4810947499616</v>
      </c>
      <c r="O101" s="91">
        <f t="shared" si="47"/>
        <v>-1763.0391978979453</v>
      </c>
      <c r="P101" s="91">
        <f t="shared" si="47"/>
        <v>-1869.5973010459293</v>
      </c>
      <c r="Q101" s="91">
        <f t="shared" si="47"/>
        <v>-1976.155404193913</v>
      </c>
      <c r="R101" s="91">
        <f t="shared" si="47"/>
        <v>-2082.7135073418967</v>
      </c>
      <c r="S101" s="91">
        <f t="shared" si="47"/>
        <v>-2189.2716104898809</v>
      </c>
      <c r="T101" s="92">
        <f>SUM(G101:S101)/13</f>
        <v>-1757.100075811675</v>
      </c>
      <c r="U101" s="82"/>
    </row>
    <row r="102" spans="1:21" ht="15.75" thickBot="1" x14ac:dyDescent="0.3">
      <c r="A102" s="82"/>
      <c r="B102" s="94"/>
      <c r="C102" s="95"/>
      <c r="D102" s="96"/>
      <c r="E102" s="95"/>
      <c r="F102" s="95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2"/>
      <c r="U102" s="82"/>
    </row>
    <row r="103" spans="1:21" x14ac:dyDescent="0.25">
      <c r="A103" s="82"/>
      <c r="B103" s="83" t="s">
        <v>420</v>
      </c>
      <c r="C103" s="84" t="s">
        <v>411</v>
      </c>
      <c r="D103" s="85">
        <v>0.22915694188985516</v>
      </c>
      <c r="E103" s="84"/>
      <c r="F103" s="84"/>
      <c r="G103" s="86">
        <f>(G$26)*$D103</f>
        <v>2793653.412906087</v>
      </c>
      <c r="H103" s="86">
        <f t="shared" ref="H103:S103" si="48">(H$26)*$D103</f>
        <v>2793653.412906087</v>
      </c>
      <c r="I103" s="86">
        <f t="shared" si="48"/>
        <v>2667222.3216197342</v>
      </c>
      <c r="J103" s="86">
        <f t="shared" si="48"/>
        <v>2667222.3216197342</v>
      </c>
      <c r="K103" s="86">
        <f t="shared" si="48"/>
        <v>2667222.3216197342</v>
      </c>
      <c r="L103" s="86">
        <f t="shared" si="48"/>
        <v>2667222.3216197342</v>
      </c>
      <c r="M103" s="86">
        <f t="shared" si="48"/>
        <v>2667222.3216197342</v>
      </c>
      <c r="N103" s="86">
        <f t="shared" si="48"/>
        <v>2667222.3216197342</v>
      </c>
      <c r="O103" s="86">
        <f t="shared" si="48"/>
        <v>2667222.3216197342</v>
      </c>
      <c r="P103" s="86">
        <f t="shared" si="48"/>
        <v>2667222.3216197342</v>
      </c>
      <c r="Q103" s="86">
        <f t="shared" si="48"/>
        <v>2667222.3216197342</v>
      </c>
      <c r="R103" s="86">
        <f t="shared" si="48"/>
        <v>2667222.3216197342</v>
      </c>
      <c r="S103" s="86">
        <f t="shared" si="48"/>
        <v>2667222.3216197342</v>
      </c>
      <c r="T103" s="87"/>
      <c r="U103" s="82"/>
    </row>
    <row r="104" spans="1:21" x14ac:dyDescent="0.25">
      <c r="A104" s="82"/>
      <c r="B104" s="88"/>
      <c r="C104" s="89"/>
      <c r="D104" s="90"/>
      <c r="E104" s="89" t="s">
        <v>381</v>
      </c>
      <c r="F104" s="89"/>
      <c r="G104" s="91">
        <f>G103</f>
        <v>2793653.412906087</v>
      </c>
      <c r="H104" s="91">
        <f t="shared" ref="H104:S104" si="49">H103</f>
        <v>2793653.412906087</v>
      </c>
      <c r="I104" s="91">
        <f t="shared" si="49"/>
        <v>2667222.3216197342</v>
      </c>
      <c r="J104" s="91">
        <f t="shared" si="49"/>
        <v>2667222.3216197342</v>
      </c>
      <c r="K104" s="91">
        <f t="shared" si="49"/>
        <v>2667222.3216197342</v>
      </c>
      <c r="L104" s="91">
        <f t="shared" si="49"/>
        <v>2667222.3216197342</v>
      </c>
      <c r="M104" s="91">
        <f t="shared" si="49"/>
        <v>2667222.3216197342</v>
      </c>
      <c r="N104" s="91">
        <f t="shared" si="49"/>
        <v>2667222.3216197342</v>
      </c>
      <c r="O104" s="91">
        <f t="shared" si="49"/>
        <v>2667222.3216197342</v>
      </c>
      <c r="P104" s="91">
        <f t="shared" si="49"/>
        <v>2667222.3216197342</v>
      </c>
      <c r="Q104" s="91">
        <f t="shared" si="49"/>
        <v>2667222.3216197342</v>
      </c>
      <c r="R104" s="91">
        <f t="shared" si="49"/>
        <v>2667222.3216197342</v>
      </c>
      <c r="S104" s="91">
        <f t="shared" si="49"/>
        <v>2667222.3216197342</v>
      </c>
      <c r="T104" s="92">
        <f>SUM(G104:S104)/13</f>
        <v>2686673.2587407115</v>
      </c>
      <c r="U104" s="82"/>
    </row>
    <row r="105" spans="1:21" x14ac:dyDescent="0.25">
      <c r="A105" s="82"/>
      <c r="B105" s="88"/>
      <c r="C105" s="89"/>
      <c r="D105" s="90"/>
      <c r="E105" s="89"/>
      <c r="F105" s="89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2"/>
      <c r="U105" s="82"/>
    </row>
    <row r="106" spans="1:21" x14ac:dyDescent="0.25">
      <c r="A106" s="82"/>
      <c r="B106" s="88"/>
      <c r="C106" s="89" t="s">
        <v>412</v>
      </c>
      <c r="D106" s="90">
        <f>D103</f>
        <v>0.22915694188985516</v>
      </c>
      <c r="E106" s="89"/>
      <c r="F106" s="89"/>
      <c r="G106" s="79">
        <f>G$8*$D106</f>
        <v>0</v>
      </c>
      <c r="H106" s="79">
        <f t="shared" ref="H106:S106" si="50">H$8*$D106</f>
        <v>0</v>
      </c>
      <c r="I106" s="79">
        <f t="shared" si="50"/>
        <v>0</v>
      </c>
      <c r="J106" s="79">
        <f t="shared" si="50"/>
        <v>0</v>
      </c>
      <c r="K106" s="79">
        <f t="shared" si="50"/>
        <v>0</v>
      </c>
      <c r="L106" s="79">
        <f t="shared" si="50"/>
        <v>0</v>
      </c>
      <c r="M106" s="79">
        <f t="shared" si="50"/>
        <v>0</v>
      </c>
      <c r="N106" s="79">
        <f t="shared" si="50"/>
        <v>0</v>
      </c>
      <c r="O106" s="79">
        <f t="shared" si="50"/>
        <v>0</v>
      </c>
      <c r="P106" s="79">
        <f t="shared" si="50"/>
        <v>0</v>
      </c>
      <c r="Q106" s="79">
        <f t="shared" si="50"/>
        <v>0</v>
      </c>
      <c r="R106" s="79">
        <f t="shared" si="50"/>
        <v>0</v>
      </c>
      <c r="S106" s="79">
        <f t="shared" si="50"/>
        <v>0</v>
      </c>
      <c r="T106" s="92"/>
      <c r="U106" s="82"/>
    </row>
    <row r="107" spans="1:21" x14ac:dyDescent="0.25">
      <c r="A107" s="82"/>
      <c r="B107" s="88"/>
      <c r="C107" s="89"/>
      <c r="D107" s="90"/>
      <c r="E107" s="89" t="s">
        <v>69</v>
      </c>
      <c r="F107" s="89"/>
      <c r="G107" s="91">
        <f>G106</f>
        <v>0</v>
      </c>
      <c r="H107" s="91">
        <f t="shared" ref="H107:S107" si="51">H106</f>
        <v>0</v>
      </c>
      <c r="I107" s="91">
        <f t="shared" si="51"/>
        <v>0</v>
      </c>
      <c r="J107" s="91">
        <f t="shared" si="51"/>
        <v>0</v>
      </c>
      <c r="K107" s="91">
        <f t="shared" si="51"/>
        <v>0</v>
      </c>
      <c r="L107" s="91">
        <f t="shared" si="51"/>
        <v>0</v>
      </c>
      <c r="M107" s="91">
        <f t="shared" si="51"/>
        <v>0</v>
      </c>
      <c r="N107" s="91">
        <f t="shared" si="51"/>
        <v>0</v>
      </c>
      <c r="O107" s="91">
        <f t="shared" si="51"/>
        <v>0</v>
      </c>
      <c r="P107" s="91">
        <f t="shared" si="51"/>
        <v>0</v>
      </c>
      <c r="Q107" s="91">
        <f t="shared" si="51"/>
        <v>0</v>
      </c>
      <c r="R107" s="91">
        <f t="shared" si="51"/>
        <v>0</v>
      </c>
      <c r="S107" s="91">
        <f t="shared" si="51"/>
        <v>0</v>
      </c>
      <c r="T107" s="92">
        <f>SUM(G107:S107)/13</f>
        <v>0</v>
      </c>
      <c r="U107" s="82"/>
    </row>
    <row r="108" spans="1:21" x14ac:dyDescent="0.25">
      <c r="A108" s="82"/>
      <c r="B108" s="88"/>
      <c r="C108" s="93"/>
      <c r="D108" s="90"/>
      <c r="E108" s="89"/>
      <c r="F108" s="89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2"/>
      <c r="U108" s="82"/>
    </row>
    <row r="109" spans="1:21" x14ac:dyDescent="0.25">
      <c r="A109" s="82"/>
      <c r="B109" s="88"/>
      <c r="C109" s="89" t="s">
        <v>413</v>
      </c>
      <c r="D109" s="90">
        <f>D103</f>
        <v>0.22915694188985516</v>
      </c>
      <c r="E109" s="89"/>
      <c r="F109" s="89"/>
      <c r="G109" s="79">
        <f>(G$48)*$D109</f>
        <v>-208850.24760724342</v>
      </c>
      <c r="H109" s="79">
        <f t="shared" ref="H109:S109" si="52">(H$48)*$D109</f>
        <v>-219752.30285935153</v>
      </c>
      <c r="I109" s="79">
        <f t="shared" si="52"/>
        <v>-104223.26682510677</v>
      </c>
      <c r="J109" s="79">
        <f t="shared" si="52"/>
        <v>-114106.62246074238</v>
      </c>
      <c r="K109" s="79">
        <f t="shared" si="52"/>
        <v>-123989.97809637798</v>
      </c>
      <c r="L109" s="79">
        <f t="shared" si="52"/>
        <v>-133873.33373201362</v>
      </c>
      <c r="M109" s="79">
        <f t="shared" si="52"/>
        <v>-143756.6893676492</v>
      </c>
      <c r="N109" s="79">
        <f t="shared" si="52"/>
        <v>-153640.04500328482</v>
      </c>
      <c r="O109" s="79">
        <f t="shared" si="52"/>
        <v>-163523.40063892043</v>
      </c>
      <c r="P109" s="79">
        <f t="shared" si="52"/>
        <v>-173406.75627455604</v>
      </c>
      <c r="Q109" s="79">
        <f t="shared" si="52"/>
        <v>-183290.11191019168</v>
      </c>
      <c r="R109" s="79">
        <f t="shared" si="52"/>
        <v>-193173.46754582727</v>
      </c>
      <c r="S109" s="79">
        <f t="shared" si="52"/>
        <v>-203056.82318146294</v>
      </c>
      <c r="T109" s="92"/>
      <c r="U109" s="82"/>
    </row>
    <row r="110" spans="1:21" x14ac:dyDescent="0.25">
      <c r="A110" s="82"/>
      <c r="B110" s="88"/>
      <c r="C110" s="89"/>
      <c r="D110" s="99"/>
      <c r="E110" s="89" t="s">
        <v>396</v>
      </c>
      <c r="F110" s="89"/>
      <c r="G110" s="91">
        <f>G109</f>
        <v>-208850.24760724342</v>
      </c>
      <c r="H110" s="91">
        <f t="shared" ref="H110:S110" si="53">H109</f>
        <v>-219752.30285935153</v>
      </c>
      <c r="I110" s="91">
        <f t="shared" si="53"/>
        <v>-104223.26682510677</v>
      </c>
      <c r="J110" s="91">
        <f t="shared" si="53"/>
        <v>-114106.62246074238</v>
      </c>
      <c r="K110" s="91">
        <f t="shared" si="53"/>
        <v>-123989.97809637798</v>
      </c>
      <c r="L110" s="91">
        <f t="shared" si="53"/>
        <v>-133873.33373201362</v>
      </c>
      <c r="M110" s="91">
        <f t="shared" si="53"/>
        <v>-143756.6893676492</v>
      </c>
      <c r="N110" s="91">
        <f t="shared" si="53"/>
        <v>-153640.04500328482</v>
      </c>
      <c r="O110" s="91">
        <f t="shared" si="53"/>
        <v>-163523.40063892043</v>
      </c>
      <c r="P110" s="91">
        <f t="shared" si="53"/>
        <v>-173406.75627455604</v>
      </c>
      <c r="Q110" s="91">
        <f t="shared" si="53"/>
        <v>-183290.11191019168</v>
      </c>
      <c r="R110" s="91">
        <f t="shared" si="53"/>
        <v>-193173.46754582727</v>
      </c>
      <c r="S110" s="91">
        <f t="shared" si="53"/>
        <v>-203056.82318146294</v>
      </c>
      <c r="T110" s="92">
        <f>SUM(G110:S110)/13</f>
        <v>-162972.5419617483</v>
      </c>
      <c r="U110" s="82"/>
    </row>
    <row r="111" spans="1:21" x14ac:dyDescent="0.25">
      <c r="A111" s="82"/>
      <c r="B111" s="88"/>
      <c r="C111" s="89"/>
      <c r="D111" s="100"/>
      <c r="E111" s="89"/>
      <c r="F111" s="89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2"/>
      <c r="U111" s="82"/>
    </row>
    <row r="112" spans="1:21" ht="15.75" thickBot="1" x14ac:dyDescent="0.3">
      <c r="A112" s="82"/>
      <c r="B112" s="94"/>
      <c r="C112" s="95"/>
      <c r="D112" s="101"/>
      <c r="E112" s="95"/>
      <c r="F112" s="95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102"/>
      <c r="U112" s="82"/>
    </row>
    <row r="113" spans="1:21" x14ac:dyDescent="0.25">
      <c r="A113" s="82"/>
      <c r="B113" s="82"/>
      <c r="C113" s="103"/>
      <c r="D113" s="103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</row>
    <row r="115" spans="1:21" x14ac:dyDescent="0.25">
      <c r="D115" s="131">
        <f>+D103+D94+D85+D76+D67+D58</f>
        <v>1</v>
      </c>
      <c r="E115" t="s">
        <v>463</v>
      </c>
      <c r="T115" s="105">
        <f>+T59+T68+T77+T86+T95+T104</f>
        <v>11724162.648461541</v>
      </c>
    </row>
    <row r="116" spans="1:21" x14ac:dyDescent="0.25">
      <c r="E116" t="s">
        <v>464</v>
      </c>
      <c r="T116" s="105">
        <f>+T62+T71+T80+T89+T98+T107</f>
        <v>0</v>
      </c>
    </row>
    <row r="117" spans="1:21" x14ac:dyDescent="0.25">
      <c r="E117" t="s">
        <v>465</v>
      </c>
      <c r="T117" s="105">
        <f>+T65+T74+T83+T92+T101+T110</f>
        <v>-711183.08971011429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7"/>
  <sheetViews>
    <sheetView topLeftCell="C19" workbookViewId="0">
      <selection activeCell="G26" sqref="G26:S26"/>
    </sheetView>
  </sheetViews>
  <sheetFormatPr defaultRowHeight="15" x14ac:dyDescent="0.25"/>
  <cols>
    <col min="1" max="1" width="3" customWidth="1"/>
    <col min="2" max="2" width="16.42578125" customWidth="1"/>
    <col min="3" max="3" width="47.42578125" bestFit="1" customWidth="1"/>
    <col min="4" max="4" width="15.85546875" style="13" customWidth="1"/>
    <col min="5" max="5" width="17.85546875" customWidth="1"/>
    <col min="6" max="6" width="4.42578125" customWidth="1"/>
    <col min="7" max="7" width="13" customWidth="1"/>
    <col min="8" max="8" width="12.140625" customWidth="1"/>
    <col min="9" max="9" width="12.7109375" customWidth="1"/>
    <col min="10" max="10" width="13.42578125" customWidth="1"/>
    <col min="11" max="11" width="11.28515625" customWidth="1"/>
    <col min="12" max="12" width="12.28515625" customWidth="1"/>
    <col min="13" max="13" width="13.7109375" customWidth="1"/>
    <col min="14" max="14" width="13.5703125" customWidth="1"/>
    <col min="15" max="15" width="11.42578125" customWidth="1"/>
    <col min="16" max="16" width="13.5703125" customWidth="1"/>
    <col min="17" max="17" width="12.7109375" customWidth="1"/>
    <col min="18" max="18" width="12.85546875" customWidth="1"/>
    <col min="19" max="19" width="14.140625" customWidth="1"/>
    <col min="20" max="20" width="11.85546875" customWidth="1"/>
    <col min="21" max="21" width="3.28515625" customWidth="1"/>
    <col min="24" max="24" width="17" bestFit="1" customWidth="1"/>
  </cols>
  <sheetData>
    <row r="1" spans="1:26" x14ac:dyDescent="0.25">
      <c r="A1" t="s">
        <v>373</v>
      </c>
    </row>
    <row r="2" spans="1:26" x14ac:dyDescent="0.25">
      <c r="A2" t="s">
        <v>374</v>
      </c>
    </row>
    <row r="5" spans="1:26" x14ac:dyDescent="0.25">
      <c r="B5" t="s">
        <v>375</v>
      </c>
      <c r="C5" t="s">
        <v>376</v>
      </c>
      <c r="D5" s="13" t="s">
        <v>377</v>
      </c>
      <c r="E5" t="s">
        <v>378</v>
      </c>
      <c r="G5" s="65">
        <v>44909</v>
      </c>
      <c r="H5" s="65">
        <v>44939</v>
      </c>
      <c r="I5" s="65">
        <v>44969</v>
      </c>
      <c r="J5" s="65">
        <v>44999</v>
      </c>
      <c r="K5" s="65">
        <v>45029</v>
      </c>
      <c r="L5" s="65">
        <v>45059</v>
      </c>
      <c r="M5" s="65">
        <v>45089</v>
      </c>
      <c r="N5" s="65">
        <v>45119</v>
      </c>
      <c r="O5" s="65">
        <v>45149</v>
      </c>
      <c r="P5" s="65">
        <v>45179</v>
      </c>
      <c r="Q5" s="65">
        <v>45209</v>
      </c>
      <c r="R5" s="65">
        <v>45239</v>
      </c>
      <c r="S5" s="65">
        <v>45269</v>
      </c>
      <c r="T5" s="66" t="s">
        <v>379</v>
      </c>
    </row>
    <row r="6" spans="1:26" x14ac:dyDescent="0.25">
      <c r="C6" s="67" t="s">
        <v>380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6"/>
    </row>
    <row r="7" spans="1:26" x14ac:dyDescent="0.25"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6"/>
    </row>
    <row r="8" spans="1:26" x14ac:dyDescent="0.25">
      <c r="B8" t="s">
        <v>381</v>
      </c>
      <c r="C8" t="s">
        <v>382</v>
      </c>
      <c r="D8" s="13" t="s">
        <v>71</v>
      </c>
      <c r="E8" t="s">
        <v>383</v>
      </c>
      <c r="G8" s="68">
        <v>0</v>
      </c>
      <c r="H8" s="68">
        <v>0</v>
      </c>
      <c r="I8" s="68">
        <v>0</v>
      </c>
      <c r="J8" s="68">
        <v>0</v>
      </c>
      <c r="K8" s="68">
        <v>3418</v>
      </c>
      <c r="L8" s="68">
        <v>3418</v>
      </c>
      <c r="M8" s="68">
        <v>0</v>
      </c>
      <c r="N8" s="68">
        <v>0</v>
      </c>
      <c r="O8" s="68">
        <v>0</v>
      </c>
      <c r="P8" s="68">
        <v>1364</v>
      </c>
      <c r="Q8" s="68">
        <v>0</v>
      </c>
      <c r="R8" s="68">
        <v>0</v>
      </c>
      <c r="S8" s="68">
        <v>0</v>
      </c>
      <c r="T8" s="68">
        <f>SUM(G8:S8)/13</f>
        <v>630.76923076923072</v>
      </c>
      <c r="U8" s="68"/>
      <c r="V8" s="68"/>
      <c r="W8" s="68"/>
      <c r="X8" s="68"/>
      <c r="Y8" s="68"/>
      <c r="Z8" s="68"/>
    </row>
    <row r="9" spans="1:26" x14ac:dyDescent="0.25">
      <c r="C9" s="69"/>
      <c r="D9" s="70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</row>
    <row r="10" spans="1:26" x14ac:dyDescent="0.25">
      <c r="G10" s="71">
        <f t="shared" ref="G10:T10" si="0">SUM(G8:G9)</f>
        <v>0</v>
      </c>
      <c r="H10" s="71">
        <f t="shared" si="0"/>
        <v>0</v>
      </c>
      <c r="I10" s="71">
        <f t="shared" si="0"/>
        <v>0</v>
      </c>
      <c r="J10" s="71">
        <f t="shared" si="0"/>
        <v>0</v>
      </c>
      <c r="K10" s="71">
        <f t="shared" si="0"/>
        <v>3418</v>
      </c>
      <c r="L10" s="71">
        <f t="shared" si="0"/>
        <v>3418</v>
      </c>
      <c r="M10" s="71">
        <f t="shared" si="0"/>
        <v>0</v>
      </c>
      <c r="N10" s="71">
        <f t="shared" si="0"/>
        <v>0</v>
      </c>
      <c r="O10" s="71">
        <f t="shared" si="0"/>
        <v>0</v>
      </c>
      <c r="P10" s="71">
        <f t="shared" si="0"/>
        <v>1364</v>
      </c>
      <c r="Q10" s="72">
        <f t="shared" si="0"/>
        <v>0</v>
      </c>
      <c r="R10" s="72">
        <f t="shared" si="0"/>
        <v>0</v>
      </c>
      <c r="S10" s="72">
        <f t="shared" si="0"/>
        <v>0</v>
      </c>
      <c r="T10" s="72">
        <f t="shared" si="0"/>
        <v>630.76923076923072</v>
      </c>
      <c r="U10" s="68"/>
      <c r="V10" s="68"/>
      <c r="W10" s="68"/>
      <c r="X10" s="68"/>
      <c r="Y10" s="68"/>
      <c r="Z10" s="68"/>
    </row>
    <row r="11" spans="1:26" x14ac:dyDescent="0.25"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73"/>
      <c r="R11" s="73"/>
      <c r="S11" s="73"/>
      <c r="T11" s="73"/>
      <c r="U11" s="68"/>
      <c r="V11" s="68"/>
      <c r="W11" s="68"/>
      <c r="X11" s="68"/>
      <c r="Y11" s="68"/>
      <c r="Z11" s="68"/>
    </row>
    <row r="12" spans="1:26" x14ac:dyDescent="0.25"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3"/>
      <c r="R12" s="73"/>
      <c r="S12" s="73"/>
      <c r="T12" s="73"/>
      <c r="U12" s="68"/>
      <c r="V12" s="68"/>
      <c r="W12" s="68"/>
      <c r="X12" s="68"/>
      <c r="Y12" s="68"/>
      <c r="Z12" s="68"/>
    </row>
    <row r="13" spans="1:26" x14ac:dyDescent="0.25">
      <c r="C13" s="67" t="s">
        <v>384</v>
      </c>
      <c r="D13" s="13">
        <v>10101010</v>
      </c>
      <c r="E13" t="s">
        <v>385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73">
        <f t="shared" ref="T13:T25" si="1">SUM(G13:S13)/13</f>
        <v>0</v>
      </c>
      <c r="U13" s="68"/>
      <c r="V13" s="68"/>
      <c r="W13" s="68"/>
      <c r="X13" s="68"/>
      <c r="Y13" s="68"/>
      <c r="Z13" s="68"/>
    </row>
    <row r="14" spans="1:26" x14ac:dyDescent="0.25">
      <c r="C14" t="s">
        <v>386</v>
      </c>
      <c r="D14" s="13" t="s">
        <v>44</v>
      </c>
      <c r="E14" t="s">
        <v>385</v>
      </c>
      <c r="G14" s="68">
        <f>'FC Common pl 22'!S14</f>
        <v>596857.97</v>
      </c>
      <c r="H14" s="68">
        <f>G14</f>
        <v>596857.97</v>
      </c>
      <c r="I14" s="68">
        <f t="shared" ref="I14:S14" si="2">H14</f>
        <v>596857.97</v>
      </c>
      <c r="J14" s="68">
        <f t="shared" si="2"/>
        <v>596857.97</v>
      </c>
      <c r="K14" s="68">
        <f t="shared" si="2"/>
        <v>596857.97</v>
      </c>
      <c r="L14" s="68">
        <f t="shared" si="2"/>
        <v>596857.97</v>
      </c>
      <c r="M14" s="68">
        <f t="shared" si="2"/>
        <v>596857.97</v>
      </c>
      <c r="N14" s="68">
        <f t="shared" si="2"/>
        <v>596857.97</v>
      </c>
      <c r="O14" s="68">
        <f t="shared" si="2"/>
        <v>596857.97</v>
      </c>
      <c r="P14" s="68">
        <f t="shared" si="2"/>
        <v>596857.97</v>
      </c>
      <c r="Q14" s="68">
        <f t="shared" si="2"/>
        <v>596857.97</v>
      </c>
      <c r="R14" s="68">
        <f t="shared" si="2"/>
        <v>596857.97</v>
      </c>
      <c r="S14" s="68">
        <f t="shared" si="2"/>
        <v>596857.97</v>
      </c>
      <c r="T14" s="73">
        <f t="shared" si="1"/>
        <v>596857.96999999986</v>
      </c>
      <c r="U14" s="68"/>
      <c r="V14" s="68"/>
      <c r="W14" s="68"/>
      <c r="X14" s="68"/>
      <c r="Y14" s="68"/>
      <c r="Z14" s="68"/>
    </row>
    <row r="15" spans="1:26" x14ac:dyDescent="0.25">
      <c r="C15" t="s">
        <v>387</v>
      </c>
      <c r="D15" s="13" t="s">
        <v>46</v>
      </c>
      <c r="E15" t="s">
        <v>385</v>
      </c>
      <c r="G15" s="68">
        <f>'FC Common pl 22'!S15</f>
        <v>7710124.8900000006</v>
      </c>
      <c r="H15" s="68">
        <f t="shared" ref="H15:S23" si="3">G15</f>
        <v>7710124.8900000006</v>
      </c>
      <c r="I15" s="68">
        <f t="shared" si="3"/>
        <v>7710124.8900000006</v>
      </c>
      <c r="J15" s="68">
        <f t="shared" si="3"/>
        <v>7710124.8900000006</v>
      </c>
      <c r="K15" s="68">
        <f t="shared" si="3"/>
        <v>7710124.8900000006</v>
      </c>
      <c r="L15" s="68">
        <f t="shared" si="3"/>
        <v>7710124.8900000006</v>
      </c>
      <c r="M15" s="68">
        <f t="shared" si="3"/>
        <v>7710124.8900000006</v>
      </c>
      <c r="N15" s="68">
        <f t="shared" si="3"/>
        <v>7710124.8900000006</v>
      </c>
      <c r="O15" s="68">
        <f t="shared" si="3"/>
        <v>7710124.8900000006</v>
      </c>
      <c r="P15" s="68">
        <f t="shared" si="3"/>
        <v>7710124.8900000006</v>
      </c>
      <c r="Q15" s="68">
        <f t="shared" si="3"/>
        <v>7710124.8900000006</v>
      </c>
      <c r="R15" s="68">
        <f t="shared" si="3"/>
        <v>7710124.8900000006</v>
      </c>
      <c r="S15" s="68">
        <f t="shared" si="3"/>
        <v>7710124.8900000006</v>
      </c>
      <c r="T15" s="73">
        <f t="shared" si="1"/>
        <v>7710124.8900000006</v>
      </c>
      <c r="U15" s="68"/>
      <c r="V15" s="68"/>
      <c r="W15" s="68"/>
      <c r="X15" s="68"/>
      <c r="Y15" s="68"/>
      <c r="Z15" s="68"/>
    </row>
    <row r="16" spans="1:26" x14ac:dyDescent="0.25">
      <c r="C16" t="s">
        <v>388</v>
      </c>
      <c r="D16" s="13" t="s">
        <v>48</v>
      </c>
      <c r="E16" t="s">
        <v>385</v>
      </c>
      <c r="G16" s="68">
        <f>'FC Common pl 22'!S16</f>
        <v>548554.52</v>
      </c>
      <c r="H16" s="68">
        <f t="shared" si="3"/>
        <v>548554.52</v>
      </c>
      <c r="I16" s="68">
        <f t="shared" si="3"/>
        <v>548554.52</v>
      </c>
      <c r="J16" s="68">
        <f t="shared" si="3"/>
        <v>548554.52</v>
      </c>
      <c r="K16" s="68">
        <f t="shared" si="3"/>
        <v>548554.52</v>
      </c>
      <c r="L16" s="68">
        <f t="shared" si="3"/>
        <v>548554.52</v>
      </c>
      <c r="M16" s="68">
        <f t="shared" si="3"/>
        <v>548554.52</v>
      </c>
      <c r="N16" s="68">
        <f t="shared" si="3"/>
        <v>548554.52</v>
      </c>
      <c r="O16" s="68">
        <f t="shared" si="3"/>
        <v>548554.52</v>
      </c>
      <c r="P16" s="68">
        <f t="shared" si="3"/>
        <v>548554.52</v>
      </c>
      <c r="Q16" s="68">
        <f t="shared" si="3"/>
        <v>548554.52</v>
      </c>
      <c r="R16" s="68">
        <f t="shared" si="3"/>
        <v>548554.52</v>
      </c>
      <c r="S16" s="68">
        <f t="shared" si="3"/>
        <v>548554.52</v>
      </c>
      <c r="T16" s="73">
        <f t="shared" si="1"/>
        <v>548554.51999999979</v>
      </c>
      <c r="U16" s="68"/>
      <c r="V16" s="68"/>
      <c r="W16" s="68"/>
      <c r="X16" s="68"/>
      <c r="Y16" s="68"/>
      <c r="Z16" s="68"/>
    </row>
    <row r="17" spans="2:26" x14ac:dyDescent="0.25">
      <c r="C17" t="s">
        <v>382</v>
      </c>
      <c r="D17" s="13">
        <v>10103912</v>
      </c>
      <c r="E17" t="s">
        <v>385</v>
      </c>
      <c r="G17" s="68">
        <f>'FC Common pl 22'!S17</f>
        <v>41832.54</v>
      </c>
      <c r="H17" s="68">
        <f t="shared" si="3"/>
        <v>41832.54</v>
      </c>
      <c r="I17" s="68">
        <f t="shared" si="3"/>
        <v>41832.54</v>
      </c>
      <c r="J17" s="68">
        <f t="shared" si="3"/>
        <v>41832.54</v>
      </c>
      <c r="K17" s="68">
        <f t="shared" si="3"/>
        <v>41832.54</v>
      </c>
      <c r="L17" s="68">
        <f t="shared" si="3"/>
        <v>41832.54</v>
      </c>
      <c r="M17" s="68">
        <f t="shared" si="3"/>
        <v>41832.54</v>
      </c>
      <c r="N17" s="68">
        <f t="shared" si="3"/>
        <v>41832.54</v>
      </c>
      <c r="O17" s="68">
        <f t="shared" si="3"/>
        <v>41832.54</v>
      </c>
      <c r="P17" s="68">
        <f t="shared" si="3"/>
        <v>41832.54</v>
      </c>
      <c r="Q17" s="68">
        <f t="shared" si="3"/>
        <v>41832.54</v>
      </c>
      <c r="R17" s="68">
        <f t="shared" si="3"/>
        <v>41832.54</v>
      </c>
      <c r="S17" s="68">
        <f t="shared" si="3"/>
        <v>41832.54</v>
      </c>
      <c r="T17" s="73">
        <f t="shared" si="1"/>
        <v>41832.539999999994</v>
      </c>
      <c r="U17" s="68"/>
      <c r="V17" s="68"/>
      <c r="W17" s="68"/>
      <c r="X17" s="68"/>
      <c r="Y17" s="68"/>
      <c r="Z17" s="68"/>
    </row>
    <row r="18" spans="2:26" x14ac:dyDescent="0.25">
      <c r="C18" t="s">
        <v>389</v>
      </c>
      <c r="D18" s="13" t="s">
        <v>52</v>
      </c>
      <c r="E18" t="s">
        <v>385</v>
      </c>
      <c r="G18" s="68">
        <f>'FC Common pl 22'!S18</f>
        <v>110141.66000000003</v>
      </c>
      <c r="H18" s="68">
        <f t="shared" si="3"/>
        <v>110141.66000000003</v>
      </c>
      <c r="I18" s="68">
        <f t="shared" si="3"/>
        <v>110141.66000000003</v>
      </c>
      <c r="J18" s="68">
        <f t="shared" si="3"/>
        <v>110141.66000000003</v>
      </c>
      <c r="K18" s="68">
        <f t="shared" si="3"/>
        <v>110141.66000000003</v>
      </c>
      <c r="L18" s="68">
        <f t="shared" si="3"/>
        <v>110141.66000000003</v>
      </c>
      <c r="M18" s="68">
        <f t="shared" si="3"/>
        <v>110141.66000000003</v>
      </c>
      <c r="N18" s="68">
        <f t="shared" si="3"/>
        <v>110141.66000000003</v>
      </c>
      <c r="O18" s="68">
        <f t="shared" si="3"/>
        <v>110141.66000000003</v>
      </c>
      <c r="P18" s="68">
        <f t="shared" si="3"/>
        <v>110141.66000000003</v>
      </c>
      <c r="Q18" s="68">
        <f t="shared" si="3"/>
        <v>110141.66000000003</v>
      </c>
      <c r="R18" s="68">
        <f t="shared" si="3"/>
        <v>110141.66000000003</v>
      </c>
      <c r="S18" s="68">
        <f t="shared" si="3"/>
        <v>110141.66000000003</v>
      </c>
      <c r="T18" s="73">
        <f t="shared" si="1"/>
        <v>110141.66000000005</v>
      </c>
      <c r="U18" s="68"/>
      <c r="V18" s="68"/>
      <c r="W18" s="68"/>
      <c r="X18" s="68"/>
      <c r="Y18" s="68"/>
      <c r="Z18" s="68"/>
    </row>
    <row r="19" spans="2:26" x14ac:dyDescent="0.25">
      <c r="C19" t="s">
        <v>390</v>
      </c>
      <c r="D19" s="13" t="s">
        <v>54</v>
      </c>
      <c r="E19" t="s">
        <v>385</v>
      </c>
      <c r="G19" s="68">
        <f>'FC Common pl 22'!S19</f>
        <v>936225.38</v>
      </c>
      <c r="H19" s="68">
        <f t="shared" si="3"/>
        <v>936225.38</v>
      </c>
      <c r="I19" s="68">
        <f t="shared" si="3"/>
        <v>936225.38</v>
      </c>
      <c r="J19" s="68">
        <f t="shared" si="3"/>
        <v>936225.38</v>
      </c>
      <c r="K19" s="68">
        <f t="shared" si="3"/>
        <v>936225.38</v>
      </c>
      <c r="L19" s="68">
        <f t="shared" si="3"/>
        <v>936225.38</v>
      </c>
      <c r="M19" s="68">
        <f t="shared" si="3"/>
        <v>936225.38</v>
      </c>
      <c r="N19" s="68">
        <f t="shared" si="3"/>
        <v>936225.38</v>
      </c>
      <c r="O19" s="68">
        <f t="shared" si="3"/>
        <v>936225.38</v>
      </c>
      <c r="P19" s="68">
        <f t="shared" si="3"/>
        <v>936225.38</v>
      </c>
      <c r="Q19" s="68">
        <f t="shared" si="3"/>
        <v>936225.38</v>
      </c>
      <c r="R19" s="68">
        <f t="shared" si="3"/>
        <v>936225.38</v>
      </c>
      <c r="S19" s="68">
        <f t="shared" si="3"/>
        <v>936225.38</v>
      </c>
      <c r="T19" s="73">
        <f t="shared" si="1"/>
        <v>936225.38000000024</v>
      </c>
      <c r="U19" s="68"/>
      <c r="V19" s="68"/>
      <c r="W19" s="68"/>
      <c r="X19" s="68"/>
      <c r="Y19" s="68"/>
      <c r="Z19" s="68"/>
    </row>
    <row r="20" spans="2:26" x14ac:dyDescent="0.25">
      <c r="C20" t="s">
        <v>391</v>
      </c>
      <c r="D20" s="13" t="s">
        <v>56</v>
      </c>
      <c r="E20" t="s">
        <v>385</v>
      </c>
      <c r="G20" s="68">
        <f>'FC Common pl 22'!S20</f>
        <v>258116.52000000002</v>
      </c>
      <c r="H20" s="68">
        <f t="shared" si="3"/>
        <v>258116.52000000002</v>
      </c>
      <c r="I20" s="68">
        <f t="shared" si="3"/>
        <v>258116.52000000002</v>
      </c>
      <c r="J20" s="68">
        <f t="shared" si="3"/>
        <v>258116.52000000002</v>
      </c>
      <c r="K20" s="68">
        <f t="shared" si="3"/>
        <v>258116.52000000002</v>
      </c>
      <c r="L20" s="68">
        <f t="shared" si="3"/>
        <v>258116.52000000002</v>
      </c>
      <c r="M20" s="68">
        <f t="shared" si="3"/>
        <v>258116.52000000002</v>
      </c>
      <c r="N20" s="68">
        <f t="shared" si="3"/>
        <v>258116.52000000002</v>
      </c>
      <c r="O20" s="68">
        <f t="shared" si="3"/>
        <v>258116.52000000002</v>
      </c>
      <c r="P20" s="68">
        <f t="shared" si="3"/>
        <v>258116.52000000002</v>
      </c>
      <c r="Q20" s="68">
        <f t="shared" si="3"/>
        <v>258116.52000000002</v>
      </c>
      <c r="R20" s="68">
        <f t="shared" si="3"/>
        <v>258116.52000000002</v>
      </c>
      <c r="S20" s="68">
        <f t="shared" si="3"/>
        <v>258116.52000000002</v>
      </c>
      <c r="T20" s="73">
        <f t="shared" si="1"/>
        <v>258116.52000000002</v>
      </c>
      <c r="U20" s="68"/>
      <c r="V20" s="68"/>
      <c r="W20" s="68"/>
      <c r="X20" s="68"/>
      <c r="Y20" s="68"/>
      <c r="Z20" s="68"/>
    </row>
    <row r="21" spans="2:26" x14ac:dyDescent="0.25">
      <c r="C21" t="s">
        <v>392</v>
      </c>
      <c r="D21" s="13" t="s">
        <v>58</v>
      </c>
      <c r="E21" t="s">
        <v>385</v>
      </c>
      <c r="G21" s="68">
        <f>'FC Common pl 22'!S21</f>
        <v>763765.58</v>
      </c>
      <c r="H21" s="68">
        <f t="shared" si="3"/>
        <v>763765.58</v>
      </c>
      <c r="I21" s="68">
        <f t="shared" si="3"/>
        <v>763765.58</v>
      </c>
      <c r="J21" s="68">
        <f t="shared" si="3"/>
        <v>763765.58</v>
      </c>
      <c r="K21" s="68">
        <f t="shared" si="3"/>
        <v>763765.58</v>
      </c>
      <c r="L21" s="68">
        <f t="shared" si="3"/>
        <v>763765.58</v>
      </c>
      <c r="M21" s="68">
        <f t="shared" si="3"/>
        <v>763765.58</v>
      </c>
      <c r="N21" s="68">
        <f t="shared" si="3"/>
        <v>763765.58</v>
      </c>
      <c r="O21" s="68">
        <f t="shared" si="3"/>
        <v>763765.58</v>
      </c>
      <c r="P21" s="68">
        <f t="shared" si="3"/>
        <v>763765.58</v>
      </c>
      <c r="Q21" s="68">
        <f t="shared" si="3"/>
        <v>763765.58</v>
      </c>
      <c r="R21" s="68">
        <f t="shared" si="3"/>
        <v>763765.58</v>
      </c>
      <c r="S21" s="68">
        <f t="shared" si="3"/>
        <v>763765.58</v>
      </c>
      <c r="T21" s="73">
        <f t="shared" si="1"/>
        <v>763765.58</v>
      </c>
      <c r="U21" s="68"/>
      <c r="V21" s="68"/>
      <c r="W21" s="68"/>
      <c r="X21" s="68"/>
      <c r="Y21" s="68"/>
      <c r="Z21" s="68"/>
    </row>
    <row r="22" spans="2:26" x14ac:dyDescent="0.25">
      <c r="C22" t="s">
        <v>59</v>
      </c>
      <c r="D22" s="13" t="s">
        <v>60</v>
      </c>
      <c r="E22" t="s">
        <v>385</v>
      </c>
      <c r="G22" s="68">
        <f>'FC Common pl 22'!S22</f>
        <v>640740.72</v>
      </c>
      <c r="H22" s="68">
        <f t="shared" si="3"/>
        <v>640740.72</v>
      </c>
      <c r="I22" s="68">
        <f t="shared" si="3"/>
        <v>640740.72</v>
      </c>
      <c r="J22" s="68">
        <f t="shared" si="3"/>
        <v>640740.72</v>
      </c>
      <c r="K22" s="68">
        <f t="shared" si="3"/>
        <v>640740.72</v>
      </c>
      <c r="L22" s="68">
        <f t="shared" si="3"/>
        <v>640740.72</v>
      </c>
      <c r="M22" s="68">
        <f t="shared" si="3"/>
        <v>640740.72</v>
      </c>
      <c r="N22" s="68">
        <f t="shared" si="3"/>
        <v>640740.72</v>
      </c>
      <c r="O22" s="68">
        <f t="shared" si="3"/>
        <v>640740.72</v>
      </c>
      <c r="P22" s="68">
        <f t="shared" si="3"/>
        <v>640740.72</v>
      </c>
      <c r="Q22" s="68">
        <f t="shared" si="3"/>
        <v>640740.72</v>
      </c>
      <c r="R22" s="68">
        <f t="shared" si="3"/>
        <v>640740.72</v>
      </c>
      <c r="S22" s="68">
        <f t="shared" si="3"/>
        <v>640740.72</v>
      </c>
      <c r="T22" s="73">
        <f t="shared" si="1"/>
        <v>640740.71999999986</v>
      </c>
      <c r="U22" s="68"/>
      <c r="V22" s="68"/>
      <c r="W22" s="68"/>
      <c r="X22" s="68"/>
      <c r="Y22" s="68"/>
      <c r="Z22" s="68"/>
    </row>
    <row r="23" spans="2:26" x14ac:dyDescent="0.25">
      <c r="C23" t="s">
        <v>61</v>
      </c>
      <c r="D23" s="13" t="s">
        <v>62</v>
      </c>
      <c r="E23" t="s">
        <v>385</v>
      </c>
      <c r="G23" s="68">
        <f>'FC Common pl 22'!S23</f>
        <v>32922.449999999997</v>
      </c>
      <c r="H23" s="68">
        <f t="shared" si="3"/>
        <v>32922.449999999997</v>
      </c>
      <c r="I23" s="68">
        <f t="shared" si="3"/>
        <v>32922.449999999997</v>
      </c>
      <c r="J23" s="68">
        <f t="shared" si="3"/>
        <v>32922.449999999997</v>
      </c>
      <c r="K23" s="68">
        <f t="shared" si="3"/>
        <v>32922.449999999997</v>
      </c>
      <c r="L23" s="68">
        <f t="shared" si="3"/>
        <v>32922.449999999997</v>
      </c>
      <c r="M23" s="68">
        <f t="shared" si="3"/>
        <v>32922.449999999997</v>
      </c>
      <c r="N23" s="68">
        <f t="shared" si="3"/>
        <v>32922.449999999997</v>
      </c>
      <c r="O23" s="68">
        <f t="shared" si="3"/>
        <v>32922.449999999997</v>
      </c>
      <c r="P23" s="68">
        <f t="shared" si="3"/>
        <v>32922.449999999997</v>
      </c>
      <c r="Q23" s="68">
        <f t="shared" si="3"/>
        <v>32922.449999999997</v>
      </c>
      <c r="R23" s="68">
        <f t="shared" si="3"/>
        <v>32922.449999999997</v>
      </c>
      <c r="S23" s="68">
        <f t="shared" si="3"/>
        <v>32922.449999999997</v>
      </c>
      <c r="T23" s="73">
        <f t="shared" si="1"/>
        <v>32922.450000000004</v>
      </c>
      <c r="U23" s="68"/>
      <c r="V23" s="68"/>
      <c r="W23" s="68"/>
      <c r="X23" s="68"/>
      <c r="Y23" s="68"/>
      <c r="Z23" s="68"/>
    </row>
    <row r="24" spans="2:26" x14ac:dyDescent="0.25">
      <c r="C24" t="s">
        <v>393</v>
      </c>
      <c r="D24" s="13" t="s">
        <v>64</v>
      </c>
      <c r="E24" t="s">
        <v>385</v>
      </c>
      <c r="G24" s="68">
        <f>'FC Common pl 22'!S24</f>
        <v>0</v>
      </c>
      <c r="H24" s="68"/>
      <c r="I24" s="68"/>
      <c r="J24" s="68"/>
      <c r="K24" s="68"/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0</v>
      </c>
      <c r="T24" s="74">
        <f t="shared" si="1"/>
        <v>0</v>
      </c>
      <c r="U24" s="68"/>
      <c r="V24" s="68"/>
      <c r="W24" s="68"/>
      <c r="X24" s="68"/>
      <c r="Y24" s="68"/>
      <c r="Z24" s="68"/>
    </row>
    <row r="25" spans="2:26" x14ac:dyDescent="0.25">
      <c r="C25" t="s">
        <v>394</v>
      </c>
      <c r="D25" s="13" t="s">
        <v>395</v>
      </c>
      <c r="E25" t="s">
        <v>385</v>
      </c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75">
        <f t="shared" si="1"/>
        <v>0</v>
      </c>
      <c r="U25" s="68"/>
      <c r="V25" s="68"/>
      <c r="W25" s="68"/>
      <c r="X25" s="68"/>
      <c r="Y25" s="68"/>
      <c r="Z25" s="68"/>
    </row>
    <row r="26" spans="2:26" x14ac:dyDescent="0.25">
      <c r="G26" s="76">
        <f t="shared" ref="G26:T26" si="4">SUM(G13:G25)</f>
        <v>11639282.23</v>
      </c>
      <c r="H26" s="76">
        <f t="shared" si="4"/>
        <v>11639282.23</v>
      </c>
      <c r="I26" s="76">
        <f t="shared" si="4"/>
        <v>11639282.23</v>
      </c>
      <c r="J26" s="76">
        <f t="shared" si="4"/>
        <v>11639282.23</v>
      </c>
      <c r="K26" s="76">
        <f t="shared" si="4"/>
        <v>11639282.23</v>
      </c>
      <c r="L26" s="76">
        <f t="shared" si="4"/>
        <v>11639282.23</v>
      </c>
      <c r="M26" s="76">
        <f t="shared" si="4"/>
        <v>11639282.23</v>
      </c>
      <c r="N26" s="76">
        <f t="shared" si="4"/>
        <v>11639282.23</v>
      </c>
      <c r="O26" s="76">
        <f t="shared" si="4"/>
        <v>11639282.23</v>
      </c>
      <c r="P26" s="76">
        <f t="shared" si="4"/>
        <v>11639282.23</v>
      </c>
      <c r="Q26" s="76">
        <f t="shared" si="4"/>
        <v>11639282.23</v>
      </c>
      <c r="R26" s="76">
        <f t="shared" si="4"/>
        <v>11639282.23</v>
      </c>
      <c r="S26" s="76">
        <f t="shared" si="4"/>
        <v>11639282.23</v>
      </c>
      <c r="T26" s="76">
        <f t="shared" si="4"/>
        <v>11639282.23</v>
      </c>
      <c r="U26" s="68"/>
      <c r="V26" s="68"/>
      <c r="W26" s="68"/>
      <c r="X26" s="68"/>
      <c r="Y26" s="68"/>
      <c r="Z26" s="68"/>
    </row>
    <row r="27" spans="2:26" x14ac:dyDescent="0.25"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2:26" x14ac:dyDescent="0.25"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73"/>
      <c r="R28" s="73"/>
      <c r="S28" s="73"/>
      <c r="T28" s="73"/>
      <c r="U28" s="68"/>
      <c r="V28" s="68"/>
      <c r="W28" s="68"/>
      <c r="X28" s="68"/>
      <c r="Y28" s="68"/>
      <c r="Z28" s="68"/>
    </row>
    <row r="29" spans="2:26" x14ac:dyDescent="0.25">
      <c r="G29" s="77">
        <v>12225295</v>
      </c>
      <c r="H29" s="77">
        <v>12235232</v>
      </c>
      <c r="I29" s="77">
        <v>12243461</v>
      </c>
      <c r="J29" s="77">
        <v>12244863</v>
      </c>
      <c r="K29" s="77">
        <v>12193930</v>
      </c>
      <c r="L29" s="77">
        <v>12195515</v>
      </c>
      <c r="M29" s="77">
        <v>12201736</v>
      </c>
      <c r="N29" s="77">
        <v>12217504</v>
      </c>
      <c r="O29" s="77">
        <v>12226929</v>
      </c>
      <c r="P29" s="77">
        <v>12196118</v>
      </c>
      <c r="Q29" s="77">
        <v>12204811</v>
      </c>
      <c r="R29" s="77">
        <v>12209309</v>
      </c>
      <c r="S29" s="77">
        <v>12191005</v>
      </c>
      <c r="T29" s="75">
        <f>SUM(G29:S29)/13</f>
        <v>12214285.23076923</v>
      </c>
      <c r="U29" s="68"/>
      <c r="V29" s="68"/>
      <c r="W29" s="68"/>
      <c r="X29" s="68"/>
      <c r="Y29" s="68"/>
      <c r="Z29" s="68"/>
    </row>
    <row r="30" spans="2:26" x14ac:dyDescent="0.25">
      <c r="G30" s="68">
        <f>G29-G26-G10</f>
        <v>586012.76999999955</v>
      </c>
      <c r="H30" s="68">
        <f t="shared" ref="H30:T30" si="5">H29-H26-H10</f>
        <v>595949.76999999955</v>
      </c>
      <c r="I30" s="68">
        <f t="shared" si="5"/>
        <v>604178.76999999955</v>
      </c>
      <c r="J30" s="68">
        <f t="shared" si="5"/>
        <v>605580.76999999955</v>
      </c>
      <c r="K30" s="68">
        <f t="shared" si="5"/>
        <v>551229.76999999955</v>
      </c>
      <c r="L30" s="68">
        <f t="shared" si="5"/>
        <v>552814.76999999955</v>
      </c>
      <c r="M30" s="68">
        <f t="shared" si="5"/>
        <v>562453.76999999955</v>
      </c>
      <c r="N30" s="68">
        <f t="shared" si="5"/>
        <v>578221.76999999955</v>
      </c>
      <c r="O30" s="68">
        <f t="shared" si="5"/>
        <v>587646.76999999955</v>
      </c>
      <c r="P30" s="68">
        <f t="shared" si="5"/>
        <v>555471.76999999955</v>
      </c>
      <c r="Q30" s="68">
        <f t="shared" si="5"/>
        <v>565528.76999999955</v>
      </c>
      <c r="R30" s="68">
        <f t="shared" si="5"/>
        <v>570026.76999999955</v>
      </c>
      <c r="S30" s="68">
        <f t="shared" si="5"/>
        <v>551722.76999999955</v>
      </c>
      <c r="T30" s="68">
        <f t="shared" si="5"/>
        <v>574372.23153846036</v>
      </c>
      <c r="U30" s="68"/>
      <c r="V30" s="68"/>
      <c r="W30" s="68"/>
      <c r="X30" s="68"/>
      <c r="Y30" s="68"/>
      <c r="Z30" s="68"/>
    </row>
    <row r="31" spans="2:26" x14ac:dyDescent="0.25">
      <c r="B31" t="s">
        <v>396</v>
      </c>
      <c r="C31" s="67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3"/>
      <c r="U31" s="68"/>
      <c r="V31" s="68"/>
      <c r="W31" s="68"/>
      <c r="X31" s="68"/>
      <c r="Y31" s="68"/>
      <c r="Z31" s="68"/>
    </row>
    <row r="32" spans="2:26" x14ac:dyDescent="0.25"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73"/>
      <c r="R32" s="73"/>
      <c r="S32" s="73"/>
      <c r="T32" s="73"/>
      <c r="U32" s="68"/>
      <c r="V32" s="68"/>
      <c r="W32" s="68"/>
      <c r="X32" s="68"/>
      <c r="Y32" s="68"/>
      <c r="Z32" s="68"/>
    </row>
    <row r="33" spans="3:26" x14ac:dyDescent="0.25"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73"/>
      <c r="R33" s="73"/>
      <c r="S33" s="73"/>
      <c r="T33" s="73"/>
      <c r="U33" s="68"/>
      <c r="V33" s="68"/>
      <c r="W33" s="68"/>
      <c r="X33" s="68"/>
      <c r="Y33" s="68"/>
      <c r="Z33" s="68"/>
    </row>
    <row r="34" spans="3:26" x14ac:dyDescent="0.25">
      <c r="C34" s="67" t="s">
        <v>397</v>
      </c>
      <c r="D34" s="13">
        <v>10801080</v>
      </c>
      <c r="E34" t="s">
        <v>398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73">
        <f t="shared" ref="T34" si="6">SUM(G34:S34)/13</f>
        <v>0</v>
      </c>
      <c r="U34" s="68"/>
      <c r="V34" s="68"/>
      <c r="W34" s="68"/>
      <c r="X34" s="68"/>
      <c r="Y34" s="68"/>
      <c r="Z34" s="68"/>
    </row>
    <row r="35" spans="3:26" x14ac:dyDescent="0.25">
      <c r="C35" t="s">
        <v>399</v>
      </c>
      <c r="D35" s="13" t="s">
        <v>76</v>
      </c>
      <c r="E35" t="s">
        <v>385</v>
      </c>
      <c r="G35" s="68">
        <f>'FC Common pl 22'!S35</f>
        <v>-561422.42926041654</v>
      </c>
      <c r="H35" s="68">
        <f>G35-'FC depreciation adjustment 23'!B4</f>
        <v>-561550.27142100676</v>
      </c>
      <c r="I35" s="68">
        <f>H35-'FC depreciation adjustment 23'!C4</f>
        <v>-561678.11358159699</v>
      </c>
      <c r="J35" s="68">
        <f>I35-'FC depreciation adjustment 23'!D4</f>
        <v>-561805.95574218722</v>
      </c>
      <c r="K35" s="68">
        <f>J35-'FC depreciation adjustment 23'!E4</f>
        <v>-561933.79790277744</v>
      </c>
      <c r="L35" s="68">
        <f>K35-'FC depreciation adjustment 23'!F4</f>
        <v>-562061.64006336767</v>
      </c>
      <c r="M35" s="68">
        <f>L35-'FC depreciation adjustment 23'!G4</f>
        <v>-562189.48222395789</v>
      </c>
      <c r="N35" s="68">
        <f>M35-'FC depreciation adjustment 23'!H4</f>
        <v>-562317.32438454812</v>
      </c>
      <c r="O35" s="68">
        <f>N35-'FC depreciation adjustment 23'!I4</f>
        <v>-562445.16654513835</v>
      </c>
      <c r="P35" s="68">
        <f>O35-'FC depreciation adjustment 23'!J4</f>
        <v>-562573.00870572857</v>
      </c>
      <c r="Q35" s="68">
        <f>P35-'FC depreciation adjustment 23'!K4</f>
        <v>-562700.8508663188</v>
      </c>
      <c r="R35" s="68">
        <f>Q35-'FC depreciation adjustment 23'!L4</f>
        <v>-562828.69302690902</v>
      </c>
      <c r="S35" s="68">
        <f>R35-'FC depreciation adjustment 23'!M4</f>
        <v>-562956.53518749925</v>
      </c>
      <c r="T35" s="73">
        <f t="shared" ref="T35:T44" si="7">SUM(G35:S35)/13</f>
        <v>-562189.48222395789</v>
      </c>
      <c r="U35" s="68"/>
      <c r="V35" s="68"/>
      <c r="W35" s="68"/>
      <c r="X35" s="68"/>
      <c r="Y35" s="68"/>
      <c r="Z35" s="68"/>
    </row>
    <row r="36" spans="3:26" x14ac:dyDescent="0.25">
      <c r="C36" t="s">
        <v>400</v>
      </c>
      <c r="D36" s="13" t="s">
        <v>77</v>
      </c>
      <c r="E36" t="s">
        <v>385</v>
      </c>
      <c r="G36" s="68">
        <f>'FC Common pl 22'!S36</f>
        <v>129088.49333333329</v>
      </c>
      <c r="H36" s="68">
        <f>G36-'FC depreciation adjustment 23'!B5</f>
        <v>126640.12166666662</v>
      </c>
      <c r="I36" s="68">
        <f>H36-'FC depreciation adjustment 23'!C5</f>
        <v>124191.74999999994</v>
      </c>
      <c r="J36" s="68">
        <f>I36-'FC depreciation adjustment 23'!D5</f>
        <v>121743.37833333327</v>
      </c>
      <c r="K36" s="68">
        <f>J36-'FC depreciation adjustment 23'!E5</f>
        <v>119295.0066666666</v>
      </c>
      <c r="L36" s="68">
        <f>K36-'FC depreciation adjustment 23'!F5</f>
        <v>116846.63499999992</v>
      </c>
      <c r="M36" s="68">
        <f>L36-'FC depreciation adjustment 23'!G5</f>
        <v>114398.26333333325</v>
      </c>
      <c r="N36" s="68">
        <f>M36-'FC depreciation adjustment 23'!H5</f>
        <v>111949.89166666658</v>
      </c>
      <c r="O36" s="68">
        <f>N36-'FC depreciation adjustment 23'!I5</f>
        <v>109501.5199999999</v>
      </c>
      <c r="P36" s="68">
        <f>O36-'FC depreciation adjustment 23'!J5</f>
        <v>107053.14833333323</v>
      </c>
      <c r="Q36" s="68">
        <f>P36-'FC depreciation adjustment 23'!K5</f>
        <v>104604.77666666656</v>
      </c>
      <c r="R36" s="68">
        <f>Q36-'FC depreciation adjustment 23'!L5</f>
        <v>102156.40499999988</v>
      </c>
      <c r="S36" s="68">
        <f>R36-'FC depreciation adjustment 23'!M5</f>
        <v>99708.033333333209</v>
      </c>
      <c r="T36" s="73">
        <f t="shared" si="7"/>
        <v>114398.26333333326</v>
      </c>
      <c r="U36" s="68"/>
      <c r="V36" s="68"/>
      <c r="W36" s="68"/>
      <c r="X36" s="68"/>
      <c r="Y36" s="68"/>
      <c r="Z36" s="68"/>
    </row>
    <row r="37" spans="3:26" x14ac:dyDescent="0.25">
      <c r="C37" t="s">
        <v>401</v>
      </c>
      <c r="D37" s="13">
        <v>10803912</v>
      </c>
      <c r="E37" t="s">
        <v>383</v>
      </c>
      <c r="G37" s="68">
        <f>'FC Common pl 22'!S37</f>
        <v>-275760.49999999994</v>
      </c>
      <c r="H37" s="68">
        <f>G37-'FC depreciation adjustment 23'!B6</f>
        <v>-292743.92999999993</v>
      </c>
      <c r="I37" s="68">
        <f>H37-'FC depreciation adjustment 23'!C6</f>
        <v>-309727.35999999993</v>
      </c>
      <c r="J37" s="68">
        <f>I37-'FC depreciation adjustment 23'!D6</f>
        <v>-326710.78999999992</v>
      </c>
      <c r="K37" s="68">
        <f>J37-'FC depreciation adjustment 23'!E6</f>
        <v>-343694.21999999991</v>
      </c>
      <c r="L37" s="68">
        <f>K37-'FC depreciation adjustment 23'!F6</f>
        <v>-360677.64999999991</v>
      </c>
      <c r="M37" s="68">
        <f>L37-'FC depreciation adjustment 23'!G6</f>
        <v>-377661.0799999999</v>
      </c>
      <c r="N37" s="68">
        <f>M37-'FC depreciation adjustment 23'!H6</f>
        <v>-394644.50999999989</v>
      </c>
      <c r="O37" s="68">
        <f>N37-'FC depreciation adjustment 23'!I6</f>
        <v>-411627.93999999989</v>
      </c>
      <c r="P37" s="68">
        <f>O37-'FC depreciation adjustment 23'!J6</f>
        <v>-428611.36999999988</v>
      </c>
      <c r="Q37" s="68">
        <f>P37-'FC depreciation adjustment 23'!K6</f>
        <v>-445594.79999999987</v>
      </c>
      <c r="R37" s="68">
        <f>Q37-'FC depreciation adjustment 23'!L6</f>
        <v>-462578.22999999986</v>
      </c>
      <c r="S37" s="68">
        <f>R37-'FC depreciation adjustment 23'!M6</f>
        <v>-479561.65999999986</v>
      </c>
      <c r="T37" s="73">
        <f t="shared" si="7"/>
        <v>-377661.07999999984</v>
      </c>
      <c r="U37" s="68"/>
      <c r="V37" s="68"/>
      <c r="W37" s="68"/>
      <c r="X37" s="68"/>
      <c r="Y37" s="68"/>
      <c r="Z37" s="68"/>
    </row>
    <row r="38" spans="3:26" x14ac:dyDescent="0.25">
      <c r="C38" t="s">
        <v>402</v>
      </c>
      <c r="D38" s="13">
        <v>10803913</v>
      </c>
      <c r="E38" t="s">
        <v>385</v>
      </c>
      <c r="G38" s="68">
        <f>'FC Common pl 22'!S38</f>
        <v>587813.78333333298</v>
      </c>
      <c r="H38" s="68">
        <f>G38-'FC depreciation adjustment 23'!B7</f>
        <v>590753.62166666635</v>
      </c>
      <c r="I38" s="68">
        <f>H38-'FC depreciation adjustment 23'!C7</f>
        <v>593693.45999999973</v>
      </c>
      <c r="J38" s="68">
        <f>I38-'FC depreciation adjustment 23'!D7</f>
        <v>596633.29833333311</v>
      </c>
      <c r="K38" s="68">
        <f>J38-'FC depreciation adjustment 23'!E7</f>
        <v>599573.13666666648</v>
      </c>
      <c r="L38" s="68">
        <f>K38-'FC depreciation adjustment 23'!F7</f>
        <v>602512.97499999986</v>
      </c>
      <c r="M38" s="68">
        <f>L38-'FC depreciation adjustment 23'!G7</f>
        <v>605452.81333333324</v>
      </c>
      <c r="N38" s="68">
        <f>M38-'FC depreciation adjustment 23'!H7</f>
        <v>608392.65166666661</v>
      </c>
      <c r="O38" s="68">
        <f>N38-'FC depreciation adjustment 23'!I7</f>
        <v>611332.49</v>
      </c>
      <c r="P38" s="68">
        <f>O38-'FC depreciation adjustment 23'!J7</f>
        <v>614272.32833333337</v>
      </c>
      <c r="Q38" s="68">
        <f>P38-'FC depreciation adjustment 23'!K7</f>
        <v>617212.16666666674</v>
      </c>
      <c r="R38" s="68">
        <f>Q38-'FC depreciation adjustment 23'!L7</f>
        <v>620152.00500000012</v>
      </c>
      <c r="S38" s="68">
        <f>R38-'FC depreciation adjustment 23'!M7</f>
        <v>623091.8433333335</v>
      </c>
      <c r="T38" s="73">
        <f t="shared" si="7"/>
        <v>605452.81333333324</v>
      </c>
      <c r="U38" s="68"/>
      <c r="V38" s="68"/>
      <c r="W38" s="68"/>
      <c r="X38" s="68"/>
      <c r="Y38" s="68"/>
      <c r="Z38" s="68"/>
    </row>
    <row r="39" spans="3:26" x14ac:dyDescent="0.25">
      <c r="C39" t="s">
        <v>403</v>
      </c>
      <c r="D39" s="13" t="s">
        <v>80</v>
      </c>
      <c r="E39" t="s">
        <v>385</v>
      </c>
      <c r="G39" s="68">
        <f>'FC Common pl 22'!S39</f>
        <v>35489.695680577599</v>
      </c>
      <c r="H39" s="68">
        <f>G39-'FC depreciation adjustment 23'!B8</f>
        <v>34490.541987292396</v>
      </c>
      <c r="I39" s="68">
        <f>H39-'FC depreciation adjustment 23'!C8</f>
        <v>33491.388294007193</v>
      </c>
      <c r="J39" s="68">
        <f>I39-'FC depreciation adjustment 23'!D8</f>
        <v>32492.234600721993</v>
      </c>
      <c r="K39" s="68">
        <f>J39-'FC depreciation adjustment 23'!E8</f>
        <v>31493.080907436793</v>
      </c>
      <c r="L39" s="68">
        <f>K39-'FC depreciation adjustment 23'!F8</f>
        <v>30493.927214151594</v>
      </c>
      <c r="M39" s="68">
        <f>L39-'FC depreciation adjustment 23'!G8</f>
        <v>29494.773520866394</v>
      </c>
      <c r="N39" s="68">
        <f>M39-'FC depreciation adjustment 23'!H8</f>
        <v>28495.619827581195</v>
      </c>
      <c r="O39" s="68">
        <f>N39-'FC depreciation adjustment 23'!I8</f>
        <v>27496.466134295995</v>
      </c>
      <c r="P39" s="68">
        <f>O39-'FC depreciation adjustment 23'!J8</f>
        <v>26497.312441010796</v>
      </c>
      <c r="Q39" s="68">
        <f>P39-'FC depreciation adjustment 23'!K8</f>
        <v>25498.158747725596</v>
      </c>
      <c r="R39" s="68">
        <f>Q39-'FC depreciation adjustment 23'!L8</f>
        <v>24499.005054440397</v>
      </c>
      <c r="S39" s="68">
        <f>R39-'FC depreciation adjustment 23'!M8</f>
        <v>23499.851361155197</v>
      </c>
      <c r="T39" s="73">
        <f t="shared" si="7"/>
        <v>29494.773520866394</v>
      </c>
      <c r="U39" s="68"/>
      <c r="V39" s="68"/>
      <c r="W39" s="68"/>
      <c r="X39" s="68"/>
      <c r="Y39" s="68"/>
      <c r="Z39" s="68"/>
    </row>
    <row r="40" spans="3:26" x14ac:dyDescent="0.25">
      <c r="C40" t="s">
        <v>404</v>
      </c>
      <c r="D40" s="13" t="s">
        <v>81</v>
      </c>
      <c r="E40" t="s">
        <v>385</v>
      </c>
      <c r="G40" s="68">
        <f>'FC Common pl 22'!S40</f>
        <v>-200738.10883516833</v>
      </c>
      <c r="H40" s="68">
        <f>G40-'FC depreciation adjustment 23'!B9</f>
        <v>-204480.79873809902</v>
      </c>
      <c r="I40" s="68">
        <f>H40-'FC depreciation adjustment 23'!C9</f>
        <v>-208223.48864102972</v>
      </c>
      <c r="J40" s="68">
        <f>I40-'FC depreciation adjustment 23'!D9</f>
        <v>-211966.17854396041</v>
      </c>
      <c r="K40" s="68">
        <f>J40-'FC depreciation adjustment 23'!E9</f>
        <v>-215708.86844689111</v>
      </c>
      <c r="L40" s="68">
        <f>K40-'FC depreciation adjustment 23'!F9</f>
        <v>-219451.5583498218</v>
      </c>
      <c r="M40" s="68">
        <f>L40-'FC depreciation adjustment 23'!G9</f>
        <v>-223194.2482527525</v>
      </c>
      <c r="N40" s="68">
        <f>M40-'FC depreciation adjustment 23'!H9</f>
        <v>-226936.93815568319</v>
      </c>
      <c r="O40" s="68">
        <f>N40-'FC depreciation adjustment 23'!I9</f>
        <v>-230679.62805861389</v>
      </c>
      <c r="P40" s="68">
        <f>O40-'FC depreciation adjustment 23'!J9</f>
        <v>-234422.31796154458</v>
      </c>
      <c r="Q40" s="68">
        <f>P40-'FC depreciation adjustment 23'!K9</f>
        <v>-238165.00786447528</v>
      </c>
      <c r="R40" s="68">
        <f>Q40-'FC depreciation adjustment 23'!L9</f>
        <v>-241907.69776740597</v>
      </c>
      <c r="S40" s="68">
        <f>R40-'FC depreciation adjustment 23'!M9</f>
        <v>-245650.38767033667</v>
      </c>
      <c r="T40" s="73">
        <f t="shared" si="7"/>
        <v>-223194.2482527525</v>
      </c>
      <c r="U40" s="68"/>
      <c r="V40" s="68"/>
      <c r="W40" s="68"/>
      <c r="X40" s="68"/>
      <c r="Y40" s="68"/>
      <c r="Z40" s="68"/>
    </row>
    <row r="41" spans="3:26" x14ac:dyDescent="0.25">
      <c r="C41" t="s">
        <v>405</v>
      </c>
      <c r="D41" s="13" t="s">
        <v>82</v>
      </c>
      <c r="E41" t="s">
        <v>385</v>
      </c>
      <c r="G41" s="68">
        <f>'FC Common pl 22'!S41</f>
        <v>-318389.25920603942</v>
      </c>
      <c r="H41" s="68">
        <f>G41-'FC depreciation adjustment 23'!B10</f>
        <v>-323735.61913987604</v>
      </c>
      <c r="I41" s="68">
        <f>H41-'FC depreciation adjustment 23'!C10</f>
        <v>-329081.97907371266</v>
      </c>
      <c r="J41" s="68">
        <f>I41-'FC depreciation adjustment 23'!D10</f>
        <v>-334428.33900754928</v>
      </c>
      <c r="K41" s="68">
        <f>J41-'FC depreciation adjustment 23'!E10</f>
        <v>-339774.6989413859</v>
      </c>
      <c r="L41" s="68">
        <f>K41-'FC depreciation adjustment 23'!F10</f>
        <v>-345121.05887522252</v>
      </c>
      <c r="M41" s="68">
        <f>L41-'FC depreciation adjustment 23'!G10</f>
        <v>-350467.41880905913</v>
      </c>
      <c r="N41" s="68">
        <f>M41-'FC depreciation adjustment 23'!H10</f>
        <v>-355813.77874289575</v>
      </c>
      <c r="O41" s="68">
        <f>N41-'FC depreciation adjustment 23'!I10</f>
        <v>-361160.13867673237</v>
      </c>
      <c r="P41" s="68">
        <f>O41-'FC depreciation adjustment 23'!J10</f>
        <v>-366506.49861056899</v>
      </c>
      <c r="Q41" s="68">
        <f>P41-'FC depreciation adjustment 23'!K10</f>
        <v>-371852.85854440561</v>
      </c>
      <c r="R41" s="68">
        <f>Q41-'FC depreciation adjustment 23'!L10</f>
        <v>-377199.21847824223</v>
      </c>
      <c r="S41" s="68">
        <f>R41-'FC depreciation adjustment 23'!M10</f>
        <v>-382545.57841207884</v>
      </c>
      <c r="T41" s="73">
        <f t="shared" si="7"/>
        <v>-350467.41880905913</v>
      </c>
      <c r="U41" s="68"/>
      <c r="V41" s="68"/>
      <c r="W41" s="68"/>
      <c r="X41" s="68"/>
      <c r="Y41" s="68"/>
      <c r="Z41" s="68"/>
    </row>
    <row r="42" spans="3:26" x14ac:dyDescent="0.25">
      <c r="C42" t="s">
        <v>406</v>
      </c>
      <c r="D42" s="13" t="s">
        <v>83</v>
      </c>
      <c r="E42" t="s">
        <v>385</v>
      </c>
      <c r="G42" s="68">
        <f>'FC Common pl 22'!S42</f>
        <v>-265351.07487438613</v>
      </c>
      <c r="H42" s="68">
        <f>G42-'FC depreciation adjustment 23'!B11</f>
        <v>-269458.38611391833</v>
      </c>
      <c r="I42" s="68">
        <f>H42-'FC depreciation adjustment 23'!C11</f>
        <v>-273565.69735345052</v>
      </c>
      <c r="J42" s="68">
        <f>I42-'FC depreciation adjustment 23'!D11</f>
        <v>-277673.00859298272</v>
      </c>
      <c r="K42" s="68">
        <f>J42-'FC depreciation adjustment 23'!E11</f>
        <v>-281780.31983251491</v>
      </c>
      <c r="L42" s="68">
        <f>K42-'FC depreciation adjustment 23'!F11</f>
        <v>-285887.63107204711</v>
      </c>
      <c r="M42" s="68">
        <f>L42-'FC depreciation adjustment 23'!G11</f>
        <v>-289994.9423115793</v>
      </c>
      <c r="N42" s="68">
        <f>M42-'FC depreciation adjustment 23'!H11</f>
        <v>-294102.2535511115</v>
      </c>
      <c r="O42" s="68">
        <f>N42-'FC depreciation adjustment 23'!I11</f>
        <v>-298209.56479064369</v>
      </c>
      <c r="P42" s="68">
        <f>O42-'FC depreciation adjustment 23'!J11</f>
        <v>-302316.87603017589</v>
      </c>
      <c r="Q42" s="68">
        <f>P42-'FC depreciation adjustment 23'!K11</f>
        <v>-306424.18726970808</v>
      </c>
      <c r="R42" s="68">
        <f>Q42-'FC depreciation adjustment 23'!L11</f>
        <v>-310531.49850924028</v>
      </c>
      <c r="S42" s="68">
        <f>R42-'FC depreciation adjustment 23'!M11</f>
        <v>-314638.80974877247</v>
      </c>
      <c r="T42" s="73">
        <f t="shared" si="7"/>
        <v>-289994.9423115793</v>
      </c>
      <c r="U42" s="68"/>
      <c r="V42" s="68"/>
      <c r="W42" s="68"/>
      <c r="X42" s="68"/>
      <c r="Y42" s="68"/>
      <c r="Z42" s="68"/>
    </row>
    <row r="43" spans="3:26" x14ac:dyDescent="0.25">
      <c r="C43" t="s">
        <v>407</v>
      </c>
      <c r="D43" s="13" t="s">
        <v>84</v>
      </c>
      <c r="E43" t="s">
        <v>385</v>
      </c>
      <c r="G43" s="68">
        <f>'FC Common pl 22'!S43</f>
        <v>-18740.33984787239</v>
      </c>
      <c r="H43" s="68">
        <f>G43-'FC depreciation adjustment 23'!B12</f>
        <v>-18901.71983519509</v>
      </c>
      <c r="I43" s="68">
        <f>H43-'FC depreciation adjustment 23'!C12</f>
        <v>-19063.09982251779</v>
      </c>
      <c r="J43" s="68">
        <f>I43-'FC depreciation adjustment 23'!D12</f>
        <v>-19224.47980984049</v>
      </c>
      <c r="K43" s="68">
        <f>J43-'FC depreciation adjustment 23'!E12</f>
        <v>-19385.85979716319</v>
      </c>
      <c r="L43" s="68">
        <f>K43-'FC depreciation adjustment 23'!F12</f>
        <v>-19547.23978448589</v>
      </c>
      <c r="M43" s="68">
        <f>L43-'FC depreciation adjustment 23'!G12</f>
        <v>-19708.61977180859</v>
      </c>
      <c r="N43" s="68">
        <f>M43-'FC depreciation adjustment 23'!H12</f>
        <v>-19869.999759131289</v>
      </c>
      <c r="O43" s="68">
        <f>N43-'FC depreciation adjustment 23'!I12</f>
        <v>-20031.379746453989</v>
      </c>
      <c r="P43" s="68">
        <f>O43-'FC depreciation adjustment 23'!J12</f>
        <v>-20192.759733776689</v>
      </c>
      <c r="Q43" s="68">
        <f>P43-'FC depreciation adjustment 23'!K12</f>
        <v>-20354.139721099389</v>
      </c>
      <c r="R43" s="68">
        <f>Q43-'FC depreciation adjustment 23'!L12</f>
        <v>-20515.519708422089</v>
      </c>
      <c r="S43" s="68">
        <f>R43-'FC depreciation adjustment 23'!M12</f>
        <v>-20676.899695744789</v>
      </c>
      <c r="T43" s="73">
        <f t="shared" si="7"/>
        <v>-19708.61977180859</v>
      </c>
      <c r="U43" s="68"/>
      <c r="V43" s="68"/>
      <c r="W43" s="68"/>
      <c r="X43" s="68"/>
      <c r="Y43" s="68"/>
      <c r="Z43" s="68"/>
    </row>
    <row r="44" spans="3:26" x14ac:dyDescent="0.25">
      <c r="C44" t="s">
        <v>408</v>
      </c>
      <c r="D44" s="13" t="s">
        <v>85</v>
      </c>
      <c r="E44" t="s">
        <v>385</v>
      </c>
      <c r="G44" s="68">
        <f>'FC Common pl 22'!S44</f>
        <v>0</v>
      </c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73">
        <f t="shared" si="7"/>
        <v>0</v>
      </c>
      <c r="U44" s="68"/>
      <c r="V44" s="68"/>
      <c r="W44" s="68"/>
      <c r="X44" s="68"/>
      <c r="Y44" s="68"/>
      <c r="Z44" s="68"/>
    </row>
    <row r="45" spans="3:26" x14ac:dyDescent="0.25">
      <c r="C45" s="13" t="s">
        <v>86</v>
      </c>
      <c r="D45" s="13" t="s">
        <v>87</v>
      </c>
      <c r="E45" t="s">
        <v>385</v>
      </c>
      <c r="G45" s="68">
        <f>'FC Common pl 22'!S45</f>
        <v>25334</v>
      </c>
      <c r="H45" s="68">
        <f>G45</f>
        <v>25334</v>
      </c>
      <c r="I45" s="68">
        <f t="shared" ref="I45:S45" si="8">H45</f>
        <v>25334</v>
      </c>
      <c r="J45" s="68">
        <f t="shared" si="8"/>
        <v>25334</v>
      </c>
      <c r="K45" s="68">
        <f t="shared" si="8"/>
        <v>25334</v>
      </c>
      <c r="L45" s="68">
        <f t="shared" si="8"/>
        <v>25334</v>
      </c>
      <c r="M45" s="68">
        <f t="shared" si="8"/>
        <v>25334</v>
      </c>
      <c r="N45" s="68">
        <f t="shared" si="8"/>
        <v>25334</v>
      </c>
      <c r="O45" s="68">
        <f t="shared" si="8"/>
        <v>25334</v>
      </c>
      <c r="P45" s="68">
        <f t="shared" si="8"/>
        <v>25334</v>
      </c>
      <c r="Q45" s="68">
        <f t="shared" si="8"/>
        <v>25334</v>
      </c>
      <c r="R45" s="68">
        <f t="shared" si="8"/>
        <v>25334</v>
      </c>
      <c r="S45" s="68">
        <f t="shared" si="8"/>
        <v>25334</v>
      </c>
      <c r="T45" s="73">
        <f t="shared" ref="T45:T47" si="9">SUM(G45:S45)/13</f>
        <v>25334</v>
      </c>
      <c r="U45" s="68"/>
      <c r="V45" s="68"/>
      <c r="W45" s="68"/>
      <c r="X45" s="68"/>
      <c r="Y45" s="68"/>
      <c r="Z45" s="68"/>
    </row>
    <row r="46" spans="3:26" x14ac:dyDescent="0.25">
      <c r="C46" s="13" t="s">
        <v>88</v>
      </c>
      <c r="D46" s="13" t="s">
        <v>89</v>
      </c>
      <c r="E46" t="s">
        <v>385</v>
      </c>
      <c r="G46" s="68">
        <f>'FC Common pl 22'!S46</f>
        <v>22241</v>
      </c>
      <c r="H46" s="68">
        <f t="shared" ref="H46:S47" si="10">G46</f>
        <v>22241</v>
      </c>
      <c r="I46" s="68">
        <f t="shared" si="10"/>
        <v>22241</v>
      </c>
      <c r="J46" s="68">
        <f t="shared" si="10"/>
        <v>22241</v>
      </c>
      <c r="K46" s="68">
        <f t="shared" si="10"/>
        <v>22241</v>
      </c>
      <c r="L46" s="68">
        <f t="shared" si="10"/>
        <v>22241</v>
      </c>
      <c r="M46" s="68">
        <f t="shared" si="10"/>
        <v>22241</v>
      </c>
      <c r="N46" s="68">
        <f t="shared" si="10"/>
        <v>22241</v>
      </c>
      <c r="O46" s="68">
        <f t="shared" si="10"/>
        <v>22241</v>
      </c>
      <c r="P46" s="68">
        <f t="shared" si="10"/>
        <v>22241</v>
      </c>
      <c r="Q46" s="68">
        <f t="shared" si="10"/>
        <v>22241</v>
      </c>
      <c r="R46" s="68">
        <f t="shared" si="10"/>
        <v>22241</v>
      </c>
      <c r="S46" s="68">
        <f t="shared" si="10"/>
        <v>22241</v>
      </c>
      <c r="T46" s="73">
        <f t="shared" si="9"/>
        <v>22241</v>
      </c>
      <c r="U46" s="68"/>
      <c r="V46" s="68"/>
      <c r="W46" s="68"/>
      <c r="X46" s="68"/>
      <c r="Y46" s="68"/>
      <c r="Z46" s="68"/>
    </row>
    <row r="47" spans="3:26" x14ac:dyDescent="0.25">
      <c r="C47" s="13" t="s">
        <v>90</v>
      </c>
      <c r="D47" s="13" t="s">
        <v>91</v>
      </c>
      <c r="E47" t="s">
        <v>385</v>
      </c>
      <c r="G47" s="68">
        <f>'FC Common pl 22'!S47</f>
        <v>-45669</v>
      </c>
      <c r="H47" s="68">
        <f t="shared" si="10"/>
        <v>-45669</v>
      </c>
      <c r="I47" s="68">
        <f t="shared" si="10"/>
        <v>-45669</v>
      </c>
      <c r="J47" s="68">
        <f t="shared" si="10"/>
        <v>-45669</v>
      </c>
      <c r="K47" s="68">
        <f t="shared" si="10"/>
        <v>-45669</v>
      </c>
      <c r="L47" s="68">
        <f t="shared" si="10"/>
        <v>-45669</v>
      </c>
      <c r="M47" s="68">
        <f t="shared" si="10"/>
        <v>-45669</v>
      </c>
      <c r="N47" s="68">
        <f t="shared" si="10"/>
        <v>-45669</v>
      </c>
      <c r="O47" s="68">
        <f t="shared" si="10"/>
        <v>-45669</v>
      </c>
      <c r="P47" s="68">
        <f t="shared" si="10"/>
        <v>-45669</v>
      </c>
      <c r="Q47" s="68">
        <f t="shared" si="10"/>
        <v>-45669</v>
      </c>
      <c r="R47" s="68">
        <f t="shared" si="10"/>
        <v>-45669</v>
      </c>
      <c r="S47" s="68">
        <f t="shared" si="10"/>
        <v>-45669</v>
      </c>
      <c r="T47" s="73">
        <f t="shared" si="9"/>
        <v>-45669</v>
      </c>
      <c r="U47" s="68"/>
      <c r="V47" s="68"/>
      <c r="W47" s="68"/>
      <c r="X47" s="68"/>
      <c r="Y47" s="68"/>
      <c r="Z47" s="68"/>
    </row>
    <row r="48" spans="3:26" x14ac:dyDescent="0.25">
      <c r="G48" s="71">
        <f t="shared" ref="G48:T48" si="11">SUM(G34:G47)</f>
        <v>-886103.73967663909</v>
      </c>
      <c r="H48" s="71">
        <f t="shared" si="11"/>
        <v>-917080.43992746982</v>
      </c>
      <c r="I48" s="71">
        <f t="shared" si="11"/>
        <v>-948057.14017830079</v>
      </c>
      <c r="J48" s="71">
        <f t="shared" si="11"/>
        <v>-979033.84042913164</v>
      </c>
      <c r="K48" s="71">
        <f t="shared" si="11"/>
        <v>-1010010.5406799626</v>
      </c>
      <c r="L48" s="71">
        <f t="shared" si="11"/>
        <v>-1040987.2409307936</v>
      </c>
      <c r="M48" s="71">
        <f t="shared" si="11"/>
        <v>-1071963.9411816245</v>
      </c>
      <c r="N48" s="71">
        <f t="shared" si="11"/>
        <v>-1102940.6414324555</v>
      </c>
      <c r="O48" s="71">
        <f t="shared" si="11"/>
        <v>-1133917.3416832865</v>
      </c>
      <c r="P48" s="71">
        <f t="shared" si="11"/>
        <v>-1164894.0419341174</v>
      </c>
      <c r="Q48" s="71">
        <f t="shared" si="11"/>
        <v>-1195870.7421849482</v>
      </c>
      <c r="R48" s="71">
        <f t="shared" si="11"/>
        <v>-1226847.4424357789</v>
      </c>
      <c r="S48" s="71">
        <f t="shared" si="11"/>
        <v>-1257824.1426866099</v>
      </c>
      <c r="T48" s="71">
        <f t="shared" si="11"/>
        <v>-1071963.9411816243</v>
      </c>
      <c r="U48" s="68"/>
      <c r="V48" s="68"/>
      <c r="W48" s="68"/>
      <c r="X48" s="68"/>
      <c r="Y48" s="68"/>
      <c r="Z48" s="68"/>
    </row>
    <row r="49" spans="1:26" x14ac:dyDescent="0.25">
      <c r="G49" s="76">
        <f t="shared" ref="G49:T49" si="12">G48+G31</f>
        <v>-886103.73967663909</v>
      </c>
      <c r="H49" s="76">
        <f t="shared" si="12"/>
        <v>-917080.43992746982</v>
      </c>
      <c r="I49" s="76">
        <f t="shared" si="12"/>
        <v>-948057.14017830079</v>
      </c>
      <c r="J49" s="76">
        <f t="shared" si="12"/>
        <v>-979033.84042913164</v>
      </c>
      <c r="K49" s="76">
        <f t="shared" si="12"/>
        <v>-1010010.5406799626</v>
      </c>
      <c r="L49" s="76">
        <f t="shared" si="12"/>
        <v>-1040987.2409307936</v>
      </c>
      <c r="M49" s="76">
        <f t="shared" si="12"/>
        <v>-1071963.9411816245</v>
      </c>
      <c r="N49" s="76">
        <f t="shared" si="12"/>
        <v>-1102940.6414324555</v>
      </c>
      <c r="O49" s="76">
        <f t="shared" si="12"/>
        <v>-1133917.3416832865</v>
      </c>
      <c r="P49" s="76">
        <f t="shared" si="12"/>
        <v>-1164894.0419341174</v>
      </c>
      <c r="Q49" s="76">
        <f t="shared" si="12"/>
        <v>-1195870.7421849482</v>
      </c>
      <c r="R49" s="76">
        <f t="shared" si="12"/>
        <v>-1226847.4424357789</v>
      </c>
      <c r="S49" s="76">
        <f t="shared" si="12"/>
        <v>-1257824.1426866099</v>
      </c>
      <c r="T49" s="76">
        <f t="shared" si="12"/>
        <v>-1071963.9411816243</v>
      </c>
      <c r="U49" s="68"/>
      <c r="V49" s="68"/>
      <c r="W49" s="68"/>
      <c r="X49" s="68"/>
      <c r="Y49" s="68"/>
      <c r="Z49" s="68"/>
    </row>
    <row r="50" spans="1:26" x14ac:dyDescent="0.25"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73"/>
      <c r="R50" s="73"/>
      <c r="S50" s="73"/>
      <c r="T50" s="68"/>
      <c r="U50" s="68"/>
      <c r="V50" s="68"/>
      <c r="W50" s="68"/>
      <c r="X50" s="68"/>
      <c r="Y50" s="68"/>
      <c r="Z50" s="68"/>
    </row>
    <row r="51" spans="1:26" x14ac:dyDescent="0.25">
      <c r="G51" s="79">
        <v>-601375</v>
      </c>
      <c r="H51" s="79">
        <v>-649606</v>
      </c>
      <c r="I51" s="79">
        <v>-697833</v>
      </c>
      <c r="J51" s="79">
        <v>-742448</v>
      </c>
      <c r="K51" s="79">
        <v>-734925</v>
      </c>
      <c r="L51" s="79">
        <v>-783218</v>
      </c>
      <c r="M51" s="79">
        <v>-831093</v>
      </c>
      <c r="N51" s="79">
        <v>-878925</v>
      </c>
      <c r="O51" s="79">
        <v>-926927</v>
      </c>
      <c r="P51" s="79">
        <v>-942929</v>
      </c>
      <c r="Q51" s="75">
        <v>-991185</v>
      </c>
      <c r="R51" s="75">
        <v>-1039173</v>
      </c>
      <c r="S51" s="75">
        <v>-911386</v>
      </c>
      <c r="T51" s="79">
        <v>-825463.30769230775</v>
      </c>
      <c r="U51" s="68"/>
      <c r="V51" s="68"/>
      <c r="W51" s="68"/>
      <c r="X51" s="68"/>
      <c r="Y51" s="68"/>
      <c r="Z51" s="68"/>
    </row>
    <row r="52" spans="1:26" x14ac:dyDescent="0.25">
      <c r="G52" s="68">
        <f>G48-G51</f>
        <v>-284728.73967663909</v>
      </c>
      <c r="H52" s="68">
        <f t="shared" ref="H52:T52" si="13">H48-H51</f>
        <v>-267474.43992746982</v>
      </c>
      <c r="I52" s="68">
        <f t="shared" si="13"/>
        <v>-250224.14017830079</v>
      </c>
      <c r="J52" s="68">
        <f t="shared" si="13"/>
        <v>-236585.84042913164</v>
      </c>
      <c r="K52" s="68">
        <f t="shared" si="13"/>
        <v>-275085.54067996261</v>
      </c>
      <c r="L52" s="68">
        <f t="shared" si="13"/>
        <v>-257769.24093079357</v>
      </c>
      <c r="M52" s="68">
        <f t="shared" si="13"/>
        <v>-240870.94118162454</v>
      </c>
      <c r="N52" s="68">
        <f t="shared" si="13"/>
        <v>-224015.64143245551</v>
      </c>
      <c r="O52" s="68">
        <f t="shared" si="13"/>
        <v>-206990.34168328648</v>
      </c>
      <c r="P52" s="68">
        <f t="shared" si="13"/>
        <v>-221965.04193411744</v>
      </c>
      <c r="Q52" s="68">
        <f t="shared" si="13"/>
        <v>-204685.74218494818</v>
      </c>
      <c r="R52" s="68">
        <f t="shared" si="13"/>
        <v>-187674.44243577891</v>
      </c>
      <c r="S52" s="68">
        <f t="shared" si="13"/>
        <v>-346438.14268660988</v>
      </c>
      <c r="T52" s="68">
        <f t="shared" si="13"/>
        <v>-246500.63348931656</v>
      </c>
      <c r="U52" s="68"/>
      <c r="V52" s="68"/>
      <c r="W52" s="68"/>
      <c r="X52" s="68"/>
      <c r="Y52" s="68"/>
      <c r="Z52" s="68"/>
    </row>
    <row r="53" spans="1:26" x14ac:dyDescent="0.25">
      <c r="C53" s="13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73"/>
    </row>
    <row r="54" spans="1:26" x14ac:dyDescent="0.25">
      <c r="C54" s="13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73"/>
    </row>
    <row r="55" spans="1:26" x14ac:dyDescent="0.25">
      <c r="C55" s="13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73"/>
    </row>
    <row r="57" spans="1:26" ht="15.75" thickBot="1" x14ac:dyDescent="0.3">
      <c r="A57" s="80"/>
      <c r="B57" s="80"/>
      <c r="C57" s="80"/>
      <c r="D57" s="80"/>
      <c r="E57" s="80"/>
      <c r="F57" s="80"/>
      <c r="G57" s="81">
        <f t="shared" ref="G57:S57" si="14">+G5</f>
        <v>44909</v>
      </c>
      <c r="H57" s="81">
        <f t="shared" si="14"/>
        <v>44939</v>
      </c>
      <c r="I57" s="81">
        <f t="shared" si="14"/>
        <v>44969</v>
      </c>
      <c r="J57" s="81">
        <f t="shared" si="14"/>
        <v>44999</v>
      </c>
      <c r="K57" s="81">
        <f t="shared" si="14"/>
        <v>45029</v>
      </c>
      <c r="L57" s="81">
        <f t="shared" si="14"/>
        <v>45059</v>
      </c>
      <c r="M57" s="81">
        <f t="shared" si="14"/>
        <v>45089</v>
      </c>
      <c r="N57" s="81">
        <f t="shared" si="14"/>
        <v>45119</v>
      </c>
      <c r="O57" s="81">
        <f t="shared" si="14"/>
        <v>45149</v>
      </c>
      <c r="P57" s="81">
        <f t="shared" si="14"/>
        <v>45179</v>
      </c>
      <c r="Q57" s="81">
        <f t="shared" si="14"/>
        <v>45209</v>
      </c>
      <c r="R57" s="81">
        <f t="shared" si="14"/>
        <v>45239</v>
      </c>
      <c r="S57" s="81">
        <f t="shared" si="14"/>
        <v>45269</v>
      </c>
      <c r="T57" s="80" t="s">
        <v>409</v>
      </c>
      <c r="U57" s="82"/>
    </row>
    <row r="58" spans="1:26" x14ac:dyDescent="0.25">
      <c r="A58" s="82"/>
      <c r="B58" s="83" t="s">
        <v>410</v>
      </c>
      <c r="C58" s="84" t="s">
        <v>411</v>
      </c>
      <c r="D58" s="85">
        <f>'Allocation Factors 23'!E11</f>
        <v>0.19878321516673181</v>
      </c>
      <c r="E58" s="84"/>
      <c r="F58" s="84"/>
      <c r="G58" s="86">
        <f t="shared" ref="G58:S58" si="15">(G$26)*$D58</f>
        <v>2313693.9439124083</v>
      </c>
      <c r="H58" s="86">
        <f t="shared" si="15"/>
        <v>2313693.9439124083</v>
      </c>
      <c r="I58" s="86">
        <f t="shared" si="15"/>
        <v>2313693.9439124083</v>
      </c>
      <c r="J58" s="86">
        <f t="shared" si="15"/>
        <v>2313693.9439124083</v>
      </c>
      <c r="K58" s="86">
        <f t="shared" si="15"/>
        <v>2313693.9439124083</v>
      </c>
      <c r="L58" s="86">
        <f t="shared" si="15"/>
        <v>2313693.9439124083</v>
      </c>
      <c r="M58" s="86">
        <f t="shared" si="15"/>
        <v>2313693.9439124083</v>
      </c>
      <c r="N58" s="86">
        <f t="shared" si="15"/>
        <v>2313693.9439124083</v>
      </c>
      <c r="O58" s="86">
        <f t="shared" si="15"/>
        <v>2313693.9439124083</v>
      </c>
      <c r="P58" s="86">
        <f t="shared" si="15"/>
        <v>2313693.9439124083</v>
      </c>
      <c r="Q58" s="86">
        <f t="shared" si="15"/>
        <v>2313693.9439124083</v>
      </c>
      <c r="R58" s="86">
        <f t="shared" si="15"/>
        <v>2313693.9439124083</v>
      </c>
      <c r="S58" s="86">
        <f t="shared" si="15"/>
        <v>2313693.9439124083</v>
      </c>
      <c r="T58" s="87"/>
      <c r="U58" s="82"/>
    </row>
    <row r="59" spans="1:26" x14ac:dyDescent="0.25">
      <c r="A59" s="82"/>
      <c r="B59" s="88"/>
      <c r="C59" s="89"/>
      <c r="D59" s="90"/>
      <c r="E59" s="89" t="s">
        <v>381</v>
      </c>
      <c r="F59" s="89"/>
      <c r="G59" s="91">
        <f>G58</f>
        <v>2313693.9439124083</v>
      </c>
      <c r="H59" s="91">
        <f t="shared" ref="H59:S59" si="16">H58</f>
        <v>2313693.9439124083</v>
      </c>
      <c r="I59" s="91">
        <f t="shared" si="16"/>
        <v>2313693.9439124083</v>
      </c>
      <c r="J59" s="91">
        <f t="shared" si="16"/>
        <v>2313693.9439124083</v>
      </c>
      <c r="K59" s="91">
        <f t="shared" si="16"/>
        <v>2313693.9439124083</v>
      </c>
      <c r="L59" s="91">
        <f t="shared" si="16"/>
        <v>2313693.9439124083</v>
      </c>
      <c r="M59" s="91">
        <f t="shared" si="16"/>
        <v>2313693.9439124083</v>
      </c>
      <c r="N59" s="91">
        <f t="shared" si="16"/>
        <v>2313693.9439124083</v>
      </c>
      <c r="O59" s="91">
        <f t="shared" si="16"/>
        <v>2313693.9439124083</v>
      </c>
      <c r="P59" s="91">
        <f t="shared" si="16"/>
        <v>2313693.9439124083</v>
      </c>
      <c r="Q59" s="91">
        <f t="shared" si="16"/>
        <v>2313693.9439124083</v>
      </c>
      <c r="R59" s="91">
        <f t="shared" si="16"/>
        <v>2313693.9439124083</v>
      </c>
      <c r="S59" s="91">
        <f t="shared" si="16"/>
        <v>2313693.9439124083</v>
      </c>
      <c r="T59" s="92">
        <f>SUM(G59:S59)/13</f>
        <v>2313693.9439124088</v>
      </c>
      <c r="U59" s="82"/>
    </row>
    <row r="60" spans="1:26" x14ac:dyDescent="0.25">
      <c r="A60" s="82"/>
      <c r="B60" s="88"/>
      <c r="C60" s="89"/>
      <c r="D60" s="90"/>
      <c r="E60" s="89"/>
      <c r="F60" s="89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2"/>
      <c r="U60" s="82"/>
    </row>
    <row r="61" spans="1:26" x14ac:dyDescent="0.25">
      <c r="A61" s="82"/>
      <c r="B61" s="88"/>
      <c r="C61" s="89" t="s">
        <v>412</v>
      </c>
      <c r="D61" s="90">
        <f>D58</f>
        <v>0.19878321516673181</v>
      </c>
      <c r="E61" s="89"/>
      <c r="F61" s="89"/>
      <c r="G61" s="79">
        <f t="shared" ref="G61:S61" si="17">G$8*$D61</f>
        <v>0</v>
      </c>
      <c r="H61" s="79">
        <f t="shared" si="17"/>
        <v>0</v>
      </c>
      <c r="I61" s="79">
        <f t="shared" si="17"/>
        <v>0</v>
      </c>
      <c r="J61" s="79">
        <f t="shared" si="17"/>
        <v>0</v>
      </c>
      <c r="K61" s="79">
        <f t="shared" si="17"/>
        <v>679.44102943988935</v>
      </c>
      <c r="L61" s="79">
        <f t="shared" si="17"/>
        <v>679.44102943988935</v>
      </c>
      <c r="M61" s="79">
        <f t="shared" si="17"/>
        <v>0</v>
      </c>
      <c r="N61" s="79">
        <f t="shared" si="17"/>
        <v>0</v>
      </c>
      <c r="O61" s="79">
        <f t="shared" si="17"/>
        <v>0</v>
      </c>
      <c r="P61" s="79">
        <f t="shared" si="17"/>
        <v>271.14030548742221</v>
      </c>
      <c r="Q61" s="79">
        <f t="shared" si="17"/>
        <v>0</v>
      </c>
      <c r="R61" s="79">
        <f t="shared" si="17"/>
        <v>0</v>
      </c>
      <c r="S61" s="79">
        <f t="shared" si="17"/>
        <v>0</v>
      </c>
      <c r="T61" s="92"/>
      <c r="U61" s="82"/>
    </row>
    <row r="62" spans="1:26" x14ac:dyDescent="0.25">
      <c r="A62" s="82"/>
      <c r="B62" s="88"/>
      <c r="C62" s="89"/>
      <c r="D62" s="90"/>
      <c r="E62" s="89" t="s">
        <v>69</v>
      </c>
      <c r="F62" s="89"/>
      <c r="G62" s="91">
        <f>G61</f>
        <v>0</v>
      </c>
      <c r="H62" s="91">
        <f t="shared" ref="H62:S62" si="18">H61</f>
        <v>0</v>
      </c>
      <c r="I62" s="91">
        <f t="shared" si="18"/>
        <v>0</v>
      </c>
      <c r="J62" s="91">
        <f t="shared" si="18"/>
        <v>0</v>
      </c>
      <c r="K62" s="91">
        <f t="shared" si="18"/>
        <v>679.44102943988935</v>
      </c>
      <c r="L62" s="91">
        <f t="shared" si="18"/>
        <v>679.44102943988935</v>
      </c>
      <c r="M62" s="91">
        <f t="shared" si="18"/>
        <v>0</v>
      </c>
      <c r="N62" s="91">
        <f t="shared" si="18"/>
        <v>0</v>
      </c>
      <c r="O62" s="91">
        <f t="shared" si="18"/>
        <v>0</v>
      </c>
      <c r="P62" s="91">
        <f t="shared" si="18"/>
        <v>271.14030548742221</v>
      </c>
      <c r="Q62" s="91">
        <f t="shared" si="18"/>
        <v>0</v>
      </c>
      <c r="R62" s="91">
        <f t="shared" si="18"/>
        <v>0</v>
      </c>
      <c r="S62" s="91">
        <f t="shared" si="18"/>
        <v>0</v>
      </c>
      <c r="T62" s="92">
        <f>SUM(G62:S62)/13</f>
        <v>125.38633572055392</v>
      </c>
      <c r="U62" s="82"/>
    </row>
    <row r="63" spans="1:26" x14ac:dyDescent="0.25">
      <c r="A63" s="82"/>
      <c r="B63" s="88"/>
      <c r="C63" s="93"/>
      <c r="D63" s="90"/>
      <c r="E63" s="89"/>
      <c r="F63" s="89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2"/>
      <c r="U63" s="82"/>
    </row>
    <row r="64" spans="1:26" x14ac:dyDescent="0.25">
      <c r="A64" s="82"/>
      <c r="B64" s="88"/>
      <c r="C64" s="89" t="s">
        <v>413</v>
      </c>
      <c r="D64" s="90">
        <f>D58</f>
        <v>0.19878321516673181</v>
      </c>
      <c r="E64" s="89"/>
      <c r="F64" s="89"/>
      <c r="G64" s="79">
        <f t="shared" ref="G64:S64" si="19">(G$48)*$D64</f>
        <v>-176142.55034418707</v>
      </c>
      <c r="H64" s="79">
        <f t="shared" si="19"/>
        <v>-182300.19841530331</v>
      </c>
      <c r="I64" s="79">
        <f t="shared" si="19"/>
        <v>-188457.84648641958</v>
      </c>
      <c r="J64" s="79">
        <f t="shared" si="19"/>
        <v>-194615.49455753586</v>
      </c>
      <c r="K64" s="79">
        <f t="shared" si="19"/>
        <v>-200773.14262865213</v>
      </c>
      <c r="L64" s="79">
        <f t="shared" si="19"/>
        <v>-206930.79069976843</v>
      </c>
      <c r="M64" s="79">
        <f t="shared" si="19"/>
        <v>-213088.43877088471</v>
      </c>
      <c r="N64" s="79">
        <f t="shared" si="19"/>
        <v>-219246.08684200101</v>
      </c>
      <c r="O64" s="79">
        <f t="shared" si="19"/>
        <v>-225403.73491311728</v>
      </c>
      <c r="P64" s="79">
        <f t="shared" si="19"/>
        <v>-231561.38298423358</v>
      </c>
      <c r="Q64" s="79">
        <f t="shared" si="19"/>
        <v>-237719.03105534983</v>
      </c>
      <c r="R64" s="79">
        <f t="shared" si="19"/>
        <v>-243876.67912646604</v>
      </c>
      <c r="S64" s="79">
        <f t="shared" si="19"/>
        <v>-250034.32719758234</v>
      </c>
      <c r="T64" s="92"/>
      <c r="U64" s="82"/>
    </row>
    <row r="65" spans="1:21" x14ac:dyDescent="0.25">
      <c r="A65" s="82"/>
      <c r="B65" s="88"/>
      <c r="C65" s="89"/>
      <c r="D65" s="90"/>
      <c r="E65" s="89" t="s">
        <v>396</v>
      </c>
      <c r="F65" s="89"/>
      <c r="G65" s="91">
        <f>G64</f>
        <v>-176142.55034418707</v>
      </c>
      <c r="H65" s="91">
        <f t="shared" ref="H65:S65" si="20">H64</f>
        <v>-182300.19841530331</v>
      </c>
      <c r="I65" s="91">
        <f t="shared" si="20"/>
        <v>-188457.84648641958</v>
      </c>
      <c r="J65" s="91">
        <f t="shared" si="20"/>
        <v>-194615.49455753586</v>
      </c>
      <c r="K65" s="91">
        <f t="shared" si="20"/>
        <v>-200773.14262865213</v>
      </c>
      <c r="L65" s="91">
        <f t="shared" si="20"/>
        <v>-206930.79069976843</v>
      </c>
      <c r="M65" s="91">
        <f t="shared" si="20"/>
        <v>-213088.43877088471</v>
      </c>
      <c r="N65" s="91">
        <f t="shared" si="20"/>
        <v>-219246.08684200101</v>
      </c>
      <c r="O65" s="91">
        <f t="shared" si="20"/>
        <v>-225403.73491311728</v>
      </c>
      <c r="P65" s="91">
        <f t="shared" si="20"/>
        <v>-231561.38298423358</v>
      </c>
      <c r="Q65" s="91">
        <f t="shared" si="20"/>
        <v>-237719.03105534983</v>
      </c>
      <c r="R65" s="91">
        <f t="shared" si="20"/>
        <v>-243876.67912646604</v>
      </c>
      <c r="S65" s="91">
        <f t="shared" si="20"/>
        <v>-250034.32719758234</v>
      </c>
      <c r="T65" s="92">
        <f>SUM(G65:S65)/13</f>
        <v>-213088.43877088471</v>
      </c>
      <c r="U65" s="82"/>
    </row>
    <row r="66" spans="1:21" ht="15.75" thickBot="1" x14ac:dyDescent="0.3">
      <c r="A66" s="82"/>
      <c r="B66" s="94"/>
      <c r="C66" s="95"/>
      <c r="D66" s="96"/>
      <c r="E66" s="95"/>
      <c r="F66" s="95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2"/>
      <c r="U66" s="82"/>
    </row>
    <row r="67" spans="1:21" x14ac:dyDescent="0.25">
      <c r="A67" s="82"/>
      <c r="B67" s="83" t="s">
        <v>414</v>
      </c>
      <c r="C67" s="84" t="s">
        <v>411</v>
      </c>
      <c r="D67" s="85">
        <f>'Allocation Factors 23'!C11</f>
        <v>8.9244411496124013E-2</v>
      </c>
      <c r="E67" s="84"/>
      <c r="F67" s="84"/>
      <c r="G67" s="86">
        <f t="shared" ref="G67:S67" si="21">(G$26)*$D67</f>
        <v>1038740.892853644</v>
      </c>
      <c r="H67" s="86">
        <f t="shared" si="21"/>
        <v>1038740.892853644</v>
      </c>
      <c r="I67" s="86">
        <f t="shared" si="21"/>
        <v>1038740.892853644</v>
      </c>
      <c r="J67" s="86">
        <f t="shared" si="21"/>
        <v>1038740.892853644</v>
      </c>
      <c r="K67" s="86">
        <f t="shared" si="21"/>
        <v>1038740.892853644</v>
      </c>
      <c r="L67" s="86">
        <f t="shared" si="21"/>
        <v>1038740.892853644</v>
      </c>
      <c r="M67" s="86">
        <f t="shared" si="21"/>
        <v>1038740.892853644</v>
      </c>
      <c r="N67" s="86">
        <f t="shared" si="21"/>
        <v>1038740.892853644</v>
      </c>
      <c r="O67" s="86">
        <f t="shared" si="21"/>
        <v>1038740.892853644</v>
      </c>
      <c r="P67" s="86">
        <f t="shared" si="21"/>
        <v>1038740.892853644</v>
      </c>
      <c r="Q67" s="86">
        <f t="shared" si="21"/>
        <v>1038740.892853644</v>
      </c>
      <c r="R67" s="86">
        <f t="shared" si="21"/>
        <v>1038740.892853644</v>
      </c>
      <c r="S67" s="86">
        <f t="shared" si="21"/>
        <v>1038740.892853644</v>
      </c>
      <c r="T67" s="87"/>
      <c r="U67" s="82"/>
    </row>
    <row r="68" spans="1:21" x14ac:dyDescent="0.25">
      <c r="A68" s="82"/>
      <c r="B68" s="88"/>
      <c r="C68" s="89"/>
      <c r="D68" s="90"/>
      <c r="E68" s="89" t="s">
        <v>381</v>
      </c>
      <c r="F68" s="89"/>
      <c r="G68" s="91">
        <f>G67</f>
        <v>1038740.892853644</v>
      </c>
      <c r="H68" s="91">
        <f t="shared" ref="H68:S68" si="22">H67</f>
        <v>1038740.892853644</v>
      </c>
      <c r="I68" s="91">
        <f t="shared" si="22"/>
        <v>1038740.892853644</v>
      </c>
      <c r="J68" s="91">
        <f t="shared" si="22"/>
        <v>1038740.892853644</v>
      </c>
      <c r="K68" s="91">
        <f t="shared" si="22"/>
        <v>1038740.892853644</v>
      </c>
      <c r="L68" s="91">
        <f t="shared" si="22"/>
        <v>1038740.892853644</v>
      </c>
      <c r="M68" s="91">
        <f t="shared" si="22"/>
        <v>1038740.892853644</v>
      </c>
      <c r="N68" s="91">
        <f t="shared" si="22"/>
        <v>1038740.892853644</v>
      </c>
      <c r="O68" s="91">
        <f t="shared" si="22"/>
        <v>1038740.892853644</v>
      </c>
      <c r="P68" s="91">
        <f t="shared" si="22"/>
        <v>1038740.892853644</v>
      </c>
      <c r="Q68" s="91">
        <f t="shared" si="22"/>
        <v>1038740.892853644</v>
      </c>
      <c r="R68" s="91">
        <f t="shared" si="22"/>
        <v>1038740.892853644</v>
      </c>
      <c r="S68" s="91">
        <f t="shared" si="22"/>
        <v>1038740.892853644</v>
      </c>
      <c r="T68" s="92">
        <f>SUM(G68:S68)/13</f>
        <v>1038740.8928536439</v>
      </c>
      <c r="U68" s="82"/>
    </row>
    <row r="69" spans="1:21" x14ac:dyDescent="0.25">
      <c r="A69" s="82"/>
      <c r="B69" s="88"/>
      <c r="C69" s="89"/>
      <c r="D69" s="90"/>
      <c r="E69" s="89"/>
      <c r="F69" s="89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2"/>
      <c r="U69" s="82"/>
    </row>
    <row r="70" spans="1:21" x14ac:dyDescent="0.25">
      <c r="A70" s="82"/>
      <c r="B70" s="88"/>
      <c r="C70" s="89" t="s">
        <v>412</v>
      </c>
      <c r="D70" s="90">
        <f>D67</f>
        <v>8.9244411496124013E-2</v>
      </c>
      <c r="E70" s="89"/>
      <c r="F70" s="89"/>
      <c r="G70" s="79">
        <f t="shared" ref="G70:S70" si="23">G$8*$D70</f>
        <v>0</v>
      </c>
      <c r="H70" s="79">
        <f t="shared" si="23"/>
        <v>0</v>
      </c>
      <c r="I70" s="79">
        <f t="shared" si="23"/>
        <v>0</v>
      </c>
      <c r="J70" s="79">
        <f t="shared" si="23"/>
        <v>0</v>
      </c>
      <c r="K70" s="79">
        <f t="shared" si="23"/>
        <v>305.03739849375188</v>
      </c>
      <c r="L70" s="79">
        <f t="shared" si="23"/>
        <v>305.03739849375188</v>
      </c>
      <c r="M70" s="79">
        <f t="shared" si="23"/>
        <v>0</v>
      </c>
      <c r="N70" s="79">
        <f t="shared" si="23"/>
        <v>0</v>
      </c>
      <c r="O70" s="79">
        <f t="shared" si="23"/>
        <v>0</v>
      </c>
      <c r="P70" s="79">
        <f t="shared" si="23"/>
        <v>121.72937728071315</v>
      </c>
      <c r="Q70" s="79">
        <f t="shared" si="23"/>
        <v>0</v>
      </c>
      <c r="R70" s="79">
        <f t="shared" si="23"/>
        <v>0</v>
      </c>
      <c r="S70" s="79">
        <f t="shared" si="23"/>
        <v>0</v>
      </c>
      <c r="T70" s="92"/>
      <c r="U70" s="82"/>
    </row>
    <row r="71" spans="1:21" x14ac:dyDescent="0.25">
      <c r="A71" s="82"/>
      <c r="B71" s="88"/>
      <c r="C71" s="89"/>
      <c r="D71" s="90"/>
      <c r="E71" s="89" t="s">
        <v>69</v>
      </c>
      <c r="F71" s="89"/>
      <c r="G71" s="91">
        <f>G70</f>
        <v>0</v>
      </c>
      <c r="H71" s="91">
        <f t="shared" ref="H71:S71" si="24">H70</f>
        <v>0</v>
      </c>
      <c r="I71" s="91">
        <f t="shared" si="24"/>
        <v>0</v>
      </c>
      <c r="J71" s="91">
        <f t="shared" si="24"/>
        <v>0</v>
      </c>
      <c r="K71" s="91">
        <f t="shared" si="24"/>
        <v>305.03739849375188</v>
      </c>
      <c r="L71" s="91">
        <f t="shared" si="24"/>
        <v>305.03739849375188</v>
      </c>
      <c r="M71" s="91">
        <f t="shared" si="24"/>
        <v>0</v>
      </c>
      <c r="N71" s="91">
        <f t="shared" si="24"/>
        <v>0</v>
      </c>
      <c r="O71" s="91">
        <f t="shared" si="24"/>
        <v>0</v>
      </c>
      <c r="P71" s="91">
        <f t="shared" si="24"/>
        <v>121.72937728071315</v>
      </c>
      <c r="Q71" s="91">
        <f t="shared" si="24"/>
        <v>0</v>
      </c>
      <c r="R71" s="91">
        <f t="shared" si="24"/>
        <v>0</v>
      </c>
      <c r="S71" s="91">
        <f t="shared" si="24"/>
        <v>0</v>
      </c>
      <c r="T71" s="92">
        <f>SUM(G71:S71)/13</f>
        <v>56.292628789862839</v>
      </c>
      <c r="U71" s="82"/>
    </row>
    <row r="72" spans="1:21" x14ac:dyDescent="0.25">
      <c r="A72" s="82"/>
      <c r="B72" s="88"/>
      <c r="C72" s="89"/>
      <c r="D72" s="90"/>
      <c r="E72" s="89"/>
      <c r="F72" s="89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2"/>
      <c r="U72" s="82"/>
    </row>
    <row r="73" spans="1:21" x14ac:dyDescent="0.25">
      <c r="A73" s="82"/>
      <c r="B73" s="88"/>
      <c r="C73" s="93" t="s">
        <v>415</v>
      </c>
      <c r="D73" s="90">
        <f>+D67</f>
        <v>8.9244411496124013E-2</v>
      </c>
      <c r="E73" s="89"/>
      <c r="F73" s="89"/>
      <c r="G73" s="79">
        <f>G$48*$D73</f>
        <v>-79079.806771956326</v>
      </c>
      <c r="H73" s="79">
        <f>H$48*$D73</f>
        <v>-81844.304155933554</v>
      </c>
      <c r="I73" s="79">
        <f t="shared" ref="I73:S73" si="25">I$48*$D73</f>
        <v>-84608.801539910797</v>
      </c>
      <c r="J73" s="79">
        <f t="shared" si="25"/>
        <v>-87373.29892388804</v>
      </c>
      <c r="K73" s="79">
        <f t="shared" si="25"/>
        <v>-90137.796307865283</v>
      </c>
      <c r="L73" s="79">
        <f t="shared" si="25"/>
        <v>-92902.293691842526</v>
      </c>
      <c r="M73" s="79">
        <f t="shared" si="25"/>
        <v>-95666.791075819783</v>
      </c>
      <c r="N73" s="79">
        <f t="shared" si="25"/>
        <v>-98431.288459797026</v>
      </c>
      <c r="O73" s="79">
        <f t="shared" si="25"/>
        <v>-101195.78584377427</v>
      </c>
      <c r="P73" s="79">
        <f t="shared" si="25"/>
        <v>-103960.28322775151</v>
      </c>
      <c r="Q73" s="79">
        <f t="shared" si="25"/>
        <v>-106724.78061172874</v>
      </c>
      <c r="R73" s="79">
        <f t="shared" si="25"/>
        <v>-109489.27799570597</v>
      </c>
      <c r="S73" s="79">
        <f t="shared" si="25"/>
        <v>-112253.77537968321</v>
      </c>
      <c r="T73" s="92"/>
      <c r="U73" s="82"/>
    </row>
    <row r="74" spans="1:21" x14ac:dyDescent="0.25">
      <c r="A74" s="82"/>
      <c r="B74" s="88"/>
      <c r="C74" s="89"/>
      <c r="D74" s="90"/>
      <c r="E74" s="89" t="s">
        <v>396</v>
      </c>
      <c r="F74" s="89"/>
      <c r="G74" s="91">
        <f>+G73</f>
        <v>-79079.806771956326</v>
      </c>
      <c r="H74" s="91">
        <f t="shared" ref="H74:S74" si="26">+H73</f>
        <v>-81844.304155933554</v>
      </c>
      <c r="I74" s="91">
        <f t="shared" si="26"/>
        <v>-84608.801539910797</v>
      </c>
      <c r="J74" s="91">
        <f t="shared" si="26"/>
        <v>-87373.29892388804</v>
      </c>
      <c r="K74" s="91">
        <f t="shared" si="26"/>
        <v>-90137.796307865283</v>
      </c>
      <c r="L74" s="91">
        <f t="shared" si="26"/>
        <v>-92902.293691842526</v>
      </c>
      <c r="M74" s="91">
        <f t="shared" si="26"/>
        <v>-95666.791075819783</v>
      </c>
      <c r="N74" s="91">
        <f t="shared" si="26"/>
        <v>-98431.288459797026</v>
      </c>
      <c r="O74" s="91">
        <f t="shared" si="26"/>
        <v>-101195.78584377427</v>
      </c>
      <c r="P74" s="91">
        <f t="shared" si="26"/>
        <v>-103960.28322775151</v>
      </c>
      <c r="Q74" s="91">
        <f t="shared" si="26"/>
        <v>-106724.78061172874</v>
      </c>
      <c r="R74" s="91">
        <f t="shared" si="26"/>
        <v>-109489.27799570597</v>
      </c>
      <c r="S74" s="91">
        <f t="shared" si="26"/>
        <v>-112253.77537968321</v>
      </c>
      <c r="T74" s="92">
        <f>SUM(G74:S74)/13</f>
        <v>-95666.791075819783</v>
      </c>
      <c r="U74" s="82"/>
    </row>
    <row r="75" spans="1:21" ht="15.75" thickBot="1" x14ac:dyDescent="0.3">
      <c r="A75" s="82"/>
      <c r="B75" s="94"/>
      <c r="C75" s="95"/>
      <c r="D75" s="96"/>
      <c r="E75" s="95"/>
      <c r="F75" s="95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2"/>
      <c r="U75" s="82"/>
    </row>
    <row r="76" spans="1:21" x14ac:dyDescent="0.25">
      <c r="A76" s="82"/>
      <c r="B76" s="83" t="s">
        <v>416</v>
      </c>
      <c r="C76" s="84" t="s">
        <v>411</v>
      </c>
      <c r="D76" s="85">
        <f>'Allocation Factors 23'!B11</f>
        <v>8.535118756709327E-2</v>
      </c>
      <c r="E76" s="84"/>
      <c r="F76" s="84"/>
      <c r="G76" s="86">
        <f t="shared" ref="G76:S76" si="27">(G$26)*$D76</f>
        <v>993426.56075906567</v>
      </c>
      <c r="H76" s="86">
        <f t="shared" si="27"/>
        <v>993426.56075906567</v>
      </c>
      <c r="I76" s="86">
        <f t="shared" si="27"/>
        <v>993426.56075906567</v>
      </c>
      <c r="J76" s="86">
        <f t="shared" si="27"/>
        <v>993426.56075906567</v>
      </c>
      <c r="K76" s="86">
        <f t="shared" si="27"/>
        <v>993426.56075906567</v>
      </c>
      <c r="L76" s="86">
        <f t="shared" si="27"/>
        <v>993426.56075906567</v>
      </c>
      <c r="M76" s="86">
        <f t="shared" si="27"/>
        <v>993426.56075906567</v>
      </c>
      <c r="N76" s="86">
        <f t="shared" si="27"/>
        <v>993426.56075906567</v>
      </c>
      <c r="O76" s="86">
        <f t="shared" si="27"/>
        <v>993426.56075906567</v>
      </c>
      <c r="P76" s="86">
        <f t="shared" si="27"/>
        <v>993426.56075906567</v>
      </c>
      <c r="Q76" s="86">
        <f t="shared" si="27"/>
        <v>993426.56075906567</v>
      </c>
      <c r="R76" s="86">
        <f t="shared" si="27"/>
        <v>993426.56075906567</v>
      </c>
      <c r="S76" s="86">
        <f t="shared" si="27"/>
        <v>993426.56075906567</v>
      </c>
      <c r="T76" s="87"/>
      <c r="U76" s="82"/>
    </row>
    <row r="77" spans="1:21" x14ac:dyDescent="0.25">
      <c r="A77" s="82"/>
      <c r="B77" s="88"/>
      <c r="C77" s="89"/>
      <c r="D77" s="90"/>
      <c r="E77" s="89" t="s">
        <v>381</v>
      </c>
      <c r="F77" s="89"/>
      <c r="G77" s="91">
        <f>G76</f>
        <v>993426.56075906567</v>
      </c>
      <c r="H77" s="91">
        <f t="shared" ref="H77:S77" si="28">H76</f>
        <v>993426.56075906567</v>
      </c>
      <c r="I77" s="91">
        <f t="shared" si="28"/>
        <v>993426.56075906567</v>
      </c>
      <c r="J77" s="91">
        <f t="shared" si="28"/>
        <v>993426.56075906567</v>
      </c>
      <c r="K77" s="91">
        <f t="shared" si="28"/>
        <v>993426.56075906567</v>
      </c>
      <c r="L77" s="91">
        <f t="shared" si="28"/>
        <v>993426.56075906567</v>
      </c>
      <c r="M77" s="91">
        <f t="shared" si="28"/>
        <v>993426.56075906567</v>
      </c>
      <c r="N77" s="91">
        <f t="shared" si="28"/>
        <v>993426.56075906567</v>
      </c>
      <c r="O77" s="91">
        <f t="shared" si="28"/>
        <v>993426.56075906567</v>
      </c>
      <c r="P77" s="91">
        <f t="shared" si="28"/>
        <v>993426.56075906567</v>
      </c>
      <c r="Q77" s="91">
        <f t="shared" si="28"/>
        <v>993426.56075906567</v>
      </c>
      <c r="R77" s="91">
        <f t="shared" si="28"/>
        <v>993426.56075906567</v>
      </c>
      <c r="S77" s="91">
        <f t="shared" si="28"/>
        <v>993426.56075906567</v>
      </c>
      <c r="T77" s="92">
        <f>SUM(G77:S77)/13</f>
        <v>993426.56075906567</v>
      </c>
      <c r="U77" s="82"/>
    </row>
    <row r="78" spans="1:21" x14ac:dyDescent="0.25">
      <c r="A78" s="82"/>
      <c r="B78" s="88"/>
      <c r="C78" s="89"/>
      <c r="D78" s="90"/>
      <c r="E78" s="89"/>
      <c r="F78" s="89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2"/>
      <c r="U78" s="82"/>
    </row>
    <row r="79" spans="1:21" x14ac:dyDescent="0.25">
      <c r="A79" s="82"/>
      <c r="B79" s="88"/>
      <c r="C79" s="89" t="s">
        <v>412</v>
      </c>
      <c r="D79" s="90">
        <f>D76</f>
        <v>8.535118756709327E-2</v>
      </c>
      <c r="E79" s="89"/>
      <c r="F79" s="89"/>
      <c r="G79" s="79">
        <f>G$8*$D79</f>
        <v>0</v>
      </c>
      <c r="H79" s="79">
        <f t="shared" ref="H79:S79" si="29">H$8*$D79</f>
        <v>0</v>
      </c>
      <c r="I79" s="79">
        <f t="shared" si="29"/>
        <v>0</v>
      </c>
      <c r="J79" s="79">
        <f t="shared" si="29"/>
        <v>0</v>
      </c>
      <c r="K79" s="79">
        <f t="shared" si="29"/>
        <v>291.7303591043248</v>
      </c>
      <c r="L79" s="79">
        <f t="shared" si="29"/>
        <v>291.7303591043248</v>
      </c>
      <c r="M79" s="79">
        <f t="shared" si="29"/>
        <v>0</v>
      </c>
      <c r="N79" s="79">
        <f t="shared" si="29"/>
        <v>0</v>
      </c>
      <c r="O79" s="79">
        <f t="shared" si="29"/>
        <v>0</v>
      </c>
      <c r="P79" s="79">
        <f t="shared" si="29"/>
        <v>116.41901984151522</v>
      </c>
      <c r="Q79" s="79">
        <f t="shared" si="29"/>
        <v>0</v>
      </c>
      <c r="R79" s="79">
        <f t="shared" si="29"/>
        <v>0</v>
      </c>
      <c r="S79" s="79">
        <f t="shared" si="29"/>
        <v>0</v>
      </c>
      <c r="T79" s="92"/>
      <c r="U79" s="82"/>
    </row>
    <row r="80" spans="1:21" x14ac:dyDescent="0.25">
      <c r="A80" s="82"/>
      <c r="B80" s="88"/>
      <c r="C80" s="89"/>
      <c r="D80" s="90"/>
      <c r="E80" s="89" t="s">
        <v>69</v>
      </c>
      <c r="F80" s="89"/>
      <c r="G80" s="91">
        <f>G79</f>
        <v>0</v>
      </c>
      <c r="H80" s="91">
        <f t="shared" ref="H80:S80" si="30">H79</f>
        <v>0</v>
      </c>
      <c r="I80" s="91">
        <f t="shared" si="30"/>
        <v>0</v>
      </c>
      <c r="J80" s="91">
        <f t="shared" si="30"/>
        <v>0</v>
      </c>
      <c r="K80" s="91">
        <f t="shared" si="30"/>
        <v>291.7303591043248</v>
      </c>
      <c r="L80" s="91">
        <f t="shared" si="30"/>
        <v>291.7303591043248</v>
      </c>
      <c r="M80" s="91">
        <f t="shared" si="30"/>
        <v>0</v>
      </c>
      <c r="N80" s="91">
        <f t="shared" si="30"/>
        <v>0</v>
      </c>
      <c r="O80" s="91">
        <f t="shared" si="30"/>
        <v>0</v>
      </c>
      <c r="P80" s="91">
        <f t="shared" si="30"/>
        <v>116.41901984151522</v>
      </c>
      <c r="Q80" s="91">
        <f t="shared" si="30"/>
        <v>0</v>
      </c>
      <c r="R80" s="91">
        <f t="shared" si="30"/>
        <v>0</v>
      </c>
      <c r="S80" s="91">
        <f t="shared" si="30"/>
        <v>0</v>
      </c>
      <c r="T80" s="92">
        <f>SUM(G80:S80)/13</f>
        <v>53.836902926935757</v>
      </c>
      <c r="U80" s="82"/>
    </row>
    <row r="81" spans="1:21" x14ac:dyDescent="0.25">
      <c r="A81" s="82"/>
      <c r="B81" s="88"/>
      <c r="C81" s="93"/>
      <c r="D81" s="90"/>
      <c r="E81" s="89"/>
      <c r="F81" s="89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2"/>
      <c r="U81" s="82"/>
    </row>
    <row r="82" spans="1:21" x14ac:dyDescent="0.25">
      <c r="A82" s="82"/>
      <c r="B82" s="88"/>
      <c r="C82" s="89" t="s">
        <v>413</v>
      </c>
      <c r="D82" s="90">
        <f>D76</f>
        <v>8.535118756709327E-2</v>
      </c>
      <c r="E82" s="89"/>
      <c r="F82" s="89"/>
      <c r="G82" s="79">
        <f>(G$48)*$D82</f>
        <v>-75630.006489043604</v>
      </c>
      <c r="H82" s="79">
        <f t="shared" ref="H82:S82" si="31">(H$48)*$D82</f>
        <v>-78273.904642361886</v>
      </c>
      <c r="I82" s="79">
        <f t="shared" si="31"/>
        <v>-80917.802795680182</v>
      </c>
      <c r="J82" s="79">
        <f t="shared" si="31"/>
        <v>-83561.700948998478</v>
      </c>
      <c r="K82" s="79">
        <f t="shared" si="31"/>
        <v>-86205.599102316773</v>
      </c>
      <c r="L82" s="79">
        <f t="shared" si="31"/>
        <v>-88849.497255635069</v>
      </c>
      <c r="M82" s="79">
        <f t="shared" si="31"/>
        <v>-91493.39540895338</v>
      </c>
      <c r="N82" s="79">
        <f t="shared" si="31"/>
        <v>-94137.293562271676</v>
      </c>
      <c r="O82" s="79">
        <f t="shared" si="31"/>
        <v>-96781.191715589972</v>
      </c>
      <c r="P82" s="79">
        <f t="shared" si="31"/>
        <v>-99425.089868908268</v>
      </c>
      <c r="Q82" s="79">
        <f t="shared" si="31"/>
        <v>-102068.98802222655</v>
      </c>
      <c r="R82" s="79">
        <f t="shared" si="31"/>
        <v>-104712.88617554483</v>
      </c>
      <c r="S82" s="79">
        <f t="shared" si="31"/>
        <v>-107356.78432886313</v>
      </c>
      <c r="T82" s="92"/>
      <c r="U82" s="82"/>
    </row>
    <row r="83" spans="1:21" x14ac:dyDescent="0.25">
      <c r="A83" s="82"/>
      <c r="B83" s="88"/>
      <c r="C83" s="89"/>
      <c r="D83" s="90"/>
      <c r="E83" s="89" t="s">
        <v>396</v>
      </c>
      <c r="F83" s="89"/>
      <c r="G83" s="91">
        <f>G82</f>
        <v>-75630.006489043604</v>
      </c>
      <c r="H83" s="91">
        <f t="shared" ref="H83:S83" si="32">H82</f>
        <v>-78273.904642361886</v>
      </c>
      <c r="I83" s="91">
        <f t="shared" si="32"/>
        <v>-80917.802795680182</v>
      </c>
      <c r="J83" s="91">
        <f t="shared" si="32"/>
        <v>-83561.700948998478</v>
      </c>
      <c r="K83" s="91">
        <f t="shared" si="32"/>
        <v>-86205.599102316773</v>
      </c>
      <c r="L83" s="91">
        <f t="shared" si="32"/>
        <v>-88849.497255635069</v>
      </c>
      <c r="M83" s="91">
        <f t="shared" si="32"/>
        <v>-91493.39540895338</v>
      </c>
      <c r="N83" s="91">
        <f t="shared" si="32"/>
        <v>-94137.293562271676</v>
      </c>
      <c r="O83" s="91">
        <f t="shared" si="32"/>
        <v>-96781.191715589972</v>
      </c>
      <c r="P83" s="91">
        <f t="shared" si="32"/>
        <v>-99425.089868908268</v>
      </c>
      <c r="Q83" s="91">
        <f t="shared" si="32"/>
        <v>-102068.98802222655</v>
      </c>
      <c r="R83" s="91">
        <f t="shared" si="32"/>
        <v>-104712.88617554483</v>
      </c>
      <c r="S83" s="91">
        <f t="shared" si="32"/>
        <v>-107356.78432886313</v>
      </c>
      <c r="T83" s="92">
        <f>SUM(G83:S83)/13</f>
        <v>-91493.39540895338</v>
      </c>
      <c r="U83" s="82"/>
    </row>
    <row r="84" spans="1:21" ht="15.75" thickBot="1" x14ac:dyDescent="0.3">
      <c r="A84" s="82"/>
      <c r="B84" s="94"/>
      <c r="C84" s="95"/>
      <c r="D84" s="96"/>
      <c r="E84" s="95"/>
      <c r="F84" s="95"/>
      <c r="G84" s="97"/>
      <c r="H84" s="97"/>
      <c r="I84" s="97"/>
      <c r="J84" s="97"/>
      <c r="K84" s="97"/>
      <c r="L84" s="97"/>
      <c r="M84" s="97"/>
      <c r="N84" s="97"/>
      <c r="O84" s="97"/>
      <c r="P84" s="97"/>
      <c r="Q84" s="97"/>
      <c r="R84" s="97"/>
      <c r="S84" s="97"/>
      <c r="T84" s="92"/>
      <c r="U84" s="82"/>
    </row>
    <row r="85" spans="1:21" x14ac:dyDescent="0.25">
      <c r="A85" s="82"/>
      <c r="B85" s="83" t="s">
        <v>417</v>
      </c>
      <c r="C85" s="84" t="s">
        <v>411</v>
      </c>
      <c r="D85" s="85">
        <f>'Allocation Factors 23'!D11</f>
        <v>1.8279787732201304E-3</v>
      </c>
      <c r="E85" s="84"/>
      <c r="F85" s="84"/>
      <c r="G85" s="86">
        <f>(G$26)*$D85</f>
        <v>21276.360851958263</v>
      </c>
      <c r="H85" s="86">
        <f t="shared" ref="H85:S85" si="33">(H$26)*$D85</f>
        <v>21276.360851958263</v>
      </c>
      <c r="I85" s="86">
        <f t="shared" si="33"/>
        <v>21276.360851958263</v>
      </c>
      <c r="J85" s="86">
        <f t="shared" si="33"/>
        <v>21276.360851958263</v>
      </c>
      <c r="K85" s="86">
        <f t="shared" si="33"/>
        <v>21276.360851958263</v>
      </c>
      <c r="L85" s="86">
        <f t="shared" si="33"/>
        <v>21276.360851958263</v>
      </c>
      <c r="M85" s="86">
        <f t="shared" si="33"/>
        <v>21276.360851958263</v>
      </c>
      <c r="N85" s="86">
        <f t="shared" si="33"/>
        <v>21276.360851958263</v>
      </c>
      <c r="O85" s="86">
        <f t="shared" si="33"/>
        <v>21276.360851958263</v>
      </c>
      <c r="P85" s="86">
        <f t="shared" si="33"/>
        <v>21276.360851958263</v>
      </c>
      <c r="Q85" s="86">
        <f t="shared" si="33"/>
        <v>21276.360851958263</v>
      </c>
      <c r="R85" s="86">
        <f t="shared" si="33"/>
        <v>21276.360851958263</v>
      </c>
      <c r="S85" s="86">
        <f t="shared" si="33"/>
        <v>21276.360851958263</v>
      </c>
      <c r="T85" s="87"/>
      <c r="U85" s="82"/>
    </row>
    <row r="86" spans="1:21" x14ac:dyDescent="0.25">
      <c r="A86" s="82"/>
      <c r="B86" s="88"/>
      <c r="C86" s="98" t="s">
        <v>418</v>
      </c>
      <c r="D86" s="90"/>
      <c r="E86" s="89" t="s">
        <v>381</v>
      </c>
      <c r="F86" s="89"/>
      <c r="G86" s="91">
        <f>G85</f>
        <v>21276.360851958263</v>
      </c>
      <c r="H86" s="91">
        <f t="shared" ref="H86:S86" si="34">H85</f>
        <v>21276.360851958263</v>
      </c>
      <c r="I86" s="91">
        <f t="shared" si="34"/>
        <v>21276.360851958263</v>
      </c>
      <c r="J86" s="91">
        <f t="shared" si="34"/>
        <v>21276.360851958263</v>
      </c>
      <c r="K86" s="91">
        <f t="shared" si="34"/>
        <v>21276.360851958263</v>
      </c>
      <c r="L86" s="91">
        <f t="shared" si="34"/>
        <v>21276.360851958263</v>
      </c>
      <c r="M86" s="91">
        <f t="shared" si="34"/>
        <v>21276.360851958263</v>
      </c>
      <c r="N86" s="91">
        <f t="shared" si="34"/>
        <v>21276.360851958263</v>
      </c>
      <c r="O86" s="91">
        <f t="shared" si="34"/>
        <v>21276.360851958263</v>
      </c>
      <c r="P86" s="91">
        <f t="shared" si="34"/>
        <v>21276.360851958263</v>
      </c>
      <c r="Q86" s="91">
        <f t="shared" si="34"/>
        <v>21276.360851958263</v>
      </c>
      <c r="R86" s="91">
        <f t="shared" si="34"/>
        <v>21276.360851958263</v>
      </c>
      <c r="S86" s="91">
        <f t="shared" si="34"/>
        <v>21276.360851958263</v>
      </c>
      <c r="T86" s="92">
        <f>SUM(G86:S86)/13</f>
        <v>21276.36085195827</v>
      </c>
      <c r="U86" s="82"/>
    </row>
    <row r="87" spans="1:21" x14ac:dyDescent="0.25">
      <c r="A87" s="82"/>
      <c r="B87" s="88"/>
      <c r="C87" s="89"/>
      <c r="D87" s="90"/>
      <c r="E87" s="89"/>
      <c r="F87" s="89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2"/>
      <c r="U87" s="82"/>
    </row>
    <row r="88" spans="1:21" x14ac:dyDescent="0.25">
      <c r="A88" s="82"/>
      <c r="B88" s="88"/>
      <c r="C88" s="89" t="s">
        <v>412</v>
      </c>
      <c r="D88" s="90">
        <f>D85</f>
        <v>1.8279787732201304E-3</v>
      </c>
      <c r="E88" s="89"/>
      <c r="F88" s="89"/>
      <c r="G88" s="79">
        <f>G$8*$D88</f>
        <v>0</v>
      </c>
      <c r="H88" s="79">
        <f t="shared" ref="H88:S88" si="35">H$8*$D88</f>
        <v>0</v>
      </c>
      <c r="I88" s="79">
        <f t="shared" si="35"/>
        <v>0</v>
      </c>
      <c r="J88" s="79">
        <f t="shared" si="35"/>
        <v>0</v>
      </c>
      <c r="K88" s="79">
        <f t="shared" si="35"/>
        <v>6.2480314468664053</v>
      </c>
      <c r="L88" s="79">
        <f t="shared" si="35"/>
        <v>6.2480314468664053</v>
      </c>
      <c r="M88" s="79">
        <f t="shared" si="35"/>
        <v>0</v>
      </c>
      <c r="N88" s="79">
        <f t="shared" si="35"/>
        <v>0</v>
      </c>
      <c r="O88" s="79">
        <f t="shared" si="35"/>
        <v>0</v>
      </c>
      <c r="P88" s="79">
        <f t="shared" si="35"/>
        <v>2.4933630466722576</v>
      </c>
      <c r="Q88" s="79">
        <f t="shared" si="35"/>
        <v>0</v>
      </c>
      <c r="R88" s="79">
        <f t="shared" si="35"/>
        <v>0</v>
      </c>
      <c r="S88" s="79">
        <f t="shared" si="35"/>
        <v>0</v>
      </c>
      <c r="T88" s="92"/>
      <c r="U88" s="82"/>
    </row>
    <row r="89" spans="1:21" x14ac:dyDescent="0.25">
      <c r="A89" s="82"/>
      <c r="B89" s="88"/>
      <c r="C89" s="89"/>
      <c r="D89" s="90"/>
      <c r="E89" s="89" t="s">
        <v>69</v>
      </c>
      <c r="F89" s="89"/>
      <c r="G89" s="91">
        <f>G88</f>
        <v>0</v>
      </c>
      <c r="H89" s="91">
        <f t="shared" ref="H89:S89" si="36">H88</f>
        <v>0</v>
      </c>
      <c r="I89" s="91">
        <f t="shared" si="36"/>
        <v>0</v>
      </c>
      <c r="J89" s="91">
        <f t="shared" si="36"/>
        <v>0</v>
      </c>
      <c r="K89" s="91">
        <f t="shared" si="36"/>
        <v>6.2480314468664053</v>
      </c>
      <c r="L89" s="91">
        <f t="shared" si="36"/>
        <v>6.2480314468664053</v>
      </c>
      <c r="M89" s="91">
        <f t="shared" si="36"/>
        <v>0</v>
      </c>
      <c r="N89" s="91">
        <f t="shared" si="36"/>
        <v>0</v>
      </c>
      <c r="O89" s="91">
        <f t="shared" si="36"/>
        <v>0</v>
      </c>
      <c r="P89" s="91">
        <f t="shared" si="36"/>
        <v>2.4933630466722576</v>
      </c>
      <c r="Q89" s="91">
        <f t="shared" si="36"/>
        <v>0</v>
      </c>
      <c r="R89" s="91">
        <f t="shared" si="36"/>
        <v>0</v>
      </c>
      <c r="S89" s="91">
        <f t="shared" si="36"/>
        <v>0</v>
      </c>
      <c r="T89" s="92">
        <f>SUM(G89:S89)/13</f>
        <v>1.1530327646465437</v>
      </c>
      <c r="U89" s="82"/>
    </row>
    <row r="90" spans="1:21" x14ac:dyDescent="0.25">
      <c r="A90" s="82"/>
      <c r="B90" s="88"/>
      <c r="C90" s="93"/>
      <c r="D90" s="90"/>
      <c r="E90" s="89"/>
      <c r="F90" s="89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2"/>
      <c r="U90" s="82"/>
    </row>
    <row r="91" spans="1:21" x14ac:dyDescent="0.25">
      <c r="A91" s="82"/>
      <c r="B91" s="88"/>
      <c r="C91" s="89" t="s">
        <v>413</v>
      </c>
      <c r="D91" s="90">
        <f>D85</f>
        <v>1.8279787732201304E-3</v>
      </c>
      <c r="E91" s="89"/>
      <c r="F91" s="89"/>
      <c r="G91" s="79">
        <f>(G$48)*$D91</f>
        <v>-1619.7788269998725</v>
      </c>
      <c r="H91" s="79">
        <f t="shared" ref="H91:S91" si="37">(H$48)*$D91</f>
        <v>-1676.4035775227937</v>
      </c>
      <c r="I91" s="79">
        <f t="shared" si="37"/>
        <v>-1733.0283280457154</v>
      </c>
      <c r="J91" s="79">
        <f t="shared" si="37"/>
        <v>-1789.6530785686368</v>
      </c>
      <c r="K91" s="79">
        <f t="shared" si="37"/>
        <v>-1846.2778290915587</v>
      </c>
      <c r="L91" s="79">
        <f t="shared" si="37"/>
        <v>-1902.9025796144804</v>
      </c>
      <c r="M91" s="79">
        <f t="shared" si="37"/>
        <v>-1959.527330137402</v>
      </c>
      <c r="N91" s="79">
        <f t="shared" si="37"/>
        <v>-2016.1520806603237</v>
      </c>
      <c r="O91" s="79">
        <f t="shared" si="37"/>
        <v>-2072.7768311832456</v>
      </c>
      <c r="P91" s="79">
        <f t="shared" si="37"/>
        <v>-2129.4015817061672</v>
      </c>
      <c r="Q91" s="79">
        <f t="shared" si="37"/>
        <v>-2186.0263322290884</v>
      </c>
      <c r="R91" s="79">
        <f t="shared" si="37"/>
        <v>-2242.6510827520096</v>
      </c>
      <c r="S91" s="79">
        <f t="shared" si="37"/>
        <v>-2299.2758332749313</v>
      </c>
      <c r="T91" s="92"/>
      <c r="U91" s="82"/>
    </row>
    <row r="92" spans="1:21" x14ac:dyDescent="0.25">
      <c r="A92" s="82"/>
      <c r="B92" s="88"/>
      <c r="C92" s="89"/>
      <c r="D92" s="90"/>
      <c r="E92" s="89" t="s">
        <v>396</v>
      </c>
      <c r="F92" s="89"/>
      <c r="G92" s="91">
        <f>G91</f>
        <v>-1619.7788269998725</v>
      </c>
      <c r="H92" s="91">
        <f t="shared" ref="H92:S92" si="38">H91</f>
        <v>-1676.4035775227937</v>
      </c>
      <c r="I92" s="91">
        <f t="shared" si="38"/>
        <v>-1733.0283280457154</v>
      </c>
      <c r="J92" s="91">
        <f t="shared" si="38"/>
        <v>-1789.6530785686368</v>
      </c>
      <c r="K92" s="91">
        <f t="shared" si="38"/>
        <v>-1846.2778290915587</v>
      </c>
      <c r="L92" s="91">
        <f t="shared" si="38"/>
        <v>-1902.9025796144804</v>
      </c>
      <c r="M92" s="91">
        <f t="shared" si="38"/>
        <v>-1959.527330137402</v>
      </c>
      <c r="N92" s="91">
        <f t="shared" si="38"/>
        <v>-2016.1520806603237</v>
      </c>
      <c r="O92" s="91">
        <f t="shared" si="38"/>
        <v>-2072.7768311832456</v>
      </c>
      <c r="P92" s="91">
        <f t="shared" si="38"/>
        <v>-2129.4015817061672</v>
      </c>
      <c r="Q92" s="91">
        <f t="shared" si="38"/>
        <v>-2186.0263322290884</v>
      </c>
      <c r="R92" s="91">
        <f t="shared" si="38"/>
        <v>-2242.6510827520096</v>
      </c>
      <c r="S92" s="91">
        <f t="shared" si="38"/>
        <v>-2299.2758332749313</v>
      </c>
      <c r="T92" s="92">
        <f>SUM(G92:S92)/13</f>
        <v>-1959.527330137402</v>
      </c>
      <c r="U92" s="82"/>
    </row>
    <row r="93" spans="1:21" ht="15.75" thickBot="1" x14ac:dyDescent="0.3">
      <c r="A93" s="82"/>
      <c r="B93" s="94"/>
      <c r="C93" s="95"/>
      <c r="D93" s="96"/>
      <c r="E93" s="95"/>
      <c r="F93" s="95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2"/>
      <c r="U93" s="82"/>
    </row>
    <row r="94" spans="1:21" x14ac:dyDescent="0.25">
      <c r="A94" s="82"/>
      <c r="B94" s="83" t="s">
        <v>419</v>
      </c>
      <c r="C94" s="84" t="s">
        <v>411</v>
      </c>
      <c r="D94" s="85">
        <f>'Allocation Factors 23'!F11</f>
        <v>1.0336046913033991E-3</v>
      </c>
      <c r="E94" s="84"/>
      <c r="F94" s="84"/>
      <c r="G94" s="86">
        <f>(G$26)*$D94</f>
        <v>12030.416716332289</v>
      </c>
      <c r="H94" s="86">
        <f t="shared" ref="H94:S94" si="39">(H$26)*$D94</f>
        <v>12030.416716332289</v>
      </c>
      <c r="I94" s="86">
        <f t="shared" si="39"/>
        <v>12030.416716332289</v>
      </c>
      <c r="J94" s="86">
        <f t="shared" si="39"/>
        <v>12030.416716332289</v>
      </c>
      <c r="K94" s="86">
        <f t="shared" si="39"/>
        <v>12030.416716332289</v>
      </c>
      <c r="L94" s="86">
        <f t="shared" si="39"/>
        <v>12030.416716332289</v>
      </c>
      <c r="M94" s="86">
        <f t="shared" si="39"/>
        <v>12030.416716332289</v>
      </c>
      <c r="N94" s="86">
        <f t="shared" si="39"/>
        <v>12030.416716332289</v>
      </c>
      <c r="O94" s="86">
        <f t="shared" si="39"/>
        <v>12030.416716332289</v>
      </c>
      <c r="P94" s="86">
        <f t="shared" si="39"/>
        <v>12030.416716332289</v>
      </c>
      <c r="Q94" s="86">
        <f t="shared" si="39"/>
        <v>12030.416716332289</v>
      </c>
      <c r="R94" s="86">
        <f t="shared" si="39"/>
        <v>12030.416716332289</v>
      </c>
      <c r="S94" s="86">
        <f t="shared" si="39"/>
        <v>12030.416716332289</v>
      </c>
      <c r="T94" s="87"/>
      <c r="U94" s="82"/>
    </row>
    <row r="95" spans="1:21" x14ac:dyDescent="0.25">
      <c r="A95" s="82"/>
      <c r="B95" s="88"/>
      <c r="C95" s="89"/>
      <c r="D95" s="90"/>
      <c r="E95" s="89" t="s">
        <v>381</v>
      </c>
      <c r="F95" s="89"/>
      <c r="G95" s="91">
        <f>G94</f>
        <v>12030.416716332289</v>
      </c>
      <c r="H95" s="91">
        <f t="shared" ref="H95:S95" si="40">H94</f>
        <v>12030.416716332289</v>
      </c>
      <c r="I95" s="91">
        <f t="shared" si="40"/>
        <v>12030.416716332289</v>
      </c>
      <c r="J95" s="91">
        <f t="shared" si="40"/>
        <v>12030.416716332289</v>
      </c>
      <c r="K95" s="91">
        <f t="shared" si="40"/>
        <v>12030.416716332289</v>
      </c>
      <c r="L95" s="91">
        <f t="shared" si="40"/>
        <v>12030.416716332289</v>
      </c>
      <c r="M95" s="91">
        <f t="shared" si="40"/>
        <v>12030.416716332289</v>
      </c>
      <c r="N95" s="91">
        <f t="shared" si="40"/>
        <v>12030.416716332289</v>
      </c>
      <c r="O95" s="91">
        <f t="shared" si="40"/>
        <v>12030.416716332289</v>
      </c>
      <c r="P95" s="91">
        <f t="shared" si="40"/>
        <v>12030.416716332289</v>
      </c>
      <c r="Q95" s="91">
        <f t="shared" si="40"/>
        <v>12030.416716332289</v>
      </c>
      <c r="R95" s="91">
        <f t="shared" si="40"/>
        <v>12030.416716332289</v>
      </c>
      <c r="S95" s="91">
        <f t="shared" si="40"/>
        <v>12030.416716332289</v>
      </c>
      <c r="T95" s="92">
        <f>SUM(G95:S95)/13</f>
        <v>12030.416716332287</v>
      </c>
      <c r="U95" s="82"/>
    </row>
    <row r="96" spans="1:21" x14ac:dyDescent="0.25">
      <c r="A96" s="82"/>
      <c r="B96" s="88"/>
      <c r="C96" s="89"/>
      <c r="D96" s="90"/>
      <c r="E96" s="89"/>
      <c r="F96" s="89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2"/>
      <c r="U96" s="82"/>
    </row>
    <row r="97" spans="1:21" x14ac:dyDescent="0.25">
      <c r="A97" s="82"/>
      <c r="B97" s="88"/>
      <c r="C97" s="89" t="s">
        <v>412</v>
      </c>
      <c r="D97" s="90">
        <f>D94</f>
        <v>1.0336046913033991E-3</v>
      </c>
      <c r="E97" s="89"/>
      <c r="F97" s="89"/>
      <c r="G97" s="79">
        <f>G$8*$D97</f>
        <v>0</v>
      </c>
      <c r="H97" s="79">
        <f t="shared" ref="H97:S97" si="41">H$8*$D97</f>
        <v>0</v>
      </c>
      <c r="I97" s="79">
        <f t="shared" si="41"/>
        <v>0</v>
      </c>
      <c r="J97" s="79">
        <f t="shared" si="41"/>
        <v>0</v>
      </c>
      <c r="K97" s="79">
        <f t="shared" si="41"/>
        <v>3.5328608348750183</v>
      </c>
      <c r="L97" s="79">
        <f t="shared" si="41"/>
        <v>3.5328608348750183</v>
      </c>
      <c r="M97" s="79">
        <f t="shared" si="41"/>
        <v>0</v>
      </c>
      <c r="N97" s="79">
        <f t="shared" si="41"/>
        <v>0</v>
      </c>
      <c r="O97" s="79">
        <f t="shared" si="41"/>
        <v>0</v>
      </c>
      <c r="P97" s="79">
        <f t="shared" si="41"/>
        <v>1.4098367989378364</v>
      </c>
      <c r="Q97" s="79">
        <f t="shared" si="41"/>
        <v>0</v>
      </c>
      <c r="R97" s="79">
        <f t="shared" si="41"/>
        <v>0</v>
      </c>
      <c r="S97" s="79">
        <f t="shared" si="41"/>
        <v>0</v>
      </c>
      <c r="T97" s="92"/>
      <c r="U97" s="82"/>
    </row>
    <row r="98" spans="1:21" x14ac:dyDescent="0.25">
      <c r="A98" s="82"/>
      <c r="B98" s="88"/>
      <c r="C98" s="89"/>
      <c r="D98" s="90"/>
      <c r="E98" s="89" t="s">
        <v>69</v>
      </c>
      <c r="F98" s="89"/>
      <c r="G98" s="91">
        <f>G97</f>
        <v>0</v>
      </c>
      <c r="H98" s="91">
        <f t="shared" ref="H98:S98" si="42">H97</f>
        <v>0</v>
      </c>
      <c r="I98" s="91">
        <f t="shared" si="42"/>
        <v>0</v>
      </c>
      <c r="J98" s="91">
        <f t="shared" si="42"/>
        <v>0</v>
      </c>
      <c r="K98" s="91">
        <f t="shared" si="42"/>
        <v>3.5328608348750183</v>
      </c>
      <c r="L98" s="91">
        <f t="shared" si="42"/>
        <v>3.5328608348750183</v>
      </c>
      <c r="M98" s="91">
        <f t="shared" si="42"/>
        <v>0</v>
      </c>
      <c r="N98" s="91">
        <f t="shared" si="42"/>
        <v>0</v>
      </c>
      <c r="O98" s="91">
        <f t="shared" si="42"/>
        <v>0</v>
      </c>
      <c r="P98" s="91">
        <f t="shared" si="42"/>
        <v>1.4098367989378364</v>
      </c>
      <c r="Q98" s="91">
        <f t="shared" si="42"/>
        <v>0</v>
      </c>
      <c r="R98" s="91">
        <f t="shared" si="42"/>
        <v>0</v>
      </c>
      <c r="S98" s="91">
        <f t="shared" si="42"/>
        <v>0</v>
      </c>
      <c r="T98" s="92">
        <f>SUM(G98:S98)/13</f>
        <v>0.65196603605291337</v>
      </c>
      <c r="U98" s="82"/>
    </row>
    <row r="99" spans="1:21" x14ac:dyDescent="0.25">
      <c r="A99" s="82"/>
      <c r="B99" s="88"/>
      <c r="C99" s="93"/>
      <c r="D99" s="90"/>
      <c r="E99" s="89"/>
      <c r="F99" s="89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2"/>
      <c r="U99" s="82"/>
    </row>
    <row r="100" spans="1:21" x14ac:dyDescent="0.25">
      <c r="A100" s="82"/>
      <c r="B100" s="88"/>
      <c r="C100" s="89" t="s">
        <v>413</v>
      </c>
      <c r="D100" s="90">
        <f>D94</f>
        <v>1.0336046913033991E-3</v>
      </c>
      <c r="E100" s="89"/>
      <c r="F100" s="89"/>
      <c r="G100" s="79">
        <f>(G$48)*$D100</f>
        <v>-915.88098231126003</v>
      </c>
      <c r="H100" s="79">
        <f t="shared" ref="H100:S100" si="43">(H$48)*$D100</f>
        <v>-947.89864501161787</v>
      </c>
      <c r="I100" s="79">
        <f t="shared" si="43"/>
        <v>-979.91630771197595</v>
      </c>
      <c r="J100" s="79">
        <f t="shared" si="43"/>
        <v>-1011.9339704123339</v>
      </c>
      <c r="K100" s="79">
        <f t="shared" si="43"/>
        <v>-1043.951633112692</v>
      </c>
      <c r="L100" s="79">
        <f t="shared" si="43"/>
        <v>-1075.9692958130499</v>
      </c>
      <c r="M100" s="79">
        <f t="shared" si="43"/>
        <v>-1107.9869585134081</v>
      </c>
      <c r="N100" s="79">
        <f t="shared" si="43"/>
        <v>-1140.0046212137661</v>
      </c>
      <c r="O100" s="79">
        <f t="shared" si="43"/>
        <v>-1172.0222839141243</v>
      </c>
      <c r="P100" s="79">
        <f t="shared" si="43"/>
        <v>-1204.0399466144822</v>
      </c>
      <c r="Q100" s="79">
        <f t="shared" si="43"/>
        <v>-1236.0576093148402</v>
      </c>
      <c r="R100" s="79">
        <f t="shared" si="43"/>
        <v>-1268.0752720151979</v>
      </c>
      <c r="S100" s="79">
        <f t="shared" si="43"/>
        <v>-1300.0929347155561</v>
      </c>
      <c r="T100" s="92"/>
      <c r="U100" s="82"/>
    </row>
    <row r="101" spans="1:21" x14ac:dyDescent="0.25">
      <c r="A101" s="82"/>
      <c r="B101" s="88"/>
      <c r="C101" s="89"/>
      <c r="D101" s="90"/>
      <c r="E101" s="89" t="s">
        <v>396</v>
      </c>
      <c r="F101" s="89"/>
      <c r="G101" s="91">
        <f>G100</f>
        <v>-915.88098231126003</v>
      </c>
      <c r="H101" s="91">
        <f t="shared" ref="H101:S101" si="44">H100</f>
        <v>-947.89864501161787</v>
      </c>
      <c r="I101" s="91">
        <f t="shared" si="44"/>
        <v>-979.91630771197595</v>
      </c>
      <c r="J101" s="91">
        <f t="shared" si="44"/>
        <v>-1011.9339704123339</v>
      </c>
      <c r="K101" s="91">
        <f t="shared" si="44"/>
        <v>-1043.951633112692</v>
      </c>
      <c r="L101" s="91">
        <f t="shared" si="44"/>
        <v>-1075.9692958130499</v>
      </c>
      <c r="M101" s="91">
        <f t="shared" si="44"/>
        <v>-1107.9869585134081</v>
      </c>
      <c r="N101" s="91">
        <f t="shared" si="44"/>
        <v>-1140.0046212137661</v>
      </c>
      <c r="O101" s="91">
        <f t="shared" si="44"/>
        <v>-1172.0222839141243</v>
      </c>
      <c r="P101" s="91">
        <f t="shared" si="44"/>
        <v>-1204.0399466144822</v>
      </c>
      <c r="Q101" s="91">
        <f t="shared" si="44"/>
        <v>-1236.0576093148402</v>
      </c>
      <c r="R101" s="91">
        <f t="shared" si="44"/>
        <v>-1268.0752720151979</v>
      </c>
      <c r="S101" s="91">
        <f t="shared" si="44"/>
        <v>-1300.0929347155561</v>
      </c>
      <c r="T101" s="92">
        <f>SUM(G101:S101)/13</f>
        <v>-1107.9869585134081</v>
      </c>
      <c r="U101" s="82"/>
    </row>
    <row r="102" spans="1:21" ht="15.75" thickBot="1" x14ac:dyDescent="0.3">
      <c r="A102" s="82"/>
      <c r="B102" s="94"/>
      <c r="C102" s="95"/>
      <c r="D102" s="96"/>
      <c r="E102" s="95"/>
      <c r="F102" s="95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2"/>
      <c r="U102" s="82"/>
    </row>
    <row r="103" spans="1:21" x14ac:dyDescent="0.25">
      <c r="A103" s="82"/>
      <c r="B103" s="83" t="s">
        <v>420</v>
      </c>
      <c r="C103" s="84" t="s">
        <v>411</v>
      </c>
      <c r="D103" s="85">
        <f>'Allocation Factors 23'!G11</f>
        <v>0.62375960230552752</v>
      </c>
      <c r="E103" s="84"/>
      <c r="F103" s="84"/>
      <c r="G103" s="86">
        <f>(G$26)*$D103</f>
        <v>7260114.0549065936</v>
      </c>
      <c r="H103" s="86">
        <f t="shared" ref="H103:S103" si="45">(H$26)*$D103</f>
        <v>7260114.0549065936</v>
      </c>
      <c r="I103" s="86">
        <f t="shared" si="45"/>
        <v>7260114.0549065936</v>
      </c>
      <c r="J103" s="86">
        <f t="shared" si="45"/>
        <v>7260114.0549065936</v>
      </c>
      <c r="K103" s="86">
        <f t="shared" si="45"/>
        <v>7260114.0549065936</v>
      </c>
      <c r="L103" s="86">
        <f t="shared" si="45"/>
        <v>7260114.0549065936</v>
      </c>
      <c r="M103" s="86">
        <f t="shared" si="45"/>
        <v>7260114.0549065936</v>
      </c>
      <c r="N103" s="86">
        <f t="shared" si="45"/>
        <v>7260114.0549065936</v>
      </c>
      <c r="O103" s="86">
        <f t="shared" si="45"/>
        <v>7260114.0549065936</v>
      </c>
      <c r="P103" s="86">
        <f t="shared" si="45"/>
        <v>7260114.0549065936</v>
      </c>
      <c r="Q103" s="86">
        <f t="shared" si="45"/>
        <v>7260114.0549065936</v>
      </c>
      <c r="R103" s="86">
        <f t="shared" si="45"/>
        <v>7260114.0549065936</v>
      </c>
      <c r="S103" s="86">
        <f t="shared" si="45"/>
        <v>7260114.0549065936</v>
      </c>
      <c r="T103" s="87"/>
      <c r="U103" s="82"/>
    </row>
    <row r="104" spans="1:21" x14ac:dyDescent="0.25">
      <c r="A104" s="82"/>
      <c r="B104" s="88"/>
      <c r="C104" s="89"/>
      <c r="D104" s="90"/>
      <c r="E104" s="89" t="s">
        <v>381</v>
      </c>
      <c r="F104" s="89"/>
      <c r="G104" s="91">
        <f>G103</f>
        <v>7260114.0549065936</v>
      </c>
      <c r="H104" s="91">
        <f t="shared" ref="H104:S104" si="46">H103</f>
        <v>7260114.0549065936</v>
      </c>
      <c r="I104" s="91">
        <f t="shared" si="46"/>
        <v>7260114.0549065936</v>
      </c>
      <c r="J104" s="91">
        <f t="shared" si="46"/>
        <v>7260114.0549065936</v>
      </c>
      <c r="K104" s="91">
        <f t="shared" si="46"/>
        <v>7260114.0549065936</v>
      </c>
      <c r="L104" s="91">
        <f t="shared" si="46"/>
        <v>7260114.0549065936</v>
      </c>
      <c r="M104" s="91">
        <f t="shared" si="46"/>
        <v>7260114.0549065936</v>
      </c>
      <c r="N104" s="91">
        <f t="shared" si="46"/>
        <v>7260114.0549065936</v>
      </c>
      <c r="O104" s="91">
        <f t="shared" si="46"/>
        <v>7260114.0549065936</v>
      </c>
      <c r="P104" s="91">
        <f t="shared" si="46"/>
        <v>7260114.0549065936</v>
      </c>
      <c r="Q104" s="91">
        <f t="shared" si="46"/>
        <v>7260114.0549065936</v>
      </c>
      <c r="R104" s="91">
        <f t="shared" si="46"/>
        <v>7260114.0549065936</v>
      </c>
      <c r="S104" s="91">
        <f t="shared" si="46"/>
        <v>7260114.0549065936</v>
      </c>
      <c r="T104" s="92">
        <f>SUM(G104:S104)/13</f>
        <v>7260114.0549065927</v>
      </c>
      <c r="U104" s="82"/>
    </row>
    <row r="105" spans="1:21" x14ac:dyDescent="0.25">
      <c r="A105" s="82"/>
      <c r="B105" s="88"/>
      <c r="C105" s="89"/>
      <c r="D105" s="90"/>
      <c r="E105" s="89"/>
      <c r="F105" s="89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2"/>
      <c r="U105" s="82"/>
    </row>
    <row r="106" spans="1:21" x14ac:dyDescent="0.25">
      <c r="A106" s="82"/>
      <c r="B106" s="88"/>
      <c r="C106" s="89" t="s">
        <v>412</v>
      </c>
      <c r="D106" s="90">
        <f>D103</f>
        <v>0.62375960230552752</v>
      </c>
      <c r="E106" s="89"/>
      <c r="F106" s="89"/>
      <c r="G106" s="79">
        <f>G$8*$D106</f>
        <v>0</v>
      </c>
      <c r="H106" s="79">
        <f t="shared" ref="H106:S106" si="47">H$8*$D106</f>
        <v>0</v>
      </c>
      <c r="I106" s="79">
        <f t="shared" si="47"/>
        <v>0</v>
      </c>
      <c r="J106" s="79">
        <f t="shared" si="47"/>
        <v>0</v>
      </c>
      <c r="K106" s="79">
        <f t="shared" si="47"/>
        <v>2132.0103206802933</v>
      </c>
      <c r="L106" s="79">
        <f t="shared" si="47"/>
        <v>2132.0103206802933</v>
      </c>
      <c r="M106" s="79">
        <f t="shared" si="47"/>
        <v>0</v>
      </c>
      <c r="N106" s="79">
        <f t="shared" si="47"/>
        <v>0</v>
      </c>
      <c r="O106" s="79">
        <f t="shared" si="47"/>
        <v>0</v>
      </c>
      <c r="P106" s="79">
        <f t="shared" si="47"/>
        <v>850.80809754473955</v>
      </c>
      <c r="Q106" s="79">
        <f t="shared" si="47"/>
        <v>0</v>
      </c>
      <c r="R106" s="79">
        <f t="shared" si="47"/>
        <v>0</v>
      </c>
      <c r="S106" s="79">
        <f t="shared" si="47"/>
        <v>0</v>
      </c>
      <c r="T106" s="92"/>
      <c r="U106" s="82"/>
    </row>
    <row r="107" spans="1:21" x14ac:dyDescent="0.25">
      <c r="A107" s="82"/>
      <c r="B107" s="88"/>
      <c r="C107" s="89"/>
      <c r="D107" s="90"/>
      <c r="E107" s="89" t="s">
        <v>69</v>
      </c>
      <c r="F107" s="89"/>
      <c r="G107" s="91">
        <f>G106</f>
        <v>0</v>
      </c>
      <c r="H107" s="91">
        <f t="shared" ref="H107:S107" si="48">H106</f>
        <v>0</v>
      </c>
      <c r="I107" s="91">
        <f t="shared" si="48"/>
        <v>0</v>
      </c>
      <c r="J107" s="91">
        <f t="shared" si="48"/>
        <v>0</v>
      </c>
      <c r="K107" s="91">
        <f t="shared" si="48"/>
        <v>2132.0103206802933</v>
      </c>
      <c r="L107" s="91">
        <f t="shared" si="48"/>
        <v>2132.0103206802933</v>
      </c>
      <c r="M107" s="91">
        <f t="shared" si="48"/>
        <v>0</v>
      </c>
      <c r="N107" s="91">
        <f t="shared" si="48"/>
        <v>0</v>
      </c>
      <c r="O107" s="91">
        <f t="shared" si="48"/>
        <v>0</v>
      </c>
      <c r="P107" s="91">
        <f t="shared" si="48"/>
        <v>850.80809754473955</v>
      </c>
      <c r="Q107" s="91">
        <f t="shared" si="48"/>
        <v>0</v>
      </c>
      <c r="R107" s="91">
        <f t="shared" si="48"/>
        <v>0</v>
      </c>
      <c r="S107" s="91">
        <f t="shared" si="48"/>
        <v>0</v>
      </c>
      <c r="T107" s="92">
        <f>SUM(G107:S107)/13</f>
        <v>393.44836453117892</v>
      </c>
      <c r="U107" s="82"/>
    </row>
    <row r="108" spans="1:21" x14ac:dyDescent="0.25">
      <c r="A108" s="82"/>
      <c r="B108" s="88"/>
      <c r="C108" s="93"/>
      <c r="D108" s="90"/>
      <c r="E108" s="89"/>
      <c r="F108" s="89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2"/>
      <c r="U108" s="82"/>
    </row>
    <row r="109" spans="1:21" x14ac:dyDescent="0.25">
      <c r="A109" s="82"/>
      <c r="B109" s="88"/>
      <c r="C109" s="89" t="s">
        <v>413</v>
      </c>
      <c r="D109" s="90">
        <f>D103</f>
        <v>0.62375960230552752</v>
      </c>
      <c r="E109" s="89"/>
      <c r="F109" s="89"/>
      <c r="G109" s="79">
        <f>(G$48)*$D109</f>
        <v>-552715.71626214113</v>
      </c>
      <c r="H109" s="79">
        <f t="shared" ref="H109:S109" si="49">(H$48)*$D109</f>
        <v>-572037.73049133678</v>
      </c>
      <c r="I109" s="79">
        <f t="shared" si="49"/>
        <v>-591359.74472053268</v>
      </c>
      <c r="J109" s="79">
        <f t="shared" si="49"/>
        <v>-610681.75894972845</v>
      </c>
      <c r="K109" s="79">
        <f t="shared" si="49"/>
        <v>-630003.77317892434</v>
      </c>
      <c r="L109" s="79">
        <f t="shared" si="49"/>
        <v>-649325.78740812012</v>
      </c>
      <c r="M109" s="79">
        <f t="shared" si="49"/>
        <v>-668647.80163731601</v>
      </c>
      <c r="N109" s="79">
        <f t="shared" si="49"/>
        <v>-687969.8158665119</v>
      </c>
      <c r="O109" s="79">
        <f t="shared" si="49"/>
        <v>-707291.83009570779</v>
      </c>
      <c r="P109" s="79">
        <f t="shared" si="49"/>
        <v>-726613.84432490356</v>
      </c>
      <c r="Q109" s="79">
        <f t="shared" si="49"/>
        <v>-745935.85855409934</v>
      </c>
      <c r="R109" s="79">
        <f t="shared" si="49"/>
        <v>-765257.872783295</v>
      </c>
      <c r="S109" s="79">
        <f t="shared" si="49"/>
        <v>-784579.88701249089</v>
      </c>
      <c r="T109" s="92"/>
      <c r="U109" s="82"/>
    </row>
    <row r="110" spans="1:21" x14ac:dyDescent="0.25">
      <c r="A110" s="82"/>
      <c r="B110" s="88"/>
      <c r="C110" s="89"/>
      <c r="D110" s="99"/>
      <c r="E110" s="89" t="s">
        <v>396</v>
      </c>
      <c r="F110" s="89"/>
      <c r="G110" s="91">
        <f>G109</f>
        <v>-552715.71626214113</v>
      </c>
      <c r="H110" s="91">
        <f t="shared" ref="H110:S110" si="50">H109</f>
        <v>-572037.73049133678</v>
      </c>
      <c r="I110" s="91">
        <f t="shared" si="50"/>
        <v>-591359.74472053268</v>
      </c>
      <c r="J110" s="91">
        <f t="shared" si="50"/>
        <v>-610681.75894972845</v>
      </c>
      <c r="K110" s="91">
        <f t="shared" si="50"/>
        <v>-630003.77317892434</v>
      </c>
      <c r="L110" s="91">
        <f t="shared" si="50"/>
        <v>-649325.78740812012</v>
      </c>
      <c r="M110" s="91">
        <f t="shared" si="50"/>
        <v>-668647.80163731601</v>
      </c>
      <c r="N110" s="91">
        <f t="shared" si="50"/>
        <v>-687969.8158665119</v>
      </c>
      <c r="O110" s="91">
        <f t="shared" si="50"/>
        <v>-707291.83009570779</v>
      </c>
      <c r="P110" s="91">
        <f t="shared" si="50"/>
        <v>-726613.84432490356</v>
      </c>
      <c r="Q110" s="91">
        <f t="shared" si="50"/>
        <v>-745935.85855409934</v>
      </c>
      <c r="R110" s="91">
        <f t="shared" si="50"/>
        <v>-765257.872783295</v>
      </c>
      <c r="S110" s="91">
        <f t="shared" si="50"/>
        <v>-784579.88701249089</v>
      </c>
      <c r="T110" s="92">
        <f>SUM(G110:S110)/13</f>
        <v>-668647.80163731601</v>
      </c>
      <c r="U110" s="82"/>
    </row>
    <row r="111" spans="1:21" x14ac:dyDescent="0.25">
      <c r="A111" s="82"/>
      <c r="B111" s="88"/>
      <c r="C111" s="89"/>
      <c r="D111" s="100"/>
      <c r="E111" s="89"/>
      <c r="F111" s="89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2"/>
      <c r="U111" s="82"/>
    </row>
    <row r="112" spans="1:21" ht="15.75" thickBot="1" x14ac:dyDescent="0.3">
      <c r="A112" s="82"/>
      <c r="B112" s="94"/>
      <c r="C112" s="95"/>
      <c r="D112" s="101"/>
      <c r="E112" s="95"/>
      <c r="F112" s="95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102"/>
      <c r="U112" s="82"/>
    </row>
    <row r="113" spans="1:21" x14ac:dyDescent="0.25">
      <c r="A113" s="82"/>
      <c r="B113" s="82"/>
      <c r="C113" s="103"/>
      <c r="D113" s="103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</row>
    <row r="115" spans="1:21" x14ac:dyDescent="0.25">
      <c r="D115" s="131">
        <f>+D103+D94+D85+D76+D67+D58</f>
        <v>1.0000000000000002</v>
      </c>
      <c r="E115" t="s">
        <v>463</v>
      </c>
      <c r="T115" s="105">
        <f>+T59+T68+T77+T86+T95+T104</f>
        <v>11639282.230000002</v>
      </c>
    </row>
    <row r="116" spans="1:21" x14ac:dyDescent="0.25">
      <c r="E116" t="s">
        <v>464</v>
      </c>
      <c r="T116" s="105">
        <f>+T62+T71+T80+T89+T98+T107</f>
        <v>630.76923076923094</v>
      </c>
    </row>
    <row r="117" spans="1:21" x14ac:dyDescent="0.25">
      <c r="E117" t="s">
        <v>465</v>
      </c>
      <c r="T117" s="105">
        <f>+T65+T74+T83+T92+T101+T110</f>
        <v>-1071963.9411816248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workbookViewId="0">
      <selection activeCell="C4" sqref="C4"/>
    </sheetView>
  </sheetViews>
  <sheetFormatPr defaultRowHeight="15" x14ac:dyDescent="0.25"/>
  <cols>
    <col min="1" max="1" width="25.140625" bestFit="1" customWidth="1"/>
    <col min="2" max="10" width="16.42578125" bestFit="1" customWidth="1"/>
    <col min="11" max="13" width="17.5703125" bestFit="1" customWidth="1"/>
    <col min="14" max="14" width="9.7109375" bestFit="1" customWidth="1"/>
    <col min="16" max="16" width="8.42578125" bestFit="1" customWidth="1"/>
    <col min="17" max="19" width="11.5703125" bestFit="1" customWidth="1"/>
    <col min="20" max="20" width="10.28515625" bestFit="1" customWidth="1"/>
    <col min="21" max="21" width="9.5703125" bestFit="1" customWidth="1"/>
    <col min="22" max="22" width="11.5703125" bestFit="1" customWidth="1"/>
    <col min="23" max="23" width="14.140625" bestFit="1" customWidth="1"/>
  </cols>
  <sheetData>
    <row r="1" spans="1:23" x14ac:dyDescent="0.25">
      <c r="A1" s="109" t="s">
        <v>448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P1" s="4" t="s">
        <v>1</v>
      </c>
      <c r="Q1" s="4" t="s">
        <v>3</v>
      </c>
      <c r="R1" s="4"/>
      <c r="S1" s="4"/>
      <c r="T1" s="4"/>
      <c r="U1" s="4"/>
      <c r="V1" s="4"/>
    </row>
    <row r="2" spans="1:23" x14ac:dyDescent="0.25">
      <c r="A2" s="109" t="s">
        <v>449</v>
      </c>
      <c r="B2" s="109" t="s">
        <v>421</v>
      </c>
      <c r="C2" s="109" t="s">
        <v>422</v>
      </c>
      <c r="D2" s="109" t="s">
        <v>423</v>
      </c>
      <c r="E2" s="109" t="s">
        <v>424</v>
      </c>
      <c r="F2" s="109" t="s">
        <v>425</v>
      </c>
      <c r="G2" s="109" t="s">
        <v>426</v>
      </c>
      <c r="H2" s="109" t="s">
        <v>427</v>
      </c>
      <c r="I2" s="109" t="s">
        <v>428</v>
      </c>
      <c r="J2" s="109" t="s">
        <v>429</v>
      </c>
      <c r="K2" s="109" t="s">
        <v>430</v>
      </c>
      <c r="L2" s="109" t="s">
        <v>431</v>
      </c>
      <c r="M2" s="109" t="s">
        <v>432</v>
      </c>
      <c r="N2" s="109" t="s">
        <v>32</v>
      </c>
      <c r="P2" s="4" t="s">
        <v>5</v>
      </c>
      <c r="Q2" s="4" t="s">
        <v>6</v>
      </c>
      <c r="R2" s="4" t="s">
        <v>7</v>
      </c>
      <c r="S2" s="4" t="s">
        <v>8</v>
      </c>
      <c r="T2" s="4" t="s">
        <v>9</v>
      </c>
      <c r="U2" s="4" t="s">
        <v>10</v>
      </c>
      <c r="V2" s="4" t="s">
        <v>11</v>
      </c>
    </row>
    <row r="3" spans="1:23" x14ac:dyDescent="0.25">
      <c r="A3" t="s">
        <v>433</v>
      </c>
      <c r="B3" s="68">
        <v>0</v>
      </c>
      <c r="C3" s="68">
        <v>0</v>
      </c>
      <c r="D3" s="68">
        <v>0</v>
      </c>
      <c r="E3" s="68">
        <v>0</v>
      </c>
      <c r="F3" s="68">
        <v>0</v>
      </c>
      <c r="G3" s="68">
        <v>0</v>
      </c>
      <c r="H3" s="68">
        <v>0</v>
      </c>
      <c r="I3" s="68">
        <v>0</v>
      </c>
      <c r="J3" s="68">
        <v>0</v>
      </c>
      <c r="K3" s="68">
        <v>0</v>
      </c>
      <c r="L3" s="68">
        <v>0</v>
      </c>
      <c r="M3" s="68">
        <v>0</v>
      </c>
      <c r="P3" s="4"/>
      <c r="Q3" s="104">
        <v>0.19493367655493263</v>
      </c>
      <c r="R3" s="104">
        <v>0.40075371178398028</v>
      </c>
      <c r="S3" s="104">
        <v>0.17538138419273502</v>
      </c>
      <c r="T3" s="104">
        <v>-2.6963863219386323E-3</v>
      </c>
      <c r="U3" s="104">
        <v>2.4706719004354946E-3</v>
      </c>
      <c r="V3" s="104">
        <v>0.22915694188985516</v>
      </c>
    </row>
    <row r="4" spans="1:23" x14ac:dyDescent="0.25">
      <c r="A4" t="s">
        <v>434</v>
      </c>
      <c r="B4" s="68">
        <v>14853.909015741698</v>
      </c>
      <c r="C4" s="68">
        <v>14857.434159242304</v>
      </c>
      <c r="D4" s="68">
        <v>14873.133298491517</v>
      </c>
      <c r="E4" s="68">
        <v>14882.942173315587</v>
      </c>
      <c r="F4" s="68">
        <v>14885.796742249993</v>
      </c>
      <c r="G4" s="68">
        <v>14888.836002183914</v>
      </c>
      <c r="H4" s="68">
        <v>14846.683240367905</v>
      </c>
      <c r="I4" s="68">
        <v>14846.681869731474</v>
      </c>
      <c r="J4" s="68">
        <v>14846.671209095204</v>
      </c>
      <c r="K4" s="68">
        <v>14846.693027427096</v>
      </c>
      <c r="L4" s="68">
        <v>14846.685922482886</v>
      </c>
      <c r="M4" s="68">
        <v>14846.678827256948</v>
      </c>
      <c r="N4" s="105">
        <f t="shared" ref="N4:N12" si="0">SUM(B4:M4)</f>
        <v>178322.14548758653</v>
      </c>
      <c r="Q4" s="106">
        <f>$N4*Q$3</f>
        <v>34760.991431058828</v>
      </c>
      <c r="R4" s="106">
        <f t="shared" ref="R4:V17" si="1">$N4*R$3</f>
        <v>71463.261697433249</v>
      </c>
      <c r="S4" s="106">
        <f t="shared" si="1"/>
        <v>31274.384707831203</v>
      </c>
      <c r="T4" s="106">
        <f t="shared" si="1"/>
        <v>-480.82539399147913</v>
      </c>
      <c r="U4" s="106">
        <f t="shared" si="1"/>
        <v>440.57551408155018</v>
      </c>
      <c r="V4" s="106">
        <f t="shared" si="1"/>
        <v>40863.757531173163</v>
      </c>
    </row>
    <row r="5" spans="1:23" x14ac:dyDescent="0.25">
      <c r="A5" t="s">
        <v>435</v>
      </c>
      <c r="B5" s="68">
        <v>19024.758303042501</v>
      </c>
      <c r="C5" s="68">
        <v>19024.758630290009</v>
      </c>
      <c r="D5" s="68">
        <v>19024.761461259801</v>
      </c>
      <c r="E5" s="68">
        <v>19024.758849127797</v>
      </c>
      <c r="F5" s="68">
        <v>19024.760859443308</v>
      </c>
      <c r="G5" s="68">
        <v>19024.760534821817</v>
      </c>
      <c r="H5" s="68">
        <v>19045.099379537674</v>
      </c>
      <c r="I5" s="68">
        <v>19045.098298120793</v>
      </c>
      <c r="J5" s="68">
        <v>19045.100169903191</v>
      </c>
      <c r="K5" s="68">
        <v>19045.101006578996</v>
      </c>
      <c r="L5" s="68">
        <v>19045.102364918417</v>
      </c>
      <c r="M5" s="68">
        <v>4930.2800000000016</v>
      </c>
      <c r="N5" s="105">
        <f t="shared" si="0"/>
        <v>214304.33985704434</v>
      </c>
      <c r="Q5" s="106">
        <f t="shared" ref="Q5:Q17" si="2">$N5*Q$3</f>
        <v>41775.132870011439</v>
      </c>
      <c r="R5" s="106">
        <f t="shared" si="1"/>
        <v>85883.259649126107</v>
      </c>
      <c r="S5" s="106">
        <f t="shared" si="1"/>
        <v>37584.991762638747</v>
      </c>
      <c r="T5" s="106">
        <f t="shared" si="1"/>
        <v>-577.84729072262246</v>
      </c>
      <c r="U5" s="106">
        <f t="shared" si="1"/>
        <v>529.47571062617783</v>
      </c>
      <c r="V5" s="106">
        <f t="shared" si="1"/>
        <v>49109.327155364481</v>
      </c>
    </row>
    <row r="6" spans="1:23" x14ac:dyDescent="0.25">
      <c r="A6" t="s">
        <v>436</v>
      </c>
      <c r="B6" s="68">
        <v>-1056.2809134480042</v>
      </c>
      <c r="C6" s="68">
        <v>-1056.2798595461977</v>
      </c>
      <c r="D6" s="68">
        <v>-1056.2777025962987</v>
      </c>
      <c r="E6" s="68">
        <v>-1086.97</v>
      </c>
      <c r="F6" s="68">
        <v>-1552.2598675000136</v>
      </c>
      <c r="G6" s="68">
        <v>-1552.2603098461882</v>
      </c>
      <c r="H6" s="68">
        <v>-1552.2596890944897</v>
      </c>
      <c r="I6" s="68">
        <v>-1552.2599444564203</v>
      </c>
      <c r="J6" s="68">
        <v>-1552.26</v>
      </c>
      <c r="K6" s="68">
        <v>-1820.3801783530025</v>
      </c>
      <c r="L6" s="68">
        <v>-1820.3799226395895</v>
      </c>
      <c r="M6" s="68">
        <v>14628.43</v>
      </c>
      <c r="N6" s="105">
        <f t="shared" si="0"/>
        <v>-1029.4383874802043</v>
      </c>
      <c r="Q6" s="106">
        <f t="shared" si="2"/>
        <v>-200.67220965829753</v>
      </c>
      <c r="R6" s="106">
        <f t="shared" si="1"/>
        <v>-412.55125483560721</v>
      </c>
      <c r="S6" s="106">
        <f t="shared" si="1"/>
        <v>-180.54432933741532</v>
      </c>
      <c r="T6" s="106">
        <f t="shared" si="1"/>
        <v>2.7757635872801845</v>
      </c>
      <c r="U6" s="106">
        <f t="shared" si="1"/>
        <v>-2.5434044971769674</v>
      </c>
      <c r="V6" s="106">
        <f t="shared" si="1"/>
        <v>-235.90295273898738</v>
      </c>
    </row>
    <row r="7" spans="1:23" x14ac:dyDescent="0.25">
      <c r="A7" t="s">
        <v>437</v>
      </c>
      <c r="B7" s="68">
        <v>2315.4093649745096</v>
      </c>
      <c r="C7" s="68">
        <v>2315.4094105915988</v>
      </c>
      <c r="D7" s="68">
        <v>2315.4105493018897</v>
      </c>
      <c r="E7" s="68">
        <v>2315.409862262904</v>
      </c>
      <c r="F7" s="68">
        <v>2315.4098213877041</v>
      </c>
      <c r="G7" s="68">
        <v>2315.4097005175049</v>
      </c>
      <c r="H7" s="68">
        <v>2315.4112595866964</v>
      </c>
      <c r="I7" s="68">
        <v>2315.4087431732</v>
      </c>
      <c r="J7" s="68">
        <v>2315.4096918466962</v>
      </c>
      <c r="K7" s="68">
        <v>2315.4108611893971</v>
      </c>
      <c r="L7" s="68">
        <v>2315.4118900111089</v>
      </c>
      <c r="M7" s="68">
        <v>-553.16</v>
      </c>
      <c r="N7" s="105">
        <f t="shared" si="0"/>
        <v>24916.351154843211</v>
      </c>
      <c r="Q7" s="106">
        <f t="shared" si="2"/>
        <v>4857.0359369473281</v>
      </c>
      <c r="R7" s="106">
        <f t="shared" si="1"/>
        <v>9985.3202094164808</v>
      </c>
      <c r="S7" s="106">
        <f t="shared" si="1"/>
        <v>4369.8641545686542</v>
      </c>
      <c r="T7" s="106">
        <f t="shared" si="1"/>
        <v>-67.184108446539071</v>
      </c>
      <c r="U7" s="106">
        <f t="shared" si="1"/>
        <v>61.560128659654609</v>
      </c>
      <c r="V7" s="106">
        <f t="shared" si="1"/>
        <v>5709.7548336976315</v>
      </c>
    </row>
    <row r="8" spans="1:23" x14ac:dyDescent="0.25">
      <c r="A8" t="s">
        <v>438</v>
      </c>
      <c r="B8" s="68">
        <v>-2838.4642669274999</v>
      </c>
      <c r="C8" s="68">
        <v>-2771.0778334811989</v>
      </c>
      <c r="D8" s="68">
        <v>-2771.0805860851019</v>
      </c>
      <c r="E8" s="68">
        <v>-2771.0772643316004</v>
      </c>
      <c r="F8" s="68">
        <v>-2771.0822673449984</v>
      </c>
      <c r="G8" s="68">
        <v>-2771.0813186814012</v>
      </c>
      <c r="H8" s="68">
        <v>-2536.077771917599</v>
      </c>
      <c r="I8" s="68">
        <v>-2404.6699999999996</v>
      </c>
      <c r="J8" s="68">
        <v>-2326.1359904007004</v>
      </c>
      <c r="K8" s="68">
        <v>-2326.1464629609</v>
      </c>
      <c r="L8" s="68">
        <v>-2242.3296627418999</v>
      </c>
      <c r="M8" s="68">
        <v>-2204.8463067148004</v>
      </c>
      <c r="N8" s="105">
        <f t="shared" si="0"/>
        <v>-30734.069731587701</v>
      </c>
      <c r="Q8" s="106">
        <f t="shared" si="2"/>
        <v>-5991.1052082740616</v>
      </c>
      <c r="R8" s="106">
        <f t="shared" si="1"/>
        <v>-12316.79252316145</v>
      </c>
      <c r="S8" s="106">
        <f t="shared" si="1"/>
        <v>-5390.1836914018913</v>
      </c>
      <c r="T8" s="106">
        <f t="shared" si="1"/>
        <v>82.870925241761213</v>
      </c>
      <c r="U8" s="106">
        <f t="shared" si="1"/>
        <v>-75.933802471858797</v>
      </c>
      <c r="V8" s="106">
        <f t="shared" si="1"/>
        <v>-7042.9254315201988</v>
      </c>
    </row>
    <row r="9" spans="1:23" x14ac:dyDescent="0.25">
      <c r="A9" t="s">
        <v>439</v>
      </c>
      <c r="B9" s="68">
        <v>3742.6909858890986</v>
      </c>
      <c r="C9" s="68">
        <v>3742.688795209699</v>
      </c>
      <c r="D9" s="68">
        <v>3742.6898061436996</v>
      </c>
      <c r="E9" s="68">
        <v>3742.6908286273979</v>
      </c>
      <c r="F9" s="68">
        <v>3742.6900142965042</v>
      </c>
      <c r="G9" s="68">
        <v>3742.6896902463004</v>
      </c>
      <c r="H9" s="68">
        <v>3742.6896630022084</v>
      </c>
      <c r="I9" s="68">
        <v>3742.6894003760976</v>
      </c>
      <c r="J9" s="68">
        <v>3742.6903317460924</v>
      </c>
      <c r="K9" s="68">
        <v>3742.6898457245934</v>
      </c>
      <c r="L9" s="68">
        <v>3742.6907079048019</v>
      </c>
      <c r="M9" s="68">
        <v>3742.6899029307069</v>
      </c>
      <c r="N9" s="105">
        <f t="shared" si="0"/>
        <v>44912.279972097203</v>
      </c>
      <c r="Q9" s="106">
        <f t="shared" si="2"/>
        <v>8754.9158574253743</v>
      </c>
      <c r="R9" s="106">
        <f t="shared" si="1"/>
        <v>17998.762903499271</v>
      </c>
      <c r="S9" s="106">
        <f t="shared" si="1"/>
        <v>7876.7778287580586</v>
      </c>
      <c r="T9" s="106">
        <f t="shared" si="1"/>
        <v>-121.10085740384127</v>
      </c>
      <c r="U9" s="106">
        <f t="shared" si="1"/>
        <v>110.9635081115524</v>
      </c>
      <c r="V9" s="106">
        <f t="shared" si="1"/>
        <v>10291.960731706784</v>
      </c>
    </row>
    <row r="10" spans="1:23" x14ac:dyDescent="0.25">
      <c r="A10" t="s">
        <v>440</v>
      </c>
      <c r="B10" s="68">
        <v>5346.3588581648019</v>
      </c>
      <c r="C10" s="68">
        <v>5346.3601008507967</v>
      </c>
      <c r="D10" s="68">
        <v>5346.3588470421128</v>
      </c>
      <c r="E10" s="68">
        <v>5346.3613465749004</v>
      </c>
      <c r="F10" s="68">
        <v>5346.3594933343911</v>
      </c>
      <c r="G10" s="68">
        <v>5346.3625800436976</v>
      </c>
      <c r="H10" s="68">
        <v>5346.3578262717965</v>
      </c>
      <c r="I10" s="68">
        <v>5346.3591840157942</v>
      </c>
      <c r="J10" s="68">
        <v>5346.3615068891095</v>
      </c>
      <c r="K10" s="68">
        <v>5346.3594094121991</v>
      </c>
      <c r="L10" s="68">
        <v>5346.3612632256009</v>
      </c>
      <c r="M10" s="68">
        <v>5346.3599338366139</v>
      </c>
      <c r="N10" s="105">
        <f t="shared" si="0"/>
        <v>64156.320349661815</v>
      </c>
      <c r="Q10" s="106">
        <f t="shared" si="2"/>
        <v>12506.227399995618</v>
      </c>
      <c r="R10" s="106">
        <f t="shared" si="1"/>
        <v>25710.88351452908</v>
      </c>
      <c r="S10" s="106">
        <f t="shared" si="1"/>
        <v>11251.824267636222</v>
      </c>
      <c r="T10" s="106">
        <f t="shared" si="1"/>
        <v>-172.99022465674125</v>
      </c>
      <c r="U10" s="106">
        <f t="shared" si="1"/>
        <v>158.50921792324735</v>
      </c>
      <c r="V10" s="106">
        <f t="shared" si="1"/>
        <v>14701.866174234385</v>
      </c>
    </row>
    <row r="11" spans="1:23" x14ac:dyDescent="0.25">
      <c r="A11" t="s">
        <v>441</v>
      </c>
      <c r="B11" s="68">
        <v>6107.9779723874126</v>
      </c>
      <c r="C11" s="68">
        <v>6107.9784209926966</v>
      </c>
      <c r="D11" s="68">
        <v>6107.9797836177004</v>
      </c>
      <c r="E11" s="68">
        <v>6107.9834378479973</v>
      </c>
      <c r="F11" s="68">
        <v>6107.9790196794938</v>
      </c>
      <c r="G11" s="68">
        <v>6107.977642689415</v>
      </c>
      <c r="H11" s="68">
        <v>6107.9838557750936</v>
      </c>
      <c r="I11" s="68">
        <v>6107.9768729396992</v>
      </c>
      <c r="J11" s="68">
        <v>6107.9818622040939</v>
      </c>
      <c r="K11" s="68">
        <v>6107.977754429211</v>
      </c>
      <c r="L11" s="68">
        <v>6107.9811266408014</v>
      </c>
      <c r="M11" s="68">
        <v>6107.9812395321887</v>
      </c>
      <c r="N11" s="105">
        <f t="shared" si="0"/>
        <v>73295.758988735804</v>
      </c>
      <c r="Q11" s="106">
        <f t="shared" si="2"/>
        <v>14287.811775558521</v>
      </c>
      <c r="R11" s="106">
        <f t="shared" si="1"/>
        <v>29373.54747275991</v>
      </c>
      <c r="S11" s="106">
        <f t="shared" si="1"/>
        <v>12854.711666901585</v>
      </c>
      <c r="T11" s="106">
        <f t="shared" si="1"/>
        <v>-197.63368199333777</v>
      </c>
      <c r="U11" s="106">
        <f t="shared" si="1"/>
        <v>181.08977215456187</v>
      </c>
      <c r="V11" s="106">
        <f t="shared" si="1"/>
        <v>16796.231983354559</v>
      </c>
    </row>
    <row r="12" spans="1:23" x14ac:dyDescent="0.25">
      <c r="A12" t="s">
        <v>442</v>
      </c>
      <c r="B12" s="68">
        <v>730.2099628679</v>
      </c>
      <c r="C12" s="68">
        <v>730.20984562659999</v>
      </c>
      <c r="D12" s="68">
        <v>730.20999698320009</v>
      </c>
      <c r="E12" s="68">
        <v>730.21021849520025</v>
      </c>
      <c r="F12" s="68">
        <v>730.20996280539987</v>
      </c>
      <c r="G12" s="68">
        <v>730.20997142360034</v>
      </c>
      <c r="H12" s="68">
        <v>730.21008266739989</v>
      </c>
      <c r="I12" s="68">
        <v>730.2099445938004</v>
      </c>
      <c r="J12" s="68">
        <v>730.21002480309983</v>
      </c>
      <c r="K12" s="68">
        <v>730.21000625499971</v>
      </c>
      <c r="L12" s="68">
        <v>730.20999174270014</v>
      </c>
      <c r="M12" s="68">
        <v>730.20998732269959</v>
      </c>
      <c r="N12" s="105">
        <f t="shared" si="0"/>
        <v>8762.519995586601</v>
      </c>
      <c r="Q12" s="106">
        <f t="shared" si="2"/>
        <v>1708.1102386258081</v>
      </c>
      <c r="R12" s="106">
        <f t="shared" si="1"/>
        <v>3511.6124128126767</v>
      </c>
      <c r="S12" s="106">
        <f t="shared" si="1"/>
        <v>1536.7828858424964</v>
      </c>
      <c r="T12" s="106">
        <f t="shared" si="1"/>
        <v>-23.627139061813477</v>
      </c>
      <c r="U12" s="106">
        <f t="shared" si="1"/>
        <v>21.649311930099969</v>
      </c>
      <c r="V12" s="106">
        <f t="shared" si="1"/>
        <v>2007.9922854373326</v>
      </c>
    </row>
    <row r="13" spans="1:23" x14ac:dyDescent="0.25">
      <c r="A13" t="s">
        <v>443</v>
      </c>
      <c r="B13" s="71">
        <v>48226.569282692421</v>
      </c>
      <c r="C13" s="71">
        <v>48297.481669776316</v>
      </c>
      <c r="D13" s="71">
        <v>48313.185454158513</v>
      </c>
      <c r="E13" s="71">
        <v>48292.309451920177</v>
      </c>
      <c r="F13" s="71">
        <v>47829.863778351792</v>
      </c>
      <c r="G13" s="71">
        <v>47832.904493398666</v>
      </c>
      <c r="H13" s="71">
        <v>48046.097846196673</v>
      </c>
      <c r="I13" s="71">
        <v>48177.494368494437</v>
      </c>
      <c r="J13" s="71">
        <v>48256.028806086782</v>
      </c>
      <c r="K13" s="71">
        <v>47987.915269702593</v>
      </c>
      <c r="L13" s="71">
        <v>48071.733681544814</v>
      </c>
      <c r="M13" s="71">
        <v>47574.623584164343</v>
      </c>
      <c r="N13" s="110">
        <f>SUM(B13:M13)</f>
        <v>576906.20768648759</v>
      </c>
      <c r="Q13" s="107">
        <f t="shared" si="2"/>
        <v>112458.44809169056</v>
      </c>
      <c r="R13" s="107">
        <f t="shared" si="1"/>
        <v>231197.30408157973</v>
      </c>
      <c r="S13" s="107">
        <f t="shared" si="1"/>
        <v>101178.60925343767</v>
      </c>
      <c r="T13" s="107">
        <f t="shared" si="1"/>
        <v>-1555.5620074473329</v>
      </c>
      <c r="U13" s="107">
        <f t="shared" si="1"/>
        <v>1425.3459565178084</v>
      </c>
      <c r="V13" s="107">
        <f t="shared" si="1"/>
        <v>132202.06231070915</v>
      </c>
      <c r="W13" s="67" t="s">
        <v>444</v>
      </c>
    </row>
    <row r="14" spans="1:23" x14ac:dyDescent="0.25">
      <c r="Q14" s="106">
        <f t="shared" si="2"/>
        <v>0</v>
      </c>
      <c r="R14" s="106">
        <f t="shared" si="1"/>
        <v>0</v>
      </c>
      <c r="S14" s="106">
        <f t="shared" si="1"/>
        <v>0</v>
      </c>
      <c r="T14" s="106">
        <f t="shared" si="1"/>
        <v>0</v>
      </c>
      <c r="U14" s="106">
        <f t="shared" si="1"/>
        <v>0</v>
      </c>
      <c r="V14" s="106">
        <f t="shared" si="1"/>
        <v>0</v>
      </c>
    </row>
    <row r="15" spans="1:23" x14ac:dyDescent="0.25">
      <c r="A15" s="67" t="s">
        <v>445</v>
      </c>
      <c r="B15" s="105">
        <f>-B9-B10</f>
        <v>-9089.0498440539013</v>
      </c>
      <c r="C15" s="105">
        <f t="shared" ref="C15:N15" si="3">-C9-C10</f>
        <v>-9089.0488960604962</v>
      </c>
      <c r="D15" s="105">
        <f t="shared" si="3"/>
        <v>-9089.0486531858114</v>
      </c>
      <c r="E15" s="105">
        <f t="shared" si="3"/>
        <v>-9089.0521752022978</v>
      </c>
      <c r="F15" s="105">
        <f t="shared" si="3"/>
        <v>-9089.0495076308944</v>
      </c>
      <c r="G15" s="105">
        <f t="shared" si="3"/>
        <v>-9089.052270289998</v>
      </c>
      <c r="H15" s="105">
        <f t="shared" si="3"/>
        <v>-9089.0474892740058</v>
      </c>
      <c r="I15" s="105">
        <f t="shared" si="3"/>
        <v>-9089.0485843918923</v>
      </c>
      <c r="J15" s="105">
        <f t="shared" si="3"/>
        <v>-9089.0518386352014</v>
      </c>
      <c r="K15" s="105">
        <f t="shared" si="3"/>
        <v>-9089.0492551367934</v>
      </c>
      <c r="L15" s="105">
        <f t="shared" si="3"/>
        <v>-9089.0519711304023</v>
      </c>
      <c r="M15" s="105">
        <f t="shared" si="3"/>
        <v>-9089.0498367673208</v>
      </c>
      <c r="N15" s="105">
        <f t="shared" si="3"/>
        <v>-109068.60032175902</v>
      </c>
      <c r="Q15" s="106">
        <f t="shared" si="2"/>
        <v>-21261.143257420994</v>
      </c>
      <c r="R15" s="106">
        <f t="shared" si="1"/>
        <v>-43709.646418028351</v>
      </c>
      <c r="S15" s="106">
        <f t="shared" si="1"/>
        <v>-19128.602096394283</v>
      </c>
      <c r="T15" s="106">
        <f t="shared" si="1"/>
        <v>294.09108206058255</v>
      </c>
      <c r="U15" s="106">
        <f t="shared" si="1"/>
        <v>-269.47272603479973</v>
      </c>
      <c r="V15" s="106">
        <f t="shared" si="1"/>
        <v>-24993.826905941169</v>
      </c>
    </row>
    <row r="16" spans="1:23" x14ac:dyDescent="0.25">
      <c r="Q16" s="106">
        <f t="shared" si="2"/>
        <v>0</v>
      </c>
      <c r="R16" s="106">
        <f t="shared" si="1"/>
        <v>0</v>
      </c>
      <c r="S16" s="106">
        <f t="shared" si="1"/>
        <v>0</v>
      </c>
      <c r="T16" s="106">
        <f t="shared" si="1"/>
        <v>0</v>
      </c>
      <c r="U16" s="106">
        <f t="shared" si="1"/>
        <v>0</v>
      </c>
      <c r="V16" s="106">
        <f t="shared" si="1"/>
        <v>0</v>
      </c>
    </row>
    <row r="17" spans="1:23" ht="15.75" thickBot="1" x14ac:dyDescent="0.3">
      <c r="A17" s="67" t="s">
        <v>446</v>
      </c>
      <c r="B17" s="111">
        <f>B13+B15</f>
        <v>39137.519438638519</v>
      </c>
      <c r="C17" s="111">
        <f t="shared" ref="C17:N17" si="4">C13+C15</f>
        <v>39208.432773715816</v>
      </c>
      <c r="D17" s="111">
        <f t="shared" si="4"/>
        <v>39224.136800972701</v>
      </c>
      <c r="E17" s="111">
        <f t="shared" si="4"/>
        <v>39203.257276717879</v>
      </c>
      <c r="F17" s="111">
        <f t="shared" si="4"/>
        <v>38740.814270720897</v>
      </c>
      <c r="G17" s="111">
        <f t="shared" si="4"/>
        <v>38743.852223108668</v>
      </c>
      <c r="H17" s="111">
        <f t="shared" si="4"/>
        <v>38957.050356922671</v>
      </c>
      <c r="I17" s="111">
        <f t="shared" si="4"/>
        <v>39088.445784102543</v>
      </c>
      <c r="J17" s="111">
        <f t="shared" si="4"/>
        <v>39166.976967451585</v>
      </c>
      <c r="K17" s="111">
        <f t="shared" si="4"/>
        <v>38898.8660145658</v>
      </c>
      <c r="L17" s="111">
        <f t="shared" si="4"/>
        <v>38982.681710414414</v>
      </c>
      <c r="M17" s="111">
        <f t="shared" si="4"/>
        <v>38485.573747397022</v>
      </c>
      <c r="N17" s="111">
        <f t="shared" si="4"/>
        <v>467837.60736472858</v>
      </c>
      <c r="Q17" s="108">
        <f t="shared" si="2"/>
        <v>91197.304834269569</v>
      </c>
      <c r="R17" s="108">
        <f t="shared" si="1"/>
        <v>187487.65766355136</v>
      </c>
      <c r="S17" s="108">
        <f t="shared" si="1"/>
        <v>82050.007157043379</v>
      </c>
      <c r="T17" s="108">
        <f t="shared" si="1"/>
        <v>-1261.4709253867504</v>
      </c>
      <c r="U17" s="108">
        <f t="shared" si="1"/>
        <v>1155.8732304830087</v>
      </c>
      <c r="V17" s="108">
        <f t="shared" si="1"/>
        <v>107208.23540476798</v>
      </c>
      <c r="W17" s="67" t="s">
        <v>447</v>
      </c>
    </row>
    <row r="18" spans="1:23" ht="15.75" thickTop="1" x14ac:dyDescent="0.25"/>
  </sheetData>
  <pageMargins left="0.7" right="0.7" top="0.75" bottom="0.75" header="0.3" footer="0.3"/>
  <pageSetup orientation="portrait" horizontalDpi="90" verticalDpi="9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8"/>
  <sheetViews>
    <sheetView topLeftCell="D1" workbookViewId="0">
      <selection activeCell="D10" sqref="D10"/>
    </sheetView>
  </sheetViews>
  <sheetFormatPr defaultRowHeight="15" x14ac:dyDescent="0.25"/>
  <cols>
    <col min="1" max="1" width="25.140625" bestFit="1" customWidth="1"/>
    <col min="2" max="10" width="16.42578125" bestFit="1" customWidth="1"/>
    <col min="11" max="13" width="17.5703125" bestFit="1" customWidth="1"/>
    <col min="14" max="14" width="9.7109375" bestFit="1" customWidth="1"/>
    <col min="15" max="15" width="9.5703125" customWidth="1"/>
    <col min="16" max="16" width="8.42578125" bestFit="1" customWidth="1"/>
    <col min="17" max="19" width="11.5703125" bestFit="1" customWidth="1"/>
    <col min="20" max="20" width="10.28515625" bestFit="1" customWidth="1"/>
    <col min="21" max="21" width="9.5703125" bestFit="1" customWidth="1"/>
    <col min="22" max="22" width="11.5703125" bestFit="1" customWidth="1"/>
    <col min="23" max="23" width="14.140625" bestFit="1" customWidth="1"/>
  </cols>
  <sheetData>
    <row r="1" spans="1:23" x14ac:dyDescent="0.25">
      <c r="A1" s="109" t="s">
        <v>448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P1" s="4" t="s">
        <v>1</v>
      </c>
      <c r="Q1" s="4" t="s">
        <v>3</v>
      </c>
      <c r="R1" s="4"/>
      <c r="S1" s="4"/>
      <c r="T1" s="4"/>
      <c r="U1" s="4"/>
      <c r="V1" s="4"/>
    </row>
    <row r="2" spans="1:23" x14ac:dyDescent="0.25">
      <c r="A2" s="109" t="s">
        <v>449</v>
      </c>
      <c r="B2" s="109" t="s">
        <v>421</v>
      </c>
      <c r="C2" s="109" t="s">
        <v>422</v>
      </c>
      <c r="D2" s="109" t="s">
        <v>423</v>
      </c>
      <c r="E2" s="109" t="s">
        <v>424</v>
      </c>
      <c r="F2" s="109" t="s">
        <v>425</v>
      </c>
      <c r="G2" s="109" t="s">
        <v>426</v>
      </c>
      <c r="H2" s="109" t="s">
        <v>427</v>
      </c>
      <c r="I2" s="109" t="s">
        <v>428</v>
      </c>
      <c r="J2" s="109" t="s">
        <v>429</v>
      </c>
      <c r="K2" s="109" t="s">
        <v>430</v>
      </c>
      <c r="L2" s="109" t="s">
        <v>431</v>
      </c>
      <c r="M2" s="109" t="s">
        <v>432</v>
      </c>
      <c r="N2" s="109" t="s">
        <v>32</v>
      </c>
      <c r="P2" s="4" t="s">
        <v>5</v>
      </c>
      <c r="Q2" s="4" t="s">
        <v>6</v>
      </c>
      <c r="R2" s="4" t="s">
        <v>7</v>
      </c>
      <c r="S2" s="4" t="s">
        <v>8</v>
      </c>
      <c r="T2" s="4" t="s">
        <v>9</v>
      </c>
      <c r="U2" s="4" t="s">
        <v>10</v>
      </c>
      <c r="V2" s="4" t="s">
        <v>11</v>
      </c>
    </row>
    <row r="3" spans="1:23" x14ac:dyDescent="0.25">
      <c r="A3" t="s">
        <v>433</v>
      </c>
      <c r="B3" s="68">
        <f>'FC depreciation adjustment 21'!M3</f>
        <v>0</v>
      </c>
      <c r="C3" s="68">
        <v>0</v>
      </c>
      <c r="D3" s="68">
        <v>0</v>
      </c>
      <c r="E3" s="68">
        <v>0</v>
      </c>
      <c r="F3" s="68">
        <v>0</v>
      </c>
      <c r="G3" s="68">
        <v>0</v>
      </c>
      <c r="H3" s="68">
        <v>0</v>
      </c>
      <c r="I3" s="68">
        <v>0</v>
      </c>
      <c r="J3" s="68">
        <v>0</v>
      </c>
      <c r="K3" s="68">
        <v>0</v>
      </c>
      <c r="L3" s="68">
        <v>0</v>
      </c>
      <c r="M3" s="68">
        <v>0</v>
      </c>
      <c r="P3" s="4"/>
      <c r="Q3" s="104">
        <v>0.19493367655493263</v>
      </c>
      <c r="R3" s="104">
        <v>0.40075371178398028</v>
      </c>
      <c r="S3" s="104">
        <v>0.17538138419273502</v>
      </c>
      <c r="T3" s="104">
        <v>-2.6963863219386323E-3</v>
      </c>
      <c r="U3" s="104">
        <v>2.4706719004354946E-3</v>
      </c>
      <c r="V3" s="104">
        <v>0.22915694188985516</v>
      </c>
    </row>
    <row r="4" spans="1:23" x14ac:dyDescent="0.25">
      <c r="A4" t="s">
        <v>434</v>
      </c>
      <c r="B4" s="68">
        <f>'FC depreciation adjustment 21'!M4</f>
        <v>14846.678827256948</v>
      </c>
      <c r="C4" s="68">
        <f>B4</f>
        <v>14846.678827256948</v>
      </c>
      <c r="D4" s="68">
        <f>C4-(1085/12)</f>
        <v>14756.262160590282</v>
      </c>
      <c r="E4" s="68">
        <f>D4</f>
        <v>14756.262160590282</v>
      </c>
      <c r="F4" s="68">
        <f t="shared" ref="F4:M4" si="0">E4</f>
        <v>14756.262160590282</v>
      </c>
      <c r="G4" s="68">
        <f t="shared" si="0"/>
        <v>14756.262160590282</v>
      </c>
      <c r="H4" s="68">
        <f t="shared" si="0"/>
        <v>14756.262160590282</v>
      </c>
      <c r="I4" s="68">
        <f t="shared" si="0"/>
        <v>14756.262160590282</v>
      </c>
      <c r="J4" s="68">
        <f t="shared" si="0"/>
        <v>14756.262160590282</v>
      </c>
      <c r="K4" s="68">
        <f t="shared" si="0"/>
        <v>14756.262160590282</v>
      </c>
      <c r="L4" s="68">
        <f t="shared" si="0"/>
        <v>14756.262160590282</v>
      </c>
      <c r="M4" s="68">
        <f t="shared" si="0"/>
        <v>14756.262160590282</v>
      </c>
      <c r="N4" s="105">
        <f t="shared" ref="N4:N12" si="1">SUM(B4:M4)</f>
        <v>177255.9792604167</v>
      </c>
      <c r="O4" s="105"/>
      <c r="Q4" s="106">
        <f>$N4*Q$3</f>
        <v>34553.159728577913</v>
      </c>
      <c r="R4" s="106">
        <f t="shared" ref="R4:V17" si="2">$N4*R$3</f>
        <v>71035.991624516217</v>
      </c>
      <c r="S4" s="106">
        <f t="shared" si="2"/>
        <v>31087.398999130612</v>
      </c>
      <c r="T4" s="106">
        <f t="shared" si="2"/>
        <v>-477.9505979596255</v>
      </c>
      <c r="U4" s="106">
        <f t="shared" si="2"/>
        <v>437.94136714288834</v>
      </c>
      <c r="V4" s="106">
        <f t="shared" si="2"/>
        <v>40619.438139008686</v>
      </c>
    </row>
    <row r="5" spans="1:23" x14ac:dyDescent="0.25">
      <c r="A5" t="s">
        <v>435</v>
      </c>
      <c r="B5" s="68">
        <f>'FC depreciation adjustment 21'!M5</f>
        <v>4930.2800000000016</v>
      </c>
      <c r="C5" s="68">
        <f t="shared" ref="C5:D12" si="3">B5</f>
        <v>4930.2800000000016</v>
      </c>
      <c r="D5" s="68">
        <f>C5-(29782.9/12)</f>
        <v>2448.3716666666683</v>
      </c>
      <c r="E5" s="68">
        <f t="shared" ref="E5:M12" si="4">D5</f>
        <v>2448.3716666666683</v>
      </c>
      <c r="F5" s="68">
        <f t="shared" si="4"/>
        <v>2448.3716666666683</v>
      </c>
      <c r="G5" s="68">
        <f t="shared" si="4"/>
        <v>2448.3716666666683</v>
      </c>
      <c r="H5" s="68">
        <f t="shared" si="4"/>
        <v>2448.3716666666683</v>
      </c>
      <c r="I5" s="68">
        <f t="shared" si="4"/>
        <v>2448.3716666666683</v>
      </c>
      <c r="J5" s="68">
        <f t="shared" si="4"/>
        <v>2448.3716666666683</v>
      </c>
      <c r="K5" s="68">
        <f t="shared" si="4"/>
        <v>2448.3716666666683</v>
      </c>
      <c r="L5" s="68">
        <f t="shared" si="4"/>
        <v>2448.3716666666683</v>
      </c>
      <c r="M5" s="68">
        <f t="shared" si="4"/>
        <v>2448.3716666666683</v>
      </c>
      <c r="N5" s="105">
        <f t="shared" si="1"/>
        <v>34344.276666666694</v>
      </c>
      <c r="O5" s="105"/>
      <c r="Q5" s="106">
        <f t="shared" ref="Q5:Q17" si="5">$N5*Q$3</f>
        <v>6694.8561192531251</v>
      </c>
      <c r="R5" s="106">
        <f t="shared" si="2"/>
        <v>13763.596352702623</v>
      </c>
      <c r="S5" s="106">
        <f t="shared" si="2"/>
        <v>6023.3467808982568</v>
      </c>
      <c r="T5" s="106">
        <f t="shared" si="2"/>
        <v>-92.605437840876192</v>
      </c>
      <c r="U5" s="106">
        <f t="shared" si="2"/>
        <v>84.853439301115813</v>
      </c>
      <c r="V5" s="106">
        <f t="shared" si="2"/>
        <v>7870.229412352448</v>
      </c>
    </row>
    <row r="6" spans="1:23" x14ac:dyDescent="0.25">
      <c r="A6" t="s">
        <v>436</v>
      </c>
      <c r="B6" s="68">
        <f>'FC depreciation adjustment 21'!M6</f>
        <v>14628.43</v>
      </c>
      <c r="C6" s="68">
        <f t="shared" si="3"/>
        <v>14628.43</v>
      </c>
      <c r="D6" s="68">
        <f t="shared" si="3"/>
        <v>14628.43</v>
      </c>
      <c r="E6" s="68">
        <f t="shared" si="4"/>
        <v>14628.43</v>
      </c>
      <c r="F6" s="68">
        <f t="shared" si="4"/>
        <v>14628.43</v>
      </c>
      <c r="G6" s="68">
        <f t="shared" si="4"/>
        <v>14628.43</v>
      </c>
      <c r="H6" s="68">
        <f t="shared" si="4"/>
        <v>14628.43</v>
      </c>
      <c r="I6" s="68">
        <f t="shared" si="4"/>
        <v>14628.43</v>
      </c>
      <c r="J6" s="68">
        <f t="shared" si="4"/>
        <v>14628.43</v>
      </c>
      <c r="K6" s="68">
        <f t="shared" si="4"/>
        <v>14628.43</v>
      </c>
      <c r="L6" s="68">
        <f t="shared" si="4"/>
        <v>14628.43</v>
      </c>
      <c r="M6" s="68">
        <f t="shared" si="4"/>
        <v>14628.43</v>
      </c>
      <c r="N6" s="105">
        <f t="shared" si="1"/>
        <v>175541.15999999995</v>
      </c>
      <c r="O6" s="105"/>
      <c r="Q6" s="106">
        <f t="shared" si="5"/>
        <v>34218.88370551767</v>
      </c>
      <c r="R6" s="106">
        <f t="shared" si="2"/>
        <v>70348.771440865545</v>
      </c>
      <c r="S6" s="106">
        <f t="shared" si="2"/>
        <v>30786.651623598362</v>
      </c>
      <c r="T6" s="106">
        <f t="shared" si="2"/>
        <v>-473.32678276124079</v>
      </c>
      <c r="U6" s="106">
        <f t="shared" si="2"/>
        <v>433.70461138185112</v>
      </c>
      <c r="V6" s="106">
        <f t="shared" si="2"/>
        <v>40226.475401397758</v>
      </c>
    </row>
    <row r="7" spans="1:23" x14ac:dyDescent="0.25">
      <c r="A7" t="s">
        <v>437</v>
      </c>
      <c r="B7" s="68">
        <f>'FC depreciation adjustment 21'!M7</f>
        <v>-553.16</v>
      </c>
      <c r="C7" s="68">
        <f t="shared" si="3"/>
        <v>-553.16</v>
      </c>
      <c r="D7" s="68">
        <f>C7-(22477.18/12)</f>
        <v>-2426.2583333333332</v>
      </c>
      <c r="E7" s="68">
        <f t="shared" si="4"/>
        <v>-2426.2583333333332</v>
      </c>
      <c r="F7" s="68">
        <f t="shared" si="4"/>
        <v>-2426.2583333333332</v>
      </c>
      <c r="G7" s="68">
        <f t="shared" si="4"/>
        <v>-2426.2583333333332</v>
      </c>
      <c r="H7" s="68">
        <f t="shared" si="4"/>
        <v>-2426.2583333333332</v>
      </c>
      <c r="I7" s="68">
        <f t="shared" si="4"/>
        <v>-2426.2583333333332</v>
      </c>
      <c r="J7" s="68">
        <f t="shared" si="4"/>
        <v>-2426.2583333333332</v>
      </c>
      <c r="K7" s="68">
        <f t="shared" si="4"/>
        <v>-2426.2583333333332</v>
      </c>
      <c r="L7" s="68">
        <f t="shared" si="4"/>
        <v>-2426.2583333333332</v>
      </c>
      <c r="M7" s="68">
        <f t="shared" si="4"/>
        <v>-2426.2583333333332</v>
      </c>
      <c r="N7" s="105">
        <f t="shared" si="1"/>
        <v>-25368.903333333328</v>
      </c>
      <c r="O7" s="105"/>
      <c r="Q7" s="106">
        <f t="shared" si="5"/>
        <v>-4945.2535969333512</v>
      </c>
      <c r="R7" s="106">
        <f t="shared" si="2"/>
        <v>-10166.682174722322</v>
      </c>
      <c r="S7" s="106">
        <f t="shared" si="2"/>
        <v>-4449.2333820516887</v>
      </c>
      <c r="T7" s="106">
        <f t="shared" si="2"/>
        <v>68.40436395058336</v>
      </c>
      <c r="U7" s="106">
        <f t="shared" si="2"/>
        <v>-62.678236610531009</v>
      </c>
      <c r="V7" s="106">
        <f t="shared" si="2"/>
        <v>-5813.4603069660188</v>
      </c>
    </row>
    <row r="8" spans="1:23" x14ac:dyDescent="0.25">
      <c r="A8" t="s">
        <v>438</v>
      </c>
      <c r="B8" s="68">
        <f>'FC depreciation adjustment 21'!M8</f>
        <v>-2204.8463067148004</v>
      </c>
      <c r="C8" s="68">
        <f t="shared" si="3"/>
        <v>-2204.8463067148004</v>
      </c>
      <c r="D8" s="68">
        <f t="shared" si="3"/>
        <v>-2204.8463067148004</v>
      </c>
      <c r="E8" s="68">
        <f t="shared" si="4"/>
        <v>-2204.8463067148004</v>
      </c>
      <c r="F8" s="68">
        <f t="shared" si="4"/>
        <v>-2204.8463067148004</v>
      </c>
      <c r="G8" s="68">
        <f t="shared" si="4"/>
        <v>-2204.8463067148004</v>
      </c>
      <c r="H8" s="68">
        <f t="shared" si="4"/>
        <v>-2204.8463067148004</v>
      </c>
      <c r="I8" s="68">
        <f t="shared" si="4"/>
        <v>-2204.8463067148004</v>
      </c>
      <c r="J8" s="68">
        <f t="shared" si="4"/>
        <v>-2204.8463067148004</v>
      </c>
      <c r="K8" s="68">
        <f t="shared" si="4"/>
        <v>-2204.8463067148004</v>
      </c>
      <c r="L8" s="68">
        <f t="shared" si="4"/>
        <v>-2204.8463067148004</v>
      </c>
      <c r="M8" s="68">
        <f t="shared" si="4"/>
        <v>-2204.8463067148004</v>
      </c>
      <c r="N8" s="105">
        <f t="shared" si="1"/>
        <v>-26458.155680577605</v>
      </c>
      <c r="O8" s="105"/>
      <c r="Q8" s="106">
        <f t="shared" si="5"/>
        <v>-5157.5855616777681</v>
      </c>
      <c r="R8" s="106">
        <f t="shared" si="2"/>
        <v>-10603.204095949879</v>
      </c>
      <c r="S8" s="106">
        <f t="shared" si="2"/>
        <v>-4640.2679664465759</v>
      </c>
      <c r="T8" s="106">
        <f t="shared" si="2"/>
        <v>71.341409080832378</v>
      </c>
      <c r="U8" s="106">
        <f t="shared" si="2"/>
        <v>-65.369421777350851</v>
      </c>
      <c r="V8" s="106">
        <f t="shared" si="2"/>
        <v>-6063.0700438068634</v>
      </c>
    </row>
    <row r="9" spans="1:23" x14ac:dyDescent="0.25">
      <c r="A9" t="s">
        <v>439</v>
      </c>
      <c r="B9" s="68">
        <f>'FC depreciation adjustment 21'!M9</f>
        <v>3742.6899029307069</v>
      </c>
      <c r="C9" s="68">
        <f t="shared" si="3"/>
        <v>3742.6899029307069</v>
      </c>
      <c r="D9" s="68">
        <f t="shared" si="3"/>
        <v>3742.6899029307069</v>
      </c>
      <c r="E9" s="68">
        <f t="shared" si="4"/>
        <v>3742.6899029307069</v>
      </c>
      <c r="F9" s="68">
        <f t="shared" si="4"/>
        <v>3742.6899029307069</v>
      </c>
      <c r="G9" s="68">
        <f t="shared" si="4"/>
        <v>3742.6899029307069</v>
      </c>
      <c r="H9" s="68">
        <f t="shared" si="4"/>
        <v>3742.6899029307069</v>
      </c>
      <c r="I9" s="68">
        <f t="shared" si="4"/>
        <v>3742.6899029307069</v>
      </c>
      <c r="J9" s="68">
        <f t="shared" si="4"/>
        <v>3742.6899029307069</v>
      </c>
      <c r="K9" s="68">
        <f t="shared" si="4"/>
        <v>3742.6899029307069</v>
      </c>
      <c r="L9" s="68">
        <f t="shared" si="4"/>
        <v>3742.6899029307069</v>
      </c>
      <c r="M9" s="68">
        <f t="shared" si="4"/>
        <v>3742.6899029307069</v>
      </c>
      <c r="N9" s="105">
        <f t="shared" si="1"/>
        <v>44912.278835168487</v>
      </c>
      <c r="O9" s="105"/>
      <c r="Q9" s="106">
        <f t="shared" si="5"/>
        <v>8754.9156357996799</v>
      </c>
      <c r="R9" s="106">
        <f t="shared" si="2"/>
        <v>17998.762447870868</v>
      </c>
      <c r="S9" s="106">
        <f t="shared" si="2"/>
        <v>7876.7776293619263</v>
      </c>
      <c r="T9" s="106">
        <f t="shared" si="2"/>
        <v>-121.10085433824223</v>
      </c>
      <c r="U9" s="106">
        <f t="shared" si="2"/>
        <v>110.96350530257457</v>
      </c>
      <c r="V9" s="106">
        <f t="shared" si="2"/>
        <v>10291.960471171677</v>
      </c>
    </row>
    <row r="10" spans="1:23" x14ac:dyDescent="0.25">
      <c r="A10" t="s">
        <v>440</v>
      </c>
      <c r="B10" s="68">
        <f>'FC depreciation adjustment 21'!M10</f>
        <v>5346.3599338366139</v>
      </c>
      <c r="C10" s="68">
        <f t="shared" si="3"/>
        <v>5346.3599338366139</v>
      </c>
      <c r="D10" s="68">
        <f t="shared" si="3"/>
        <v>5346.3599338366139</v>
      </c>
      <c r="E10" s="68">
        <f t="shared" si="4"/>
        <v>5346.3599338366139</v>
      </c>
      <c r="F10" s="68">
        <f t="shared" si="4"/>
        <v>5346.3599338366139</v>
      </c>
      <c r="G10" s="68">
        <f t="shared" si="4"/>
        <v>5346.3599338366139</v>
      </c>
      <c r="H10" s="68">
        <f t="shared" si="4"/>
        <v>5346.3599338366139</v>
      </c>
      <c r="I10" s="68">
        <f t="shared" si="4"/>
        <v>5346.3599338366139</v>
      </c>
      <c r="J10" s="68">
        <f t="shared" si="4"/>
        <v>5346.3599338366139</v>
      </c>
      <c r="K10" s="68">
        <f t="shared" si="4"/>
        <v>5346.3599338366139</v>
      </c>
      <c r="L10" s="68">
        <f t="shared" si="4"/>
        <v>5346.3599338366139</v>
      </c>
      <c r="M10" s="68">
        <f t="shared" si="4"/>
        <v>5346.3599338366139</v>
      </c>
      <c r="N10" s="105">
        <f t="shared" si="1"/>
        <v>64156.319206039356</v>
      </c>
      <c r="O10" s="105"/>
      <c r="Q10" s="106">
        <f t="shared" si="5"/>
        <v>12506.227177065088</v>
      </c>
      <c r="R10" s="106">
        <f t="shared" si="2"/>
        <v>25710.883056218136</v>
      </c>
      <c r="S10" s="106">
        <f t="shared" si="2"/>
        <v>11251.824067066133</v>
      </c>
      <c r="T10" s="106">
        <f t="shared" si="2"/>
        <v>-172.99022157309329</v>
      </c>
      <c r="U10" s="106">
        <f t="shared" si="2"/>
        <v>158.50921509773147</v>
      </c>
      <c r="V10" s="106">
        <f t="shared" si="2"/>
        <v>14701.86591216536</v>
      </c>
    </row>
    <row r="11" spans="1:23" x14ac:dyDescent="0.25">
      <c r="A11" t="s">
        <v>441</v>
      </c>
      <c r="B11" s="68">
        <f>'FC depreciation adjustment 21'!M11</f>
        <v>6107.9812395321887</v>
      </c>
      <c r="C11" s="68">
        <f t="shared" si="3"/>
        <v>6107.9812395321887</v>
      </c>
      <c r="D11" s="68">
        <f t="shared" si="3"/>
        <v>6107.9812395321887</v>
      </c>
      <c r="E11" s="68">
        <f t="shared" si="4"/>
        <v>6107.9812395321887</v>
      </c>
      <c r="F11" s="68">
        <f t="shared" si="4"/>
        <v>6107.9812395321887</v>
      </c>
      <c r="G11" s="68">
        <f t="shared" si="4"/>
        <v>6107.9812395321887</v>
      </c>
      <c r="H11" s="68">
        <f t="shared" si="4"/>
        <v>6107.9812395321887</v>
      </c>
      <c r="I11" s="68">
        <f t="shared" si="4"/>
        <v>6107.9812395321887</v>
      </c>
      <c r="J11" s="68">
        <f t="shared" si="4"/>
        <v>6107.9812395321887</v>
      </c>
      <c r="K11" s="68">
        <f t="shared" si="4"/>
        <v>6107.9812395321887</v>
      </c>
      <c r="L11" s="68">
        <f t="shared" si="4"/>
        <v>6107.9812395321887</v>
      </c>
      <c r="M11" s="68">
        <f t="shared" si="4"/>
        <v>6107.9812395321887</v>
      </c>
      <c r="N11" s="105">
        <f t="shared" si="1"/>
        <v>73295.774874386261</v>
      </c>
      <c r="O11" s="105"/>
      <c r="Q11" s="106">
        <f t="shared" si="5"/>
        <v>14287.814872206769</v>
      </c>
      <c r="R11" s="106">
        <f t="shared" si="2"/>
        <v>29373.553838993295</v>
      </c>
      <c r="S11" s="106">
        <f t="shared" si="2"/>
        <v>12854.714452948952</v>
      </c>
      <c r="T11" s="106">
        <f t="shared" si="2"/>
        <v>-197.63372482718839</v>
      </c>
      <c r="U11" s="106">
        <f t="shared" si="2"/>
        <v>181.08981140279209</v>
      </c>
      <c r="V11" s="106">
        <f t="shared" si="2"/>
        <v>16796.23562366164</v>
      </c>
    </row>
    <row r="12" spans="1:23" x14ac:dyDescent="0.25">
      <c r="A12" t="s">
        <v>442</v>
      </c>
      <c r="B12" s="68">
        <f>'FC depreciation adjustment 21'!M12</f>
        <v>730.20998732269959</v>
      </c>
      <c r="C12" s="68">
        <f t="shared" si="3"/>
        <v>730.20998732269959</v>
      </c>
      <c r="D12" s="68">
        <f t="shared" si="3"/>
        <v>730.20998732269959</v>
      </c>
      <c r="E12" s="68">
        <f t="shared" si="4"/>
        <v>730.20998732269959</v>
      </c>
      <c r="F12" s="68">
        <f t="shared" si="4"/>
        <v>730.20998732269959</v>
      </c>
      <c r="G12" s="68">
        <f t="shared" si="4"/>
        <v>730.20998732269959</v>
      </c>
      <c r="H12" s="68">
        <f t="shared" si="4"/>
        <v>730.20998732269959</v>
      </c>
      <c r="I12" s="68">
        <f t="shared" si="4"/>
        <v>730.20998732269959</v>
      </c>
      <c r="J12" s="68">
        <f t="shared" si="4"/>
        <v>730.20998732269959</v>
      </c>
      <c r="K12" s="68">
        <f t="shared" si="4"/>
        <v>730.20998732269959</v>
      </c>
      <c r="L12" s="68">
        <f t="shared" si="4"/>
        <v>730.20998732269959</v>
      </c>
      <c r="M12" s="68">
        <f t="shared" si="4"/>
        <v>730.20998732269959</v>
      </c>
      <c r="N12" s="105">
        <f t="shared" si="1"/>
        <v>8762.519847872396</v>
      </c>
      <c r="O12" s="105"/>
      <c r="Q12" s="106">
        <f t="shared" si="5"/>
        <v>1708.1102098313352</v>
      </c>
      <c r="R12" s="106">
        <f t="shared" si="2"/>
        <v>3511.612353615661</v>
      </c>
      <c r="S12" s="106">
        <f t="shared" si="2"/>
        <v>1536.7828599361746</v>
      </c>
      <c r="T12" s="106">
        <f t="shared" si="2"/>
        <v>-23.627138663518913</v>
      </c>
      <c r="U12" s="106">
        <f t="shared" si="2"/>
        <v>21.649311565146633</v>
      </c>
      <c r="V12" s="106">
        <f t="shared" si="2"/>
        <v>2007.9922515875971</v>
      </c>
    </row>
    <row r="13" spans="1:23" x14ac:dyDescent="0.25">
      <c r="A13" t="s">
        <v>443</v>
      </c>
      <c r="B13" s="71">
        <f>SUM(B3:B12)</f>
        <v>47574.623584164343</v>
      </c>
      <c r="C13" s="71">
        <f t="shared" ref="C13:N13" si="6">SUM(C3:C12)</f>
        <v>47574.623584164343</v>
      </c>
      <c r="D13" s="71">
        <f t="shared" si="6"/>
        <v>43129.200250831018</v>
      </c>
      <c r="E13" s="71">
        <f t="shared" si="6"/>
        <v>43129.200250831018</v>
      </c>
      <c r="F13" s="71">
        <f t="shared" si="6"/>
        <v>43129.200250831018</v>
      </c>
      <c r="G13" s="71">
        <f t="shared" si="6"/>
        <v>43129.200250831018</v>
      </c>
      <c r="H13" s="71">
        <f t="shared" si="6"/>
        <v>43129.200250831018</v>
      </c>
      <c r="I13" s="71">
        <f t="shared" si="6"/>
        <v>43129.200250831018</v>
      </c>
      <c r="J13" s="71">
        <f t="shared" si="6"/>
        <v>43129.200250831018</v>
      </c>
      <c r="K13" s="71">
        <f t="shared" si="6"/>
        <v>43129.200250831018</v>
      </c>
      <c r="L13" s="71">
        <f t="shared" si="6"/>
        <v>43129.200250831018</v>
      </c>
      <c r="M13" s="71">
        <f t="shared" si="6"/>
        <v>43129.200250831018</v>
      </c>
      <c r="N13" s="71">
        <f t="shared" si="6"/>
        <v>526441.24967663886</v>
      </c>
      <c r="O13" s="105"/>
      <c r="Q13" s="107">
        <f t="shared" si="5"/>
        <v>102621.12828964044</v>
      </c>
      <c r="R13" s="107">
        <f t="shared" si="2"/>
        <v>210973.28484411014</v>
      </c>
      <c r="S13" s="107">
        <f t="shared" si="2"/>
        <v>92327.995064442148</v>
      </c>
      <c r="T13" s="107">
        <f t="shared" si="2"/>
        <v>-1419.4889849323695</v>
      </c>
      <c r="U13" s="107">
        <f t="shared" si="2"/>
        <v>1300.663602806218</v>
      </c>
      <c r="V13" s="107">
        <f t="shared" si="2"/>
        <v>120637.66686057227</v>
      </c>
      <c r="W13" s="67" t="s">
        <v>444</v>
      </c>
    </row>
    <row r="14" spans="1:23" x14ac:dyDescent="0.25">
      <c r="Q14" s="106">
        <f t="shared" si="5"/>
        <v>0</v>
      </c>
      <c r="R14" s="106">
        <f t="shared" si="2"/>
        <v>0</v>
      </c>
      <c r="S14" s="106">
        <f t="shared" si="2"/>
        <v>0</v>
      </c>
      <c r="T14" s="106">
        <f t="shared" si="2"/>
        <v>0</v>
      </c>
      <c r="U14" s="106">
        <f t="shared" si="2"/>
        <v>0</v>
      </c>
      <c r="V14" s="106">
        <f t="shared" si="2"/>
        <v>0</v>
      </c>
    </row>
    <row r="15" spans="1:23" x14ac:dyDescent="0.25">
      <c r="A15" s="67" t="s">
        <v>445</v>
      </c>
      <c r="B15" s="105">
        <f>-B9-B10</f>
        <v>-9089.0498367673208</v>
      </c>
      <c r="C15" s="105">
        <f t="shared" ref="C15:N15" si="7">-C9-C10</f>
        <v>-9089.0498367673208</v>
      </c>
      <c r="D15" s="105">
        <f t="shared" si="7"/>
        <v>-9089.0498367673208</v>
      </c>
      <c r="E15" s="105">
        <f t="shared" si="7"/>
        <v>-9089.0498367673208</v>
      </c>
      <c r="F15" s="105">
        <f t="shared" si="7"/>
        <v>-9089.0498367673208</v>
      </c>
      <c r="G15" s="105">
        <f t="shared" si="7"/>
        <v>-9089.0498367673208</v>
      </c>
      <c r="H15" s="105">
        <f t="shared" si="7"/>
        <v>-9089.0498367673208</v>
      </c>
      <c r="I15" s="105">
        <f t="shared" si="7"/>
        <v>-9089.0498367673208</v>
      </c>
      <c r="J15" s="105">
        <f t="shared" si="7"/>
        <v>-9089.0498367673208</v>
      </c>
      <c r="K15" s="105">
        <f t="shared" si="7"/>
        <v>-9089.0498367673208</v>
      </c>
      <c r="L15" s="105">
        <f t="shared" si="7"/>
        <v>-9089.0498367673208</v>
      </c>
      <c r="M15" s="105">
        <f t="shared" si="7"/>
        <v>-9089.0498367673208</v>
      </c>
      <c r="N15" s="105">
        <f t="shared" si="7"/>
        <v>-109068.59804120785</v>
      </c>
      <c r="Q15" s="106">
        <f t="shared" si="5"/>
        <v>-21261.142812864768</v>
      </c>
      <c r="R15" s="106">
        <f t="shared" si="2"/>
        <v>-43709.645504089007</v>
      </c>
      <c r="S15" s="106">
        <f t="shared" si="2"/>
        <v>-19128.601696428061</v>
      </c>
      <c r="T15" s="106">
        <f t="shared" si="2"/>
        <v>294.09107591133557</v>
      </c>
      <c r="U15" s="106">
        <f t="shared" si="2"/>
        <v>-269.47272040030606</v>
      </c>
      <c r="V15" s="106">
        <f t="shared" si="2"/>
        <v>-24993.826383337037</v>
      </c>
    </row>
    <row r="16" spans="1:23" x14ac:dyDescent="0.25">
      <c r="Q16" s="106">
        <f t="shared" si="5"/>
        <v>0</v>
      </c>
      <c r="R16" s="106">
        <f t="shared" si="2"/>
        <v>0</v>
      </c>
      <c r="S16" s="106">
        <f t="shared" si="2"/>
        <v>0</v>
      </c>
      <c r="T16" s="106">
        <f t="shared" si="2"/>
        <v>0</v>
      </c>
      <c r="U16" s="106">
        <f t="shared" si="2"/>
        <v>0</v>
      </c>
      <c r="V16" s="106">
        <f t="shared" si="2"/>
        <v>0</v>
      </c>
    </row>
    <row r="17" spans="1:23" ht="15.75" thickBot="1" x14ac:dyDescent="0.3">
      <c r="A17" s="67" t="s">
        <v>446</v>
      </c>
      <c r="B17" s="111">
        <f>B13+B15</f>
        <v>38485.573747397022</v>
      </c>
      <c r="C17" s="111">
        <f t="shared" ref="C17:N17" si="8">C13+C15</f>
        <v>38485.573747397022</v>
      </c>
      <c r="D17" s="111">
        <f t="shared" si="8"/>
        <v>34040.150414063697</v>
      </c>
      <c r="E17" s="111">
        <f t="shared" si="8"/>
        <v>34040.150414063697</v>
      </c>
      <c r="F17" s="111">
        <f t="shared" si="8"/>
        <v>34040.150414063697</v>
      </c>
      <c r="G17" s="111">
        <f t="shared" si="8"/>
        <v>34040.150414063697</v>
      </c>
      <c r="H17" s="111">
        <f t="shared" si="8"/>
        <v>34040.150414063697</v>
      </c>
      <c r="I17" s="111">
        <f t="shared" si="8"/>
        <v>34040.150414063697</v>
      </c>
      <c r="J17" s="111">
        <f t="shared" si="8"/>
        <v>34040.150414063697</v>
      </c>
      <c r="K17" s="111">
        <f t="shared" si="8"/>
        <v>34040.150414063697</v>
      </c>
      <c r="L17" s="111">
        <f t="shared" si="8"/>
        <v>34040.150414063697</v>
      </c>
      <c r="M17" s="111">
        <f t="shared" si="8"/>
        <v>34040.150414063697</v>
      </c>
      <c r="N17" s="111">
        <f t="shared" si="8"/>
        <v>417372.65163543099</v>
      </c>
      <c r="Q17" s="108">
        <f t="shared" si="5"/>
        <v>81359.985476775677</v>
      </c>
      <c r="R17" s="108">
        <f t="shared" si="2"/>
        <v>167263.63934002112</v>
      </c>
      <c r="S17" s="108">
        <f t="shared" si="2"/>
        <v>73199.393368014076</v>
      </c>
      <c r="T17" s="108">
        <f t="shared" si="2"/>
        <v>-1125.3979090210339</v>
      </c>
      <c r="U17" s="108">
        <f t="shared" si="2"/>
        <v>1031.1908824059119</v>
      </c>
      <c r="V17" s="108">
        <f t="shared" si="2"/>
        <v>95643.840477235222</v>
      </c>
      <c r="W17" s="67" t="s">
        <v>447</v>
      </c>
    </row>
    <row r="18" spans="1:23" ht="15.75" thickTop="1" x14ac:dyDescent="0.25"/>
  </sheetData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workbookViewId="0">
      <selection activeCell="B4" sqref="B4"/>
    </sheetView>
  </sheetViews>
  <sheetFormatPr defaultRowHeight="15" x14ac:dyDescent="0.25"/>
  <cols>
    <col min="1" max="1" width="25.140625" bestFit="1" customWidth="1"/>
    <col min="2" max="10" width="16.42578125" bestFit="1" customWidth="1"/>
    <col min="11" max="13" width="17.5703125" bestFit="1" customWidth="1"/>
    <col min="14" max="14" width="9.7109375" bestFit="1" customWidth="1"/>
    <col min="16" max="16" width="8.42578125" bestFit="1" customWidth="1"/>
    <col min="17" max="19" width="11.5703125" bestFit="1" customWidth="1"/>
    <col min="20" max="20" width="10.28515625" bestFit="1" customWidth="1"/>
    <col min="21" max="21" width="9.5703125" bestFit="1" customWidth="1"/>
    <col min="22" max="22" width="11.5703125" bestFit="1" customWidth="1"/>
    <col min="23" max="23" width="14.140625" bestFit="1" customWidth="1"/>
  </cols>
  <sheetData>
    <row r="1" spans="1:23" x14ac:dyDescent="0.25">
      <c r="A1" s="109" t="s">
        <v>448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P1" s="4" t="s">
        <v>1</v>
      </c>
      <c r="Q1" s="4" t="s">
        <v>3</v>
      </c>
      <c r="R1" s="4"/>
      <c r="S1" s="4"/>
      <c r="T1" s="4"/>
      <c r="U1" s="4"/>
      <c r="V1" s="4"/>
    </row>
    <row r="2" spans="1:23" x14ac:dyDescent="0.25">
      <c r="A2" s="109" t="s">
        <v>449</v>
      </c>
      <c r="B2" s="109" t="s">
        <v>421</v>
      </c>
      <c r="C2" s="109" t="s">
        <v>422</v>
      </c>
      <c r="D2" s="109" t="s">
        <v>423</v>
      </c>
      <c r="E2" s="109" t="s">
        <v>424</v>
      </c>
      <c r="F2" s="109" t="s">
        <v>425</v>
      </c>
      <c r="G2" s="109" t="s">
        <v>426</v>
      </c>
      <c r="H2" s="109" t="s">
        <v>427</v>
      </c>
      <c r="I2" s="109" t="s">
        <v>428</v>
      </c>
      <c r="J2" s="109" t="s">
        <v>429</v>
      </c>
      <c r="K2" s="109" t="s">
        <v>430</v>
      </c>
      <c r="L2" s="109" t="s">
        <v>431</v>
      </c>
      <c r="M2" s="109" t="s">
        <v>432</v>
      </c>
      <c r="N2" s="109" t="s">
        <v>32</v>
      </c>
      <c r="P2" s="4" t="s">
        <v>5</v>
      </c>
      <c r="Q2" s="4" t="s">
        <v>6</v>
      </c>
      <c r="R2" s="4" t="s">
        <v>7</v>
      </c>
      <c r="S2" s="4" t="s">
        <v>8</v>
      </c>
      <c r="T2" s="4" t="s">
        <v>9</v>
      </c>
      <c r="U2" s="4" t="s">
        <v>10</v>
      </c>
      <c r="V2" s="4" t="s">
        <v>11</v>
      </c>
    </row>
    <row r="3" spans="1:23" x14ac:dyDescent="0.25">
      <c r="A3" t="s">
        <v>433</v>
      </c>
      <c r="B3" s="68">
        <v>0</v>
      </c>
      <c r="C3" s="68">
        <v>0</v>
      </c>
      <c r="D3" s="68">
        <v>0</v>
      </c>
      <c r="E3" s="68">
        <v>0</v>
      </c>
      <c r="F3" s="68">
        <v>0</v>
      </c>
      <c r="G3" s="68">
        <v>0</v>
      </c>
      <c r="H3" s="68">
        <v>0</v>
      </c>
      <c r="I3" s="68">
        <v>0</v>
      </c>
      <c r="J3" s="68">
        <v>0</v>
      </c>
      <c r="K3" s="68">
        <v>0</v>
      </c>
      <c r="L3" s="68">
        <v>0</v>
      </c>
      <c r="M3" s="68">
        <v>0</v>
      </c>
      <c r="P3" s="4"/>
      <c r="Q3" s="104">
        <f>'Allocation Factors 23'!C11</f>
        <v>8.9244411496124013E-2</v>
      </c>
      <c r="R3" s="104">
        <f>'Allocation Factors 23'!E11</f>
        <v>0.19878321516673181</v>
      </c>
      <c r="S3" s="104">
        <f>'Allocation Factors 23'!B11</f>
        <v>8.535118756709327E-2</v>
      </c>
      <c r="T3" s="104">
        <f>'Allocation Factors 23'!D11</f>
        <v>1.8279787732201304E-3</v>
      </c>
      <c r="U3" s="104">
        <f>'Allocation Factors 23'!F11</f>
        <v>1.0336046913033991E-3</v>
      </c>
      <c r="V3" s="104">
        <f>'Allocation Factors 23'!G11</f>
        <v>0.62375960230552752</v>
      </c>
    </row>
    <row r="4" spans="1:23" x14ac:dyDescent="0.25">
      <c r="A4" t="s">
        <v>434</v>
      </c>
      <c r="B4" s="68">
        <f>'FC depreciation adjustment 22'!M4-14628.42</f>
        <v>127.84216059028222</v>
      </c>
      <c r="C4" s="68">
        <f>B4</f>
        <v>127.84216059028222</v>
      </c>
      <c r="D4" s="68">
        <f t="shared" ref="D4:M4" si="0">C4</f>
        <v>127.84216059028222</v>
      </c>
      <c r="E4" s="68">
        <f t="shared" si="0"/>
        <v>127.84216059028222</v>
      </c>
      <c r="F4" s="68">
        <f t="shared" si="0"/>
        <v>127.84216059028222</v>
      </c>
      <c r="G4" s="68">
        <f t="shared" si="0"/>
        <v>127.84216059028222</v>
      </c>
      <c r="H4" s="68">
        <f t="shared" si="0"/>
        <v>127.84216059028222</v>
      </c>
      <c r="I4" s="68">
        <f t="shared" si="0"/>
        <v>127.84216059028222</v>
      </c>
      <c r="J4" s="68">
        <f t="shared" si="0"/>
        <v>127.84216059028222</v>
      </c>
      <c r="K4" s="68">
        <f t="shared" si="0"/>
        <v>127.84216059028222</v>
      </c>
      <c r="L4" s="68">
        <f t="shared" si="0"/>
        <v>127.84216059028222</v>
      </c>
      <c r="M4" s="68">
        <f t="shared" si="0"/>
        <v>127.84216059028222</v>
      </c>
      <c r="N4" s="105">
        <f t="shared" ref="N4:N12" si="1">SUM(B4:M4)</f>
        <v>1534.1059270833866</v>
      </c>
      <c r="Q4" s="106">
        <f>$N4*Q$3</f>
        <v>136.91038063527259</v>
      </c>
      <c r="R4" s="106">
        <f t="shared" ref="R4:V17" si="2">$N4*R$3</f>
        <v>304.95450859197541</v>
      </c>
      <c r="S4" s="106">
        <f t="shared" si="2"/>
        <v>130.93776273028365</v>
      </c>
      <c r="T4" s="106">
        <f t="shared" si="2"/>
        <v>2.80431307057962</v>
      </c>
      <c r="U4" s="106">
        <f t="shared" si="2"/>
        <v>1.5856590831897388</v>
      </c>
      <c r="V4" s="106">
        <f t="shared" si="2"/>
        <v>956.91330297208583</v>
      </c>
    </row>
    <row r="5" spans="1:23" x14ac:dyDescent="0.25">
      <c r="A5" t="s">
        <v>435</v>
      </c>
      <c r="B5" s="68">
        <f>'FC depreciation adjustment 22'!M5</f>
        <v>2448.3716666666683</v>
      </c>
      <c r="C5" s="68">
        <f t="shared" ref="C5:M12" si="3">B5</f>
        <v>2448.3716666666683</v>
      </c>
      <c r="D5" s="68">
        <f t="shared" si="3"/>
        <v>2448.3716666666683</v>
      </c>
      <c r="E5" s="68">
        <f t="shared" si="3"/>
        <v>2448.3716666666683</v>
      </c>
      <c r="F5" s="68">
        <f t="shared" si="3"/>
        <v>2448.3716666666683</v>
      </c>
      <c r="G5" s="68">
        <f t="shared" si="3"/>
        <v>2448.3716666666683</v>
      </c>
      <c r="H5" s="68">
        <f t="shared" si="3"/>
        <v>2448.3716666666683</v>
      </c>
      <c r="I5" s="68">
        <f t="shared" si="3"/>
        <v>2448.3716666666683</v>
      </c>
      <c r="J5" s="68">
        <f t="shared" si="3"/>
        <v>2448.3716666666683</v>
      </c>
      <c r="K5" s="68">
        <f t="shared" si="3"/>
        <v>2448.3716666666683</v>
      </c>
      <c r="L5" s="68">
        <f t="shared" si="3"/>
        <v>2448.3716666666683</v>
      </c>
      <c r="M5" s="68">
        <f t="shared" si="3"/>
        <v>2448.3716666666683</v>
      </c>
      <c r="N5" s="105">
        <f t="shared" si="1"/>
        <v>29380.460000000025</v>
      </c>
      <c r="Q5" s="106">
        <f t="shared" ref="Q5:Q17" si="4">$N5*Q$3</f>
        <v>2622.0418621854137</v>
      </c>
      <c r="R5" s="106">
        <f t="shared" si="2"/>
        <v>5840.342301877562</v>
      </c>
      <c r="S5" s="106">
        <f t="shared" si="2"/>
        <v>2507.6571522674831</v>
      </c>
      <c r="T5" s="106">
        <f t="shared" si="2"/>
        <v>53.706857227443159</v>
      </c>
      <c r="U5" s="106">
        <f t="shared" si="2"/>
        <v>30.367781288651891</v>
      </c>
      <c r="V5" s="106">
        <f t="shared" si="2"/>
        <v>18326.344045153473</v>
      </c>
    </row>
    <row r="6" spans="1:23" x14ac:dyDescent="0.25">
      <c r="A6" t="s">
        <v>436</v>
      </c>
      <c r="B6" s="68">
        <f>'FC depreciation adjustment 22'!M6+2355</f>
        <v>16983.43</v>
      </c>
      <c r="C6" s="68">
        <f t="shared" si="3"/>
        <v>16983.43</v>
      </c>
      <c r="D6" s="68">
        <f t="shared" si="3"/>
        <v>16983.43</v>
      </c>
      <c r="E6" s="68">
        <f t="shared" si="3"/>
        <v>16983.43</v>
      </c>
      <c r="F6" s="68">
        <f t="shared" si="3"/>
        <v>16983.43</v>
      </c>
      <c r="G6" s="68">
        <f t="shared" si="3"/>
        <v>16983.43</v>
      </c>
      <c r="H6" s="68">
        <f t="shared" si="3"/>
        <v>16983.43</v>
      </c>
      <c r="I6" s="68">
        <f t="shared" si="3"/>
        <v>16983.43</v>
      </c>
      <c r="J6" s="68">
        <f t="shared" si="3"/>
        <v>16983.43</v>
      </c>
      <c r="K6" s="68">
        <f t="shared" si="3"/>
        <v>16983.43</v>
      </c>
      <c r="L6" s="68">
        <f t="shared" si="3"/>
        <v>16983.43</v>
      </c>
      <c r="M6" s="68">
        <f t="shared" si="3"/>
        <v>16983.43</v>
      </c>
      <c r="N6" s="105">
        <f t="shared" si="1"/>
        <v>203801.15999999995</v>
      </c>
      <c r="Q6" s="106">
        <f t="shared" si="4"/>
        <v>18188.114586427404</v>
      </c>
      <c r="R6" s="106">
        <f t="shared" si="2"/>
        <v>40512.249839509524</v>
      </c>
      <c r="S6" s="106">
        <f t="shared" si="2"/>
        <v>17394.671033551182</v>
      </c>
      <c r="T6" s="106">
        <f t="shared" si="2"/>
        <v>372.54419443763942</v>
      </c>
      <c r="U6" s="106">
        <f t="shared" si="2"/>
        <v>210.64983506907458</v>
      </c>
      <c r="V6" s="106">
        <f t="shared" si="2"/>
        <v>127122.93051100515</v>
      </c>
    </row>
    <row r="7" spans="1:23" x14ac:dyDescent="0.25">
      <c r="A7" t="s">
        <v>437</v>
      </c>
      <c r="B7" s="68">
        <f>'FC depreciation adjustment 22'!M7-513.58</f>
        <v>-2939.8383333333331</v>
      </c>
      <c r="C7" s="68">
        <f t="shared" si="3"/>
        <v>-2939.8383333333331</v>
      </c>
      <c r="D7" s="68">
        <f t="shared" si="3"/>
        <v>-2939.8383333333331</v>
      </c>
      <c r="E7" s="68">
        <f t="shared" si="3"/>
        <v>-2939.8383333333331</v>
      </c>
      <c r="F7" s="68">
        <f t="shared" si="3"/>
        <v>-2939.8383333333331</v>
      </c>
      <c r="G7" s="68">
        <f t="shared" si="3"/>
        <v>-2939.8383333333331</v>
      </c>
      <c r="H7" s="68">
        <f t="shared" si="3"/>
        <v>-2939.8383333333331</v>
      </c>
      <c r="I7" s="68">
        <f t="shared" si="3"/>
        <v>-2939.8383333333331</v>
      </c>
      <c r="J7" s="68">
        <f t="shared" si="3"/>
        <v>-2939.8383333333331</v>
      </c>
      <c r="K7" s="68">
        <f t="shared" si="3"/>
        <v>-2939.8383333333331</v>
      </c>
      <c r="L7" s="68">
        <f t="shared" si="3"/>
        <v>-2939.8383333333331</v>
      </c>
      <c r="M7" s="68">
        <f t="shared" si="3"/>
        <v>-2939.8383333333331</v>
      </c>
      <c r="N7" s="105">
        <f t="shared" si="1"/>
        <v>-35278.06</v>
      </c>
      <c r="Q7" s="106">
        <f t="shared" si="4"/>
        <v>-3148.3697034249526</v>
      </c>
      <c r="R7" s="106">
        <f t="shared" si="2"/>
        <v>-7012.6861916448743</v>
      </c>
      <c r="S7" s="106">
        <f t="shared" si="2"/>
        <v>-3011.0243160631703</v>
      </c>
      <c r="T7" s="106">
        <f t="shared" si="2"/>
        <v>-64.48754484038615</v>
      </c>
      <c r="U7" s="106">
        <f t="shared" si="2"/>
        <v>-36.463568316082792</v>
      </c>
      <c r="V7" s="106">
        <f t="shared" si="2"/>
        <v>-22005.028675710535</v>
      </c>
    </row>
    <row r="8" spans="1:23" x14ac:dyDescent="0.25">
      <c r="A8" t="s">
        <v>438</v>
      </c>
      <c r="B8" s="68">
        <f>'FC depreciation adjustment 22'!M8+3204</f>
        <v>999.15369328519955</v>
      </c>
      <c r="C8" s="68">
        <f t="shared" si="3"/>
        <v>999.15369328519955</v>
      </c>
      <c r="D8" s="68">
        <f t="shared" si="3"/>
        <v>999.15369328519955</v>
      </c>
      <c r="E8" s="68">
        <f t="shared" si="3"/>
        <v>999.15369328519955</v>
      </c>
      <c r="F8" s="68">
        <f t="shared" si="3"/>
        <v>999.15369328519955</v>
      </c>
      <c r="G8" s="68">
        <f t="shared" si="3"/>
        <v>999.15369328519955</v>
      </c>
      <c r="H8" s="68">
        <f t="shared" si="3"/>
        <v>999.15369328519955</v>
      </c>
      <c r="I8" s="68">
        <f t="shared" si="3"/>
        <v>999.15369328519955</v>
      </c>
      <c r="J8" s="68">
        <f t="shared" si="3"/>
        <v>999.15369328519955</v>
      </c>
      <c r="K8" s="68">
        <f t="shared" si="3"/>
        <v>999.15369328519955</v>
      </c>
      <c r="L8" s="68">
        <f t="shared" si="3"/>
        <v>999.15369328519955</v>
      </c>
      <c r="M8" s="68">
        <f t="shared" si="3"/>
        <v>999.15369328519955</v>
      </c>
      <c r="N8" s="105">
        <f t="shared" si="1"/>
        <v>11989.844319422395</v>
      </c>
      <c r="Q8" s="106">
        <f t="shared" si="4"/>
        <v>1070.0266002169972</v>
      </c>
      <c r="R8" s="106">
        <f t="shared" si="2"/>
        <v>2383.3798031633592</v>
      </c>
      <c r="S8" s="106">
        <f t="shared" si="2"/>
        <v>1023.3474514072685</v>
      </c>
      <c r="T8" s="106">
        <f t="shared" si="2"/>
        <v>21.917180910118098</v>
      </c>
      <c r="U8" s="106">
        <f t="shared" si="2"/>
        <v>12.392759336552398</v>
      </c>
      <c r="V8" s="106">
        <f t="shared" si="2"/>
        <v>7478.7805243881012</v>
      </c>
    </row>
    <row r="9" spans="1:23" x14ac:dyDescent="0.25">
      <c r="A9" t="s">
        <v>439</v>
      </c>
      <c r="B9" s="68">
        <f>'FC depreciation adjustment 22'!M9</f>
        <v>3742.6899029307069</v>
      </c>
      <c r="C9" s="68">
        <f t="shared" si="3"/>
        <v>3742.6899029307069</v>
      </c>
      <c r="D9" s="68">
        <f t="shared" si="3"/>
        <v>3742.6899029307069</v>
      </c>
      <c r="E9" s="68">
        <f t="shared" si="3"/>
        <v>3742.6899029307069</v>
      </c>
      <c r="F9" s="68">
        <f t="shared" si="3"/>
        <v>3742.6899029307069</v>
      </c>
      <c r="G9" s="68">
        <f t="shared" si="3"/>
        <v>3742.6899029307069</v>
      </c>
      <c r="H9" s="68">
        <f t="shared" si="3"/>
        <v>3742.6899029307069</v>
      </c>
      <c r="I9" s="68">
        <f t="shared" si="3"/>
        <v>3742.6899029307069</v>
      </c>
      <c r="J9" s="68">
        <f t="shared" si="3"/>
        <v>3742.6899029307069</v>
      </c>
      <c r="K9" s="68">
        <f t="shared" si="3"/>
        <v>3742.6899029307069</v>
      </c>
      <c r="L9" s="68">
        <f t="shared" si="3"/>
        <v>3742.6899029307069</v>
      </c>
      <c r="M9" s="68">
        <f t="shared" si="3"/>
        <v>3742.6899029307069</v>
      </c>
      <c r="N9" s="105">
        <f t="shared" si="1"/>
        <v>44912.278835168487</v>
      </c>
      <c r="Q9" s="106">
        <f t="shared" si="4"/>
        <v>4008.1698935944378</v>
      </c>
      <c r="R9" s="106">
        <f t="shared" si="2"/>
        <v>8927.8071873195531</v>
      </c>
      <c r="S9" s="106">
        <f t="shared" si="2"/>
        <v>3833.316334926059</v>
      </c>
      <c r="T9" s="106">
        <f t="shared" si="2"/>
        <v>82.098692367631713</v>
      </c>
      <c r="U9" s="106">
        <f t="shared" si="2"/>
        <v>46.421542101156511</v>
      </c>
      <c r="V9" s="106">
        <f t="shared" si="2"/>
        <v>28014.465184859655</v>
      </c>
    </row>
    <row r="10" spans="1:23" x14ac:dyDescent="0.25">
      <c r="A10" t="s">
        <v>440</v>
      </c>
      <c r="B10" s="68">
        <f>'FC depreciation adjustment 22'!M10</f>
        <v>5346.3599338366139</v>
      </c>
      <c r="C10" s="68">
        <f t="shared" si="3"/>
        <v>5346.3599338366139</v>
      </c>
      <c r="D10" s="68">
        <f t="shared" si="3"/>
        <v>5346.3599338366139</v>
      </c>
      <c r="E10" s="68">
        <f t="shared" si="3"/>
        <v>5346.3599338366139</v>
      </c>
      <c r="F10" s="68">
        <f t="shared" si="3"/>
        <v>5346.3599338366139</v>
      </c>
      <c r="G10" s="68">
        <f t="shared" si="3"/>
        <v>5346.3599338366139</v>
      </c>
      <c r="H10" s="68">
        <f t="shared" si="3"/>
        <v>5346.3599338366139</v>
      </c>
      <c r="I10" s="68">
        <f t="shared" si="3"/>
        <v>5346.3599338366139</v>
      </c>
      <c r="J10" s="68">
        <f t="shared" si="3"/>
        <v>5346.3599338366139</v>
      </c>
      <c r="K10" s="68">
        <f t="shared" si="3"/>
        <v>5346.3599338366139</v>
      </c>
      <c r="L10" s="68">
        <f t="shared" si="3"/>
        <v>5346.3599338366139</v>
      </c>
      <c r="M10" s="68">
        <f t="shared" si="3"/>
        <v>5346.3599338366139</v>
      </c>
      <c r="N10" s="105">
        <f t="shared" si="1"/>
        <v>64156.319206039356</v>
      </c>
      <c r="Q10" s="106">
        <f t="shared" si="4"/>
        <v>5725.5929513004603</v>
      </c>
      <c r="R10" s="106">
        <f t="shared" si="2"/>
        <v>12753.19940503965</v>
      </c>
      <c r="S10" s="106">
        <f t="shared" si="2"/>
        <v>5475.8180341689731</v>
      </c>
      <c r="T10" s="106">
        <f t="shared" si="2"/>
        <v>117.27638967657491</v>
      </c>
      <c r="U10" s="106">
        <f t="shared" si="2"/>
        <v>66.312272508120643</v>
      </c>
      <c r="V10" s="106">
        <f t="shared" si="2"/>
        <v>40018.120153345582</v>
      </c>
    </row>
    <row r="11" spans="1:23" x14ac:dyDescent="0.25">
      <c r="A11" t="s">
        <v>441</v>
      </c>
      <c r="B11" s="68">
        <f>'FC depreciation adjustment 22'!M11-2000.67</f>
        <v>4107.3112395321887</v>
      </c>
      <c r="C11" s="68">
        <f t="shared" si="3"/>
        <v>4107.3112395321887</v>
      </c>
      <c r="D11" s="68">
        <f t="shared" si="3"/>
        <v>4107.3112395321887</v>
      </c>
      <c r="E11" s="68">
        <f t="shared" si="3"/>
        <v>4107.3112395321887</v>
      </c>
      <c r="F11" s="68">
        <f t="shared" si="3"/>
        <v>4107.3112395321887</v>
      </c>
      <c r="G11" s="68">
        <f t="shared" si="3"/>
        <v>4107.3112395321887</v>
      </c>
      <c r="H11" s="68">
        <f t="shared" si="3"/>
        <v>4107.3112395321887</v>
      </c>
      <c r="I11" s="68">
        <f t="shared" si="3"/>
        <v>4107.3112395321887</v>
      </c>
      <c r="J11" s="68">
        <f t="shared" si="3"/>
        <v>4107.3112395321887</v>
      </c>
      <c r="K11" s="68">
        <f t="shared" si="3"/>
        <v>4107.3112395321887</v>
      </c>
      <c r="L11" s="68">
        <f t="shared" si="3"/>
        <v>4107.3112395321887</v>
      </c>
      <c r="M11" s="68">
        <f t="shared" si="3"/>
        <v>4107.3112395321887</v>
      </c>
      <c r="N11" s="105">
        <f t="shared" si="1"/>
        <v>49287.73487438626</v>
      </c>
      <c r="Q11" s="106">
        <f t="shared" si="4"/>
        <v>4398.6548928415896</v>
      </c>
      <c r="R11" s="106">
        <f t="shared" si="2"/>
        <v>9797.574406615955</v>
      </c>
      <c r="S11" s="106">
        <f t="shared" si="2"/>
        <v>4206.7667040209062</v>
      </c>
      <c r="T11" s="106">
        <f t="shared" si="2"/>
        <v>90.096933130479627</v>
      </c>
      <c r="U11" s="106">
        <f t="shared" si="2"/>
        <v>50.944033989883792</v>
      </c>
      <c r="V11" s="106">
        <f t="shared" si="2"/>
        <v>30743.697903787452</v>
      </c>
    </row>
    <row r="12" spans="1:23" x14ac:dyDescent="0.25">
      <c r="A12" t="s">
        <v>442</v>
      </c>
      <c r="B12" s="68">
        <f>'FC depreciation adjustment 22'!M12-568.83</f>
        <v>161.37998732269955</v>
      </c>
      <c r="C12" s="68">
        <f t="shared" si="3"/>
        <v>161.37998732269955</v>
      </c>
      <c r="D12" s="68">
        <f t="shared" si="3"/>
        <v>161.37998732269955</v>
      </c>
      <c r="E12" s="68">
        <f t="shared" si="3"/>
        <v>161.37998732269955</v>
      </c>
      <c r="F12" s="68">
        <f t="shared" si="3"/>
        <v>161.37998732269955</v>
      </c>
      <c r="G12" s="68">
        <f t="shared" si="3"/>
        <v>161.37998732269955</v>
      </c>
      <c r="H12" s="68">
        <f t="shared" si="3"/>
        <v>161.37998732269955</v>
      </c>
      <c r="I12" s="68">
        <f t="shared" si="3"/>
        <v>161.37998732269955</v>
      </c>
      <c r="J12" s="68">
        <f t="shared" si="3"/>
        <v>161.37998732269955</v>
      </c>
      <c r="K12" s="68">
        <f t="shared" si="3"/>
        <v>161.37998732269955</v>
      </c>
      <c r="L12" s="68">
        <f t="shared" si="3"/>
        <v>161.37998732269955</v>
      </c>
      <c r="M12" s="68">
        <f t="shared" si="3"/>
        <v>161.37998732269955</v>
      </c>
      <c r="N12" s="105">
        <f t="shared" si="1"/>
        <v>1936.5598478723941</v>
      </c>
      <c r="Q12" s="106">
        <f t="shared" si="4"/>
        <v>172.82714395039525</v>
      </c>
      <c r="R12" s="106">
        <f t="shared" si="2"/>
        <v>384.95559292287152</v>
      </c>
      <c r="S12" s="106">
        <f t="shared" si="2"/>
        <v>165.28768281065831</v>
      </c>
      <c r="T12" s="106">
        <f t="shared" si="2"/>
        <v>3.5399902949811413</v>
      </c>
      <c r="U12" s="106">
        <f t="shared" si="2"/>
        <v>2.0016373437507036</v>
      </c>
      <c r="V12" s="106">
        <f t="shared" si="2"/>
        <v>1207.9478005497374</v>
      </c>
    </row>
    <row r="13" spans="1:23" x14ac:dyDescent="0.25">
      <c r="A13" t="s">
        <v>443</v>
      </c>
      <c r="B13" s="71">
        <f>SUM(B3:B12)</f>
        <v>30976.700250831025</v>
      </c>
      <c r="C13" s="71">
        <f t="shared" ref="C13:N13" si="5">SUM(C3:C12)</f>
        <v>30976.700250831025</v>
      </c>
      <c r="D13" s="71">
        <f t="shared" si="5"/>
        <v>30976.700250831025</v>
      </c>
      <c r="E13" s="71">
        <f t="shared" si="5"/>
        <v>30976.700250831025</v>
      </c>
      <c r="F13" s="71">
        <f t="shared" si="5"/>
        <v>30976.700250831025</v>
      </c>
      <c r="G13" s="71">
        <f t="shared" si="5"/>
        <v>30976.700250831025</v>
      </c>
      <c r="H13" s="71">
        <f t="shared" si="5"/>
        <v>30976.700250831025</v>
      </c>
      <c r="I13" s="71">
        <f t="shared" si="5"/>
        <v>30976.700250831025</v>
      </c>
      <c r="J13" s="71">
        <f t="shared" si="5"/>
        <v>30976.700250831025</v>
      </c>
      <c r="K13" s="71">
        <f t="shared" si="5"/>
        <v>30976.700250831025</v>
      </c>
      <c r="L13" s="71">
        <f t="shared" si="5"/>
        <v>30976.700250831025</v>
      </c>
      <c r="M13" s="71">
        <f t="shared" si="5"/>
        <v>30976.700250831025</v>
      </c>
      <c r="N13" s="71">
        <f t="shared" si="5"/>
        <v>371720.40300997224</v>
      </c>
      <c r="Q13" s="107">
        <f t="shared" si="4"/>
        <v>33173.968607727016</v>
      </c>
      <c r="R13" s="107">
        <f t="shared" si="2"/>
        <v>73891.776853395568</v>
      </c>
      <c r="S13" s="107">
        <f t="shared" si="2"/>
        <v>31726.777839819642</v>
      </c>
      <c r="T13" s="107">
        <f t="shared" si="2"/>
        <v>679.49700627506149</v>
      </c>
      <c r="U13" s="107">
        <f t="shared" si="2"/>
        <v>384.21195240429745</v>
      </c>
      <c r="V13" s="107">
        <f t="shared" si="2"/>
        <v>231864.17075035069</v>
      </c>
      <c r="W13" s="67" t="s">
        <v>444</v>
      </c>
    </row>
    <row r="14" spans="1:23" x14ac:dyDescent="0.25">
      <c r="Q14" s="106">
        <f t="shared" si="4"/>
        <v>0</v>
      </c>
      <c r="R14" s="106">
        <f t="shared" si="2"/>
        <v>0</v>
      </c>
      <c r="S14" s="106">
        <f t="shared" si="2"/>
        <v>0</v>
      </c>
      <c r="T14" s="106">
        <f t="shared" si="2"/>
        <v>0</v>
      </c>
      <c r="U14" s="106">
        <f t="shared" si="2"/>
        <v>0</v>
      </c>
      <c r="V14" s="106">
        <f t="shared" si="2"/>
        <v>0</v>
      </c>
    </row>
    <row r="15" spans="1:23" x14ac:dyDescent="0.25">
      <c r="A15" s="67" t="s">
        <v>445</v>
      </c>
      <c r="B15" s="105">
        <f>-B9-B10</f>
        <v>-9089.0498367673208</v>
      </c>
      <c r="C15" s="105">
        <f t="shared" ref="C15:N15" si="6">-C9-C10</f>
        <v>-9089.0498367673208</v>
      </c>
      <c r="D15" s="105">
        <f t="shared" si="6"/>
        <v>-9089.0498367673208</v>
      </c>
      <c r="E15" s="105">
        <f t="shared" si="6"/>
        <v>-9089.0498367673208</v>
      </c>
      <c r="F15" s="105">
        <f t="shared" si="6"/>
        <v>-9089.0498367673208</v>
      </c>
      <c r="G15" s="105">
        <f t="shared" si="6"/>
        <v>-9089.0498367673208</v>
      </c>
      <c r="H15" s="105">
        <f t="shared" si="6"/>
        <v>-9089.0498367673208</v>
      </c>
      <c r="I15" s="105">
        <f t="shared" si="6"/>
        <v>-9089.0498367673208</v>
      </c>
      <c r="J15" s="105">
        <f t="shared" si="6"/>
        <v>-9089.0498367673208</v>
      </c>
      <c r="K15" s="105">
        <f t="shared" si="6"/>
        <v>-9089.0498367673208</v>
      </c>
      <c r="L15" s="105">
        <f t="shared" si="6"/>
        <v>-9089.0498367673208</v>
      </c>
      <c r="M15" s="105">
        <f t="shared" si="6"/>
        <v>-9089.0498367673208</v>
      </c>
      <c r="N15" s="105">
        <f t="shared" si="6"/>
        <v>-109068.59804120785</v>
      </c>
      <c r="Q15" s="106">
        <f t="shared" si="4"/>
        <v>-9733.7628448948981</v>
      </c>
      <c r="R15" s="106">
        <f t="shared" si="2"/>
        <v>-21681.006592359205</v>
      </c>
      <c r="S15" s="106">
        <f t="shared" si="2"/>
        <v>-9309.1343690950325</v>
      </c>
      <c r="T15" s="106">
        <f t="shared" si="2"/>
        <v>-199.37508204420664</v>
      </c>
      <c r="U15" s="106">
        <f t="shared" si="2"/>
        <v>-112.73381460927716</v>
      </c>
      <c r="V15" s="106">
        <f t="shared" si="2"/>
        <v>-68032.585338205245</v>
      </c>
    </row>
    <row r="16" spans="1:23" x14ac:dyDescent="0.25">
      <c r="Q16" s="106">
        <f t="shared" si="4"/>
        <v>0</v>
      </c>
      <c r="R16" s="106">
        <f t="shared" si="2"/>
        <v>0</v>
      </c>
      <c r="S16" s="106">
        <f t="shared" si="2"/>
        <v>0</v>
      </c>
      <c r="T16" s="106">
        <f t="shared" si="2"/>
        <v>0</v>
      </c>
      <c r="U16" s="106">
        <f t="shared" si="2"/>
        <v>0</v>
      </c>
      <c r="V16" s="106">
        <f t="shared" si="2"/>
        <v>0</v>
      </c>
    </row>
    <row r="17" spans="1:23" ht="15.75" thickBot="1" x14ac:dyDescent="0.3">
      <c r="A17" s="67" t="s">
        <v>446</v>
      </c>
      <c r="B17" s="111">
        <f>B13+B15</f>
        <v>21887.650414063704</v>
      </c>
      <c r="C17" s="111">
        <f t="shared" ref="C17:N17" si="7">C13+C15</f>
        <v>21887.650414063704</v>
      </c>
      <c r="D17" s="111">
        <f t="shared" si="7"/>
        <v>21887.650414063704</v>
      </c>
      <c r="E17" s="111">
        <f t="shared" si="7"/>
        <v>21887.650414063704</v>
      </c>
      <c r="F17" s="111">
        <f t="shared" si="7"/>
        <v>21887.650414063704</v>
      </c>
      <c r="G17" s="111">
        <f t="shared" si="7"/>
        <v>21887.650414063704</v>
      </c>
      <c r="H17" s="111">
        <f t="shared" si="7"/>
        <v>21887.650414063704</v>
      </c>
      <c r="I17" s="111">
        <f t="shared" si="7"/>
        <v>21887.650414063704</v>
      </c>
      <c r="J17" s="111">
        <f t="shared" si="7"/>
        <v>21887.650414063704</v>
      </c>
      <c r="K17" s="111">
        <f t="shared" si="7"/>
        <v>21887.650414063704</v>
      </c>
      <c r="L17" s="111">
        <f t="shared" si="7"/>
        <v>21887.650414063704</v>
      </c>
      <c r="M17" s="111">
        <f t="shared" si="7"/>
        <v>21887.650414063704</v>
      </c>
      <c r="N17" s="111">
        <f t="shared" si="7"/>
        <v>262651.80496876442</v>
      </c>
      <c r="Q17" s="108">
        <f t="shared" si="4"/>
        <v>23440.20576283212</v>
      </c>
      <c r="R17" s="108">
        <f t="shared" si="2"/>
        <v>52210.770261036378</v>
      </c>
      <c r="S17" s="108">
        <f t="shared" si="2"/>
        <v>22417.643470724612</v>
      </c>
      <c r="T17" s="108">
        <f t="shared" si="2"/>
        <v>480.12192423085492</v>
      </c>
      <c r="U17" s="108">
        <f t="shared" si="2"/>
        <v>271.47813779502036</v>
      </c>
      <c r="V17" s="108">
        <f t="shared" si="2"/>
        <v>163831.58541214548</v>
      </c>
      <c r="W17" s="67" t="s">
        <v>447</v>
      </c>
    </row>
    <row r="18" spans="1:23" ht="15.75" thickTop="1" x14ac:dyDescent="0.25"/>
  </sheetData>
  <pageMargins left="0.7" right="0.7" top="0.75" bottom="0.75" header="0.3" footer="0.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 A C T I V E ! 1 5 6 7 5 9 5 6 . 1 < / d o c u m e n t i d >  
     < s e n d e r i d > K E A B E T < / s e n d e r i d >  
     < s e n d e r e m a i l > B K E A T I N G @ G U N S T E R . C O M < / s e n d e r e m a i l >  
     < l a s t m o d i f i e d > 2 0 2 2 - 0 5 - 2 4 T 1 6 : 0 8 : 0 2 . 0 0 0 0 0 0 0 - 0 4 : 0 0 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working capital and def tax 21</vt:lpstr>
      <vt:lpstr>WC def tax 22</vt:lpstr>
      <vt:lpstr>WC def tax 23</vt:lpstr>
      <vt:lpstr>FC common plant 21</vt:lpstr>
      <vt:lpstr>FC Common pl 22</vt:lpstr>
      <vt:lpstr>FC common pl 23</vt:lpstr>
      <vt:lpstr>FC depreciation adjustment 21</vt:lpstr>
      <vt:lpstr>FC depreciation adjustment 22</vt:lpstr>
      <vt:lpstr>FC depreciation adjustment 23</vt:lpstr>
      <vt:lpstr>Corporate and Skipjack Alloc 21</vt:lpstr>
      <vt:lpstr>CU and Skipjack 22</vt:lpstr>
      <vt:lpstr>CU and Skipjack 23</vt:lpstr>
      <vt:lpstr>Allocation Factors 21</vt:lpstr>
      <vt:lpstr>Allocation Factors 22</vt:lpstr>
      <vt:lpstr>Allocation Factors 23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Welch, Kathy</cp:lastModifiedBy>
  <dcterms:created xsi:type="dcterms:W3CDTF">2022-02-11T11:53:44Z</dcterms:created>
  <dcterms:modified xsi:type="dcterms:W3CDTF">2022-05-24T20:08:02Z</dcterms:modified>
</cp:coreProperties>
</file>