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OR Surveillance reports\2020\4th Quarter\FN\Filing\"/>
    </mc:Choice>
  </mc:AlternateContent>
  <bookViews>
    <workbookView xWindow="0" yWindow="0" windowWidth="25200" windowHeight="11985" tabRatio="837" firstSheet="3" activeTab="3"/>
  </bookViews>
  <sheets>
    <sheet name="INSTRUCTIONS" sheetId="44" state="hidden" r:id="rId1"/>
    <sheet name="Work_cap" sheetId="49" state="hidden" r:id="rId2"/>
    <sheet name="BS-13MO" sheetId="6" state="hidden" r:id="rId3"/>
    <sheet name="Report Summary" sheetId="8" r:id="rId4"/>
    <sheet name="Avg ROR" sheetId="9" r:id="rId5"/>
    <sheet name="NOI SCH 2 P 2" sheetId="81" r:id="rId6"/>
    <sheet name="Year End ROR" sheetId="10" r:id="rId7"/>
    <sheet name="Work Cap-Avg" sheetId="16" state="hidden" r:id="rId8"/>
    <sheet name="Work Cap-Yr End" sheetId="17" state="hidden" r:id="rId9"/>
    <sheet name="NOI SCH 3 P 2" sheetId="82" r:id="rId10"/>
    <sheet name="Capital Structure" sheetId="11" r:id="rId11"/>
    <sheet name="Rate Base Calc" sheetId="14" state="hidden" r:id="rId12"/>
    <sheet name="Rate Refund" sheetId="25" state="hidden" r:id="rId13"/>
    <sheet name="Comp Cost Rate of Debt" sheetId="35" state="hidden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D">#REF!</definedName>
    <definedName name="\I">#REF!</definedName>
    <definedName name="\INPUT">#REF!</definedName>
    <definedName name="\PRINTADJ">#REF!</definedName>
    <definedName name="\S">#REF!</definedName>
    <definedName name="\STORAGEINPUT">#REF!</definedName>
    <definedName name="__123Graph_X" hidden="1">'[1]BUDGET CASH 2002'!#REF!</definedName>
    <definedName name="__FDS_HYPERLINK_TOGGLE_STATE__" hidden="1">"ON"</definedName>
    <definedName name="__yr1">#REF!</definedName>
    <definedName name="__yr2">#REF!</definedName>
    <definedName name="__YR2006">#REF!</definedName>
    <definedName name="__YR2007">#REF!</definedName>
    <definedName name="__yr3">#REF!</definedName>
    <definedName name="_1">#REF!</definedName>
    <definedName name="_10O_MBORDER">#REF!</definedName>
    <definedName name="_11PRODUCTION_TILD">#REF!</definedName>
    <definedName name="_12PROJECT_1">#REF!</definedName>
    <definedName name="_13PROJECT_2">#REF!</definedName>
    <definedName name="_14PROJECT_3">#REF!</definedName>
    <definedName name="_15PROJECT_4">#REF!</definedName>
    <definedName name="_16PROJECT_5">#REF!</definedName>
    <definedName name="_17PROJECT_6">#REF!</definedName>
    <definedName name="_18RET_TAXBTO">#REF!</definedName>
    <definedName name="_19STORBASE1">#REF!</definedName>
    <definedName name="_1D_9">[2]Template!$A$1:$R$48</definedName>
    <definedName name="_1INCREMCOS">#REF!</definedName>
    <definedName name="_1TXPT">#REF!</definedName>
    <definedName name="_1UNDER">#REF!</definedName>
    <definedName name="_2">#REF!</definedName>
    <definedName name="_20STORBASE2">#REF!</definedName>
    <definedName name="_21STOR_GSSTRANSP">#REF!</definedName>
    <definedName name="_22STOR_WSSTRANSP">#REF!</definedName>
    <definedName name="_23TRANSM_GSS">#REF!</definedName>
    <definedName name="_24TRANSM_LSS">#REF!</definedName>
    <definedName name="_25TRANSM_SS1">#REF!</definedName>
    <definedName name="_2A">#REF!</definedName>
    <definedName name="_2B">#REF!</definedName>
    <definedName name="_2INPUTSHEET">#REF!</definedName>
    <definedName name="_2TXPT">#REF!</definedName>
    <definedName name="_2UNDER">#REF!</definedName>
    <definedName name="_3">#REF!</definedName>
    <definedName name="_3MACROS">#REF!</definedName>
    <definedName name="_3TXPT">#REF!</definedName>
    <definedName name="_3UNDER">#REF!</definedName>
    <definedName name="_4">#REF!</definedName>
    <definedName name="_4ROLLINPROJECTS">#REF!</definedName>
    <definedName name="_4TXPT">#REF!</definedName>
    <definedName name="_4UNDER">#REF!</definedName>
    <definedName name="_5">#REF!</definedName>
    <definedName name="_5\I_FILING">#REF!</definedName>
    <definedName name="_5_6">#REF!</definedName>
    <definedName name="_5A">#REF!</definedName>
    <definedName name="_6">#REF!</definedName>
    <definedName name="_6_1CHOICE">#REF!</definedName>
    <definedName name="_7">#REF!</definedName>
    <definedName name="_7HESTER_MIDLA">#REF!</definedName>
    <definedName name="_8">#REF!</definedName>
    <definedName name="_8HESTER_FT">#REF!</definedName>
    <definedName name="_9INC_PLANT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AS106">#REF!</definedName>
    <definedName name="_Fill" hidden="1">[3]FxdChg!#REF!</definedName>
    <definedName name="_Key1" hidden="1">#REF!</definedName>
    <definedName name="_Order1" hidden="1">255</definedName>
    <definedName name="_Order2" hidden="1">255</definedName>
    <definedName name="_SCH5">#REF!</definedName>
    <definedName name="_Sort" hidden="1">#REF!</definedName>
    <definedName name="_yr1">#REF!</definedName>
    <definedName name="_yr2">#REF!</definedName>
    <definedName name="_YR2006">#REF!</definedName>
    <definedName name="_YR2007">#REF!</definedName>
    <definedName name="_yr3">#REF!</definedName>
    <definedName name="_zP2">#REF!,#REF!,#REF!</definedName>
    <definedName name="AcqStockPrice">#REF!</definedName>
    <definedName name="AD_BAL2">#REF!</definedName>
    <definedName name="ADD">#REF!</definedName>
    <definedName name="ADD_BY_DIST">#REF!</definedName>
    <definedName name="ADJEMINENCE">#REF!</definedName>
    <definedName name="ADJGSS">#REF!</definedName>
    <definedName name="ADJHESTER">#REF!</definedName>
    <definedName name="ADJTOTSTOR">#REF!</definedName>
    <definedName name="ADJWSS">#REF!</definedName>
    <definedName name="ALLOTRANSP3">#REF!</definedName>
    <definedName name="AllTables">{2}</definedName>
    <definedName name="alt_boxsize">#REF!</definedName>
    <definedName name="aopyr1">#REF!</definedName>
    <definedName name="aopyr2">#REF!</definedName>
    <definedName name="aopyr3">#REF!</definedName>
    <definedName name="AREA1">#REF!</definedName>
    <definedName name="AS2DocOpenMode" hidden="1">"AS2DocumentEdit"</definedName>
    <definedName name="BACK_UP">#REF!</definedName>
    <definedName name="basis">#REF!</definedName>
    <definedName name="BATTLEBORO">#REF!</definedName>
    <definedName name="bb">[4]Main!$H$8:$S$56,[4]Main!$H$16:$S$132</definedName>
    <definedName name="BBUAprDec">#REF!</definedName>
    <definedName name="BBUAugDec">#REF!</definedName>
    <definedName name="BBUDec">#REF!</definedName>
    <definedName name="BBUFebDec">#REF!</definedName>
    <definedName name="BBUJan">#REF!</definedName>
    <definedName name="BBUJanApr">#REF!</definedName>
    <definedName name="BBUJanAug">#REF!</definedName>
    <definedName name="BBUJanDec">#REF!</definedName>
    <definedName name="BBUJanFeb">#REF!</definedName>
    <definedName name="BBUJanJul">#REF!</definedName>
    <definedName name="BBUJanJun">#REF!</definedName>
    <definedName name="BBUJanMar">#REF!</definedName>
    <definedName name="BBUJanMay">#REF!</definedName>
    <definedName name="BBUJanNov">#REF!</definedName>
    <definedName name="BBUJanOct">#REF!</definedName>
    <definedName name="BBUJanSep">#REF!</definedName>
    <definedName name="BBUJulDec">#REF!</definedName>
    <definedName name="BBUJunDec">#REF!</definedName>
    <definedName name="BBUMarDec">#REF!</definedName>
    <definedName name="BBUMayDec">#REF!</definedName>
    <definedName name="BBUNovDec">#REF!</definedName>
    <definedName name="BBUOctDec">#REF!</definedName>
    <definedName name="BBUSepDec">#REF!</definedName>
    <definedName name="BCAprDec">#REF!</definedName>
    <definedName name="BCAugDec">#REF!</definedName>
    <definedName name="BCDec">#REF!</definedName>
    <definedName name="BCFebDec">#REF!</definedName>
    <definedName name="BCJan">#REF!</definedName>
    <definedName name="BCJanApr">#REF!</definedName>
    <definedName name="BCJanAug">#REF!</definedName>
    <definedName name="BCJanDec">#REF!</definedName>
    <definedName name="BCJanFeb">#REF!</definedName>
    <definedName name="BCJanJul">#REF!</definedName>
    <definedName name="BCJanJun">#REF!</definedName>
    <definedName name="BCJanMar">#REF!</definedName>
    <definedName name="BCJanMay">#REF!</definedName>
    <definedName name="BCJanNov">#REF!</definedName>
    <definedName name="BCJanOct">#REF!</definedName>
    <definedName name="BCJanSep">#REF!</definedName>
    <definedName name="BCJulDec">#REF!</definedName>
    <definedName name="BCJunDec">#REF!</definedName>
    <definedName name="BCMarDec">#REF!</definedName>
    <definedName name="BCMayDec">#REF!</definedName>
    <definedName name="BCNovDec">#REF!</definedName>
    <definedName name="BCOctDec">#REF!</definedName>
    <definedName name="BCSepDec">#REF!</definedName>
    <definedName name="beta_observed">#REF!</definedName>
    <definedName name="beta_observed_unlevered">#REF!</definedName>
    <definedName name="beta_unlev_comps">#REF!</definedName>
    <definedName name="BGMAprDec">#REF!</definedName>
    <definedName name="BGMAugDec">#REF!</definedName>
    <definedName name="BGMDec">#REF!</definedName>
    <definedName name="BGMFebDec">#REF!</definedName>
    <definedName name="BGMJan">#REF!</definedName>
    <definedName name="BGMJanApr">#REF!</definedName>
    <definedName name="BGMJanAug">#REF!</definedName>
    <definedName name="BGMJanDec">#REF!</definedName>
    <definedName name="BGMJanFeb">#REF!</definedName>
    <definedName name="BGMJanJul">#REF!</definedName>
    <definedName name="BGMJanJun">#REF!</definedName>
    <definedName name="BGMJanMar">#REF!</definedName>
    <definedName name="BGMJanMay">#REF!</definedName>
    <definedName name="BGMJanNov">#REF!</definedName>
    <definedName name="BGMJanOct">#REF!</definedName>
    <definedName name="BGMJanSep">#REF!</definedName>
    <definedName name="BGMJulDec">#REF!</definedName>
    <definedName name="BGMJunDec">#REF!</definedName>
    <definedName name="BGMMarDec">#REF!</definedName>
    <definedName name="BGMMayDec">#REF!</definedName>
    <definedName name="BGMNovDec">#REF!</definedName>
    <definedName name="BGMOctDec">#REF!</definedName>
    <definedName name="BGMSepDec">#REF!</definedName>
    <definedName name="BKGSUM">#REF!</definedName>
    <definedName name="BKGSUMOTH">#REF!</definedName>
    <definedName name="BKGSUMPROJ">#REF!</definedName>
    <definedName name="BlakeVal">#REF!</definedName>
    <definedName name="brdg">#REF!</definedName>
    <definedName name="brdg2">#REF!</definedName>
    <definedName name="BUAprDec">#REF!</definedName>
    <definedName name="BUAugDec">#REF!</definedName>
    <definedName name="BUDec">#REF!</definedName>
    <definedName name="BUDGET">#REF!</definedName>
    <definedName name="BUFebDec">#REF!</definedName>
    <definedName name="BUJan">#REF!</definedName>
    <definedName name="BUJanApr">#REF!</definedName>
    <definedName name="BUJanAug">#REF!</definedName>
    <definedName name="BUJanDec">#REF!</definedName>
    <definedName name="BUJanFeb">#REF!</definedName>
    <definedName name="BUJanJul">#REF!</definedName>
    <definedName name="BUJanJun">#REF!</definedName>
    <definedName name="BUJanMar">#REF!</definedName>
    <definedName name="BUJanMay">#REF!</definedName>
    <definedName name="BUJanNov">#REF!</definedName>
    <definedName name="BUJanOct">#REF!</definedName>
    <definedName name="BUJanSep">#REF!</definedName>
    <definedName name="BUJulDec">#REF!</definedName>
    <definedName name="BUJunDec">#REF!</definedName>
    <definedName name="BUMarDec">#REF!</definedName>
    <definedName name="BUMayDec">#REF!</definedName>
    <definedName name="BUNovDec">#REF!</definedName>
    <definedName name="BUOctDec">#REF!</definedName>
    <definedName name="BUSepDec">#REF!</definedName>
    <definedName name="Calculations">#REF!</definedName>
    <definedName name="Cap">'[5]2002'!$A$1:$O$101</definedName>
    <definedName name="CAPITAL">#REF!</definedName>
    <definedName name="CAprDec">#REF!</definedName>
    <definedName name="CAPSUM">#REF!</definedName>
    <definedName name="capture">#REF!</definedName>
    <definedName name="case">#REF!</definedName>
    <definedName name="CASES1">#REF!</definedName>
    <definedName name="CASES2">#REF!</definedName>
    <definedName name="casetable">#REF!</definedName>
    <definedName name="CASH">#REF!</definedName>
    <definedName name="CASH1STMTH">#REF!</definedName>
    <definedName name="CASH2NDMTH">#REF!</definedName>
    <definedName name="CASH3RDMTH">#REF!</definedName>
    <definedName name="cashearnrate">#REF!</definedName>
    <definedName name="cashrate">#REF!</definedName>
    <definedName name="CAugDec">#REF!</definedName>
    <definedName name="CC_List">#REF!</definedName>
    <definedName name="CDec">#REF!</definedName>
    <definedName name="cdtechjv">#REF!</definedName>
    <definedName name="Cendon">#REF!</definedName>
    <definedName name="CF">#REF!</definedName>
    <definedName name="CFebDec">#REF!</definedName>
    <definedName name="ChartsTable">#REF!</definedName>
    <definedName name="Chico">#REF!</definedName>
    <definedName name="CIQWBGuid" hidden="1">"Management Deck Worksheet Q3 2012.xlsx"</definedName>
    <definedName name="CJan">#REF!</definedName>
    <definedName name="CJanApr">#REF!</definedName>
    <definedName name="CJanAug">#REF!</definedName>
    <definedName name="CJanDec">#REF!</definedName>
    <definedName name="CJanFeb">#REF!</definedName>
    <definedName name="CJanJul">#REF!</definedName>
    <definedName name="CJanJun">#REF!</definedName>
    <definedName name="CJanMar">#REF!</definedName>
    <definedName name="CJanMay">#REF!</definedName>
    <definedName name="CJanNov">#REF!</definedName>
    <definedName name="CJanOct">#REF!</definedName>
    <definedName name="CJanSep">#REF!</definedName>
    <definedName name="CJulDec">#REF!</definedName>
    <definedName name="CJunDec">#REF!</definedName>
    <definedName name="clgjv">#REF!</definedName>
    <definedName name="CMarDec">#REF!</definedName>
    <definedName name="CMayDec">#REF!</definedName>
    <definedName name="CNovDec">#REF!</definedName>
    <definedName name="COctDec">#REF!</definedName>
    <definedName name="COLLAR_CENTER">#REF!</definedName>
    <definedName name="COLLAR_LEFT">#REF!</definedName>
    <definedName name="COLLAR_RIGHT">#REF!</definedName>
    <definedName name="Comb_Qtr">#REF!</definedName>
    <definedName name="COMB05VSCOM">#REF!</definedName>
    <definedName name="COMB06VSCOM">#REF!</definedName>
    <definedName name="COMB07VSCOM">#REF!</definedName>
    <definedName name="COMBAOPM03QTD">#REF!</definedName>
    <definedName name="COMBAOPMO1">#REF!</definedName>
    <definedName name="COMBAOPMO2">#REF!</definedName>
    <definedName name="COMBAOPMO2QTD">#REF!</definedName>
    <definedName name="COMBAOPMO3">#REF!</definedName>
    <definedName name="COMBAOPQTR">#REF!</definedName>
    <definedName name="COMBAOPYR1">#REF!</definedName>
    <definedName name="COMBAOPYR2">#REF!</definedName>
    <definedName name="COMBAOPYR3">#REF!</definedName>
    <definedName name="COMBMONTH">#REF!</definedName>
    <definedName name="COMBQTRVSCOM">#REF!</definedName>
    <definedName name="commissionrate">'[6]Cost Savings Detail'!$F$144</definedName>
    <definedName name="COMMON">#REF!</definedName>
    <definedName name="comp">#REF!</definedName>
    <definedName name="Comps">#REF!</definedName>
    <definedName name="CONSERV">#REF!</definedName>
    <definedName name="convention">#REF!</definedName>
    <definedName name="convertcoupon">#REF!</definedName>
    <definedName name="Corp_Inis">'[7]Corporate Model'!$A$190</definedName>
    <definedName name="COSBYCLASS2">#REF!</definedName>
    <definedName name="costdebtfirm">#REF!</definedName>
    <definedName name="costequity">'[8]DCF Model'!#REF!</definedName>
    <definedName name="COSTS">#REF!</definedName>
    <definedName name="COSTWKSHT">#REF!</definedName>
    <definedName name="COUNTER">#REF!</definedName>
    <definedName name="Coupon">#REF!</definedName>
    <definedName name="cpi">#REF!</definedName>
    <definedName name="CREDITGRAPH">#REF!</definedName>
    <definedName name="CSepDec">#REF!</definedName>
    <definedName name="currency">[9]DCEInputs!$A$25</definedName>
    <definedName name="Current_Price">[10]Inputs!$B$4</definedName>
    <definedName name="Current_Price2">[11]Inputs!$B$31</definedName>
    <definedName name="cutoff">'[12]Summary History'!$C$2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a">[13]Inputs!$B$2</definedName>
    <definedName name="Data">[14]Data!$A$1:$DY$75</definedName>
    <definedName name="_xlnm.Database">#REF!</definedName>
    <definedName name="DATE">#REF!</definedName>
    <definedName name="DCF">#REF!</definedName>
    <definedName name="DCF_NO_YRS">#REF!</definedName>
    <definedName name="DCF_VAL_MNTH">#REF!</definedName>
    <definedName name="DEAL">[15]Fin_Assumptions!#REF!</definedName>
    <definedName name="Debt">'[16]B&amp;W WACC'!#REF!</definedName>
    <definedName name="Debt_Beta">'[16]B&amp;W WACC'!#REF!</definedName>
    <definedName name="debt_weight">#REF!</definedName>
    <definedName name="debtrate">#REF!</definedName>
    <definedName name="deferred">[15]Fin_Assumptions!#REF!</definedName>
    <definedName name="DEFTAXES">#REF!</definedName>
    <definedName name="DELCUST">#REF!</definedName>
    <definedName name="DELINC">#REF!</definedName>
    <definedName name="DELIVINCREM">#REF!</definedName>
    <definedName name="DELUNIT">#REF!</definedName>
    <definedName name="DEPRBYDIST">[17]DeprCoDetail:DeprSum!$A$1:$G$36</definedName>
    <definedName name="DETAILHESTER">#REF!</definedName>
    <definedName name="dfdfdf" hidden="1">[3]FxdChg!#REF!</definedName>
    <definedName name="DIR">[18]Inputs!#REF!</definedName>
    <definedName name="Discounted">#REF!</definedName>
    <definedName name="DisplaySelectedSheetsMacroButton">#REF!</definedName>
    <definedName name="div">#REF!</definedName>
    <definedName name="dividend">#REF!</definedName>
    <definedName name="DIVIDENDS">#REF!</definedName>
    <definedName name="DocType">Word</definedName>
    <definedName name="dollar2">'[19]Dollar for Dollar'!#REF!</definedName>
    <definedName name="downside">[20]Transaction!#REF!</definedName>
    <definedName name="DP">[21]Schedules!#REF!</definedName>
    <definedName name="DRAFT">#REF!</definedName>
    <definedName name="DUMMY">#REF!</definedName>
    <definedName name="e_cust">[22]Lookups!#REF!</definedName>
    <definedName name="e_gen">[22]Lookups!#REF!</definedName>
    <definedName name="e_labor">[22]Lookups!#REF!</definedName>
    <definedName name="e_mat">[22]Lookups!#REF!</definedName>
    <definedName name="e_ohead">[22]Lookups!#REF!</definedName>
    <definedName name="e_sell">[22]Lookups!#REF!</definedName>
    <definedName name="e_sell2">[22]Lookups!#REF!</definedName>
    <definedName name="earn">#REF!</definedName>
    <definedName name="ebsens">'[23]Trans Assump'!$G$56</definedName>
    <definedName name="em_sales">[22]Lookups!#REF!</definedName>
    <definedName name="EMINTOPGAS">#REF!</definedName>
    <definedName name="ENVIRO">#REF!</definedName>
    <definedName name="equity">'[24]LBO Analysis'!$AB$23</definedName>
    <definedName name="euro">[25]BRKT!$C$11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>[15]Fin_Assumptions!#REF!</definedName>
    <definedName name="EXCHANGE">[15]Fin_Assumptions!#REF!</definedName>
    <definedName name="exchangerate">[9]DCEInputs!$I$8</definedName>
    <definedName name="excl_data">#REF!</definedName>
    <definedName name="EXDATE">#REF!</definedName>
    <definedName name="exit">#REF!</definedName>
    <definedName name="exit_own">'[26]Deal Summary'!#REF!</definedName>
    <definedName name="exitentvalue">[27]Transaction!#REF!</definedName>
    <definedName name="exitmult">#REF!</definedName>
    <definedName name="exitstart">#REF!</definedName>
    <definedName name="exitstep">#REF!</definedName>
    <definedName name="f">Word</definedName>
    <definedName name="FACTORS2">#REF!</definedName>
    <definedName name="FASB106">#REF!</definedName>
    <definedName name="FD">'[28]DCF Matrix'!#REF!</definedName>
    <definedName name="fds">'[29]FRCT INPUT-CFG'!$D$41:$H$41</definedName>
    <definedName name="FERNCUST">#REF!</definedName>
    <definedName name="FERNINC">#REF!</definedName>
    <definedName name="FERNUNIT">#REF!</definedName>
    <definedName name="FileName">[30]Sheet1!$D$2</definedName>
    <definedName name="FINAL">#REF!</definedName>
    <definedName name="financialcase">[6]Model!$D$8</definedName>
    <definedName name="Fincase">#REF!</definedName>
    <definedName name="finfees?">#REF!</definedName>
    <definedName name="fix">#REF!</definedName>
    <definedName name="fixed">[15]Controls!#REF!</definedName>
    <definedName name="fixedmargin">[6]Model!$AA$178</definedName>
    <definedName name="FLO">#REF!</definedName>
    <definedName name="FNAME">[18]Inputs!#REF!</definedName>
    <definedName name="FPUC_10_year">#REF!</definedName>
    <definedName name="FPUINC">[31]FPUINC!#REF!</definedName>
    <definedName name="FPUP1R">#REF!</definedName>
    <definedName name="FPUP2AL">#REF!</definedName>
    <definedName name="FPUP2L">#REF!</definedName>
    <definedName name="FROM_MERGER">[18]Inputs!#REF!</definedName>
    <definedName name="ftdexit">#REF!</definedName>
    <definedName name="ftdlev">[20]Transaction!#REF!</definedName>
    <definedName name="ftdpm">[20]Transaction!#REF!</definedName>
    <definedName name="ftdprice">[20]Transaction!#REF!</definedName>
    <definedName name="fyf">#REF!</definedName>
    <definedName name="GMAprDec">#REF!</definedName>
    <definedName name="GMAugDec">#REF!</definedName>
    <definedName name="GMDec">#REF!</definedName>
    <definedName name="GMFebDec">#REF!</definedName>
    <definedName name="GMJan">#REF!</definedName>
    <definedName name="GMJanApr">#REF!</definedName>
    <definedName name="GMJanAug">#REF!</definedName>
    <definedName name="GMJanDec">#REF!</definedName>
    <definedName name="GMJanFeb">#REF!</definedName>
    <definedName name="GMJanJul">#REF!</definedName>
    <definedName name="GMJanJun">#REF!</definedName>
    <definedName name="GMJanMar">#REF!</definedName>
    <definedName name="GMJanMay">'[32]FRCT INPUT-FE'!$D$41:$H$41</definedName>
    <definedName name="GMJanNov">#REF!</definedName>
    <definedName name="GMJanOct">#REF!</definedName>
    <definedName name="GMJanSep">#REF!</definedName>
    <definedName name="GMJulDec">#REF!</definedName>
    <definedName name="GMJunDec">#REF!</definedName>
    <definedName name="GMMarDec">#REF!</definedName>
    <definedName name="GMMayDec">#REF!</definedName>
    <definedName name="GMNovDec">#REF!</definedName>
    <definedName name="GMOctDec">#REF!</definedName>
    <definedName name="GMSepDec">#REF!</definedName>
    <definedName name="gnsusd">#REF!</definedName>
    <definedName name="goodwill">[6]Model!$D$11</definedName>
    <definedName name="GRAPH">#REF!</definedName>
    <definedName name="growth">[9]DCEInputs!$I$24</definedName>
    <definedName name="h10IRR">[33]Model!#REF!</definedName>
    <definedName name="hdebtserv">[26]Rolex!#REF!</definedName>
    <definedName name="HedgeType">'[34]Financing Assumptions'!$N$12</definedName>
    <definedName name="helmsum">#REF!</definedName>
    <definedName name="HIST">#REF!</definedName>
    <definedName name="HISTGRAPH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>[18]Inputs!#REF!</definedName>
    <definedName name="incl_data">#REF!</definedName>
    <definedName name="INCREMCOS">#REF!</definedName>
    <definedName name="INCREMDELIV">#REF!</definedName>
    <definedName name="INCREMDTMILES">#REF!</definedName>
    <definedName name="INCREMINPUT">#REF!</definedName>
    <definedName name="industrial">[35]TRANSACTION!#REF!</definedName>
    <definedName name="inflation">'[6]Cost Savings Detail'!$F$143</definedName>
    <definedName name="inflator">#REF!</definedName>
    <definedName name="INPUT1">#REF!</definedName>
    <definedName name="INPUT2">#REF!</definedName>
    <definedName name="INPUT3">#REF!</definedName>
    <definedName name="INPUT4">#REF!</definedName>
    <definedName name="INPUTINCREMDEL">#REF!</definedName>
    <definedName name="INPUTINCREMMILE">#REF!</definedName>
    <definedName name="INPUTOTHERMILES">#REF!</definedName>
    <definedName name="INPUTS">#REF!</definedName>
    <definedName name="INPUTSTORLABOR">#REF!</definedName>
    <definedName name="INPUTSTORMAT">#REF!</definedName>
    <definedName name="INPUTSTORPRINT">#REF!</definedName>
    <definedName name="INT">[21]Schedules!#REF!</definedName>
    <definedName name="interco">[35]TRANSACTION!#REF!</definedName>
    <definedName name="Intref">'[24]LBO FINS'!$E$216</definedName>
    <definedName name="Intsub">'[24]LBO Analysis'!$J$10</definedName>
    <definedName name="ipocase">[6]Model!$D$41</definedName>
    <definedName name="ipoyear">[6]Model!$D$49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rtarget">#REF!</definedName>
    <definedName name="IS">#REF!</definedName>
    <definedName name="isisval">#REF!</definedName>
    <definedName name="ISS_OFF_LINE1">#REF!</definedName>
    <definedName name="ISS_OFF_LOOP">#REF!</definedName>
    <definedName name="ISS_OFF_RANGE">#REF!</definedName>
    <definedName name="ISS_OFF_RESULTS">#REF!</definedName>
    <definedName name="ISS_OFF_RUN">#REF!</definedName>
    <definedName name="ITC">#REF!</definedName>
    <definedName name="JANET">#REF!</definedName>
    <definedName name="JJJ">#REF!</definedName>
    <definedName name="JJJJ">#REF!</definedName>
    <definedName name="JOE">#REF!</definedName>
    <definedName name="JRM_Inis">'[7]JRM Model'!$A$191</definedName>
    <definedName name="jv">#REF!</definedName>
    <definedName name="k">#REF!</definedName>
    <definedName name="KDATE">#REF!</definedName>
    <definedName name="KKR_Deal_Fee">[36]Triggers!$E$23</definedName>
    <definedName name="l">[37]DE!#REF!</definedName>
    <definedName name="lbo">[38]LBOSourceUse!$D$7</definedName>
    <definedName name="LBO_MODEL">[39]TRANS!$D$10</definedName>
    <definedName name="LBO_PR1">#REF!</definedName>
    <definedName name="LBO_PR2">#REF!</definedName>
    <definedName name="LBO_PR4">#REF!</definedName>
    <definedName name="LBO_PR5">#REF!</definedName>
    <definedName name="LBO_PRICE">'[26]Trans Assump'!#REF!</definedName>
    <definedName name="LBO_SENS_STATS">#REF!</definedName>
    <definedName name="LBO_SENS1">#REF!</definedName>
    <definedName name="LBO_SENS2">#REF!</definedName>
    <definedName name="LBO_SENS4">#REF!</definedName>
    <definedName name="LBO_SENS5">#REF!</definedName>
    <definedName name="lbofirm">#REF!</definedName>
    <definedName name="LBOSENS">#REF!</definedName>
    <definedName name="LBOSUM">#REF!</definedName>
    <definedName name="Lcash">[40]Inputs!$P$27</definedName>
    <definedName name="legend">#REF!</definedName>
    <definedName name="lev">#REF!</definedName>
    <definedName name="levstep">#REF!</definedName>
    <definedName name="Lfdshares">[40]Inputs!$P$24</definedName>
    <definedName name="ListSheetsMacroButton">#REF!</definedName>
    <definedName name="Lmin">[40]Inputs!$P$29</definedName>
    <definedName name="Long_Term_Debt">[10]Inputs!$B$8</definedName>
    <definedName name="LOOP">#REF!</definedName>
    <definedName name="Lpref">[40]Inputs!$P$30</definedName>
    <definedName name="LTDEBT">#REF!</definedName>
    <definedName name="LTM">#REF!</definedName>
    <definedName name="LTM_EBITDA">[10]Inputs!$B$21</definedName>
    <definedName name="LTM_EBITDAR">[10]Inputs!$B$20</definedName>
    <definedName name="LTM_REVENUES">[10]Inputs!$B$19</definedName>
    <definedName name="Ltotdebt">[40]Inputs!$P$28</definedName>
    <definedName name="m_gen">[22]Lookups!#REF!</definedName>
    <definedName name="m_labor">[22]Lookups!#REF!</definedName>
    <definedName name="m_maniuf">[22]Lookups!#REF!</definedName>
    <definedName name="m_manuf">[22]Lookups!#REF!</definedName>
    <definedName name="m_mat">[22]Lookups!#REF!</definedName>
    <definedName name="m_ohead">[22]Lookups!#REF!</definedName>
    <definedName name="m_sell">[22]Lookups!#REF!</definedName>
    <definedName name="m_var">[22]Lookups!#REF!</definedName>
    <definedName name="Macro4">[41]!Macro4</definedName>
    <definedName name="MACROS">#REF!</definedName>
    <definedName name="mapping">[42]mapping!$A$2:$H$1143</definedName>
    <definedName name="MARCUST">#REF!</definedName>
    <definedName name="margin">[6]Model!$AA$180</definedName>
    <definedName name="MARINC">#REF!</definedName>
    <definedName name="Market_Equity">#REF!</definedName>
    <definedName name="MARUNIT">#REF!</definedName>
    <definedName name="master">[43]conrol!$B$11</definedName>
    <definedName name="MATRIX">#REF!</definedName>
    <definedName name="Mean_s_Table">#REF!</definedName>
    <definedName name="MEWarning" hidden="1">1</definedName>
    <definedName name="mezzcoupon">#REF!</definedName>
    <definedName name="MGMT">[15]Fin_Assumptions!#REF!</definedName>
    <definedName name="MIDLADETAILED">#REF!</definedName>
    <definedName name="midyear">#REF!</definedName>
    <definedName name="MILESINCREM">#REF!</definedName>
    <definedName name="MILESINDICATOR">#REF!</definedName>
    <definedName name="Mill">[44]MODEL!$L$22</definedName>
    <definedName name="Minumum_Cash">#REF!</definedName>
    <definedName name="MKT_TEMP_DIR">[18]Inputs!#REF!</definedName>
    <definedName name="MKT_TEMP_FNAME">[18]Inputs!#REF!</definedName>
    <definedName name="MNTH2MO">#REF!</definedName>
    <definedName name="MNTH2QTR">#REF!</definedName>
    <definedName name="mnth3mo">#REF!</definedName>
    <definedName name="mnth3qtr">#REF!</definedName>
    <definedName name="MOBILBAYPROJECT">#REF!</definedName>
    <definedName name="MODEL_TYPE">[39]TRANS!$D$14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nth_to_MONTHNUM">#REF!</definedName>
    <definedName name="MONTHLY_DEPR2">#REF!</definedName>
    <definedName name="MSTemporarySelectionAverage">[26]Timex!#REF!</definedName>
    <definedName name="MULT_CHOICE">'[26]Trans Assump'!#REF!</definedName>
    <definedName name="MULT_CLOOP1">#REF!</definedName>
    <definedName name="MULT_CLOOP2">#REF!</definedName>
    <definedName name="MULT_COMP_LINE1">#REF!</definedName>
    <definedName name="Mult_Comp_Page1">#REF!</definedName>
    <definedName name="Mult_Comp_Page2">#REF!</definedName>
    <definedName name="Mult_Comp_Page3">#REF!</definedName>
    <definedName name="MULT_COMP_RES">#REF!</definedName>
    <definedName name="MULT_COMP_SENSE">#REF!</definedName>
    <definedName name="Mult_Comp_Sense1">#REF!</definedName>
    <definedName name="Mult_Comp_Sense2">#REF!</definedName>
    <definedName name="Mult_Comp_Sense3">#REF!</definedName>
    <definedName name="Mult_Comp_Title1">#REF!</definedName>
    <definedName name="Mult_Comp_Title2">#REF!</definedName>
    <definedName name="Mult_Comp_Title3">#REF!</definedName>
    <definedName name="Mult_Comp1">#REF!</definedName>
    <definedName name="Mult_Comp10">#REF!</definedName>
    <definedName name="Mult_Comp11">#REF!</definedName>
    <definedName name="Mult_Comp12">#REF!</definedName>
    <definedName name="Mult_Comp13">#REF!</definedName>
    <definedName name="Mult_Comp14">#REF!</definedName>
    <definedName name="Mult_Comp15">#REF!</definedName>
    <definedName name="Mult_Comp16">#REF!</definedName>
    <definedName name="Mult_Comp17">#REF!</definedName>
    <definedName name="Mult_Comp18">#REF!</definedName>
    <definedName name="Mult_Comp2">#REF!</definedName>
    <definedName name="Mult_Comp3">#REF!</definedName>
    <definedName name="Mult_Comp4">#REF!</definedName>
    <definedName name="Mult_Comp5">#REF!</definedName>
    <definedName name="Mult_Comp6">#REF!</definedName>
    <definedName name="Mult_Comp7">#REF!</definedName>
    <definedName name="Mult_Comp8">#REF!</definedName>
    <definedName name="Mult_Comp9">#REF!</definedName>
    <definedName name="N12M_EPS">[10]Inputs!$B$14</definedName>
    <definedName name="NAME">[45]INPUT!$A$13:$B$30</definedName>
    <definedName name="NAMES">[18]Inputs!#REF!</definedName>
    <definedName name="NDC_TRAN_LOG">#REF!</definedName>
    <definedName name="NDCFORM">#REF!</definedName>
    <definedName name="Net_Debt">#REF!</definedName>
    <definedName name="NEW_GW_LIFE">'[26]Trans Assump'!#REF!</definedName>
    <definedName name="NEW_GW_TAX">'[26]Trans Assump'!#REF!</definedName>
    <definedName name="newcutoff">'[12]Summary History'!$C$3</definedName>
    <definedName name="newline">#REF!</definedName>
    <definedName name="newline2">#REF!</definedName>
    <definedName name="nextvsthis">#REF!</definedName>
    <definedName name="nol">[15]Fin_Assumptions!#REF!</definedName>
    <definedName name="nol?">[20]Transaction!#REF!</definedName>
    <definedName name="note">[35]TRANSACTION!#REF!</definedName>
    <definedName name="NOTES">#REF!</definedName>
    <definedName name="novjv">#REF!</definedName>
    <definedName name="NumQtrs">#REF!</definedName>
    <definedName name="offer">'[38]Sources &amp; Uses'!$D$7</definedName>
    <definedName name="OFFER_PRICE">[18]Transinputs!$U$7</definedName>
    <definedName name="OLDGW">[18]Target!#REF!</definedName>
    <definedName name="opcase">#REF!</definedName>
    <definedName name="OPT_PROC">#REF!</definedName>
    <definedName name="Options">#REF!</definedName>
    <definedName name="OTA">#REF!</definedName>
    <definedName name="other_expense">[35]TRANSACTION!#REF!</definedName>
    <definedName name="OTHERTHANZONE6">#REF!</definedName>
    <definedName name="OUT_INT">#REF!</definedName>
    <definedName name="OUTPUTS">#REF!</definedName>
    <definedName name="ownership">[6]Model!$C$22</definedName>
    <definedName name="PAGE11">[46]Prepayments!#REF!</definedName>
    <definedName name="PAGE12">[46]Prepayments!#REF!</definedName>
    <definedName name="PAGE13">[46]Prepayments!#REF!</definedName>
    <definedName name="PAGE14">#REF!</definedName>
    <definedName name="PAGE15">[46]RateBase!#REF!</definedName>
    <definedName name="PAGE4">[18]Calcs:tainted!$B$57:$L$73</definedName>
    <definedName name="PATHNAME">#REF!</definedName>
    <definedName name="payment">[15]Controls!#REF!</definedName>
    <definedName name="PD">[21]Schedules!#REF!</definedName>
    <definedName name="pdate">[9]DCEInputs!$I$6</definedName>
    <definedName name="PERF">#REF!</definedName>
    <definedName name="PERFORMANCE">#REF!</definedName>
    <definedName name="pfbal">[26]Rolex!#REF!</definedName>
    <definedName name="PFFINGRAPH">#REF!</definedName>
    <definedName name="PIKK">'[47]Trans Assump'!$U$18</definedName>
    <definedName name="PIPELINE_INPUT">'[48]FPL Interconnect Actual'!$E$7:$P$53</definedName>
    <definedName name="pjname">{"Client Name or Project Name"}</definedName>
    <definedName name="PLANT">#REF!</definedName>
    <definedName name="PLANT_BAL2">#REF!</definedName>
    <definedName name="PMT">#REF!</definedName>
    <definedName name="PNAME">[18]Summary!#REF!</definedName>
    <definedName name="PP">#REF!</definedName>
    <definedName name="pprice">[36]Triggers!$E$13</definedName>
    <definedName name="pprice2">'[26]Deal Summary'!#REF!</definedName>
    <definedName name="PR_2006VS2005">#REF!</definedName>
    <definedName name="PR_CUR_QTR">#REF!</definedName>
    <definedName name="PR_YTD">#REF!</definedName>
    <definedName name="Preferred_Stock">[10]Inputs!$B$7</definedName>
    <definedName name="premium">[18]Transinputs!$U$13</definedName>
    <definedName name="PRICE_SENSE">#REF!</definedName>
    <definedName name="PRICE_SENSE2">#REF!</definedName>
    <definedName name="pricecase">[40]Buildup!$Z$374</definedName>
    <definedName name="PRINT">#REF!</definedName>
    <definedName name="_xlnm.Print_Area" localSheetId="4">'Avg ROR'!$A$1:$P$49</definedName>
    <definedName name="_xlnm.Print_Area" localSheetId="2">'BS-13MO'!$A$1:$Q$129</definedName>
    <definedName name="_xlnm.Print_Area" localSheetId="10">'Capital Structure'!$A$1:$P$65</definedName>
    <definedName name="_xlnm.Print_Area" localSheetId="13">'Comp Cost Rate of Debt'!$A$1:$H$37</definedName>
    <definedName name="_xlnm.Print_Area" localSheetId="11">'Rate Base Calc'!$A$1:$G$55</definedName>
    <definedName name="_xlnm.Print_Area" localSheetId="12">'Rate Refund'!$A$1:$P$12</definedName>
    <definedName name="_xlnm.Print_Area" localSheetId="3">'Report Summary'!$A$1:$L$59</definedName>
    <definedName name="_xlnm.Print_Area" localSheetId="7">'Work Cap-Avg'!$A$1:$Q$115</definedName>
    <definedName name="_xlnm.Print_Area" localSheetId="8">'Work Cap-Yr End'!$A$1:$Q$115</definedName>
    <definedName name="_xlnm.Print_Area" localSheetId="1">Work_cap!$A$1:$Q$220</definedName>
    <definedName name="_xlnm.Print_Area" localSheetId="6">'Year End ROR'!$A$1:$P$42</definedName>
    <definedName name="_xlnm.Print_Area">#REF!</definedName>
    <definedName name="PRINT_EXPLANATI">#REF!</definedName>
    <definedName name="Print_HardRock">[19]!Print_HardRock</definedName>
    <definedName name="PRINT_MENU">#REF!</definedName>
    <definedName name="_xlnm.Print_Titles" localSheetId="1">Work_cap!$68:$68</definedName>
    <definedName name="_xlnm.Print_Titles">#REF!</definedName>
    <definedName name="Print_Valmax">[49]!Print_Valmax</definedName>
    <definedName name="PRINTADJ">#REF!</definedName>
    <definedName name="PRINTALL">#REF!</definedName>
    <definedName name="PRINTDLG">#REF!</definedName>
    <definedName name="PrintManagerQuery">#REF!</definedName>
    <definedName name="PrintSelectedSheetsMacroButton">#REF!</definedName>
    <definedName name="PRMO">#REF!</definedName>
    <definedName name="PROCEEDS">#REF!</definedName>
    <definedName name="PRODUCTION">#REF!</definedName>
    <definedName name="PROJ1">#REF!</definedName>
    <definedName name="PROJ2">#REF!</definedName>
    <definedName name="PROJCURV">#REF!</definedName>
    <definedName name="project">[38]Inputs!$D$5</definedName>
    <definedName name="Project_Name">[10]Inputs!$E$1</definedName>
    <definedName name="ProjectName">{"Client Name or Project Name"}</definedName>
    <definedName name="PROJGRAPH">#REF!</definedName>
    <definedName name="PROJNAME">'[50]Transaction Inputs'!$E$15</definedName>
    <definedName name="PRYTD">#REF!</definedName>
    <definedName name="Public">#REF!</definedName>
    <definedName name="pur">[13]Snow_recap!$R$9</definedName>
    <definedName name="PurPrice">#REF!</definedName>
    <definedName name="qbm_1st_mo">#REF!</definedName>
    <definedName name="qbm_2nd_mo">#REF!</definedName>
    <definedName name="qbm_2nd_mo_qtd">#REF!</definedName>
    <definedName name="qbm_3rd_mo">#REF!</definedName>
    <definedName name="qbm_3rd_mo_qtd">#REF!</definedName>
    <definedName name="QDATE">#REF!</definedName>
    <definedName name="QTR">[18]Acquiror!#REF!</definedName>
    <definedName name="qtrvsprqtr">#REF!</definedName>
    <definedName name="R_TableTotals">'[51]MA Comps'!#REF!</definedName>
    <definedName name="range">#REF!</definedName>
    <definedName name="RAS" hidden="1">[52]FxdChg!#REF!</definedName>
    <definedName name="rate">#REF!</definedName>
    <definedName name="raw">[35]TRANSACTION!#REF!</definedName>
    <definedName name="real_average">#REF!</definedName>
    <definedName name="real_ye">#REF!</definedName>
    <definedName name="Recap_paste_1">#REF!</definedName>
    <definedName name="Recap_paste_2">#REF!</definedName>
    <definedName name="Recap_paste_3">#REF!</definedName>
    <definedName name="Recap_template">#REF!</definedName>
    <definedName name="REG_ASSET">#REF!</definedName>
    <definedName name="relever">[15]Controls!$E$8</definedName>
    <definedName name="relevered_beta">'[8]DCF Model'!#REF!</definedName>
    <definedName name="RELIEF">#REF!</definedName>
    <definedName name="residmult">[33]Model!#REF!</definedName>
    <definedName name="RET">#REF!</definedName>
    <definedName name="RET_BY_DIST">#REF!</definedName>
    <definedName name="rhtcase">#REF!</definedName>
    <definedName name="rhtoffer">#REF!</definedName>
    <definedName name="rhtprice">[53]Overview!$D$8</definedName>
    <definedName name="risk_free_rate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TAX">#REF!</definedName>
    <definedName name="RORSCHED">#REF!</definedName>
    <definedName name="ROUNDED">#REF!</definedName>
    <definedName name="royalty">[15]Controls!#REF!</definedName>
    <definedName name="RUN">'[28]DCF Inputs'!#REF!</definedName>
    <definedName name="RUNTIME">#REF!</definedName>
    <definedName name="s">Word</definedName>
    <definedName name="SALE">[15]Fin_Assumptions!#REF!</definedName>
    <definedName name="SANCUST">#REF!</definedName>
    <definedName name="SANINC">#REF!</definedName>
    <definedName name="SANUNIT">#REF!</definedName>
    <definedName name="scenario">'[26]Deal Summary'!#REF!</definedName>
    <definedName name="SCH5GAS">#REF!</definedName>
    <definedName name="sdfsdf">#REF!</definedName>
    <definedName name="sdfsdfsd">#REF!</definedName>
    <definedName name="secondary1">[6]Model!$D$56</definedName>
    <definedName name="secondary2">[6]Model!$D$59</definedName>
    <definedName name="secondary3">[6]Model!$D$62</definedName>
    <definedName name="secondarydiscount">[6]Model!$D$50</definedName>
    <definedName name="secondarymultiple">[6]Model!$D$51</definedName>
    <definedName name="secondarytiming">[6]Model!$D$45</definedName>
    <definedName name="seller_note_sweep">[35]TRANSACTION!#REF!</definedName>
    <definedName name="sellerfinancerate">[6]Model!$I$8</definedName>
    <definedName name="seniorcoupon">#REF!</definedName>
    <definedName name="SENSEPOOL">[18]Calcs:Summary!$M$34:$AI$122</definedName>
    <definedName name="SENSITIVE">#REF!</definedName>
    <definedName name="Sensitivity">#REF!</definedName>
    <definedName name="servdebt">[26]Earnings!#REF!</definedName>
    <definedName name="servicesconvention">#REF!</definedName>
    <definedName name="SET_ISS_PRICE">#REF!</definedName>
    <definedName name="SET_OFF_PRICE">#REF!</definedName>
    <definedName name="set_price">'[26]Deal Summary'!#REF!</definedName>
    <definedName name="shares">[54]DCEInputs!$M$13</definedName>
    <definedName name="Shares_Outstanding">[10]Inputs!$B$5</definedName>
    <definedName name="SHDATE">#REF!</definedName>
    <definedName name="Short_Term_Debt">[10]Inputs!$B$9</definedName>
    <definedName name="signcont">#REF!</definedName>
    <definedName name="signcontOther">#REF!</definedName>
    <definedName name="srecap">[36]Triggers!$E$21</definedName>
    <definedName name="STDEBT">#REF!</definedName>
    <definedName name="STORBASE2">#REF!</definedName>
    <definedName name="StrikePrice">#REF!</definedName>
    <definedName name="Stub_year_fraction">#REF!</definedName>
    <definedName name="sum">#REF!</definedName>
    <definedName name="Summ">'[55]DEL-updated'!$A$11:$T$372</definedName>
    <definedName name="support_A">#REF!</definedName>
    <definedName name="support_B">#REF!</definedName>
    <definedName name="support_C">#REF!</definedName>
    <definedName name="switch">[13]conrol!$B$16</definedName>
    <definedName name="syn">'[51]DCF - Ed'!#REF!</definedName>
    <definedName name="SYN_ON">'[26]Trans Assump'!#REF!</definedName>
    <definedName name="SYNOFF">'[28]DCF Inputs'!#REF!</definedName>
    <definedName name="SYNON">'[28]DCF Inputs'!#REF!</definedName>
    <definedName name="t1book">'[50]Target 1'!$W$26</definedName>
    <definedName name="t1cash">'[50]Target 1'!$W$8</definedName>
    <definedName name="t1debt">'[50]Target 1'!$W$22</definedName>
    <definedName name="t1ebitda">'[50]Target 1'!$G$25</definedName>
    <definedName name="T1RENTS">'[50]Target 1'!$G$23</definedName>
    <definedName name="t1revs">'[50]Target 1'!$G$20</definedName>
    <definedName name="t1shares">'[50]Share Calculations'!$K$29</definedName>
    <definedName name="Tar00Est">#REF!</definedName>
    <definedName name="Tar01Est">#REF!</definedName>
    <definedName name="Tar99Est">#REF!</definedName>
    <definedName name="targ1fy97">'[50]Target 1'!$E$11</definedName>
    <definedName name="targ1fy98">'[50]Target 1'!$E$11</definedName>
    <definedName name="targ1price">'[50]Transaction Calculations'!$I$22</definedName>
    <definedName name="targ1shares">'[50]Transaction Calculations'!$I$29</definedName>
    <definedName name="Targ52High">[56]Input!$K$63</definedName>
    <definedName name="Targ52Low">[56]Input!$K$64</definedName>
    <definedName name="TargCalEPS1">[56]Input!$K$68</definedName>
    <definedName name="TargCalEPS2">[56]Input!$K$69</definedName>
    <definedName name="TargCalEPS3">[56]Input!$K$70</definedName>
    <definedName name="TargEBITDA">[56]Input!$K$47</definedName>
    <definedName name="TARGET_NAME">[18]Target!#REF!</definedName>
    <definedName name="Target1">'[50]Transaction Inputs'!$E$19</definedName>
    <definedName name="TargetDebt">[56]Input!$K$54</definedName>
    <definedName name="tax">#REF!</definedName>
    <definedName name="Tax_Rate">#REF!</definedName>
    <definedName name="taxasset?">[20]Transaction!#REF!</definedName>
    <definedName name="taxassetswitch">[20]Transaction!#REF!</definedName>
    <definedName name="taxrate">#REF!</definedName>
    <definedName name="tbl">{2}</definedName>
    <definedName name="TEMPLATE_FILE">[18]Inputs!#REF!</definedName>
    <definedName name="tender">'[57]Trans Assump'!#REF!</definedName>
    <definedName name="ticker">'[9]SumComp-Nortel'!$D$1</definedName>
    <definedName name="ticker2">'[38]Side by Side'!#REF!</definedName>
    <definedName name="timepeiece">[56]Input!$E$9</definedName>
    <definedName name="Title">[21]Cases!$A$4</definedName>
    <definedName name="TOTAL_ACQ">'[58]Units Sold Data'!$B$123:$J$123</definedName>
    <definedName name="TOTAL_AUS">'[58]Units Sold Data'!$B$69:$J$69</definedName>
    <definedName name="TOTAL_CAN">'[58]Units Sold Data'!$B$87:$J$87</definedName>
    <definedName name="TOTAL_FM">'[59]Total Products - FM'!$B$17:$J$17</definedName>
    <definedName name="TOTAL_NAT_L">'[58]Units Sold Data'!$B$105:$J$105</definedName>
    <definedName name="TOTAL_UK">'[58]Units Sold Data'!$B$51:$J$51</definedName>
    <definedName name="TOTAL_US">'[58]Units Sold Data'!$B$33:$J$33</definedName>
    <definedName name="totalcap">#REF!</definedName>
    <definedName name="TR_LOOP">#REF!</definedName>
    <definedName name="TR_MERGE">#REF!</definedName>
    <definedName name="TR_METHODS">#REF!</definedName>
    <definedName name="TR_PRICE">#REF!</definedName>
    <definedName name="TR_RANGES">#REF!</definedName>
    <definedName name="TR_STRUCT">#REF!</definedName>
    <definedName name="TR_STRUCT_CALCS">#REF!</definedName>
    <definedName name="TR_STRUCT_RUN">#REF!</definedName>
    <definedName name="TRADVAL">#REF!</definedName>
    <definedName name="transactioncase">#REF!</definedName>
    <definedName name="TRUEUP_BAL2">#REF!</definedName>
    <definedName name="TWO_YRS_BY_MTH">#REF!</definedName>
    <definedName name="UNAFFPRICE">[18]Target!#REF!</definedName>
    <definedName name="UNAMORT">#REF!</definedName>
    <definedName name="UNDER">#REF!</definedName>
    <definedName name="units">[43]conrol!$C$8</definedName>
    <definedName name="UPDATE">#REF!</definedName>
    <definedName name="UPDATE_MKT">#REF!</definedName>
    <definedName name="us_cpi">#REF!</definedName>
    <definedName name="USE_TEMP">[18]Inputs!#REF!</definedName>
    <definedName name="Useful_Life_of_Depreciable_PP_E">"PPElife"</definedName>
    <definedName name="usprice">[9]DCEInputs!$I$5</definedName>
    <definedName name="varyr1">'[60]var 10 11'!#REF!</definedName>
    <definedName name="VAT">#REF!</definedName>
    <definedName name="VCA">#REF!</definedName>
    <definedName name="w_sales">[22]Lookups!#REF!</definedName>
    <definedName name="wacc">#REF!</definedName>
    <definedName name="WATINC">#REF!</definedName>
    <definedName name="Weight_of_Equity">'[16]B&amp;W WACC'!#REF!</definedName>
    <definedName name="WPBCUST">#REF!</definedName>
    <definedName name="WPBINC">#REF!</definedName>
    <definedName name="WPBUNIT">#REF!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y1active">#REF!</definedName>
    <definedName name="y1build">#REF!</definedName>
    <definedName name="y1build_alt">#REF!</definedName>
    <definedName name="y1sport">#REF!</definedName>
    <definedName name="y2active">#REF!</definedName>
    <definedName name="y2build">#REF!</definedName>
    <definedName name="y2build_alt">#REF!</definedName>
    <definedName name="y2sport">#REF!</definedName>
    <definedName name="y3active">#REF!</definedName>
    <definedName name="y3build">#REF!</definedName>
    <definedName name="y3build_alt">#REF!</definedName>
    <definedName name="y3sport">#REF!</definedName>
    <definedName name="y4active">#REF!</definedName>
    <definedName name="y4build">#REF!</definedName>
    <definedName name="y4build_alt">#REF!</definedName>
    <definedName name="y4sport">#REF!</definedName>
    <definedName name="y5active">#REF!</definedName>
    <definedName name="y5build">#REF!</definedName>
    <definedName name="y5build_alt">#REF!</definedName>
    <definedName name="y5sport">#REF!</definedName>
    <definedName name="y6active">#REF!</definedName>
    <definedName name="y6build">#REF!</definedName>
    <definedName name="y6build_alt">#REF!</definedName>
    <definedName name="y6sport">#REF!</definedName>
    <definedName name="year">#REF!</definedName>
    <definedName name="YEAR2">[15]Fin_Assumptions!#REF!</definedName>
    <definedName name="yr1b">#REF!</definedName>
    <definedName name="z_Clear">#REF!,#REF!,#REF!,#REF!,#REF!,#REF!,#REF!,#REF!,#REF!,#REF!,#REF!,#REF!</definedName>
    <definedName name="z_Col10">[4]Main!$P$5:$P$56,[4]Main!$P$16:$P$132,[4]Main!$P$145:$P$199,[4]Main!$P$213:$P$234</definedName>
    <definedName name="z_Col11">[4]Main!$P$5:$P$56,[4]Main!$P$16:$P$132,[4]Main!$P$145:$P$199,[4]Main!$P$213:$P$234</definedName>
    <definedName name="z_Col12">[4]Main!$P$5:$P$56,[4]Main!$P$16:$P$132,[4]Main!$P$145:$P$199,[4]Main!$P$213:$P$234</definedName>
    <definedName name="z_Col13">[4]Main!$P$5:$P$56,[4]Main!$P$16:$P$132,[4]Main!$P$145:$P$199,[4]Main!$P$213:$P$234</definedName>
    <definedName name="z_Col14">[4]Main!$P$5:$P$56,[4]Main!$P$16:$P$132,[4]Main!$P$145:$P$199,[4]Main!$P$213:$P$234</definedName>
    <definedName name="z_Col5">[4]Main!$J$5:$O$56,[4]Main!$J$16:$O$132,[4]Main!$J$145:$O$199,[4]Main!$J$213:$O$234</definedName>
    <definedName name="z_Col6">[4]Main!$N$4:$O$56,[4]Main!$N$16:$O$132,[4]Main!$N$145:$O$199,[4]Main!$N$213:$O$234</definedName>
    <definedName name="z_Col7">[4]Main!#REF!,[4]Main!#REF!,[4]Main!#REF!,[4]Main!#REF!</definedName>
    <definedName name="z_Col9">[4]Main!$P$5:$P$56,[4]Main!$P$16:$P$132,[4]Main!$P$145:$P$199,[4]Main!$P$213:$P$234</definedName>
    <definedName name="z_DelOne">#REF!</definedName>
    <definedName name="z_DelTwo">#REF!</definedName>
    <definedName name="z_End">#REF!</definedName>
    <definedName name="z_End1">[4]Main!#REF!</definedName>
    <definedName name="z_EndA">[4]Main!#REF!</definedName>
    <definedName name="z_Endp1">[4]Main!#REF!</definedName>
    <definedName name="z_EndP2">[4]Main!#REF!</definedName>
    <definedName name="z_Industry">[4]Main!#REF!</definedName>
    <definedName name="z_Margin_EBIT3yr">#REF!</definedName>
    <definedName name="z_Margin_EBIT3yr_Increm">#REF!</definedName>
    <definedName name="z_Margin_EBIT3yr_Max">#REF!</definedName>
    <definedName name="z_Margin_EBIT3yr_Mean">#REF!</definedName>
    <definedName name="z_Margin_EBIT3yr_Mean_cal">#REF!</definedName>
    <definedName name="z_Margin_EBIT3yr_Min">#REF!</definedName>
    <definedName name="z_Margin_EBIT3yr_Name">#REF!</definedName>
    <definedName name="z_Margin_EBIT3yr2">#REF!</definedName>
    <definedName name="z_Margin_EBITDA3yr">#REF!</definedName>
    <definedName name="z_Margin_EBITDA3yr_Increm">#REF!</definedName>
    <definedName name="z_Margin_EBITDA3yr_Max">#REF!</definedName>
    <definedName name="z_Margin_EBITDA3yr_Mean">#REF!</definedName>
    <definedName name="z_Margin_EBITDA3yr_Mean_cal">#REF!</definedName>
    <definedName name="z_Margin_EBITDA3yr_Min">#REF!</definedName>
    <definedName name="z_Margin_EBITDA3yr_Name">#REF!</definedName>
    <definedName name="z_Margin_EBITDA3yr2">#REF!</definedName>
    <definedName name="z_Margin_LTM_EBIT">#REF!</definedName>
    <definedName name="z_Margin_LTM_EBIT_Increm">#REF!</definedName>
    <definedName name="z_Margin_LTM_EBIT_Max">#REF!</definedName>
    <definedName name="z_Margin_LTM_EBIT_Mean">#REF!</definedName>
    <definedName name="z_Margin_LTM_EBIT_Mean_cal">#REF!</definedName>
    <definedName name="z_Margin_LTM_EBIT_Min">#REF!</definedName>
    <definedName name="z_Margin_LTM_EBIT_Name">#REF!</definedName>
    <definedName name="z_Margin_LTM_EBIT2">#REF!</definedName>
    <definedName name="z_Margin_LTM_EBITDA">#REF!</definedName>
    <definedName name="z_Margin_LTM_EBITDA_Increm">#REF!</definedName>
    <definedName name="z_Margin_LTM_EBITDA_Max">#REF!</definedName>
    <definedName name="z_Margin_LTM_EBITDA_Mean">#REF!</definedName>
    <definedName name="z_Margin_LTM_EBITDA_Mean_cal">#REF!</definedName>
    <definedName name="z_Margin_LTM_EBITDA_Min">#REF!</definedName>
    <definedName name="z_Margin_LTM_EBITDA_Name">#REF!</definedName>
    <definedName name="z_Margin_LTM_EBITDA2">#REF!</definedName>
    <definedName name="z_Op_EBIT">#REF!</definedName>
    <definedName name="z_Op_EBIT_Increm">#REF!</definedName>
    <definedName name="z_Op_EBIT_Max">#REF!</definedName>
    <definedName name="z_Op_EBIT_Mean">#REF!</definedName>
    <definedName name="z_Op_EBIT_Mean_cal">#REF!</definedName>
    <definedName name="z_Op_EBIT_Min">#REF!</definedName>
    <definedName name="z_Op_EBIT_Name">#REF!</definedName>
    <definedName name="z_Op_EBIT2">#REF!</definedName>
    <definedName name="z_Op_EBITDA">#REF!</definedName>
    <definedName name="z_Op_EBITDA_Increm">#REF!</definedName>
    <definedName name="z_Op_EBITDA_Max">#REF!</definedName>
    <definedName name="z_Op_EBITDA_Mean">#REF!</definedName>
    <definedName name="z_Op_EBITDA_Mean_cal">#REF!</definedName>
    <definedName name="z_Op_EBITDA_Min">#REF!</definedName>
    <definedName name="z_Op_EBITDA_Name">#REF!</definedName>
    <definedName name="z_Op_EBITDA2">#REF!</definedName>
    <definedName name="z_Op_NI">#REF!</definedName>
    <definedName name="z_Op_NI_Increm">#REF!</definedName>
    <definedName name="z_Op_NI_Max">#REF!</definedName>
    <definedName name="z_Op_NI_Mean">#REF!</definedName>
    <definedName name="z_Op_NI_Mean_cal">#REF!</definedName>
    <definedName name="z_Op_NI_Min">#REF!</definedName>
    <definedName name="z_Op_NI_Name">#REF!</definedName>
    <definedName name="z_Op_NI2">#REF!</definedName>
    <definedName name="z_Op_Revenues">#REF!</definedName>
    <definedName name="z_Op_Revenues_Increm">#REF!</definedName>
    <definedName name="z_Op_Revenues_Max">#REF!</definedName>
    <definedName name="z_Op_Revenues_Mean">#REF!</definedName>
    <definedName name="z_Op_Revenues_Mean_cal">#REF!</definedName>
    <definedName name="z_Op_Revenues_Min">#REF!</definedName>
    <definedName name="z_Op_Revenues_Name">#REF!</definedName>
    <definedName name="z_Op_Revenues2">#REF!</definedName>
    <definedName name="z_Printarea">[4]Main!$H$8:$S$56,[4]Main!$H$16:$S$132</definedName>
    <definedName name="z_Project_Name">[4]Main!#REF!</definedName>
    <definedName name="z_Range">#REF!</definedName>
    <definedName name="z_Row_Clear">#REF!</definedName>
    <definedName name="z_Row_End">#REF!</definedName>
    <definedName name="z_Row1">#REF!</definedName>
    <definedName name="z_Row14">#REF!,#REF!</definedName>
    <definedName name="z_Row15">#REF!,#REF!</definedName>
    <definedName name="z_Row16">#REF!,#REF!</definedName>
    <definedName name="z_Row17">#REF!</definedName>
    <definedName name="z_Row18">#REF!</definedName>
    <definedName name="z_Row19">#REF!</definedName>
    <definedName name="z_rw_End">#REF!</definedName>
    <definedName name="z_TEV_LTM_EBIT">#REF!</definedName>
    <definedName name="z_TEV_LTM_EBIT_Increm">#REF!</definedName>
    <definedName name="z_TEV_LTM_EBIT_Max">#REF!</definedName>
    <definedName name="z_TEV_LTM_EBIT_Mean">#REF!</definedName>
    <definedName name="z_TEV_LTM_EBIT_Mean_cal">#REF!</definedName>
    <definedName name="z_TEV_LTM_EBIT_Min">#REF!</definedName>
    <definedName name="z_TEV_LTM_EBIT_Name">#REF!</definedName>
    <definedName name="z_TEV_LTM_EBIT2">#REF!</definedName>
    <definedName name="z_TEV_LTM_EBITDA">#REF!</definedName>
    <definedName name="z_TEV_LTM_EBITDA_Increm">#REF!</definedName>
    <definedName name="z_TEV_LTM_EBITDA_Max">#REF!</definedName>
    <definedName name="z_TEV_LTM_EBITDA_Mean">#REF!</definedName>
    <definedName name="z_TEV_LTM_EBITDA_Mean_cal">#REF!</definedName>
    <definedName name="z_TEV_LTM_EBITDA_Min">#REF!</definedName>
    <definedName name="z_TEV_LTM_EBITDA_Name">#REF!</definedName>
    <definedName name="z_TEV_LTM_EBITDA2">#REF!</definedName>
    <definedName name="z_TEV_LTM_LTM_NI">#REF!</definedName>
    <definedName name="z_TEV_LTM_LTM_NI_Increm">#REF!</definedName>
    <definedName name="z_TEV_LTM_LTM_NI_Max">#REF!</definedName>
    <definedName name="z_TEV_LTM_LTM_NI_Mean">#REF!</definedName>
    <definedName name="z_TEV_LTM_LTM_NI_Mean_cal">#REF!</definedName>
    <definedName name="z_TEV_LTM_LTM_NI_Min">#REF!</definedName>
    <definedName name="z_TEV_LTM_LTM_NI_Name">#REF!</definedName>
    <definedName name="z_TEV_LTM_LTM_NI2">#REF!</definedName>
    <definedName name="z_TEV_LTM_Revenues">#REF!</definedName>
    <definedName name="z_TEV_LTM_Revenues_Increm">#REF!</definedName>
    <definedName name="z_TEV_LTM_Revenues_Max">#REF!</definedName>
    <definedName name="z_TEV_LTM_Revenues_Mean">#REF!</definedName>
    <definedName name="z_TEV_LTM_Revenues_Mean_cal">#REF!</definedName>
    <definedName name="z_TEV_LTM_Revenues_Min">#REF!</definedName>
    <definedName name="z_TEV_LTM_Revenues_Name">#REF!</definedName>
    <definedName name="z_TEV_LTM_Revenues2">#REF!</definedName>
    <definedName name="z_top">#REF!</definedName>
  </definedNames>
  <calcPr calcId="162913"/>
</workbook>
</file>

<file path=xl/calcChain.xml><?xml version="1.0" encoding="utf-8"?>
<calcChain xmlns="http://schemas.openxmlformats.org/spreadsheetml/2006/main">
  <c r="P22" i="10" l="1"/>
  <c r="B28" i="10"/>
  <c r="D28" i="10"/>
  <c r="J28" i="10"/>
  <c r="F24" i="9" l="1"/>
  <c r="L24" i="9" s="1"/>
  <c r="P24" i="9" s="1"/>
  <c r="F25" i="9"/>
  <c r="L43" i="82" l="1"/>
  <c r="L42" i="82"/>
  <c r="L26" i="82"/>
  <c r="L27" i="82"/>
  <c r="L28" i="82"/>
  <c r="L29" i="82"/>
  <c r="L30" i="82"/>
  <c r="L42" i="81"/>
  <c r="L41" i="81"/>
  <c r="L26" i="81"/>
  <c r="L27" i="81"/>
  <c r="L28" i="81"/>
  <c r="L29" i="81"/>
  <c r="L25" i="82" l="1"/>
  <c r="L25" i="81"/>
  <c r="B36" i="82" l="1"/>
  <c r="J36" i="82"/>
  <c r="H36" i="82"/>
  <c r="F36" i="82"/>
  <c r="F30" i="10"/>
  <c r="L30" i="10" s="1"/>
  <c r="P30" i="10" s="1"/>
  <c r="L35" i="81"/>
  <c r="F31" i="9"/>
  <c r="L31" i="9" s="1"/>
  <c r="P31" i="9" s="1"/>
  <c r="L36" i="82" l="1"/>
  <c r="L24" i="82" l="1"/>
  <c r="L24" i="81"/>
  <c r="L23" i="81" l="1"/>
  <c r="L23" i="82" l="1"/>
  <c r="L22" i="82" l="1"/>
  <c r="L22" i="81" l="1"/>
  <c r="L21" i="81" l="1"/>
  <c r="L21" i="82"/>
  <c r="R44" i="82" l="1"/>
  <c r="P44" i="82"/>
  <c r="N44" i="82"/>
  <c r="J44" i="82"/>
  <c r="F44" i="82"/>
  <c r="D44" i="82"/>
  <c r="B44" i="82"/>
  <c r="T43" i="82"/>
  <c r="V43" i="82" s="1"/>
  <c r="T42" i="82"/>
  <c r="V42" i="82" s="1"/>
  <c r="T36" i="82"/>
  <c r="V36" i="82" s="1"/>
  <c r="R32" i="82"/>
  <c r="R34" i="82" s="1"/>
  <c r="R38" i="82" s="1"/>
  <c r="P32" i="82"/>
  <c r="P34" i="82" s="1"/>
  <c r="P38" i="82" s="1"/>
  <c r="N32" i="82"/>
  <c r="N34" i="82" s="1"/>
  <c r="N38" i="82" s="1"/>
  <c r="T30" i="82"/>
  <c r="V30" i="82" s="1"/>
  <c r="T29" i="82"/>
  <c r="V29" i="82" s="1"/>
  <c r="T28" i="82"/>
  <c r="V28" i="82" s="1"/>
  <c r="T27" i="82"/>
  <c r="V27" i="82" s="1"/>
  <c r="T26" i="82"/>
  <c r="V26" i="82" s="1"/>
  <c r="T25" i="82"/>
  <c r="V25" i="82" s="1"/>
  <c r="T24" i="82"/>
  <c r="V24" i="82" s="1"/>
  <c r="T23" i="82"/>
  <c r="V23" i="82" s="1"/>
  <c r="T22" i="82"/>
  <c r="V22" i="82" s="1"/>
  <c r="A3" i="82"/>
  <c r="A3" i="81"/>
  <c r="R43" i="81"/>
  <c r="P43" i="81"/>
  <c r="N43" i="81"/>
  <c r="J43" i="81"/>
  <c r="F43" i="81"/>
  <c r="D43" i="81"/>
  <c r="B43" i="81"/>
  <c r="T42" i="81"/>
  <c r="V42" i="81" s="1"/>
  <c r="T41" i="81"/>
  <c r="V41" i="81" s="1"/>
  <c r="T35" i="81"/>
  <c r="V35" i="81" s="1"/>
  <c r="R31" i="81"/>
  <c r="R33" i="81" s="1"/>
  <c r="R37" i="81" s="1"/>
  <c r="P31" i="81"/>
  <c r="P33" i="81" s="1"/>
  <c r="P37" i="81" s="1"/>
  <c r="N31" i="81"/>
  <c r="N33" i="81" s="1"/>
  <c r="N37" i="81" s="1"/>
  <c r="T29" i="81"/>
  <c r="V29" i="81" s="1"/>
  <c r="T28" i="81"/>
  <c r="V28" i="81" s="1"/>
  <c r="T27" i="81"/>
  <c r="V27" i="81" s="1"/>
  <c r="T26" i="81"/>
  <c r="V26" i="81" s="1"/>
  <c r="T25" i="81"/>
  <c r="V25" i="81" s="1"/>
  <c r="T24" i="81"/>
  <c r="V24" i="81" s="1"/>
  <c r="T23" i="81"/>
  <c r="V23" i="81" s="1"/>
  <c r="T22" i="81"/>
  <c r="V22" i="81" s="1"/>
  <c r="L25" i="9"/>
  <c r="L24" i="10"/>
  <c r="J19" i="6"/>
  <c r="I19" i="6"/>
  <c r="F19" i="6"/>
  <c r="E19" i="6"/>
  <c r="J11" i="6"/>
  <c r="J18" i="6" s="1"/>
  <c r="I11" i="6"/>
  <c r="I18" i="6" s="1"/>
  <c r="G11" i="6"/>
  <c r="G18" i="6" s="1"/>
  <c r="K19" i="6"/>
  <c r="D19" i="6"/>
  <c r="N11" i="6"/>
  <c r="N18" i="6" s="1"/>
  <c r="D11" i="6"/>
  <c r="D18" i="6" s="1"/>
  <c r="M52" i="11"/>
  <c r="O52" i="11" s="1"/>
  <c r="A52" i="11"/>
  <c r="A50" i="11"/>
  <c r="O15" i="6"/>
  <c r="P15" i="6" s="1"/>
  <c r="H26" i="9"/>
  <c r="H29" i="9" s="1"/>
  <c r="H33" i="9" s="1"/>
  <c r="J26" i="9"/>
  <c r="A19" i="10"/>
  <c r="H47" i="6"/>
  <c r="G47" i="6"/>
  <c r="F47" i="6"/>
  <c r="E47" i="6"/>
  <c r="D47" i="6"/>
  <c r="C47" i="6"/>
  <c r="L47" i="6"/>
  <c r="K47" i="6"/>
  <c r="J47" i="6"/>
  <c r="I47" i="6"/>
  <c r="O47" i="6"/>
  <c r="N47" i="6"/>
  <c r="M47" i="6"/>
  <c r="O111" i="6"/>
  <c r="E89" i="17" s="1"/>
  <c r="Q89" i="17" s="1"/>
  <c r="N111" i="6"/>
  <c r="M111" i="6"/>
  <c r="L111" i="6"/>
  <c r="K111" i="6"/>
  <c r="J111" i="6"/>
  <c r="I111" i="6"/>
  <c r="H111" i="6"/>
  <c r="G111" i="6"/>
  <c r="F111" i="6"/>
  <c r="E111" i="6"/>
  <c r="D111" i="6"/>
  <c r="C111" i="6"/>
  <c r="J39" i="9"/>
  <c r="H39" i="9"/>
  <c r="A33" i="10"/>
  <c r="F36" i="9"/>
  <c r="L36" i="9" s="1"/>
  <c r="P36" i="9" s="1"/>
  <c r="F35" i="9"/>
  <c r="L35" i="9" s="1"/>
  <c r="P35" i="9" s="1"/>
  <c r="A37" i="10"/>
  <c r="A36" i="10"/>
  <c r="F20" i="10"/>
  <c r="L20" i="10" s="1"/>
  <c r="P20" i="10" s="1"/>
  <c r="F23" i="10"/>
  <c r="L23" i="10" s="1"/>
  <c r="P23" i="10" s="1"/>
  <c r="F23" i="9"/>
  <c r="L23" i="9" s="1"/>
  <c r="P23" i="9" s="1"/>
  <c r="O117" i="6"/>
  <c r="E98" i="17" s="1"/>
  <c r="Q98" i="17" s="1"/>
  <c r="N117" i="6"/>
  <c r="M117" i="6"/>
  <c r="L117" i="6"/>
  <c r="K117" i="6"/>
  <c r="J117" i="6"/>
  <c r="I117" i="6"/>
  <c r="H117" i="6"/>
  <c r="G117" i="6"/>
  <c r="F117" i="6"/>
  <c r="E117" i="6"/>
  <c r="D117" i="6"/>
  <c r="C117" i="6"/>
  <c r="L88" i="6"/>
  <c r="L90" i="6" s="1"/>
  <c r="K88" i="6"/>
  <c r="R88" i="6"/>
  <c r="R90" i="6" s="1"/>
  <c r="H13" i="35"/>
  <c r="H14" i="35"/>
  <c r="H15" i="35"/>
  <c r="H16" i="35"/>
  <c r="H17" i="35"/>
  <c r="H18" i="35"/>
  <c r="H19" i="35"/>
  <c r="H20" i="35"/>
  <c r="H21" i="35"/>
  <c r="H22" i="35"/>
  <c r="H23" i="35"/>
  <c r="H12" i="35"/>
  <c r="G24" i="35"/>
  <c r="G27" i="35" s="1"/>
  <c r="F24" i="35"/>
  <c r="F27" i="35" s="1"/>
  <c r="E24" i="35"/>
  <c r="B12" i="35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P81" i="49"/>
  <c r="P217" i="49"/>
  <c r="P212" i="49"/>
  <c r="P204" i="49"/>
  <c r="P198" i="49"/>
  <c r="C81" i="16"/>
  <c r="N86" i="16"/>
  <c r="N93" i="16" s="1"/>
  <c r="N86" i="17"/>
  <c r="N93" i="17" s="1"/>
  <c r="C81" i="17"/>
  <c r="B220" i="49"/>
  <c r="H220" i="49" s="1"/>
  <c r="B219" i="49"/>
  <c r="M219" i="49" s="1"/>
  <c r="M43" i="6" s="1"/>
  <c r="B218" i="49"/>
  <c r="K218" i="49" s="1"/>
  <c r="A220" i="49"/>
  <c r="A219" i="49"/>
  <c r="A218" i="49"/>
  <c r="B214" i="49"/>
  <c r="J214" i="49" s="1"/>
  <c r="J123" i="6" s="1"/>
  <c r="B215" i="49"/>
  <c r="D215" i="49" s="1"/>
  <c r="B213" i="49"/>
  <c r="F213" i="49" s="1"/>
  <c r="A214" i="49"/>
  <c r="A215" i="49"/>
  <c r="A213" i="49"/>
  <c r="B212" i="49"/>
  <c r="P42" i="6"/>
  <c r="E24" i="16" s="1"/>
  <c r="Q24" i="16" s="1"/>
  <c r="D82" i="6"/>
  <c r="E82" i="6"/>
  <c r="F82" i="6"/>
  <c r="G82" i="6"/>
  <c r="H82" i="6"/>
  <c r="I82" i="6"/>
  <c r="J82" i="6"/>
  <c r="K82" i="6"/>
  <c r="L82" i="6"/>
  <c r="M82" i="6"/>
  <c r="N82" i="6"/>
  <c r="O82" i="6"/>
  <c r="D83" i="6"/>
  <c r="E83" i="6"/>
  <c r="F83" i="6"/>
  <c r="G83" i="6"/>
  <c r="H83" i="6"/>
  <c r="I83" i="6"/>
  <c r="J83" i="6"/>
  <c r="K83" i="6"/>
  <c r="L83" i="6"/>
  <c r="M83" i="6"/>
  <c r="N83" i="6"/>
  <c r="O83" i="6"/>
  <c r="C83" i="6"/>
  <c r="C82" i="6"/>
  <c r="D6" i="25"/>
  <c r="E6" i="25" s="1"/>
  <c r="F6" i="25" s="1"/>
  <c r="G6" i="25" s="1"/>
  <c r="H6" i="25" s="1"/>
  <c r="I6" i="25" s="1"/>
  <c r="J6" i="25" s="1"/>
  <c r="K6" i="25" s="1"/>
  <c r="L6" i="25" s="1"/>
  <c r="M6" i="25" s="1"/>
  <c r="N6" i="25" s="1"/>
  <c r="O6" i="25" s="1"/>
  <c r="P8" i="25"/>
  <c r="P9" i="25" s="1"/>
  <c r="P11" i="25"/>
  <c r="D3" i="14"/>
  <c r="D4" i="14"/>
  <c r="F17" i="14"/>
  <c r="F21" i="14" s="1"/>
  <c r="G25" i="14"/>
  <c r="G29" i="14" s="1"/>
  <c r="C29" i="14"/>
  <c r="D29" i="14"/>
  <c r="E29" i="14"/>
  <c r="F29" i="14"/>
  <c r="G33" i="14"/>
  <c r="G37" i="14"/>
  <c r="D39" i="14"/>
  <c r="E39" i="14"/>
  <c r="F39" i="14"/>
  <c r="A1" i="11"/>
  <c r="A2" i="11"/>
  <c r="K13" i="11"/>
  <c r="O13" i="11"/>
  <c r="M25" i="11"/>
  <c r="O25" i="11" s="1"/>
  <c r="K44" i="11"/>
  <c r="O44" i="11"/>
  <c r="M56" i="11"/>
  <c r="O56" i="11" s="1"/>
  <c r="A5" i="17"/>
  <c r="A67" i="17" s="1"/>
  <c r="A17" i="17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7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4" i="17" s="1"/>
  <c r="A56" i="17" s="1"/>
  <c r="E17" i="17"/>
  <c r="E18" i="17"/>
  <c r="Q18" i="17" s="1"/>
  <c r="E20" i="17"/>
  <c r="Q20" i="17" s="1"/>
  <c r="E21" i="17"/>
  <c r="Q21" i="17" s="1"/>
  <c r="E22" i="17"/>
  <c r="H22" i="17" s="1"/>
  <c r="E23" i="17"/>
  <c r="Q23" i="17" s="1"/>
  <c r="E24" i="17"/>
  <c r="Q24" i="17" s="1"/>
  <c r="E26" i="17"/>
  <c r="E27" i="17"/>
  <c r="Q27" i="17" s="1"/>
  <c r="E29" i="17"/>
  <c r="N29" i="17" s="1"/>
  <c r="N37" i="17" s="1"/>
  <c r="E30" i="17"/>
  <c r="H30" i="17" s="1"/>
  <c r="Q30" i="17" s="1"/>
  <c r="E31" i="17"/>
  <c r="Q31" i="17" s="1"/>
  <c r="E32" i="17"/>
  <c r="Q32" i="17" s="1"/>
  <c r="E34" i="17"/>
  <c r="Q34" i="17" s="1"/>
  <c r="E35" i="17"/>
  <c r="Q35" i="17" s="1"/>
  <c r="C42" i="17"/>
  <c r="C43" i="17"/>
  <c r="Q43" i="17"/>
  <c r="C44" i="17"/>
  <c r="E44" i="17"/>
  <c r="Q44" i="17" s="1"/>
  <c r="C45" i="17"/>
  <c r="E45" i="17"/>
  <c r="N45" i="17" s="1"/>
  <c r="N54" i="17" s="1"/>
  <c r="C46" i="17"/>
  <c r="E46" i="17"/>
  <c r="Q46" i="17" s="1"/>
  <c r="C47" i="17"/>
  <c r="C48" i="17"/>
  <c r="E48" i="17"/>
  <c r="Q48" i="17" s="1"/>
  <c r="C49" i="17"/>
  <c r="E49" i="17"/>
  <c r="Q49" i="17" s="1"/>
  <c r="E50" i="17"/>
  <c r="Q50" i="17" s="1"/>
  <c r="C51" i="17"/>
  <c r="C52" i="17"/>
  <c r="E52" i="17"/>
  <c r="Q52" i="17" s="1"/>
  <c r="H54" i="17"/>
  <c r="E78" i="17"/>
  <c r="Q78" i="17" s="1"/>
  <c r="A79" i="17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3" i="17" s="1"/>
  <c r="A98" i="17" s="1"/>
  <c r="A99" i="17" s="1"/>
  <c r="A100" i="17" s="1"/>
  <c r="A101" i="17" s="1"/>
  <c r="A102" i="17" s="1"/>
  <c r="A104" i="17" s="1"/>
  <c r="A108" i="17" s="1"/>
  <c r="A111" i="17" s="1"/>
  <c r="A114" i="17" s="1"/>
  <c r="E80" i="17"/>
  <c r="Q80" i="17" s="1"/>
  <c r="E81" i="17"/>
  <c r="C82" i="17"/>
  <c r="E82" i="17"/>
  <c r="C98" i="17"/>
  <c r="E99" i="17"/>
  <c r="Q99" i="17" s="1"/>
  <c r="Q101" i="17"/>
  <c r="Q102" i="17"/>
  <c r="H105" i="17"/>
  <c r="K105" i="17"/>
  <c r="N105" i="17"/>
  <c r="A17" i="16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8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5" i="16" s="1"/>
  <c r="A57" i="16" s="1"/>
  <c r="Q44" i="16"/>
  <c r="C51" i="16"/>
  <c r="C50" i="17" s="1"/>
  <c r="H55" i="16"/>
  <c r="N55" i="16"/>
  <c r="A67" i="16"/>
  <c r="A79" i="16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3" i="16" s="1"/>
  <c r="A98" i="16" s="1"/>
  <c r="A99" i="16" s="1"/>
  <c r="A100" i="16" s="1"/>
  <c r="A101" i="16" s="1"/>
  <c r="A102" i="16" s="1"/>
  <c r="A104" i="16" s="1"/>
  <c r="A108" i="16" s="1"/>
  <c r="A111" i="16" s="1"/>
  <c r="C82" i="16"/>
  <c r="C98" i="16"/>
  <c r="Q101" i="16"/>
  <c r="Q102" i="16"/>
  <c r="H105" i="16"/>
  <c r="K105" i="16"/>
  <c r="N105" i="16"/>
  <c r="A1" i="10"/>
  <c r="A1" i="82" s="1"/>
  <c r="A2" i="10"/>
  <c r="A2" i="82" s="1"/>
  <c r="A18" i="10"/>
  <c r="F18" i="10"/>
  <c r="L18" i="10" s="1"/>
  <c r="H25" i="10"/>
  <c r="H28" i="10" s="1"/>
  <c r="H32" i="10" s="1"/>
  <c r="J25" i="10"/>
  <c r="A38" i="10"/>
  <c r="H38" i="10"/>
  <c r="J38" i="10"/>
  <c r="A1" i="9"/>
  <c r="A1" i="81" s="1"/>
  <c r="A2" i="9"/>
  <c r="A2" i="81" s="1"/>
  <c r="F18" i="9"/>
  <c r="L18" i="9" s="1"/>
  <c r="F20" i="9"/>
  <c r="L20" i="9" s="1"/>
  <c r="P20" i="9" s="1"/>
  <c r="P12" i="6"/>
  <c r="P14" i="6"/>
  <c r="P16" i="6"/>
  <c r="P20" i="6"/>
  <c r="P21" i="6"/>
  <c r="P22" i="6"/>
  <c r="P23" i="6"/>
  <c r="P24" i="6"/>
  <c r="P28" i="6"/>
  <c r="P29" i="6"/>
  <c r="P30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5" i="6"/>
  <c r="E17" i="16" s="1"/>
  <c r="Q17" i="16" s="1"/>
  <c r="P36" i="6"/>
  <c r="E18" i="16" s="1"/>
  <c r="Q18" i="16" s="1"/>
  <c r="P38" i="6"/>
  <c r="E20" i="16" s="1"/>
  <c r="Q20" i="16" s="1"/>
  <c r="P39" i="6"/>
  <c r="E21" i="16" s="1"/>
  <c r="Q21" i="16" s="1"/>
  <c r="P40" i="6"/>
  <c r="E22" i="16" s="1"/>
  <c r="H22" i="16" s="1"/>
  <c r="Q22" i="16" s="1"/>
  <c r="P41" i="6"/>
  <c r="E23" i="16" s="1"/>
  <c r="Q23" i="16" s="1"/>
  <c r="P44" i="6"/>
  <c r="E26" i="16" s="1"/>
  <c r="K26" i="16" s="1"/>
  <c r="P45" i="6"/>
  <c r="E27" i="16" s="1"/>
  <c r="Q27" i="16" s="1"/>
  <c r="P48" i="6"/>
  <c r="E29" i="16" s="1"/>
  <c r="P49" i="6"/>
  <c r="E30" i="16" s="1"/>
  <c r="P50" i="6"/>
  <c r="E31" i="16" s="1"/>
  <c r="Q31" i="16" s="1"/>
  <c r="P51" i="6"/>
  <c r="E32" i="16" s="1"/>
  <c r="Q32" i="16" s="1"/>
  <c r="P52" i="6"/>
  <c r="E34" i="16" s="1"/>
  <c r="Q34" i="16" s="1"/>
  <c r="P54" i="6"/>
  <c r="E35" i="16" s="1"/>
  <c r="Q35" i="16" s="1"/>
  <c r="P60" i="6"/>
  <c r="E45" i="16" s="1"/>
  <c r="Q45" i="16" s="1"/>
  <c r="P61" i="6"/>
  <c r="E46" i="16" s="1"/>
  <c r="Q46" i="16" s="1"/>
  <c r="P62" i="6"/>
  <c r="E47" i="16" s="1"/>
  <c r="Q47" i="16" s="1"/>
  <c r="P64" i="6"/>
  <c r="E49" i="16" s="1"/>
  <c r="Q49" i="16" s="1"/>
  <c r="P65" i="6"/>
  <c r="E50" i="16" s="1"/>
  <c r="Q50" i="16" s="1"/>
  <c r="P66" i="6"/>
  <c r="E51" i="16" s="1"/>
  <c r="Q51" i="16" s="1"/>
  <c r="P68" i="6"/>
  <c r="E53" i="16" s="1"/>
  <c r="Q53" i="16" s="1"/>
  <c r="Q77" i="6"/>
  <c r="P85" i="6"/>
  <c r="P86" i="6"/>
  <c r="P87" i="6"/>
  <c r="S88" i="6"/>
  <c r="C90" i="6"/>
  <c r="D90" i="6"/>
  <c r="E90" i="6"/>
  <c r="F90" i="6"/>
  <c r="G90" i="6"/>
  <c r="H90" i="6"/>
  <c r="I90" i="6"/>
  <c r="J90" i="6"/>
  <c r="M90" i="6"/>
  <c r="N90" i="6"/>
  <c r="P92" i="6"/>
  <c r="P93" i="6"/>
  <c r="P94" i="6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P98" i="6"/>
  <c r="E78" i="16" s="1"/>
  <c r="Q78" i="16" s="1"/>
  <c r="P100" i="6"/>
  <c r="E80" i="16" s="1"/>
  <c r="Q80" i="16" s="1"/>
  <c r="P101" i="6"/>
  <c r="E81" i="16" s="1"/>
  <c r="P102" i="6"/>
  <c r="P103" i="6"/>
  <c r="E82" i="16" s="1"/>
  <c r="H82" i="16" s="1"/>
  <c r="H93" i="16" s="1"/>
  <c r="P116" i="6"/>
  <c r="P118" i="6"/>
  <c r="E99" i="16" s="1"/>
  <c r="Q99" i="16" s="1"/>
  <c r="P124" i="6"/>
  <c r="P125" i="6"/>
  <c r="A70" i="49"/>
  <c r="B70" i="49"/>
  <c r="G70" i="49" s="1"/>
  <c r="A71" i="49"/>
  <c r="B71" i="49"/>
  <c r="H71" i="49" s="1"/>
  <c r="H34" i="6" s="1"/>
  <c r="A72" i="49"/>
  <c r="B72" i="49"/>
  <c r="F72" i="49" s="1"/>
  <c r="U73" i="49"/>
  <c r="W74" i="49"/>
  <c r="P75" i="49"/>
  <c r="A76" i="49"/>
  <c r="B76" i="49"/>
  <c r="I76" i="49" s="1"/>
  <c r="A77" i="49"/>
  <c r="B77" i="49"/>
  <c r="C77" i="49" s="1"/>
  <c r="A78" i="49"/>
  <c r="B78" i="49"/>
  <c r="U79" i="49"/>
  <c r="W80" i="49"/>
  <c r="A82" i="49"/>
  <c r="B82" i="49"/>
  <c r="C82" i="49" s="1"/>
  <c r="A83" i="49"/>
  <c r="B83" i="49"/>
  <c r="H83" i="49" s="1"/>
  <c r="H59" i="6" s="1"/>
  <c r="T84" i="49"/>
  <c r="U85" i="49"/>
  <c r="B90" i="49"/>
  <c r="B102" i="49" s="1"/>
  <c r="P90" i="49"/>
  <c r="A91" i="49"/>
  <c r="B91" i="49"/>
  <c r="C91" i="49" s="1"/>
  <c r="A92" i="49"/>
  <c r="B92" i="49"/>
  <c r="A93" i="49"/>
  <c r="B93" i="49"/>
  <c r="D93" i="49" s="1"/>
  <c r="U94" i="49"/>
  <c r="W95" i="49"/>
  <c r="P96" i="49"/>
  <c r="A97" i="49"/>
  <c r="B97" i="49"/>
  <c r="D97" i="49" s="1"/>
  <c r="A98" i="49"/>
  <c r="B98" i="49"/>
  <c r="F98" i="49" s="1"/>
  <c r="A99" i="49"/>
  <c r="B99" i="49"/>
  <c r="F99" i="49" s="1"/>
  <c r="U100" i="49"/>
  <c r="W101" i="49"/>
  <c r="P102" i="49"/>
  <c r="A103" i="49"/>
  <c r="B103" i="49"/>
  <c r="I103" i="49" s="1"/>
  <c r="A104" i="49"/>
  <c r="B104" i="49"/>
  <c r="C104" i="49" s="1"/>
  <c r="A105" i="49"/>
  <c r="B105" i="49"/>
  <c r="D105" i="49" s="1"/>
  <c r="U106" i="49"/>
  <c r="W107" i="49"/>
  <c r="P108" i="49"/>
  <c r="P109" i="49"/>
  <c r="T109" i="49" s="1"/>
  <c r="P110" i="49"/>
  <c r="U110" i="49" s="1"/>
  <c r="P111" i="49"/>
  <c r="R111" i="49" s="1"/>
  <c r="P112" i="49"/>
  <c r="S112" i="49" s="1"/>
  <c r="P114" i="49"/>
  <c r="A115" i="49"/>
  <c r="B115" i="49"/>
  <c r="K115" i="49" s="1"/>
  <c r="A116" i="49"/>
  <c r="B116" i="49"/>
  <c r="F116" i="49" s="1"/>
  <c r="A117" i="49"/>
  <c r="B117" i="49"/>
  <c r="E117" i="49" s="1"/>
  <c r="U118" i="49"/>
  <c r="W119" i="49"/>
  <c r="P120" i="49"/>
  <c r="A121" i="49"/>
  <c r="C121" i="49"/>
  <c r="D121" i="49"/>
  <c r="E121" i="49"/>
  <c r="F121" i="49"/>
  <c r="G121" i="49"/>
  <c r="H121" i="49"/>
  <c r="I121" i="49"/>
  <c r="J121" i="49"/>
  <c r="K121" i="49"/>
  <c r="L121" i="49"/>
  <c r="M121" i="49"/>
  <c r="N121" i="49"/>
  <c r="O121" i="49"/>
  <c r="A122" i="49"/>
  <c r="C122" i="49"/>
  <c r="D122" i="49"/>
  <c r="D99" i="6" s="1"/>
  <c r="E122" i="49"/>
  <c r="E99" i="6" s="1"/>
  <c r="F122" i="49"/>
  <c r="F99" i="6" s="1"/>
  <c r="G122" i="49"/>
  <c r="G99" i="6" s="1"/>
  <c r="H122" i="49"/>
  <c r="H99" i="6" s="1"/>
  <c r="I122" i="49"/>
  <c r="I99" i="6" s="1"/>
  <c r="J122" i="49"/>
  <c r="J99" i="6" s="1"/>
  <c r="K122" i="49"/>
  <c r="K99" i="6" s="1"/>
  <c r="L122" i="49"/>
  <c r="L99" i="6" s="1"/>
  <c r="M122" i="49"/>
  <c r="M99" i="6" s="1"/>
  <c r="N122" i="49"/>
  <c r="N99" i="6" s="1"/>
  <c r="O122" i="49"/>
  <c r="O99" i="6" s="1"/>
  <c r="A123" i="49"/>
  <c r="C123" i="49"/>
  <c r="D123" i="49"/>
  <c r="E123" i="49"/>
  <c r="F123" i="49"/>
  <c r="G123" i="49"/>
  <c r="H123" i="49"/>
  <c r="I123" i="49"/>
  <c r="J123" i="49"/>
  <c r="K123" i="49"/>
  <c r="L123" i="49"/>
  <c r="M123" i="49"/>
  <c r="N123" i="49"/>
  <c r="O123" i="49"/>
  <c r="U124" i="49"/>
  <c r="W125" i="49"/>
  <c r="P127" i="49"/>
  <c r="A128" i="49"/>
  <c r="B128" i="49"/>
  <c r="D128" i="49" s="1"/>
  <c r="A129" i="49"/>
  <c r="B129" i="49"/>
  <c r="A130" i="49"/>
  <c r="B130" i="49"/>
  <c r="J130" i="49" s="1"/>
  <c r="U131" i="49"/>
  <c r="W132" i="49"/>
  <c r="B133" i="49"/>
  <c r="P133" i="49"/>
  <c r="A134" i="49"/>
  <c r="B134" i="49"/>
  <c r="K134" i="49" s="1"/>
  <c r="A135" i="49"/>
  <c r="B135" i="49"/>
  <c r="H135" i="49" s="1"/>
  <c r="H63" i="6" s="1"/>
  <c r="A136" i="49"/>
  <c r="B136" i="49"/>
  <c r="M136" i="49" s="1"/>
  <c r="U137" i="49"/>
  <c r="W138" i="49"/>
  <c r="P139" i="49"/>
  <c r="P140" i="49"/>
  <c r="R140" i="49" s="1"/>
  <c r="P141" i="49"/>
  <c r="S141" i="49" s="1"/>
  <c r="P142" i="49"/>
  <c r="T142" i="49" s="1"/>
  <c r="P143" i="49"/>
  <c r="U143" i="49" s="1"/>
  <c r="P144" i="49"/>
  <c r="W144" i="49" s="1"/>
  <c r="P146" i="49"/>
  <c r="A147" i="49"/>
  <c r="B147" i="49"/>
  <c r="I147" i="49" s="1"/>
  <c r="A148" i="49"/>
  <c r="B148" i="49"/>
  <c r="N148" i="49" s="1"/>
  <c r="T149" i="49"/>
  <c r="U150" i="49"/>
  <c r="P151" i="49"/>
  <c r="A152" i="49"/>
  <c r="B152" i="49"/>
  <c r="O152" i="49" s="1"/>
  <c r="A153" i="49"/>
  <c r="B153" i="49"/>
  <c r="T154" i="49"/>
  <c r="U155" i="49"/>
  <c r="P156" i="49"/>
  <c r="A157" i="49"/>
  <c r="B157" i="49"/>
  <c r="F157" i="49" s="1"/>
  <c r="A158" i="49"/>
  <c r="B158" i="49"/>
  <c r="A159" i="49"/>
  <c r="B159" i="49"/>
  <c r="E159" i="49" s="1"/>
  <c r="U160" i="49"/>
  <c r="W161" i="49"/>
  <c r="P162" i="49"/>
  <c r="A163" i="49"/>
  <c r="B163" i="49"/>
  <c r="E163" i="49" s="1"/>
  <c r="A164" i="49"/>
  <c r="B164" i="49"/>
  <c r="J164" i="49" s="1"/>
  <c r="A165" i="49"/>
  <c r="B165" i="49"/>
  <c r="C165" i="49" s="1"/>
  <c r="U166" i="49"/>
  <c r="W167" i="49"/>
  <c r="P168" i="49"/>
  <c r="A169" i="49"/>
  <c r="B169" i="49"/>
  <c r="E169" i="49" s="1"/>
  <c r="A170" i="49"/>
  <c r="B170" i="49"/>
  <c r="G170" i="49" s="1"/>
  <c r="A171" i="49"/>
  <c r="B171" i="49"/>
  <c r="C171" i="49" s="1"/>
  <c r="U172" i="49"/>
  <c r="W173" i="49"/>
  <c r="P174" i="49"/>
  <c r="A175" i="49"/>
  <c r="B175" i="49"/>
  <c r="D175" i="49" s="1"/>
  <c r="A176" i="49"/>
  <c r="B176" i="49"/>
  <c r="A177" i="49"/>
  <c r="B177" i="49"/>
  <c r="G177" i="49" s="1"/>
  <c r="U178" i="49"/>
  <c r="W179" i="49"/>
  <c r="P180" i="49"/>
  <c r="A181" i="49"/>
  <c r="B181" i="49"/>
  <c r="C181" i="49" s="1"/>
  <c r="F181" i="49"/>
  <c r="A182" i="49"/>
  <c r="B182" i="49"/>
  <c r="A183" i="49"/>
  <c r="B183" i="49"/>
  <c r="C183" i="49" s="1"/>
  <c r="U184" i="49"/>
  <c r="W185" i="49"/>
  <c r="P186" i="49"/>
  <c r="B187" i="49"/>
  <c r="C187" i="49" s="1"/>
  <c r="B188" i="49"/>
  <c r="F188" i="49" s="1"/>
  <c r="F107" i="6" s="1"/>
  <c r="B189" i="49"/>
  <c r="L189" i="49" s="1"/>
  <c r="U190" i="49"/>
  <c r="W191" i="49"/>
  <c r="P192" i="49"/>
  <c r="B193" i="49"/>
  <c r="H193" i="49" s="1"/>
  <c r="B194" i="49"/>
  <c r="T195" i="49"/>
  <c r="U196" i="49"/>
  <c r="W197" i="49"/>
  <c r="A199" i="49"/>
  <c r="B199" i="49"/>
  <c r="C199" i="49" s="1"/>
  <c r="A200" i="49"/>
  <c r="B200" i="49"/>
  <c r="C200" i="49" s="1"/>
  <c r="A201" i="49"/>
  <c r="B201" i="49"/>
  <c r="C201" i="49" s="1"/>
  <c r="U202" i="49"/>
  <c r="W203" i="49"/>
  <c r="A205" i="49"/>
  <c r="B205" i="49"/>
  <c r="L205" i="49" s="1"/>
  <c r="A206" i="49"/>
  <c r="B206" i="49"/>
  <c r="C206" i="49" s="1"/>
  <c r="A207" i="49"/>
  <c r="B207" i="49"/>
  <c r="D207" i="49" s="1"/>
  <c r="U208" i="49"/>
  <c r="W209" i="49"/>
  <c r="P210" i="49"/>
  <c r="T210" i="49" s="1"/>
  <c r="E85" i="17"/>
  <c r="Q85" i="17" s="1"/>
  <c r="E88" i="17"/>
  <c r="Q88" i="17" s="1"/>
  <c r="P110" i="6"/>
  <c r="E88" i="16" s="1"/>
  <c r="K88" i="16" s="1"/>
  <c r="Q88" i="16" s="1"/>
  <c r="P106" i="6"/>
  <c r="E85" i="16" s="1"/>
  <c r="Q85" i="16" s="1"/>
  <c r="P108" i="6"/>
  <c r="E19" i="17"/>
  <c r="Q19" i="17" s="1"/>
  <c r="O71" i="49"/>
  <c r="O34" i="6" s="1"/>
  <c r="E16" i="17" s="1"/>
  <c r="Q16" i="17" s="1"/>
  <c r="P69" i="49"/>
  <c r="P13" i="6"/>
  <c r="E51" i="17"/>
  <c r="K51" i="17" s="1"/>
  <c r="K54" i="17" s="1"/>
  <c r="P46" i="6"/>
  <c r="E28" i="16" s="1"/>
  <c r="Q28" i="16" s="1"/>
  <c r="P58" i="6"/>
  <c r="E28" i="17"/>
  <c r="Q28" i="17" s="1"/>
  <c r="P37" i="6"/>
  <c r="E19" i="16" s="1"/>
  <c r="Q19" i="16" s="1"/>
  <c r="O90" i="6"/>
  <c r="P67" i="6"/>
  <c r="E52" i="16" s="1"/>
  <c r="C39" i="14"/>
  <c r="G35" i="14"/>
  <c r="F22" i="10"/>
  <c r="F22" i="9"/>
  <c r="L22" i="9" s="1"/>
  <c r="A4" i="11"/>
  <c r="C4" i="25"/>
  <c r="C9" i="14"/>
  <c r="P4" i="6"/>
  <c r="P77" i="6" s="1"/>
  <c r="N181" i="49" l="1"/>
  <c r="J181" i="49"/>
  <c r="D26" i="6"/>
  <c r="P22" i="9"/>
  <c r="K214" i="49"/>
  <c r="K123" i="6" s="1"/>
  <c r="M206" i="49"/>
  <c r="E187" i="49"/>
  <c r="P18" i="10"/>
  <c r="M187" i="49"/>
  <c r="E206" i="49"/>
  <c r="M181" i="49"/>
  <c r="E181" i="49"/>
  <c r="Q82" i="16"/>
  <c r="H215" i="49"/>
  <c r="I181" i="49"/>
  <c r="O175" i="49"/>
  <c r="N170" i="49"/>
  <c r="F19" i="10"/>
  <c r="I188" i="49"/>
  <c r="I107" i="6" s="1"/>
  <c r="F187" i="49"/>
  <c r="L181" i="49"/>
  <c r="H181" i="49"/>
  <c r="D181" i="49"/>
  <c r="M175" i="49"/>
  <c r="J169" i="49"/>
  <c r="D99" i="49"/>
  <c r="O200" i="49"/>
  <c r="O181" i="49"/>
  <c r="K181" i="49"/>
  <c r="G181" i="49"/>
  <c r="E175" i="49"/>
  <c r="K165" i="49"/>
  <c r="M91" i="49"/>
  <c r="L170" i="49"/>
  <c r="J175" i="49"/>
  <c r="N206" i="49"/>
  <c r="G175" i="49"/>
  <c r="F170" i="49"/>
  <c r="K117" i="49"/>
  <c r="L99" i="49"/>
  <c r="N108" i="16"/>
  <c r="H213" i="49"/>
  <c r="K170" i="49"/>
  <c r="H108" i="16"/>
  <c r="N46" i="81"/>
  <c r="L215" i="49"/>
  <c r="H207" i="49"/>
  <c r="H205" i="49"/>
  <c r="D183" i="49"/>
  <c r="N175" i="49"/>
  <c r="I175" i="49"/>
  <c r="C175" i="49"/>
  <c r="F169" i="49"/>
  <c r="F165" i="49"/>
  <c r="K136" i="49"/>
  <c r="J117" i="49"/>
  <c r="H97" i="49"/>
  <c r="E91" i="49"/>
  <c r="D71" i="49"/>
  <c r="D34" i="6" s="1"/>
  <c r="O117" i="49"/>
  <c r="G117" i="49"/>
  <c r="M215" i="49"/>
  <c r="R47" i="82"/>
  <c r="J215" i="49"/>
  <c r="K199" i="49"/>
  <c r="K175" i="49"/>
  <c r="F175" i="49"/>
  <c r="N169" i="49"/>
  <c r="M165" i="49"/>
  <c r="N159" i="49"/>
  <c r="N117" i="49"/>
  <c r="C117" i="49"/>
  <c r="C93" i="49"/>
  <c r="F215" i="49"/>
  <c r="N213" i="49"/>
  <c r="E213" i="49"/>
  <c r="O104" i="49"/>
  <c r="M76" i="49"/>
  <c r="N47" i="82"/>
  <c r="H201" i="49"/>
  <c r="N183" i="49"/>
  <c r="I177" i="49"/>
  <c r="O171" i="49"/>
  <c r="J163" i="49"/>
  <c r="E115" i="49"/>
  <c r="G104" i="49"/>
  <c r="F103" i="49"/>
  <c r="J99" i="49"/>
  <c r="K93" i="49"/>
  <c r="I82" i="49"/>
  <c r="D76" i="49"/>
  <c r="L71" i="49"/>
  <c r="L34" i="6" s="1"/>
  <c r="L213" i="49"/>
  <c r="N71" i="49"/>
  <c r="N34" i="6" s="1"/>
  <c r="L201" i="49"/>
  <c r="I159" i="49"/>
  <c r="M105" i="49"/>
  <c r="H104" i="49"/>
  <c r="K103" i="49"/>
  <c r="K99" i="49"/>
  <c r="L77" i="49"/>
  <c r="L53" i="6" s="1"/>
  <c r="J76" i="49"/>
  <c r="P46" i="81"/>
  <c r="P47" i="82"/>
  <c r="F54" i="11"/>
  <c r="I54" i="11" s="1"/>
  <c r="M171" i="49"/>
  <c r="F117" i="49"/>
  <c r="J105" i="49"/>
  <c r="C215" i="49"/>
  <c r="G188" i="49"/>
  <c r="G107" i="6" s="1"/>
  <c r="E215" i="49"/>
  <c r="L207" i="49"/>
  <c r="C189" i="49"/>
  <c r="J187" i="49"/>
  <c r="H183" i="49"/>
  <c r="O177" i="49"/>
  <c r="E171" i="49"/>
  <c r="N163" i="49"/>
  <c r="D163" i="49"/>
  <c r="E134" i="49"/>
  <c r="L117" i="49"/>
  <c r="H117" i="49"/>
  <c r="D117" i="49"/>
  <c r="C105" i="49"/>
  <c r="N104" i="49"/>
  <c r="M97" i="49"/>
  <c r="L93" i="49"/>
  <c r="F93" i="49"/>
  <c r="H91" i="49"/>
  <c r="M83" i="49"/>
  <c r="M59" i="6" s="1"/>
  <c r="E76" i="49"/>
  <c r="O215" i="49"/>
  <c r="I193" i="49"/>
  <c r="I163" i="49"/>
  <c r="H93" i="49"/>
  <c r="H42" i="9"/>
  <c r="H188" i="49"/>
  <c r="H107" i="6" s="1"/>
  <c r="N215" i="49"/>
  <c r="L187" i="49"/>
  <c r="L183" i="49"/>
  <c r="I171" i="49"/>
  <c r="H163" i="49"/>
  <c r="I134" i="49"/>
  <c r="M117" i="49"/>
  <c r="I117" i="49"/>
  <c r="I105" i="49"/>
  <c r="N93" i="49"/>
  <c r="G93" i="49"/>
  <c r="K91" i="49"/>
  <c r="L214" i="49"/>
  <c r="L123" i="6" s="1"/>
  <c r="N214" i="49"/>
  <c r="N123" i="6" s="1"/>
  <c r="M177" i="49"/>
  <c r="E177" i="49"/>
  <c r="L169" i="49"/>
  <c r="H169" i="49"/>
  <c r="D169" i="49"/>
  <c r="H157" i="49"/>
  <c r="I128" i="49"/>
  <c r="G77" i="49"/>
  <c r="G53" i="6" s="1"/>
  <c r="H24" i="35"/>
  <c r="H27" i="35" s="1"/>
  <c r="G39" i="14"/>
  <c r="I187" i="49"/>
  <c r="L188" i="49"/>
  <c r="L107" i="6" s="1"/>
  <c r="C188" i="49"/>
  <c r="C107" i="6" s="1"/>
  <c r="I206" i="49"/>
  <c r="K201" i="49"/>
  <c r="H189" i="49"/>
  <c r="O187" i="49"/>
  <c r="G187" i="49"/>
  <c r="M183" i="49"/>
  <c r="G183" i="49"/>
  <c r="J177" i="49"/>
  <c r="C177" i="49"/>
  <c r="L175" i="49"/>
  <c r="H175" i="49"/>
  <c r="N171" i="49"/>
  <c r="G171" i="49"/>
  <c r="O169" i="49"/>
  <c r="K169" i="49"/>
  <c r="G169" i="49"/>
  <c r="C169" i="49"/>
  <c r="G165" i="49"/>
  <c r="M163" i="49"/>
  <c r="M159" i="49"/>
  <c r="F128" i="49"/>
  <c r="O98" i="49"/>
  <c r="L97" i="49"/>
  <c r="O93" i="49"/>
  <c r="J93" i="49"/>
  <c r="L91" i="49"/>
  <c r="G91" i="49"/>
  <c r="N82" i="49"/>
  <c r="F77" i="49"/>
  <c r="F53" i="6" s="1"/>
  <c r="P47" i="6"/>
  <c r="O214" i="49"/>
  <c r="O123" i="6" s="1"/>
  <c r="F214" i="49"/>
  <c r="F123" i="6" s="1"/>
  <c r="O188" i="49"/>
  <c r="O107" i="6" s="1"/>
  <c r="E86" i="17" s="1"/>
  <c r="Q86" i="17" s="1"/>
  <c r="O201" i="49"/>
  <c r="G201" i="49"/>
  <c r="I200" i="49"/>
  <c r="K187" i="49"/>
  <c r="D187" i="49"/>
  <c r="J183" i="49"/>
  <c r="N177" i="49"/>
  <c r="J171" i="49"/>
  <c r="M169" i="49"/>
  <c r="I169" i="49"/>
  <c r="N128" i="49"/>
  <c r="P123" i="49"/>
  <c r="T123" i="49" s="1"/>
  <c r="O116" i="49"/>
  <c r="F97" i="49"/>
  <c r="O91" i="49"/>
  <c r="I91" i="49"/>
  <c r="H82" i="49"/>
  <c r="J77" i="49"/>
  <c r="J53" i="6" s="1"/>
  <c r="K219" i="49"/>
  <c r="K43" i="6" s="1"/>
  <c r="F27" i="11"/>
  <c r="I27" i="11" s="1"/>
  <c r="G213" i="49"/>
  <c r="I213" i="49"/>
  <c r="K213" i="49"/>
  <c r="M200" i="49"/>
  <c r="G200" i="49"/>
  <c r="H199" i="49"/>
  <c r="E183" i="49"/>
  <c r="I183" i="49"/>
  <c r="D177" i="49"/>
  <c r="H177" i="49"/>
  <c r="L177" i="49"/>
  <c r="D171" i="49"/>
  <c r="H171" i="49"/>
  <c r="L171" i="49"/>
  <c r="C170" i="49"/>
  <c r="D170" i="49"/>
  <c r="J170" i="49"/>
  <c r="O170" i="49"/>
  <c r="O165" i="49"/>
  <c r="J165" i="49"/>
  <c r="E165" i="49"/>
  <c r="C163" i="49"/>
  <c r="G163" i="49"/>
  <c r="K163" i="49"/>
  <c r="O163" i="49"/>
  <c r="E157" i="49"/>
  <c r="L157" i="49"/>
  <c r="J135" i="49"/>
  <c r="J63" i="6" s="1"/>
  <c r="L128" i="49"/>
  <c r="E128" i="49"/>
  <c r="K116" i="49"/>
  <c r="F105" i="49"/>
  <c r="L105" i="49"/>
  <c r="M104" i="49"/>
  <c r="D104" i="49"/>
  <c r="O103" i="49"/>
  <c r="J103" i="49"/>
  <c r="E103" i="49"/>
  <c r="K98" i="49"/>
  <c r="J97" i="49"/>
  <c r="E97" i="49"/>
  <c r="M82" i="49"/>
  <c r="F82" i="49"/>
  <c r="N77" i="49"/>
  <c r="N53" i="6" s="1"/>
  <c r="I77" i="49"/>
  <c r="I53" i="6" s="1"/>
  <c r="E77" i="49"/>
  <c r="E53" i="6" s="1"/>
  <c r="F71" i="49"/>
  <c r="F34" i="6" s="1"/>
  <c r="J71" i="49"/>
  <c r="J34" i="6" s="1"/>
  <c r="N108" i="17"/>
  <c r="M218" i="49"/>
  <c r="J218" i="49"/>
  <c r="I218" i="49"/>
  <c r="F152" i="49"/>
  <c r="Q22" i="17"/>
  <c r="O213" i="49"/>
  <c r="M213" i="49"/>
  <c r="G214" i="49"/>
  <c r="G123" i="6" s="1"/>
  <c r="J206" i="49"/>
  <c r="L200" i="49"/>
  <c r="F200" i="49"/>
  <c r="O199" i="49"/>
  <c r="G199" i="49"/>
  <c r="O183" i="49"/>
  <c r="K183" i="49"/>
  <c r="F183" i="49"/>
  <c r="K177" i="49"/>
  <c r="F177" i="49"/>
  <c r="K171" i="49"/>
  <c r="F171" i="49"/>
  <c r="H170" i="49"/>
  <c r="N165" i="49"/>
  <c r="I165" i="49"/>
  <c r="F164" i="49"/>
  <c r="N164" i="49"/>
  <c r="L163" i="49"/>
  <c r="F163" i="49"/>
  <c r="C159" i="49"/>
  <c r="J159" i="49"/>
  <c r="M157" i="49"/>
  <c r="E136" i="49"/>
  <c r="F136" i="49"/>
  <c r="O134" i="49"/>
  <c r="G129" i="49"/>
  <c r="M129" i="49"/>
  <c r="J128" i="49"/>
  <c r="N105" i="49"/>
  <c r="H105" i="49"/>
  <c r="J104" i="49"/>
  <c r="N103" i="49"/>
  <c r="C99" i="49"/>
  <c r="G99" i="49"/>
  <c r="O99" i="49"/>
  <c r="J98" i="49"/>
  <c r="N97" i="49"/>
  <c r="I97" i="49"/>
  <c r="E93" i="49"/>
  <c r="I93" i="49"/>
  <c r="M93" i="49"/>
  <c r="L82" i="49"/>
  <c r="M77" i="49"/>
  <c r="M53" i="6" s="1"/>
  <c r="C76" i="49"/>
  <c r="H76" i="49"/>
  <c r="N76" i="49"/>
  <c r="K71" i="49"/>
  <c r="K34" i="6" s="1"/>
  <c r="I215" i="49"/>
  <c r="K215" i="49"/>
  <c r="G215" i="49"/>
  <c r="G219" i="49"/>
  <c r="G43" i="6" s="1"/>
  <c r="G152" i="49"/>
  <c r="D135" i="49"/>
  <c r="D63" i="6" s="1"/>
  <c r="E135" i="49"/>
  <c r="E63" i="6" s="1"/>
  <c r="L135" i="49"/>
  <c r="L63" i="6" s="1"/>
  <c r="D103" i="49"/>
  <c r="H103" i="49"/>
  <c r="L103" i="49"/>
  <c r="Q45" i="17"/>
  <c r="J213" i="49"/>
  <c r="C213" i="49"/>
  <c r="D213" i="49"/>
  <c r="J200" i="49"/>
  <c r="D200" i="49"/>
  <c r="L199" i="49"/>
  <c r="D199" i="49"/>
  <c r="J176" i="49"/>
  <c r="N176" i="49"/>
  <c r="D165" i="49"/>
  <c r="H165" i="49"/>
  <c r="L165" i="49"/>
  <c r="F135" i="49"/>
  <c r="F63" i="6" s="1"/>
  <c r="C128" i="49"/>
  <c r="H128" i="49"/>
  <c r="M128" i="49"/>
  <c r="E116" i="49"/>
  <c r="E109" i="6" s="1"/>
  <c r="J116" i="49"/>
  <c r="E104" i="49"/>
  <c r="K104" i="49"/>
  <c r="M103" i="49"/>
  <c r="G103" i="49"/>
  <c r="C103" i="49"/>
  <c r="E98" i="49"/>
  <c r="C97" i="49"/>
  <c r="G97" i="49"/>
  <c r="K97" i="49"/>
  <c r="O97" i="49"/>
  <c r="D82" i="49"/>
  <c r="J82" i="49"/>
  <c r="D77" i="49"/>
  <c r="D53" i="6" s="1"/>
  <c r="H77" i="49"/>
  <c r="H53" i="6" s="1"/>
  <c r="K77" i="49"/>
  <c r="K53" i="6" s="1"/>
  <c r="O77" i="49"/>
  <c r="O53" i="6" s="1"/>
  <c r="E33" i="17" s="1"/>
  <c r="Q33" i="17" s="1"/>
  <c r="H214" i="49"/>
  <c r="H123" i="6" s="1"/>
  <c r="D214" i="49"/>
  <c r="D123" i="6" s="1"/>
  <c r="O220" i="49"/>
  <c r="K220" i="49"/>
  <c r="H218" i="49"/>
  <c r="O218" i="49"/>
  <c r="N152" i="49"/>
  <c r="H44" i="82"/>
  <c r="M135" i="49"/>
  <c r="M63" i="6" s="1"/>
  <c r="Q29" i="17"/>
  <c r="H70" i="6"/>
  <c r="T41" i="82"/>
  <c r="V41" i="82" s="1"/>
  <c r="D12" i="14"/>
  <c r="D17" i="14" s="1"/>
  <c r="D21" i="14" s="1"/>
  <c r="D42" i="14" s="1"/>
  <c r="D48" i="14" s="1"/>
  <c r="P25" i="9"/>
  <c r="K26" i="17"/>
  <c r="Q26" i="17" s="1"/>
  <c r="H82" i="17"/>
  <c r="H93" i="17" s="1"/>
  <c r="H108" i="17" s="1"/>
  <c r="M19" i="6"/>
  <c r="N19" i="6"/>
  <c r="N26" i="6" s="1"/>
  <c r="I26" i="6"/>
  <c r="F23" i="11"/>
  <c r="I23" i="11" s="1"/>
  <c r="M54" i="11"/>
  <c r="O54" i="11" s="1"/>
  <c r="D182" i="49"/>
  <c r="H182" i="49"/>
  <c r="L182" i="49"/>
  <c r="O182" i="49"/>
  <c r="E182" i="49"/>
  <c r="I182" i="49"/>
  <c r="M182" i="49"/>
  <c r="C182" i="49"/>
  <c r="G182" i="49"/>
  <c r="K182" i="49"/>
  <c r="D158" i="49"/>
  <c r="H158" i="49"/>
  <c r="E158" i="49"/>
  <c r="J158" i="49"/>
  <c r="N158" i="49"/>
  <c r="C158" i="49"/>
  <c r="M158" i="49"/>
  <c r="F158" i="49"/>
  <c r="K158" i="49"/>
  <c r="O158" i="49"/>
  <c r="I158" i="49"/>
  <c r="C92" i="49"/>
  <c r="G92" i="49"/>
  <c r="J92" i="49"/>
  <c r="N92" i="49"/>
  <c r="E92" i="49"/>
  <c r="I92" i="49"/>
  <c r="O92" i="49"/>
  <c r="D92" i="49"/>
  <c r="M92" i="49"/>
  <c r="F92" i="49"/>
  <c r="K92" i="49"/>
  <c r="H92" i="49"/>
  <c r="K90" i="6"/>
  <c r="P90" i="6" s="1"/>
  <c r="P88" i="6"/>
  <c r="L194" i="49"/>
  <c r="H194" i="49"/>
  <c r="D194" i="49"/>
  <c r="O194" i="49"/>
  <c r="K194" i="49"/>
  <c r="G194" i="49"/>
  <c r="C194" i="49"/>
  <c r="M194" i="49"/>
  <c r="E194" i="49"/>
  <c r="N194" i="49"/>
  <c r="F194" i="49"/>
  <c r="I194" i="49"/>
  <c r="F189" i="49"/>
  <c r="J189" i="49"/>
  <c r="N189" i="49"/>
  <c r="D189" i="49"/>
  <c r="I189" i="49"/>
  <c r="G189" i="49"/>
  <c r="K189" i="49"/>
  <c r="O189" i="49"/>
  <c r="E189" i="49"/>
  <c r="M189" i="49"/>
  <c r="C99" i="6"/>
  <c r="P99" i="6" s="1"/>
  <c r="P122" i="49"/>
  <c r="S122" i="49" s="1"/>
  <c r="D115" i="49"/>
  <c r="F115" i="49"/>
  <c r="J115" i="49"/>
  <c r="N115" i="49"/>
  <c r="H115" i="49"/>
  <c r="M115" i="49"/>
  <c r="C115" i="49"/>
  <c r="I115" i="49"/>
  <c r="O115" i="49"/>
  <c r="G115" i="49"/>
  <c r="L115" i="49"/>
  <c r="H30" i="16"/>
  <c r="H38" i="16" s="1"/>
  <c r="H57" i="16" s="1"/>
  <c r="F58" i="11"/>
  <c r="I58" i="11" s="1"/>
  <c r="K11" i="6"/>
  <c r="K18" i="6" s="1"/>
  <c r="K26" i="6" s="1"/>
  <c r="F182" i="49"/>
  <c r="P96" i="6"/>
  <c r="N182" i="49"/>
  <c r="L158" i="49"/>
  <c r="P121" i="49"/>
  <c r="R121" i="49" s="1"/>
  <c r="L92" i="49"/>
  <c r="J194" i="49"/>
  <c r="G147" i="49"/>
  <c r="J147" i="49"/>
  <c r="F147" i="49"/>
  <c r="D147" i="49"/>
  <c r="E147" i="49"/>
  <c r="K147" i="49"/>
  <c r="O147" i="49"/>
  <c r="C147" i="49"/>
  <c r="M147" i="49"/>
  <c r="H147" i="49"/>
  <c r="L147" i="49"/>
  <c r="N147" i="49"/>
  <c r="D78" i="49"/>
  <c r="F78" i="49"/>
  <c r="J78" i="49"/>
  <c r="N78" i="49"/>
  <c r="E78" i="49"/>
  <c r="H78" i="49"/>
  <c r="M78" i="49"/>
  <c r="C78" i="49"/>
  <c r="I78" i="49"/>
  <c r="O78" i="49"/>
  <c r="G78" i="49"/>
  <c r="L78" i="49"/>
  <c r="C72" i="49"/>
  <c r="E72" i="49"/>
  <c r="I72" i="49"/>
  <c r="M72" i="49"/>
  <c r="H72" i="49"/>
  <c r="G72" i="49"/>
  <c r="D72" i="49"/>
  <c r="J72" i="49"/>
  <c r="N72" i="49"/>
  <c r="L72" i="49"/>
  <c r="O72" i="49"/>
  <c r="D70" i="49"/>
  <c r="H70" i="49"/>
  <c r="L70" i="49"/>
  <c r="E70" i="49"/>
  <c r="J70" i="49"/>
  <c r="N70" i="49"/>
  <c r="F70" i="49"/>
  <c r="K70" i="49"/>
  <c r="C70" i="49"/>
  <c r="I70" i="49"/>
  <c r="D176" i="49"/>
  <c r="H176" i="49"/>
  <c r="L176" i="49"/>
  <c r="C176" i="49"/>
  <c r="G176" i="49"/>
  <c r="K176" i="49"/>
  <c r="E176" i="49"/>
  <c r="I176" i="49"/>
  <c r="I105" i="6" s="1"/>
  <c r="M176" i="49"/>
  <c r="O176" i="49"/>
  <c r="K83" i="49"/>
  <c r="K59" i="6" s="1"/>
  <c r="O83" i="49"/>
  <c r="O59" i="6" s="1"/>
  <c r="D83" i="49"/>
  <c r="D59" i="6" s="1"/>
  <c r="J83" i="49"/>
  <c r="J59" i="6" s="1"/>
  <c r="C83" i="49"/>
  <c r="I83" i="49"/>
  <c r="I59" i="6" s="1"/>
  <c r="G83" i="49"/>
  <c r="G59" i="6" s="1"/>
  <c r="L83" i="49"/>
  <c r="L59" i="6" s="1"/>
  <c r="F83" i="49"/>
  <c r="F59" i="6" s="1"/>
  <c r="N83" i="49"/>
  <c r="N59" i="6" s="1"/>
  <c r="C53" i="6"/>
  <c r="F207" i="49"/>
  <c r="J207" i="49"/>
  <c r="N207" i="49"/>
  <c r="C207" i="49"/>
  <c r="I207" i="49"/>
  <c r="G207" i="49"/>
  <c r="K207" i="49"/>
  <c r="O207" i="49"/>
  <c r="E207" i="49"/>
  <c r="M207" i="49"/>
  <c r="D205" i="49"/>
  <c r="F205" i="49"/>
  <c r="J205" i="49"/>
  <c r="N205" i="49"/>
  <c r="E205" i="49"/>
  <c r="G205" i="49"/>
  <c r="K205" i="49"/>
  <c r="O205" i="49"/>
  <c r="C205" i="49"/>
  <c r="I205" i="49"/>
  <c r="M205" i="49"/>
  <c r="D164" i="49"/>
  <c r="H164" i="49"/>
  <c r="L164" i="49"/>
  <c r="K164" i="49"/>
  <c r="E164" i="49"/>
  <c r="I164" i="49"/>
  <c r="M164" i="49"/>
  <c r="C164" i="49"/>
  <c r="G164" i="49"/>
  <c r="O164" i="49"/>
  <c r="N153" i="49"/>
  <c r="J153" i="49"/>
  <c r="F153" i="49"/>
  <c r="D153" i="49"/>
  <c r="M153" i="49"/>
  <c r="I153" i="49"/>
  <c r="C153" i="49"/>
  <c r="K153" i="49"/>
  <c r="E153" i="49"/>
  <c r="L153" i="49"/>
  <c r="O153" i="49"/>
  <c r="G153" i="49"/>
  <c r="E130" i="49"/>
  <c r="G130" i="49"/>
  <c r="K130" i="49"/>
  <c r="O130" i="49"/>
  <c r="D130" i="49"/>
  <c r="H130" i="49"/>
  <c r="M130" i="49"/>
  <c r="F130" i="49"/>
  <c r="I130" i="49"/>
  <c r="N130" i="49"/>
  <c r="C130" i="49"/>
  <c r="L130" i="49"/>
  <c r="D129" i="49"/>
  <c r="H129" i="49"/>
  <c r="L129" i="49"/>
  <c r="E129" i="49"/>
  <c r="J129" i="49"/>
  <c r="O129" i="49"/>
  <c r="F129" i="49"/>
  <c r="K129" i="49"/>
  <c r="C129" i="49"/>
  <c r="I129" i="49"/>
  <c r="N129" i="49"/>
  <c r="A4" i="10"/>
  <c r="A4" i="81"/>
  <c r="O70" i="49"/>
  <c r="J182" i="49"/>
  <c r="F176" i="49"/>
  <c r="G158" i="49"/>
  <c r="E83" i="49"/>
  <c r="E59" i="6" s="1"/>
  <c r="K78" i="49"/>
  <c r="K72" i="49"/>
  <c r="M70" i="49"/>
  <c r="H41" i="10"/>
  <c r="H153" i="49"/>
  <c r="G148" i="49"/>
  <c r="C148" i="49"/>
  <c r="J148" i="49"/>
  <c r="F148" i="49"/>
  <c r="D148" i="49"/>
  <c r="E148" i="49"/>
  <c r="L148" i="49"/>
  <c r="D134" i="49"/>
  <c r="F134" i="49"/>
  <c r="J134" i="49"/>
  <c r="N134" i="49"/>
  <c r="D98" i="49"/>
  <c r="H98" i="49"/>
  <c r="L98" i="49"/>
  <c r="O193" i="49"/>
  <c r="K193" i="49"/>
  <c r="G193" i="49"/>
  <c r="N193" i="49"/>
  <c r="J193" i="49"/>
  <c r="F193" i="49"/>
  <c r="L193" i="49"/>
  <c r="D193" i="49"/>
  <c r="M193" i="49"/>
  <c r="E193" i="49"/>
  <c r="G128" i="49"/>
  <c r="K128" i="49"/>
  <c r="O128" i="49"/>
  <c r="E105" i="49"/>
  <c r="G105" i="49"/>
  <c r="K105" i="49"/>
  <c r="O105" i="49"/>
  <c r="F104" i="49"/>
  <c r="I104" i="49"/>
  <c r="L104" i="49"/>
  <c r="D91" i="49"/>
  <c r="F91" i="49"/>
  <c r="J91" i="49"/>
  <c r="N91" i="49"/>
  <c r="E82" i="49"/>
  <c r="G82" i="49"/>
  <c r="K82" i="49"/>
  <c r="O82" i="49"/>
  <c r="E220" i="49"/>
  <c r="I220" i="49"/>
  <c r="M220" i="49"/>
  <c r="F220" i="49"/>
  <c r="J220" i="49"/>
  <c r="N220" i="49"/>
  <c r="G220" i="49"/>
  <c r="C220" i="49"/>
  <c r="D220" i="49"/>
  <c r="L220" i="49"/>
  <c r="E11" i="6"/>
  <c r="E18" i="6" s="1"/>
  <c r="E26" i="6" s="1"/>
  <c r="F206" i="49"/>
  <c r="F109" i="6" s="1"/>
  <c r="G136" i="49"/>
  <c r="L206" i="49"/>
  <c r="H206" i="49"/>
  <c r="D206" i="49"/>
  <c r="N201" i="49"/>
  <c r="J201" i="49"/>
  <c r="F201" i="49"/>
  <c r="D201" i="49"/>
  <c r="N200" i="49"/>
  <c r="K200" i="49"/>
  <c r="H200" i="49"/>
  <c r="E200" i="49"/>
  <c r="N199" i="49"/>
  <c r="J199" i="49"/>
  <c r="F199" i="49"/>
  <c r="N187" i="49"/>
  <c r="H187" i="49"/>
  <c r="M170" i="49"/>
  <c r="I170" i="49"/>
  <c r="E170" i="49"/>
  <c r="L159" i="49"/>
  <c r="H159" i="49"/>
  <c r="D159" i="49"/>
  <c r="J157" i="49"/>
  <c r="M148" i="49"/>
  <c r="O136" i="49"/>
  <c r="J136" i="49"/>
  <c r="N135" i="49"/>
  <c r="N63" i="6" s="1"/>
  <c r="I135" i="49"/>
  <c r="I63" i="6" s="1"/>
  <c r="M134" i="49"/>
  <c r="H134" i="49"/>
  <c r="N116" i="49"/>
  <c r="H116" i="49"/>
  <c r="N99" i="49"/>
  <c r="H99" i="49"/>
  <c r="N98" i="49"/>
  <c r="I98" i="49"/>
  <c r="L76" i="49"/>
  <c r="F76" i="49"/>
  <c r="H148" i="49"/>
  <c r="R46" i="81"/>
  <c r="C157" i="49"/>
  <c r="G157" i="49"/>
  <c r="K157" i="49"/>
  <c r="O157" i="49"/>
  <c r="D136" i="49"/>
  <c r="H136" i="49"/>
  <c r="L136" i="49"/>
  <c r="C116" i="49"/>
  <c r="I116" i="49"/>
  <c r="M116" i="49"/>
  <c r="T39" i="81"/>
  <c r="V39" i="81" s="1"/>
  <c r="L44" i="82"/>
  <c r="C135" i="49"/>
  <c r="G135" i="49"/>
  <c r="G63" i="6" s="1"/>
  <c r="K135" i="49"/>
  <c r="K63" i="6" s="1"/>
  <c r="O135" i="49"/>
  <c r="O63" i="6" s="1"/>
  <c r="E47" i="17" s="1"/>
  <c r="Q47" i="17" s="1"/>
  <c r="E99" i="49"/>
  <c r="I99" i="49"/>
  <c r="M99" i="49"/>
  <c r="G76" i="49"/>
  <c r="K76" i="49"/>
  <c r="O76" i="49"/>
  <c r="C71" i="49"/>
  <c r="E71" i="49"/>
  <c r="E34" i="6" s="1"/>
  <c r="G71" i="49"/>
  <c r="G34" i="6" s="1"/>
  <c r="I71" i="49"/>
  <c r="I34" i="6" s="1"/>
  <c r="M71" i="49"/>
  <c r="M34" i="6" s="1"/>
  <c r="F159" i="49"/>
  <c r="O148" i="49"/>
  <c r="P32" i="6"/>
  <c r="J188" i="49"/>
  <c r="J107" i="6" s="1"/>
  <c r="N188" i="49"/>
  <c r="N107" i="6" s="1"/>
  <c r="K188" i="49"/>
  <c r="K107" i="6" s="1"/>
  <c r="D188" i="49"/>
  <c r="E188" i="49"/>
  <c r="E107" i="6" s="1"/>
  <c r="M188" i="49"/>
  <c r="M107" i="6" s="1"/>
  <c r="O206" i="49"/>
  <c r="K206" i="49"/>
  <c r="G206" i="49"/>
  <c r="M201" i="49"/>
  <c r="I201" i="49"/>
  <c r="E201" i="49"/>
  <c r="M199" i="49"/>
  <c r="I199" i="49"/>
  <c r="E199" i="49"/>
  <c r="O159" i="49"/>
  <c r="K159" i="49"/>
  <c r="G159" i="49"/>
  <c r="N157" i="49"/>
  <c r="I157" i="49"/>
  <c r="D157" i="49"/>
  <c r="K148" i="49"/>
  <c r="N136" i="49"/>
  <c r="I136" i="49"/>
  <c r="C136" i="49"/>
  <c r="L134" i="49"/>
  <c r="G134" i="49"/>
  <c r="C134" i="49"/>
  <c r="L116" i="49"/>
  <c r="G116" i="49"/>
  <c r="D116" i="49"/>
  <c r="M98" i="49"/>
  <c r="G98" i="49"/>
  <c r="C98" i="49"/>
  <c r="I148" i="49"/>
  <c r="C193" i="49"/>
  <c r="M152" i="49"/>
  <c r="I152" i="49"/>
  <c r="E152" i="49"/>
  <c r="L152" i="49"/>
  <c r="H152" i="49"/>
  <c r="D152" i="49"/>
  <c r="E214" i="49"/>
  <c r="E123" i="6" s="1"/>
  <c r="I214" i="49"/>
  <c r="I123" i="6" s="1"/>
  <c r="M214" i="49"/>
  <c r="M123" i="6" s="1"/>
  <c r="C214" i="49"/>
  <c r="C219" i="49"/>
  <c r="N219" i="49"/>
  <c r="N43" i="6" s="1"/>
  <c r="D219" i="49"/>
  <c r="D43" i="6" s="1"/>
  <c r="F219" i="49"/>
  <c r="F43" i="6" s="1"/>
  <c r="H219" i="49"/>
  <c r="H43" i="6" s="1"/>
  <c r="J219" i="49"/>
  <c r="J43" i="6" s="1"/>
  <c r="L219" i="49"/>
  <c r="L43" i="6" s="1"/>
  <c r="H11" i="6"/>
  <c r="H18" i="6" s="1"/>
  <c r="N56" i="17"/>
  <c r="H37" i="17"/>
  <c r="H56" i="17" s="1"/>
  <c r="I219" i="49"/>
  <c r="I43" i="6" s="1"/>
  <c r="E219" i="49"/>
  <c r="E43" i="6" s="1"/>
  <c r="O219" i="49"/>
  <c r="O43" i="6" s="1"/>
  <c r="C152" i="49"/>
  <c r="K152" i="49"/>
  <c r="F42" i="14"/>
  <c r="J152" i="49"/>
  <c r="F11" i="6"/>
  <c r="F18" i="6" s="1"/>
  <c r="F26" i="6" s="1"/>
  <c r="G19" i="6"/>
  <c r="G26" i="6" s="1"/>
  <c r="F218" i="49"/>
  <c r="G218" i="49"/>
  <c r="N218" i="49"/>
  <c r="J26" i="6"/>
  <c r="H19" i="6"/>
  <c r="L19" i="6"/>
  <c r="C218" i="49"/>
  <c r="L218" i="49"/>
  <c r="D218" i="49"/>
  <c r="E218" i="49"/>
  <c r="P111" i="6"/>
  <c r="E89" i="16" s="1"/>
  <c r="Q89" i="16" s="1"/>
  <c r="M11" i="6"/>
  <c r="M18" i="6" s="1"/>
  <c r="L11" i="6"/>
  <c r="L18" i="6" s="1"/>
  <c r="P24" i="10"/>
  <c r="E79" i="17"/>
  <c r="N29" i="16"/>
  <c r="N38" i="16" s="1"/>
  <c r="N57" i="16" s="1"/>
  <c r="N111" i="16" s="1"/>
  <c r="N114" i="16" s="1"/>
  <c r="P117" i="6"/>
  <c r="E98" i="16" s="1"/>
  <c r="Q26" i="16"/>
  <c r="Q17" i="17"/>
  <c r="D3" i="35"/>
  <c r="K52" i="16"/>
  <c r="K55" i="16" s="1"/>
  <c r="K81" i="16"/>
  <c r="K93" i="16" s="1"/>
  <c r="K108" i="16" s="1"/>
  <c r="K81" i="17"/>
  <c r="K93" i="17" s="1"/>
  <c r="K108" i="17" s="1"/>
  <c r="Q51" i="17"/>
  <c r="N4" i="16"/>
  <c r="O112" i="6" l="1"/>
  <c r="E90" i="17" s="1"/>
  <c r="Q90" i="17" s="1"/>
  <c r="J32" i="10"/>
  <c r="J41" i="10" s="1"/>
  <c r="M109" i="6"/>
  <c r="L20" i="82"/>
  <c r="L20" i="81"/>
  <c r="D56" i="6"/>
  <c r="P181" i="49"/>
  <c r="R181" i="49" s="1"/>
  <c r="H111" i="16"/>
  <c r="H114" i="16" s="1"/>
  <c r="L70" i="6"/>
  <c r="F56" i="6"/>
  <c r="N109" i="6"/>
  <c r="P175" i="49"/>
  <c r="R175" i="49" s="1"/>
  <c r="O56" i="6"/>
  <c r="P117" i="49"/>
  <c r="T117" i="49" s="1"/>
  <c r="J119" i="6"/>
  <c r="J121" i="6" s="1"/>
  <c r="J127" i="6" s="1"/>
  <c r="M112" i="6"/>
  <c r="L56" i="6"/>
  <c r="I109" i="6"/>
  <c r="L112" i="6"/>
  <c r="K105" i="6"/>
  <c r="H105" i="6"/>
  <c r="K119" i="6"/>
  <c r="K121" i="6" s="1"/>
  <c r="K127" i="6" s="1"/>
  <c r="O119" i="6"/>
  <c r="O121" i="6" s="1"/>
  <c r="O127" i="6" s="1"/>
  <c r="M70" i="6"/>
  <c r="H111" i="17"/>
  <c r="H114" i="17" s="1"/>
  <c r="N56" i="6"/>
  <c r="H109" i="6"/>
  <c r="E70" i="6"/>
  <c r="O109" i="6"/>
  <c r="E87" i="17" s="1"/>
  <c r="Q87" i="17" s="1"/>
  <c r="G138" i="6"/>
  <c r="F104" i="6"/>
  <c r="K56" i="6"/>
  <c r="P213" i="49"/>
  <c r="P189" i="49"/>
  <c r="T189" i="49" s="1"/>
  <c r="I112" i="6"/>
  <c r="E119" i="6"/>
  <c r="E121" i="6" s="1"/>
  <c r="E127" i="6" s="1"/>
  <c r="J109" i="6"/>
  <c r="P93" i="49"/>
  <c r="T93" i="49" s="1"/>
  <c r="K109" i="6"/>
  <c r="J112" i="6"/>
  <c r="N104" i="6"/>
  <c r="D70" i="6"/>
  <c r="M105" i="6"/>
  <c r="P53" i="6"/>
  <c r="E33" i="16" s="1"/>
  <c r="Q33" i="16" s="1"/>
  <c r="P97" i="49"/>
  <c r="R97" i="49" s="1"/>
  <c r="P215" i="49"/>
  <c r="G112" i="6"/>
  <c r="P177" i="49"/>
  <c r="T177" i="49" s="1"/>
  <c r="P169" i="49"/>
  <c r="R169" i="49" s="1"/>
  <c r="N111" i="17"/>
  <c r="N114" i="17" s="1"/>
  <c r="H138" i="6"/>
  <c r="P76" i="49"/>
  <c r="R76" i="49" s="1"/>
  <c r="P187" i="49"/>
  <c r="R187" i="49" s="1"/>
  <c r="P128" i="49"/>
  <c r="R128" i="49" s="1"/>
  <c r="J105" i="6"/>
  <c r="L105" i="6"/>
  <c r="P165" i="49"/>
  <c r="T165" i="49" s="1"/>
  <c r="P171" i="49"/>
  <c r="T171" i="49" s="1"/>
  <c r="P183" i="49"/>
  <c r="T183" i="49" s="1"/>
  <c r="T40" i="81"/>
  <c r="T43" i="81" s="1"/>
  <c r="P159" i="49"/>
  <c r="T159" i="49" s="1"/>
  <c r="P82" i="49"/>
  <c r="R82" i="49" s="1"/>
  <c r="P91" i="49"/>
  <c r="R91" i="49" s="1"/>
  <c r="P105" i="49"/>
  <c r="T105" i="49" s="1"/>
  <c r="L104" i="6"/>
  <c r="J104" i="6"/>
  <c r="F105" i="6"/>
  <c r="E112" i="6"/>
  <c r="P205" i="49"/>
  <c r="R205" i="49" s="1"/>
  <c r="P77" i="49"/>
  <c r="S77" i="49" s="1"/>
  <c r="J70" i="6"/>
  <c r="P103" i="49"/>
  <c r="R103" i="49" s="1"/>
  <c r="P163" i="49"/>
  <c r="R163" i="49" s="1"/>
  <c r="P218" i="49"/>
  <c r="P152" i="49"/>
  <c r="R152" i="49" s="1"/>
  <c r="I104" i="6"/>
  <c r="P134" i="49"/>
  <c r="R134" i="49" s="1"/>
  <c r="D109" i="6"/>
  <c r="G56" i="6"/>
  <c r="P99" i="49"/>
  <c r="T99" i="49" s="1"/>
  <c r="P170" i="49"/>
  <c r="S170" i="49" s="1"/>
  <c r="P199" i="49"/>
  <c r="R199" i="49" s="1"/>
  <c r="P200" i="49"/>
  <c r="S200" i="49" s="1"/>
  <c r="F112" i="6"/>
  <c r="H119" i="6"/>
  <c r="H121" i="6" s="1"/>
  <c r="H127" i="6" s="1"/>
  <c r="N119" i="6"/>
  <c r="N121" i="6" s="1"/>
  <c r="N127" i="6" s="1"/>
  <c r="O104" i="6"/>
  <c r="E83" i="17" s="1"/>
  <c r="Q83" i="17" s="1"/>
  <c r="M138" i="6"/>
  <c r="P201" i="49"/>
  <c r="T201" i="49" s="1"/>
  <c r="P206" i="49"/>
  <c r="S206" i="49" s="1"/>
  <c r="P104" i="49"/>
  <c r="S104" i="49" s="1"/>
  <c r="D112" i="6"/>
  <c r="F70" i="6"/>
  <c r="F72" i="6" s="1"/>
  <c r="E105" i="6"/>
  <c r="N105" i="6"/>
  <c r="P182" i="49"/>
  <c r="S182" i="49" s="1"/>
  <c r="M56" i="6"/>
  <c r="O70" i="6"/>
  <c r="N26" i="9"/>
  <c r="F45" i="14" s="1"/>
  <c r="F48" i="14" s="1"/>
  <c r="Q29" i="16"/>
  <c r="H43" i="81"/>
  <c r="A4" i="82"/>
  <c r="J138" i="6"/>
  <c r="N70" i="6"/>
  <c r="D138" i="6"/>
  <c r="E25" i="17"/>
  <c r="K25" i="17" s="1"/>
  <c r="K37" i="17" s="1"/>
  <c r="K56" i="17" s="1"/>
  <c r="K111" i="17" s="1"/>
  <c r="K114" i="17" s="1"/>
  <c r="L138" i="6"/>
  <c r="L43" i="81"/>
  <c r="F19" i="9"/>
  <c r="L19" i="9" s="1"/>
  <c r="P19" i="9" s="1"/>
  <c r="H26" i="6"/>
  <c r="K70" i="6"/>
  <c r="P18" i="9"/>
  <c r="Q82" i="17"/>
  <c r="I56" i="6"/>
  <c r="I70" i="6"/>
  <c r="E42" i="17"/>
  <c r="Q42" i="17" s="1"/>
  <c r="Q54" i="17" s="1"/>
  <c r="N138" i="6"/>
  <c r="M26" i="6"/>
  <c r="O19" i="6"/>
  <c r="C19" i="14"/>
  <c r="D25" i="10"/>
  <c r="L19" i="82"/>
  <c r="N25" i="10"/>
  <c r="C63" i="6"/>
  <c r="P63" i="6" s="1"/>
  <c r="E48" i="16" s="1"/>
  <c r="Q48" i="16" s="1"/>
  <c r="P135" i="49"/>
  <c r="S135" i="49" s="1"/>
  <c r="P129" i="49"/>
  <c r="S129" i="49" s="1"/>
  <c r="C112" i="6"/>
  <c r="C19" i="6"/>
  <c r="C119" i="6"/>
  <c r="P92" i="49"/>
  <c r="S92" i="49" s="1"/>
  <c r="P158" i="49"/>
  <c r="S158" i="49" s="1"/>
  <c r="P136" i="49"/>
  <c r="T136" i="49" s="1"/>
  <c r="P157" i="49"/>
  <c r="R157" i="49" s="1"/>
  <c r="P207" i="49"/>
  <c r="T207" i="49" s="1"/>
  <c r="J56" i="6"/>
  <c r="H56" i="6"/>
  <c r="D119" i="6"/>
  <c r="D121" i="6" s="1"/>
  <c r="D127" i="6" s="1"/>
  <c r="O138" i="6"/>
  <c r="Q81" i="16"/>
  <c r="I138" i="6"/>
  <c r="P98" i="49"/>
  <c r="S98" i="49" s="1"/>
  <c r="G109" i="6"/>
  <c r="K104" i="6"/>
  <c r="D104" i="6"/>
  <c r="G104" i="6"/>
  <c r="H112" i="6"/>
  <c r="P164" i="49"/>
  <c r="S164" i="49" s="1"/>
  <c r="G70" i="6"/>
  <c r="G105" i="6"/>
  <c r="D105" i="6"/>
  <c r="L119" i="6"/>
  <c r="L121" i="6" s="1"/>
  <c r="L127" i="6" s="1"/>
  <c r="Q30" i="16"/>
  <c r="M119" i="6"/>
  <c r="M121" i="6" s="1"/>
  <c r="M127" i="6" s="1"/>
  <c r="O11" i="6"/>
  <c r="O18" i="6" s="1"/>
  <c r="F31" i="81"/>
  <c r="T21" i="81"/>
  <c r="V21" i="81" s="1"/>
  <c r="C43" i="6"/>
  <c r="P43" i="6" s="1"/>
  <c r="E25" i="16" s="1"/>
  <c r="K25" i="16" s="1"/>
  <c r="K38" i="16" s="1"/>
  <c r="K57" i="16" s="1"/>
  <c r="K111" i="16" s="1"/>
  <c r="K114" i="16" s="1"/>
  <c r="P219" i="49"/>
  <c r="D107" i="6"/>
  <c r="P107" i="6" s="1"/>
  <c r="E86" i="16" s="1"/>
  <c r="Q86" i="16" s="1"/>
  <c r="P188" i="49"/>
  <c r="S188" i="49" s="1"/>
  <c r="E138" i="6"/>
  <c r="E56" i="6"/>
  <c r="C109" i="6"/>
  <c r="P116" i="49"/>
  <c r="S116" i="49" s="1"/>
  <c r="C59" i="6"/>
  <c r="P83" i="49"/>
  <c r="S83" i="49" s="1"/>
  <c r="C11" i="6"/>
  <c r="C105" i="6"/>
  <c r="P176" i="49"/>
  <c r="S176" i="49" s="1"/>
  <c r="T21" i="82"/>
  <c r="V21" i="82" s="1"/>
  <c r="F32" i="82"/>
  <c r="C123" i="6"/>
  <c r="P123" i="6" s="1"/>
  <c r="P214" i="49"/>
  <c r="P71" i="49"/>
  <c r="S71" i="49" s="1"/>
  <c r="C34" i="6"/>
  <c r="P148" i="49"/>
  <c r="S148" i="49" s="1"/>
  <c r="C104" i="6"/>
  <c r="K112" i="6"/>
  <c r="P72" i="49"/>
  <c r="T72" i="49" s="1"/>
  <c r="F138" i="6"/>
  <c r="P193" i="49"/>
  <c r="R193" i="49" s="1"/>
  <c r="L109" i="6"/>
  <c r="D26" i="9"/>
  <c r="E15" i="14" s="1"/>
  <c r="L26" i="6"/>
  <c r="H104" i="6"/>
  <c r="M104" i="6"/>
  <c r="P220" i="49"/>
  <c r="E104" i="6"/>
  <c r="N112" i="6"/>
  <c r="P130" i="49"/>
  <c r="T130" i="49" s="1"/>
  <c r="P153" i="49"/>
  <c r="S153" i="49" s="1"/>
  <c r="O105" i="6"/>
  <c r="E84" i="17" s="1"/>
  <c r="Q84" i="17" s="1"/>
  <c r="P70" i="49"/>
  <c r="R70" i="49" s="1"/>
  <c r="P78" i="49"/>
  <c r="T78" i="49" s="1"/>
  <c r="P147" i="49"/>
  <c r="R147" i="49" s="1"/>
  <c r="K138" i="6"/>
  <c r="P115" i="49"/>
  <c r="R115" i="49" s="1"/>
  <c r="P194" i="49"/>
  <c r="S194" i="49" s="1"/>
  <c r="F119" i="6"/>
  <c r="F121" i="6" s="1"/>
  <c r="F127" i="6" s="1"/>
  <c r="I119" i="6"/>
  <c r="I121" i="6" s="1"/>
  <c r="I127" i="6" s="1"/>
  <c r="G119" i="6"/>
  <c r="G121" i="6" s="1"/>
  <c r="G127" i="6" s="1"/>
  <c r="T40" i="82"/>
  <c r="E79" i="16"/>
  <c r="Q79" i="17"/>
  <c r="L19" i="10"/>
  <c r="M23" i="11"/>
  <c r="O23" i="11" s="1"/>
  <c r="N4" i="17"/>
  <c r="N66" i="17" s="1"/>
  <c r="N66" i="16"/>
  <c r="Q98" i="16"/>
  <c r="Q52" i="16"/>
  <c r="Q81" i="17"/>
  <c r="B31" i="81" l="1"/>
  <c r="B33" i="81" s="1"/>
  <c r="D72" i="6"/>
  <c r="B32" i="82"/>
  <c r="B34" i="82" s="1"/>
  <c r="B38" i="82" s="1"/>
  <c r="B47" i="82" s="1"/>
  <c r="T20" i="81"/>
  <c r="V20" i="81" s="1"/>
  <c r="T20" i="82"/>
  <c r="V20" i="82" s="1"/>
  <c r="M72" i="6"/>
  <c r="L72" i="6"/>
  <c r="H34" i="11"/>
  <c r="J72" i="6"/>
  <c r="E100" i="17"/>
  <c r="Q100" i="17" s="1"/>
  <c r="Q105" i="17" s="1"/>
  <c r="G72" i="6"/>
  <c r="N72" i="6"/>
  <c r="F114" i="6"/>
  <c r="F129" i="6" s="1"/>
  <c r="F131" i="6" s="1"/>
  <c r="N114" i="6"/>
  <c r="N129" i="6" s="1"/>
  <c r="B25" i="10"/>
  <c r="B26" i="9"/>
  <c r="I114" i="6"/>
  <c r="I129" i="6" s="1"/>
  <c r="K72" i="6"/>
  <c r="E72" i="6"/>
  <c r="V40" i="81"/>
  <c r="V43" i="81" s="1"/>
  <c r="J11" i="8" s="1"/>
  <c r="I72" i="6"/>
  <c r="J141" i="6"/>
  <c r="J144" i="6" s="1"/>
  <c r="J114" i="6"/>
  <c r="J129" i="6" s="1"/>
  <c r="L114" i="6"/>
  <c r="L129" i="6" s="1"/>
  <c r="E54" i="17"/>
  <c r="E37" i="17"/>
  <c r="F34" i="82"/>
  <c r="F38" i="82" s="1"/>
  <c r="F47" i="82" s="1"/>
  <c r="L19" i="81"/>
  <c r="P109" i="6"/>
  <c r="E87" i="16" s="1"/>
  <c r="Q87" i="16" s="1"/>
  <c r="H72" i="6"/>
  <c r="O26" i="6"/>
  <c r="O72" i="6" s="1"/>
  <c r="D114" i="6"/>
  <c r="D129" i="6" s="1"/>
  <c r="I141" i="6"/>
  <c r="I144" i="6" s="1"/>
  <c r="F33" i="81"/>
  <c r="F37" i="81" s="1"/>
  <c r="F46" i="81" s="1"/>
  <c r="E93" i="17"/>
  <c r="P19" i="6"/>
  <c r="D32" i="10"/>
  <c r="J29" i="9"/>
  <c r="J33" i="9" s="1"/>
  <c r="J42" i="9" s="1"/>
  <c r="N28" i="10"/>
  <c r="N32" i="10" s="1"/>
  <c r="V40" i="82"/>
  <c r="V44" i="82" s="1"/>
  <c r="J24" i="8" s="1"/>
  <c r="T44" i="82"/>
  <c r="C45" i="14"/>
  <c r="G45" i="14" s="1"/>
  <c r="N29" i="9"/>
  <c r="N33" i="9" s="1"/>
  <c r="K141" i="6"/>
  <c r="K144" i="6" s="1"/>
  <c r="K114" i="6"/>
  <c r="K129" i="6" s="1"/>
  <c r="P119" i="6"/>
  <c r="E100" i="16" s="1"/>
  <c r="C121" i="6"/>
  <c r="C114" i="6"/>
  <c r="P104" i="6"/>
  <c r="C141" i="6"/>
  <c r="G114" i="6"/>
  <c r="G129" i="6" s="1"/>
  <c r="G141" i="6"/>
  <c r="G144" i="6" s="1"/>
  <c r="E114" i="6"/>
  <c r="E129" i="6" s="1"/>
  <c r="E141" i="6"/>
  <c r="E144" i="6" s="1"/>
  <c r="H114" i="6"/>
  <c r="H129" i="6" s="1"/>
  <c r="H141" i="6"/>
  <c r="H144" i="6" s="1"/>
  <c r="P11" i="6"/>
  <c r="C18" i="6"/>
  <c r="C15" i="14"/>
  <c r="G15" i="14" s="1"/>
  <c r="D29" i="9"/>
  <c r="D33" i="9" s="1"/>
  <c r="N141" i="6"/>
  <c r="N144" i="6" s="1"/>
  <c r="F141" i="6"/>
  <c r="F144" i="6" s="1"/>
  <c r="L141" i="6"/>
  <c r="L144" i="6" s="1"/>
  <c r="O141" i="6"/>
  <c r="O144" i="6" s="1"/>
  <c r="P105" i="6"/>
  <c r="E84" i="16" s="1"/>
  <c r="Q84" i="16" s="1"/>
  <c r="M141" i="6"/>
  <c r="M144" i="6" s="1"/>
  <c r="M114" i="6"/>
  <c r="M129" i="6" s="1"/>
  <c r="C56" i="6"/>
  <c r="P56" i="6" s="1"/>
  <c r="P34" i="6"/>
  <c r="C138" i="6"/>
  <c r="C70" i="6"/>
  <c r="P70" i="6" s="1"/>
  <c r="P59" i="6"/>
  <c r="E43" i="16" s="1"/>
  <c r="D141" i="6"/>
  <c r="D144" i="6" s="1"/>
  <c r="O114" i="6"/>
  <c r="O129" i="6" s="1"/>
  <c r="P112" i="6"/>
  <c r="E90" i="16" s="1"/>
  <c r="Q90" i="16" s="1"/>
  <c r="P19" i="10"/>
  <c r="Q79" i="16"/>
  <c r="G19" i="14"/>
  <c r="T13" i="82"/>
  <c r="V13" i="82" s="1"/>
  <c r="M21" i="11"/>
  <c r="O21" i="11" s="1"/>
  <c r="H32" i="82"/>
  <c r="H34" i="82" s="1"/>
  <c r="H38" i="82" s="1"/>
  <c r="H47" i="82" s="1"/>
  <c r="T19" i="82"/>
  <c r="V19" i="82" s="1"/>
  <c r="T13" i="81"/>
  <c r="V13" i="81" s="1"/>
  <c r="Q25" i="17"/>
  <c r="Q37" i="17" s="1"/>
  <c r="Q56" i="17" s="1"/>
  <c r="Q25" i="16"/>
  <c r="Q93" i="17"/>
  <c r="L18" i="81" l="1"/>
  <c r="D131" i="6"/>
  <c r="M131" i="6"/>
  <c r="L131" i="6"/>
  <c r="L18" i="82"/>
  <c r="Q108" i="17"/>
  <c r="T19" i="81"/>
  <c r="V19" i="81" s="1"/>
  <c r="F25" i="11"/>
  <c r="I25" i="11" s="1"/>
  <c r="F56" i="11"/>
  <c r="I56" i="11" s="1"/>
  <c r="E105" i="17"/>
  <c r="E108" i="17" s="1"/>
  <c r="J131" i="6"/>
  <c r="N131" i="6"/>
  <c r="G131" i="6"/>
  <c r="F21" i="9"/>
  <c r="L21" i="9" s="1"/>
  <c r="L26" i="9" s="1"/>
  <c r="E12" i="14"/>
  <c r="E17" i="14" s="1"/>
  <c r="E21" i="14" s="1"/>
  <c r="E42" i="14" s="1"/>
  <c r="E48" i="14" s="1"/>
  <c r="K131" i="6"/>
  <c r="E131" i="6"/>
  <c r="I131" i="6"/>
  <c r="E56" i="17"/>
  <c r="H31" i="81"/>
  <c r="H33" i="81" s="1"/>
  <c r="H37" i="81" s="1"/>
  <c r="H46" i="81" s="1"/>
  <c r="H131" i="6"/>
  <c r="P38" i="9"/>
  <c r="O131" i="6"/>
  <c r="F21" i="10"/>
  <c r="L21" i="10" s="1"/>
  <c r="P21" i="10" s="1"/>
  <c r="P25" i="10" s="1"/>
  <c r="E65" i="11"/>
  <c r="E55" i="16"/>
  <c r="Q43" i="16"/>
  <c r="Q55" i="16" s="1"/>
  <c r="P138" i="6"/>
  <c r="E16" i="16"/>
  <c r="Q100" i="16"/>
  <c r="Q105" i="16" s="1"/>
  <c r="E105" i="16"/>
  <c r="L17" i="82"/>
  <c r="L17" i="81"/>
  <c r="C127" i="6"/>
  <c r="P121" i="6"/>
  <c r="C144" i="6"/>
  <c r="P114" i="6"/>
  <c r="C26" i="6"/>
  <c r="P18" i="6"/>
  <c r="E83" i="16"/>
  <c r="P141" i="6"/>
  <c r="P37" i="10"/>
  <c r="N38" i="10"/>
  <c r="N41" i="10" s="1"/>
  <c r="D11" i="8"/>
  <c r="D24" i="8"/>
  <c r="H65" i="11"/>
  <c r="Q111" i="17"/>
  <c r="Q114" i="17" s="1"/>
  <c r="B29" i="9" l="1"/>
  <c r="B33" i="9" s="1"/>
  <c r="D31" i="81"/>
  <c r="D33" i="81" s="1"/>
  <c r="D37" i="81" s="1"/>
  <c r="D46" i="81" s="1"/>
  <c r="D32" i="82"/>
  <c r="D34" i="82" s="1"/>
  <c r="D38" i="82" s="1"/>
  <c r="D47" i="82" s="1"/>
  <c r="P21" i="9"/>
  <c r="F26" i="9"/>
  <c r="E111" i="17"/>
  <c r="E114" i="17" s="1"/>
  <c r="N39" i="9"/>
  <c r="N42" i="9" s="1"/>
  <c r="F25" i="10"/>
  <c r="L25" i="10"/>
  <c r="J32" i="82"/>
  <c r="J34" i="82" s="1"/>
  <c r="J38" i="82" s="1"/>
  <c r="J47" i="82" s="1"/>
  <c r="P26" i="6"/>
  <c r="C72" i="6"/>
  <c r="P72" i="6" s="1"/>
  <c r="P127" i="6"/>
  <c r="C129" i="6"/>
  <c r="J31" i="81"/>
  <c r="J33" i="81" s="1"/>
  <c r="M15" i="11"/>
  <c r="O15" i="11"/>
  <c r="P144" i="6"/>
  <c r="Q83" i="16"/>
  <c r="Q93" i="16" s="1"/>
  <c r="Q108" i="16" s="1"/>
  <c r="E93" i="16"/>
  <c r="E108" i="16" s="1"/>
  <c r="M46" i="11"/>
  <c r="O46" i="11"/>
  <c r="Q16" i="16"/>
  <c r="Q38" i="16" s="1"/>
  <c r="Q57" i="16" s="1"/>
  <c r="E38" i="16"/>
  <c r="E57" i="16" s="1"/>
  <c r="F27" i="8"/>
  <c r="E34" i="11"/>
  <c r="T34" i="11" l="1"/>
  <c r="C12" i="14"/>
  <c r="C17" i="14" s="1"/>
  <c r="C21" i="14" s="1"/>
  <c r="C42" i="14" s="1"/>
  <c r="C48" i="14" s="1"/>
  <c r="F14" i="9"/>
  <c r="L14" i="9" s="1"/>
  <c r="P14" i="9" s="1"/>
  <c r="T18" i="81"/>
  <c r="V18" i="81" s="1"/>
  <c r="T18" i="82"/>
  <c r="V18" i="82" s="1"/>
  <c r="F14" i="10"/>
  <c r="L14" i="10" s="1"/>
  <c r="P14" i="10" s="1"/>
  <c r="P28" i="10" s="1"/>
  <c r="B32" i="10"/>
  <c r="P26" i="9"/>
  <c r="F14" i="8" s="1"/>
  <c r="T17" i="81"/>
  <c r="V17" i="81" s="1"/>
  <c r="T17" i="82"/>
  <c r="V17" i="82" s="1"/>
  <c r="E111" i="16"/>
  <c r="E114" i="16" s="1"/>
  <c r="C131" i="6"/>
  <c r="P129" i="6"/>
  <c r="P131" i="6" s="1"/>
  <c r="Q111" i="16"/>
  <c r="Q114" i="16" s="1"/>
  <c r="G17" i="14" l="1"/>
  <c r="G21" i="14" s="1"/>
  <c r="G42" i="14" s="1"/>
  <c r="G48" i="14" s="1"/>
  <c r="G12" i="14"/>
  <c r="D14" i="8"/>
  <c r="D17" i="8" s="1"/>
  <c r="F29" i="9"/>
  <c r="F33" i="9" s="1"/>
  <c r="L29" i="9"/>
  <c r="L33" i="9" s="1"/>
  <c r="D27" i="8"/>
  <c r="L28" i="10"/>
  <c r="L32" i="10" s="1"/>
  <c r="F28" i="10"/>
  <c r="F32" i="10" s="1"/>
  <c r="P29" i="9"/>
  <c r="H14" i="8" l="1"/>
  <c r="P32" i="10"/>
  <c r="D30" i="8"/>
  <c r="H27" i="8"/>
  <c r="P33" i="9"/>
  <c r="M50" i="11" l="1"/>
  <c r="O50" i="11" s="1"/>
  <c r="M19" i="11"/>
  <c r="O19" i="11" s="1"/>
  <c r="B39" i="9"/>
  <c r="B42" i="9" s="1"/>
  <c r="B38" i="10"/>
  <c r="F36" i="10" l="1"/>
  <c r="L36" i="10" s="1"/>
  <c r="P36" i="10" s="1"/>
  <c r="F37" i="9"/>
  <c r="L37" i="9" s="1"/>
  <c r="B41" i="10"/>
  <c r="F50" i="11" l="1"/>
  <c r="D39" i="9"/>
  <c r="D42" i="9" s="1"/>
  <c r="F39" i="9"/>
  <c r="F42" i="9" s="1"/>
  <c r="D38" i="10"/>
  <c r="D41" i="10" s="1"/>
  <c r="P37" i="9"/>
  <c r="P39" i="9" s="1"/>
  <c r="L39" i="9"/>
  <c r="L42" i="9" s="1"/>
  <c r="F38" i="10" l="1"/>
  <c r="F41" i="10" s="1"/>
  <c r="J14" i="8"/>
  <c r="L14" i="8" s="1"/>
  <c r="P42" i="9"/>
  <c r="F19" i="11"/>
  <c r="F46" i="11" l="1"/>
  <c r="F48" i="11"/>
  <c r="L38" i="10"/>
  <c r="F52" i="11"/>
  <c r="L41" i="10" l="1"/>
  <c r="P38" i="10"/>
  <c r="F44" i="11"/>
  <c r="D65" i="11"/>
  <c r="I52" i="11"/>
  <c r="I48" i="11"/>
  <c r="P41" i="10" l="1"/>
  <c r="J27" i="8"/>
  <c r="L27" i="8" s="1"/>
  <c r="I44" i="11"/>
  <c r="F65" i="11"/>
  <c r="I50" i="11" l="1"/>
  <c r="I46" i="11"/>
  <c r="I65" i="11" l="1"/>
  <c r="J50" i="11" s="1"/>
  <c r="P50" i="11" s="1"/>
  <c r="G65" i="11"/>
  <c r="J56" i="11" l="1"/>
  <c r="L56" i="11" s="1"/>
  <c r="L50" i="11"/>
  <c r="J52" i="11"/>
  <c r="N52" i="11" s="1"/>
  <c r="N50" i="11"/>
  <c r="J44" i="11"/>
  <c r="P44" i="11" s="1"/>
  <c r="J48" i="11"/>
  <c r="J54" i="11"/>
  <c r="L54" i="11" s="1"/>
  <c r="J46" i="11"/>
  <c r="J58" i="11"/>
  <c r="N46" i="11" l="1"/>
  <c r="P46" i="11"/>
  <c r="L44" i="11"/>
  <c r="N56" i="11"/>
  <c r="L46" i="11"/>
  <c r="P56" i="11"/>
  <c r="N44" i="11"/>
  <c r="N54" i="11"/>
  <c r="L52" i="11"/>
  <c r="J65" i="11"/>
  <c r="P54" i="11"/>
  <c r="P52" i="11"/>
  <c r="M48" i="11" l="1"/>
  <c r="L48" i="11" l="1"/>
  <c r="K58" i="11" s="1"/>
  <c r="L58" i="11" s="1"/>
  <c r="L65" i="11" s="1"/>
  <c r="N48" i="11"/>
  <c r="O48" i="11"/>
  <c r="P48" i="11" s="1"/>
  <c r="O58" i="11" l="1"/>
  <c r="P58" i="11" s="1"/>
  <c r="P65" i="11" s="1"/>
  <c r="M58" i="11"/>
  <c r="N58" i="11" s="1"/>
  <c r="N65" i="11" l="1"/>
  <c r="L32" i="82" l="1"/>
  <c r="L34" i="82" s="1"/>
  <c r="T16" i="82" l="1"/>
  <c r="L38" i="82"/>
  <c r="L47" i="82" l="1"/>
  <c r="T32" i="82"/>
  <c r="T34" i="82" s="1"/>
  <c r="T38" i="82" s="1"/>
  <c r="T47" i="82" s="1"/>
  <c r="V16" i="82"/>
  <c r="V32" i="82" s="1"/>
  <c r="F24" i="8" l="1"/>
  <c r="H24" i="8" s="1"/>
  <c r="V34" i="82"/>
  <c r="V38" i="82" s="1"/>
  <c r="V47" i="82" l="1"/>
  <c r="L24" i="8"/>
  <c r="L30" i="8" s="1"/>
  <c r="H30" i="8"/>
  <c r="M17" i="11"/>
  <c r="O17" i="11" s="1"/>
  <c r="F21" i="11" l="1"/>
  <c r="F13" i="11" l="1"/>
  <c r="I13" i="11" s="1"/>
  <c r="F17" i="11"/>
  <c r="I21" i="11"/>
  <c r="F15" i="11"/>
  <c r="I17" i="11" l="1"/>
  <c r="I19" i="11"/>
  <c r="F34" i="11"/>
  <c r="D34" i="11"/>
  <c r="I15" i="11" l="1"/>
  <c r="G34" i="11" l="1"/>
  <c r="I34" i="11"/>
  <c r="J15" i="11" s="1"/>
  <c r="J23" i="11" l="1"/>
  <c r="J25" i="11"/>
  <c r="J27" i="11"/>
  <c r="J17" i="11"/>
  <c r="J21" i="11"/>
  <c r="J19" i="11"/>
  <c r="J13" i="11"/>
  <c r="L15" i="11"/>
  <c r="P15" i="11"/>
  <c r="N15" i="11"/>
  <c r="P13" i="11" l="1"/>
  <c r="J34" i="11"/>
  <c r="N13" i="11"/>
  <c r="L13" i="11"/>
  <c r="L17" i="11"/>
  <c r="N17" i="11"/>
  <c r="P17" i="11"/>
  <c r="N19" i="11"/>
  <c r="L19" i="11"/>
  <c r="P19" i="11"/>
  <c r="N25" i="11"/>
  <c r="P25" i="11"/>
  <c r="L25" i="11"/>
  <c r="P21" i="11"/>
  <c r="N21" i="11"/>
  <c r="L21" i="11"/>
  <c r="N23" i="11"/>
  <c r="P23" i="11"/>
  <c r="L23" i="11"/>
  <c r="M27" i="11" l="1"/>
  <c r="N27" i="11" s="1"/>
  <c r="O27" i="11"/>
  <c r="P27" i="11" s="1"/>
  <c r="P34" i="11" s="1"/>
  <c r="D43" i="8" s="1"/>
  <c r="L27" i="11"/>
  <c r="L34" i="11" s="1"/>
  <c r="D39" i="8" s="1"/>
  <c r="N34" i="11" l="1"/>
  <c r="D41" i="8" l="1"/>
  <c r="G52" i="14"/>
  <c r="G55" i="14" s="1"/>
  <c r="T16" i="81" l="1"/>
  <c r="V16" i="81" s="1"/>
  <c r="J37" i="81" l="1"/>
  <c r="J46" i="81" s="1"/>
  <c r="B37" i="81"/>
  <c r="B46" i="81" s="1"/>
  <c r="T31" i="81"/>
  <c r="T33" i="81" s="1"/>
  <c r="T37" i="81" s="1"/>
  <c r="T46" i="81" s="1"/>
  <c r="L31" i="81"/>
  <c r="L33" i="81" s="1"/>
  <c r="L37" i="81" s="1"/>
  <c r="L46" i="81" l="1"/>
  <c r="V31" i="81" l="1"/>
  <c r="V33" i="81" s="1"/>
  <c r="V37" i="81" l="1"/>
  <c r="F11" i="8"/>
  <c r="H11" i="8" s="1"/>
  <c r="H17" i="8" l="1"/>
  <c r="V46" i="81"/>
  <c r="L11" i="8"/>
  <c r="L17" i="8" s="1"/>
</calcChain>
</file>

<file path=xl/comments1.xml><?xml version="1.0" encoding="utf-8"?>
<comments xmlns="http://schemas.openxmlformats.org/spreadsheetml/2006/main">
  <authors>
    <author>mwoodall</author>
  </authors>
  <commentList>
    <comment ref="B44" authorId="0" shapeId="0">
      <text>
        <r>
          <rPr>
            <b/>
            <sz val="8"/>
            <color indexed="81"/>
            <rFont val="Tahoma"/>
            <family val="2"/>
          </rPr>
          <t>mwoodall:</t>
        </r>
        <r>
          <rPr>
            <sz val="8"/>
            <color indexed="81"/>
            <rFont val="Tahoma"/>
            <family val="2"/>
          </rPr>
          <t xml:space="preserve">
AEP Recievable Balance.</t>
        </r>
      </text>
    </comment>
  </commentList>
</comments>
</file>

<file path=xl/comments2.xml><?xml version="1.0" encoding="utf-8"?>
<comments xmlns="http://schemas.openxmlformats.org/spreadsheetml/2006/main">
  <authors>
    <author>tgeoffroy</author>
  </authors>
  <commentList>
    <comment ref="N86" authorId="0" shapeId="0">
      <text>
        <r>
          <rPr>
            <b/>
            <sz val="8"/>
            <color indexed="81"/>
            <rFont val="Tahoma"/>
            <family val="2"/>
          </rPr>
          <t>tgeoffroy:</t>
        </r>
        <r>
          <rPr>
            <sz val="8"/>
            <color indexed="81"/>
            <rFont val="Tahoma"/>
            <family val="2"/>
          </rPr>
          <t xml:space="preserve">
Plug number to get total to tie to 13 month average interest payable adjustment.</t>
        </r>
      </text>
    </comment>
    <comment ref="Q86" authorId="0" shapeId="0">
      <text>
        <r>
          <rPr>
            <b/>
            <sz val="8"/>
            <color indexed="81"/>
            <rFont val="Tahoma"/>
            <family val="2"/>
          </rPr>
          <t>tgeoffroy:</t>
        </r>
        <r>
          <rPr>
            <sz val="8"/>
            <color indexed="81"/>
            <rFont val="Tahoma"/>
            <family val="2"/>
          </rPr>
          <t xml:space="preserve">
This must equal the 13 month average interest payable adjustment.</t>
        </r>
      </text>
    </comment>
  </commentList>
</comments>
</file>

<file path=xl/comments3.xml><?xml version="1.0" encoding="utf-8"?>
<comments xmlns="http://schemas.openxmlformats.org/spreadsheetml/2006/main">
  <authors>
    <author>tgeoffroy</author>
  </authors>
  <commentList>
    <comment ref="N86" authorId="0" shapeId="0">
      <text>
        <r>
          <rPr>
            <b/>
            <sz val="8"/>
            <color indexed="81"/>
            <rFont val="Tahoma"/>
            <family val="2"/>
          </rPr>
          <t>tgeoffroy:</t>
        </r>
        <r>
          <rPr>
            <sz val="8"/>
            <color indexed="81"/>
            <rFont val="Tahoma"/>
            <family val="2"/>
          </rPr>
          <t xml:space="preserve">
Plug number to get total to tie to year ended average interest payable adjustment.</t>
        </r>
      </text>
    </comment>
    <comment ref="Q86" authorId="0" shapeId="0">
      <text>
        <r>
          <rPr>
            <b/>
            <sz val="8"/>
            <color indexed="81"/>
            <rFont val="Tahoma"/>
            <family val="2"/>
          </rPr>
          <t>tgeoffroy:</t>
        </r>
        <r>
          <rPr>
            <sz val="8"/>
            <color indexed="81"/>
            <rFont val="Tahoma"/>
            <family val="2"/>
          </rPr>
          <t xml:space="preserve">
This must equal the year ended interest payable adjustment.</t>
        </r>
      </text>
    </comment>
    <comment ref="U86" authorId="0" shapeId="0">
      <text>
        <r>
          <rPr>
            <b/>
            <sz val="8"/>
            <color indexed="81"/>
            <rFont val="Tahoma"/>
            <family val="2"/>
          </rPr>
          <t>tgeoffroy:</t>
        </r>
        <r>
          <rPr>
            <sz val="8"/>
            <color indexed="81"/>
            <rFont val="Tahoma"/>
            <family val="2"/>
          </rPr>
          <t xml:space="preserve">
copy range paste value from cell to the left (T86)</t>
        </r>
      </text>
    </comment>
  </commentList>
</comments>
</file>

<file path=xl/sharedStrings.xml><?xml version="1.0" encoding="utf-8"?>
<sst xmlns="http://schemas.openxmlformats.org/spreadsheetml/2006/main" count="1596" uniqueCount="561">
  <si>
    <t xml:space="preserve">                    WORKING CAPITAL ALLOWANCE FOR THE HISTORIC BASE YEAR.</t>
  </si>
  <si>
    <t>Reference</t>
  </si>
  <si>
    <t>Working Cap</t>
  </si>
  <si>
    <t>Cap Structure</t>
  </si>
  <si>
    <t>PREPAPYMENTS - RENT</t>
  </si>
  <si>
    <t>PREPAYMENTS - POSTAGE &amp; MISC.</t>
  </si>
  <si>
    <t>Non-Utility</t>
  </si>
  <si>
    <t>ONLY CHANGE CELLS SHADED IN GREY WITH BLUE TYPING</t>
  </si>
  <si>
    <t>SHELLS SHADED IN YELLOW LINK TO OTHER SHEETS … BE CAREFUL NOT TO CHANGE THE REFERENCING CELL</t>
  </si>
  <si>
    <t>Update year in cell A17 and change cell A18 to a "1" or "2" (A18).</t>
  </si>
  <si>
    <t>1.</t>
  </si>
  <si>
    <t>2.</t>
  </si>
  <si>
    <t>In FRx report Launcher, run "REG-BS13MOF" as a formatted excel.</t>
  </si>
  <si>
    <t>2b.</t>
  </si>
  <si>
    <t>Save the report in your rate of return directory.</t>
  </si>
  <si>
    <t>2c.</t>
  </si>
  <si>
    <t>Copy the Data to the "REG-BS13MOF" tab in your rate of return file.</t>
  </si>
  <si>
    <t>2d.</t>
  </si>
  <si>
    <t>Check the BS-13MO tab to ensure all data is pulling over correctly.</t>
  </si>
  <si>
    <t>Company: Chesapeake Utilities - Florida Division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</si>
  <si>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</si>
  <si>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</si>
  <si>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</si>
  <si>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</si>
  <si>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</si>
  <si>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</si>
  <si>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</si>
  <si>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</si>
  <si>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</si>
  <si>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</si>
  <si>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</si>
  <si>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SCHEDULE 1</t>
  </si>
  <si>
    <t>RATE OF RETURN REPORT SUMMARY</t>
  </si>
  <si>
    <t xml:space="preserve">   ACTUAL</t>
  </si>
  <si>
    <t>FPSC</t>
  </si>
  <si>
    <t xml:space="preserve"> PRO FORMA</t>
  </si>
  <si>
    <t>I. AVERAGE RATE OF RETURN</t>
  </si>
  <si>
    <t xml:space="preserve">  PER BOOKS</t>
  </si>
  <si>
    <t>ADJUSTMENTS</t>
  </si>
  <si>
    <t xml:space="preserve">  ADJUSTED</t>
  </si>
  <si>
    <t xml:space="preserve">      (JURISDICTIONAL)</t>
  </si>
  <si>
    <t>NET OPERATING INCOME</t>
  </si>
  <si>
    <t>AVERAGE RATE BASE</t>
  </si>
  <si>
    <t>AVERAGE RATE OF RETURN</t>
  </si>
  <si>
    <t>II. YEAR-END RATE OF RETURN</t>
  </si>
  <si>
    <t>Explanation:  Provide a Schedule Calculating the 13-Month Average</t>
  </si>
  <si>
    <t>PLANT HELD FOR FUT. USE</t>
  </si>
  <si>
    <t>ACCUM. AMORT. OLD APP. ACQ ADJ</t>
  </si>
  <si>
    <t xml:space="preserve">        (JURISDICTIONAL)</t>
  </si>
  <si>
    <t>YEAR-END RATE BASE</t>
  </si>
  <si>
    <t>YEAR-END RATE OF RETURN</t>
  </si>
  <si>
    <t>III. REQUIRED RATES OF RETURN</t>
  </si>
  <si>
    <t>IV.  EARNED RETURN ON EQUITY</t>
  </si>
  <si>
    <t xml:space="preserve">     AVERAGE CAPITAL STRUCTURE</t>
  </si>
  <si>
    <t xml:space="preserve">      (FPSC ADJUSTED BASIS)</t>
  </si>
  <si>
    <t xml:space="preserve">       (FPSC ADJUSTED BASIS)</t>
  </si>
  <si>
    <t>A.</t>
  </si>
  <si>
    <t xml:space="preserve">     LOW</t>
  </si>
  <si>
    <t xml:space="preserve">     MIDPOINT</t>
  </si>
  <si>
    <t>B.</t>
  </si>
  <si>
    <t xml:space="preserve">     HIGH</t>
  </si>
  <si>
    <t xml:space="preserve">  I am aware that Section 837.06, Florida Statutes, provides:</t>
  </si>
  <si>
    <t>Whoever knowingly makes a false statement in writing with the</t>
  </si>
  <si>
    <t>intent to mislead a public servant in the performance of his official</t>
  </si>
  <si>
    <t>duty shall be guilty of a misdemeanor of the second degree punishable</t>
  </si>
  <si>
    <t>as provided in s. 775.082, s. 775.083. or s. 775.084.</t>
  </si>
  <si>
    <t>PROFORMA ADJUSTMENTS</t>
  </si>
  <si>
    <t>Flexible Gas Service</t>
  </si>
  <si>
    <t># OF</t>
  </si>
  <si>
    <t>INTEREST</t>
  </si>
  <si>
    <t>DAYS</t>
  </si>
  <si>
    <t>TERM DEBT O/S</t>
  </si>
  <si>
    <t>INT RATE</t>
  </si>
  <si>
    <t>BALANCE</t>
  </si>
  <si>
    <t>1/  Amount outstanding includes current portion of long - term debt.</t>
  </si>
  <si>
    <t>TOTAL YEAR-END</t>
  </si>
  <si>
    <t>ACCUM AMORTIZATION-FRAN &amp; CON</t>
  </si>
  <si>
    <t>DEFERRED RATE CASE / TCR</t>
  </si>
  <si>
    <t xml:space="preserve">  TOTAL CURRENT LIABILITIES</t>
  </si>
  <si>
    <t>DEFERRED CREDITS AND OPERATING RESERVES</t>
  </si>
  <si>
    <t>CUST DEP ON EQ LEASE CONT</t>
  </si>
  <si>
    <t>PENSIONS, BENEFITS, AND OPRB RES.</t>
  </si>
  <si>
    <t>SELF INSURANCE RESERVE</t>
  </si>
  <si>
    <t>DEFERRED PENSION COST</t>
  </si>
  <si>
    <t xml:space="preserve">  TOTAL DEFERRED CREDITS AND</t>
  </si>
  <si>
    <t xml:space="preserve">    OPERATING RESERVES</t>
  </si>
  <si>
    <t>TOTAL LIABILITIES</t>
  </si>
  <si>
    <t>TOTAL ASSETS LESS LIABILITIES</t>
  </si>
  <si>
    <t xml:space="preserve">NET WORKING CAPITAL INCLUDED IN RATE </t>
  </si>
  <si>
    <t xml:space="preserve">  BASE (SCHEDULE)</t>
  </si>
  <si>
    <t>YEAR END</t>
  </si>
  <si>
    <t xml:space="preserve">            WORKING CAPITAL ALLOWANCE FOR THE HISTORIC BASE YEAR.</t>
  </si>
  <si>
    <t xml:space="preserve">            EXPLANATION: PROVIDE A SCHEDULE CALCULATING THE YEAR END </t>
  </si>
  <si>
    <t xml:space="preserve">       EXPLANATION: PROVIDE A SCHEDULE CALCULATING THE YEAR END </t>
  </si>
  <si>
    <t xml:space="preserve">          WORKING CAPITAL ALLOWANCE FOR THE HISTORIC BASE YEAR.</t>
  </si>
  <si>
    <t>13 Month</t>
  </si>
  <si>
    <t>Acquisition</t>
  </si>
  <si>
    <t xml:space="preserve">Rate case </t>
  </si>
  <si>
    <t>Working</t>
  </si>
  <si>
    <t>Adjusted</t>
  </si>
  <si>
    <t>Adjustment</t>
  </si>
  <si>
    <t>adjust.</t>
  </si>
  <si>
    <t>Capital</t>
  </si>
  <si>
    <t xml:space="preserve">   Rate Base</t>
  </si>
  <si>
    <t>Gas Plant in Service</t>
  </si>
  <si>
    <t>Less:  Accum. Depreciation</t>
  </si>
  <si>
    <t>Net Plant</t>
  </si>
  <si>
    <t>Total Plant in Service</t>
  </si>
  <si>
    <t>Add:</t>
  </si>
  <si>
    <t>Subtotal additions</t>
  </si>
  <si>
    <t>Subtract:</t>
  </si>
  <si>
    <t>Subtotal subtractions</t>
  </si>
  <si>
    <t>Rate Base Before Working Capital</t>
  </si>
  <si>
    <t>Add:  Working Capital</t>
  </si>
  <si>
    <t>Total Rate Base</t>
  </si>
  <si>
    <t>Rate of Return</t>
  </si>
  <si>
    <t>Return Requirement</t>
  </si>
  <si>
    <t>Rate Base</t>
  </si>
  <si>
    <t>COMPOSITE COST RATE OF DEBT</t>
  </si>
  <si>
    <t>EFFECTIVE</t>
  </si>
  <si>
    <t>Date</t>
  </si>
  <si>
    <t>(1)</t>
  </si>
  <si>
    <t>(5)</t>
  </si>
  <si>
    <t>(4)</t>
  </si>
  <si>
    <t>(3)</t>
  </si>
  <si>
    <t>NON-UTILITY</t>
  </si>
  <si>
    <t>ENVIRONMENTAL</t>
  </si>
  <si>
    <t xml:space="preserve">      WORKING CAPITAL</t>
  </si>
  <si>
    <t>PAGE 1 0F 2</t>
  </si>
  <si>
    <t>FLORIDA PUBLIC SERVICE COMMISSION</t>
  </si>
  <si>
    <t xml:space="preserve">                  EXPLANATION: PROVIDE A SCHEDULE CALCULATING THE 13-MONTH AVERAGE </t>
  </si>
  <si>
    <t>WORKING CAPITAL ALLOWANCE FOR THE HISTORIC BASE YEAR.</t>
  </si>
  <si>
    <t>LINE</t>
  </si>
  <si>
    <t xml:space="preserve"> NO.</t>
  </si>
  <si>
    <t>DESCRIPTION</t>
  </si>
  <si>
    <t>ADJUSTMENT</t>
  </si>
  <si>
    <t>CURRENT AND ACCRUED ASSETS</t>
  </si>
  <si>
    <t>NON UTILITY</t>
  </si>
  <si>
    <t>WORKING FUNDS &amp; CASH INVESTMENTS</t>
  </si>
  <si>
    <t>TEMPORARY CASH INVESTMENTS</t>
  </si>
  <si>
    <t>ACCOUNTS REC. - SERVICE</t>
  </si>
  <si>
    <t>CUST. ACCTS. REC.- GAS</t>
  </si>
  <si>
    <t>UNBILLED REVENUE</t>
  </si>
  <si>
    <t>EMPLOYEE ACCOUNTS REC</t>
  </si>
  <si>
    <t>ACCOUNTS REC. MISC.-AREA EXP PROGRAM</t>
  </si>
  <si>
    <t>MDSE, JOBBING &amp; OTHER</t>
  </si>
  <si>
    <t>ACCUM. PROV.UNCOLLECT. ACCTS.- GAS</t>
  </si>
  <si>
    <t>MERCHANDISE</t>
  </si>
  <si>
    <t xml:space="preserve">STORES EXPENSE </t>
  </si>
  <si>
    <t>PREPAYMENTS - TAXES</t>
  </si>
  <si>
    <t>PREPAYMENTS - INSURANCE</t>
  </si>
  <si>
    <t xml:space="preserve"> TOTAL CURRENT ASSETS</t>
  </si>
  <si>
    <t>DEFERRED DEBITS</t>
  </si>
  <si>
    <t xml:space="preserve">  TOTAL DEFERRED DEBITS</t>
  </si>
  <si>
    <t>TOTAL CURRENT AND DEFERRED  ASSETS</t>
  </si>
  <si>
    <t>PAGE 2 0F 2</t>
  </si>
  <si>
    <t>CURRENT LIABILITIES</t>
  </si>
  <si>
    <t>ACCTS. PAYABLE - ASSOC. CO.</t>
  </si>
  <si>
    <t>MISC CURR LIAB &amp; ACC LIAB</t>
  </si>
  <si>
    <t>MISC. CURRENT ACCRUED LIAB.</t>
  </si>
  <si>
    <t>Schedule B-1</t>
  </si>
  <si>
    <t>Florida Public Service Commission</t>
  </si>
  <si>
    <t>Docket No.:</t>
  </si>
  <si>
    <t>Line No.</t>
  </si>
  <si>
    <t>Assets</t>
  </si>
  <si>
    <t>GAS PLANT IN SERV.</t>
  </si>
  <si>
    <t>CWIP</t>
  </si>
  <si>
    <t>APPROVED 1985 ACQ. ADJ.</t>
  </si>
  <si>
    <t>APPROVED OLD ACQ. ADJ.</t>
  </si>
  <si>
    <t>UNAPPROVED ACQ. ADJ.</t>
  </si>
  <si>
    <t>GROSS UTILITY PLANT</t>
  </si>
  <si>
    <t>ACCUM. PROVISION FOR DEPR.</t>
  </si>
  <si>
    <t>ACCUM AMORT - ORGANIZATION</t>
  </si>
  <si>
    <t>ACCUM. AMORT. 1985 APP. ACQ ADJ</t>
  </si>
  <si>
    <t>ACCUM. AMORT. UNAPP. ACQ ADJ</t>
  </si>
  <si>
    <t xml:space="preserve">     NET PLANT</t>
  </si>
  <si>
    <t>INVESTMENT IN SUBSIDIARY CO.</t>
  </si>
  <si>
    <t>SINKING FUNDS</t>
  </si>
  <si>
    <t>NON UTILITY PROPERTY</t>
  </si>
  <si>
    <t xml:space="preserve">     TOTAL PROPERTY &amp; INVEST.</t>
  </si>
  <si>
    <t>CASH</t>
  </si>
  <si>
    <t>PETTY CASH</t>
  </si>
  <si>
    <t>SPECIAL DEPOSITS</t>
  </si>
  <si>
    <t>TEMP CASH INVESTMENTS</t>
  </si>
  <si>
    <t>NOTES RECEIVABLE</t>
  </si>
  <si>
    <t>ACCOUNTS REC.- SERVICE</t>
  </si>
  <si>
    <t>PLANT &amp; OPER.MATERIAL &amp; SUPPL.</t>
  </si>
  <si>
    <t xml:space="preserve">     TOTAL CURR.&amp; ACCR. ASSETS</t>
  </si>
  <si>
    <t>MISC DEFERRED DEBITS</t>
  </si>
  <si>
    <t>DEFERRED RATE CASE</t>
  </si>
  <si>
    <t>CONSERVATION</t>
  </si>
  <si>
    <t>OTHER WIP-ENVIROMENTAL MATTERS</t>
  </si>
  <si>
    <t>UNRECOVERED GAS COST</t>
  </si>
  <si>
    <t xml:space="preserve">     TOTAL DEFERRED CHARGES</t>
  </si>
  <si>
    <t xml:space="preserve">  TOTAL ASSETS</t>
  </si>
  <si>
    <t>COMMON STOCK</t>
  </si>
  <si>
    <t>ADDITIONAL CAPITAL</t>
  </si>
  <si>
    <t>UNAPPROPRIATED RET. EARN.</t>
  </si>
  <si>
    <t>MISC PAID IN CAPITAL</t>
  </si>
  <si>
    <t xml:space="preserve"> </t>
  </si>
  <si>
    <t xml:space="preserve">     TOTAL STOCKHOLDERS EQUITY</t>
  </si>
  <si>
    <t>FM BONDS</t>
  </si>
  <si>
    <t>LONG TERM NOTES</t>
  </si>
  <si>
    <t>OTHER LT DEBT</t>
  </si>
  <si>
    <t xml:space="preserve">     TOTAL LONG TERM DEBT</t>
  </si>
  <si>
    <t>NOTES PAYABLE</t>
  </si>
  <si>
    <t>ACCOUNTS PAYABLE</t>
  </si>
  <si>
    <t>ACCOUNTS PAY. ASSOC. CO.</t>
  </si>
  <si>
    <t>TAXES ACCRUED-GENERAL</t>
  </si>
  <si>
    <t>TAXES ACCRUED-INCOME</t>
  </si>
  <si>
    <t>MISC. CURR. LIAB. &amp; ACC. LIAB</t>
  </si>
  <si>
    <t xml:space="preserve">     TOTAL CURR.&amp; ACCRUED LIAB.</t>
  </si>
  <si>
    <t>CUSTOMER ADVANCES FOR CONST.</t>
  </si>
  <si>
    <t>CUST DEPOSIT ON EQ LEASE CONT</t>
  </si>
  <si>
    <t>PENSIONS, BENEFITS AND OPRB RES.</t>
  </si>
  <si>
    <t xml:space="preserve">     TOTAL RESERVES</t>
  </si>
  <si>
    <t>ACCUMULATED DEFERRED INC TAX</t>
  </si>
  <si>
    <t>DEF INVESTMENT TAX CREDIT</t>
  </si>
  <si>
    <t>TOTAL DEFERRED CREDITS &amp; RESERVES</t>
  </si>
  <si>
    <t xml:space="preserve">   TOTAL CAPITAL. &amp; LIAB.</t>
  </si>
  <si>
    <t xml:space="preserve">13 Month </t>
  </si>
  <si>
    <t>Average</t>
  </si>
  <si>
    <t>13-Month Average Balance Sheet</t>
  </si>
  <si>
    <t xml:space="preserve">   Balance Sheets by Primary Account for the Historic Base Year</t>
  </si>
  <si>
    <t>Witness:</t>
  </si>
  <si>
    <t>Type of Data Shown:</t>
  </si>
  <si>
    <t>Capitalization &amp; Liabilities</t>
  </si>
  <si>
    <t>(2)</t>
  </si>
  <si>
    <t>SCHEDULE 2</t>
  </si>
  <si>
    <t>PAGE 1 OF 2</t>
  </si>
  <si>
    <t>RATE BASE</t>
  </si>
  <si>
    <t>ACCUMULATED</t>
  </si>
  <si>
    <t>NET PROPERTY</t>
  </si>
  <si>
    <t>CONSTRUCTION</t>
  </si>
  <si>
    <t>NET</t>
  </si>
  <si>
    <t>PLANT IN</t>
  </si>
  <si>
    <t>DEPRECIATION &amp;</t>
  </si>
  <si>
    <t>HELD FOR</t>
  </si>
  <si>
    <t>WORK IN</t>
  </si>
  <si>
    <t>UTILITY</t>
  </si>
  <si>
    <t>WORKING</t>
  </si>
  <si>
    <t>TOTAL</t>
  </si>
  <si>
    <t>SERVICE</t>
  </si>
  <si>
    <t>AMORTIZATION</t>
  </si>
  <si>
    <t>FUTURE USE</t>
  </si>
  <si>
    <t>PROGRESS</t>
  </si>
  <si>
    <t>PLANT</t>
  </si>
  <si>
    <t>CAPITAL</t>
  </si>
  <si>
    <t>PER BOOKS</t>
  </si>
  <si>
    <t>FPSC ADJUSTMENTS:</t>
  </si>
  <si>
    <t>TOTAL FPSC ADJUSTMENTS</t>
  </si>
  <si>
    <t>FPSC ADJUSTED</t>
  </si>
  <si>
    <t>TOTAL PRO FORMA ADJUSTMENTS</t>
  </si>
  <si>
    <t>PRO FORMA ADJUSTED</t>
  </si>
  <si>
    <t>(6)</t>
  </si>
  <si>
    <t>(7)</t>
  </si>
  <si>
    <t>(8)</t>
  </si>
  <si>
    <t xml:space="preserve"> SCHEDULE 2</t>
  </si>
  <si>
    <t>PAGE 2 OF 2</t>
  </si>
  <si>
    <t>INCOME STATEMENT</t>
  </si>
  <si>
    <t>GAIN/LOSS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</si>
  <si>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</si>
  <si>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</si>
  <si>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</si>
  <si>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</si>
  <si>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</si>
  <si>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</si>
  <si>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</si>
  <si>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</si>
  <si>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</si>
  <si>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</si>
  <si>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</si>
  <si>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</si>
  <si>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THAN INCOME</t>
  </si>
  <si>
    <t>CURRENT</t>
  </si>
  <si>
    <t>(NET)</t>
  </si>
  <si>
    <t>DISPOSITION</t>
  </si>
  <si>
    <t>EXPENSES</t>
  </si>
  <si>
    <t>INCOME</t>
  </si>
  <si>
    <t>(9)</t>
  </si>
  <si>
    <t>(10)</t>
  </si>
  <si>
    <t>(11)</t>
  </si>
  <si>
    <t>YEAR END RATE OF RETURN</t>
  </si>
  <si>
    <t>SCHEDULE 4</t>
  </si>
  <si>
    <t>CAPITAL STRUCTURE</t>
  </si>
  <si>
    <t>FPSC ADJUSTED BASIS</t>
  </si>
  <si>
    <t xml:space="preserve">           LOW POINT</t>
  </si>
  <si>
    <t xml:space="preserve">              MIDPOINT</t>
  </si>
  <si>
    <t xml:space="preserve">             HIGH POINT</t>
  </si>
  <si>
    <t xml:space="preserve">   COST</t>
  </si>
  <si>
    <t>WEIGHTED</t>
  </si>
  <si>
    <t xml:space="preserve"> RATIO</t>
  </si>
  <si>
    <t xml:space="preserve">   RATE</t>
  </si>
  <si>
    <t xml:space="preserve">  COST</t>
  </si>
  <si>
    <t>AVERAGE</t>
  </si>
  <si>
    <t>ADJUSTED</t>
  </si>
  <si>
    <t>(%)</t>
  </si>
  <si>
    <t xml:space="preserve">    (%)</t>
  </si>
  <si>
    <t xml:space="preserve">   (%)</t>
  </si>
  <si>
    <t>SHORT TERM DEBT</t>
  </si>
  <si>
    <t>CUSTOMER DEPOSITS</t>
  </si>
  <si>
    <t>COMMON EQUITY</t>
  </si>
  <si>
    <t>TOTAL AVERAGE</t>
  </si>
  <si>
    <t>YEAR-END</t>
  </si>
  <si>
    <t>3.</t>
  </si>
  <si>
    <t>Back in FRx, drill down on the 101 - Gas plant in service line and export the data to excel.</t>
  </si>
  <si>
    <t>3b.</t>
  </si>
  <si>
    <t>3c.</t>
  </si>
  <si>
    <t>Copy the report to a new tab.  Name one report "CF-13MO" and the other "CF-YE"</t>
  </si>
  <si>
    <t>3d.</t>
  </si>
  <si>
    <t>Create a column called Act#; create a forumla that pulls the FERC account number from the description.</t>
  </si>
  <si>
    <t>On CF-13MO, sort the report by Act# and then subtotal on 13-Mo Avg.</t>
  </si>
  <si>
    <t>On CF-YE, sort the report by Act# and then subtotal on the last month (Dec or June).</t>
  </si>
  <si>
    <t xml:space="preserve">Use the data to populate the "Common Plant" tab by hand.  </t>
  </si>
  <si>
    <t>Repeat this process for Accumulated Depreciation (G/L account-1080),</t>
  </si>
  <si>
    <t>3e.</t>
  </si>
  <si>
    <t>3f.</t>
  </si>
  <si>
    <t>3g.</t>
  </si>
  <si>
    <t>3h.</t>
  </si>
  <si>
    <t>3hi.</t>
  </si>
  <si>
    <t>Instead of pulling the ending balance on "CF-YE," you'll want to pull the 12 MO Depreciation Expense.</t>
  </si>
  <si>
    <t>3hii.</t>
  </si>
  <si>
    <t>Delete all data columns except for the 12 mont data.  Create a columb "12-MO" that subtracts the last month in the period</t>
  </si>
  <si>
    <t>from the first month in the period.  Subtotal on this column.</t>
  </si>
  <si>
    <t>IN GENERAL, DO NOT CHANGE CELL LOCATIONS .. CHANGE DATES AND TYPE OVER EXISTING DATA</t>
  </si>
  <si>
    <t>4.</t>
  </si>
  <si>
    <t>In FRx report Launcher, run "CPK-ISEXT12" as a formatted excel.</t>
  </si>
  <si>
    <t>4b.</t>
  </si>
  <si>
    <t>4c.</t>
  </si>
  <si>
    <t>Copy the Data to the "CPK-ISEXT12" tab in your rate of return file.</t>
  </si>
  <si>
    <t>4d.</t>
  </si>
  <si>
    <t>The data should flow to the "Income Statement" tab.  Be sure that it does correctly.</t>
  </si>
  <si>
    <t>match rates</t>
  </si>
  <si>
    <t xml:space="preserve">May </t>
  </si>
  <si>
    <t xml:space="preserve">Report Name: WORK_CAP                                                          FLORIDA PUBLIC UTILITIES COMPANY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</si>
  <si>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Date: 11/03/2010                                                        WORKING CAPITAL 13 MONTH AVERAGES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</si>
  <si>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Working Capital for Rate of Return Report                             </t>
  </si>
  <si>
    <t xml:space="preserve">                     </t>
  </si>
  <si>
    <t xml:space="preserve">        </t>
  </si>
  <si>
    <t xml:space="preserve">           </t>
  </si>
  <si>
    <t xml:space="preserve">            </t>
  </si>
  <si>
    <t xml:space="preserve"> 13 MONTH   </t>
  </si>
  <si>
    <t xml:space="preserve">     DESCRIPTION     </t>
  </si>
  <si>
    <t xml:space="preserve">  BASIS </t>
  </si>
  <si>
    <t xml:space="preserve"> AVERAGE    </t>
  </si>
  <si>
    <t>=====================</t>
  </si>
  <si>
    <t>========</t>
  </si>
  <si>
    <t>-----------</t>
  </si>
  <si>
    <t xml:space="preserve"> --------- </t>
  </si>
  <si>
    <t xml:space="preserve">---------- </t>
  </si>
  <si>
    <t xml:space="preserve">----------  </t>
  </si>
  <si>
    <t xml:space="preserve"> ---------  </t>
  </si>
  <si>
    <t xml:space="preserve"> --------   </t>
  </si>
  <si>
    <t xml:space="preserve">ALLOCATION FACTORS:  </t>
  </si>
  <si>
    <t xml:space="preserve">     ***</t>
  </si>
  <si>
    <t>---------------------</t>
  </si>
  <si>
    <t xml:space="preserve">       PAYROLL FPU:  </t>
  </si>
  <si>
    <t xml:space="preserve">PAY_FPU </t>
  </si>
  <si>
    <t xml:space="preserve">   TOTAL    </t>
  </si>
  <si>
    <t xml:space="preserve">         Northwest Fl</t>
  </si>
  <si>
    <t xml:space="preserve">         Northeast Fl</t>
  </si>
  <si>
    <t xml:space="preserve">         South Fl    </t>
  </si>
  <si>
    <t xml:space="preserve">         Central Fl  </t>
  </si>
  <si>
    <t>------------</t>
  </si>
  <si>
    <t xml:space="preserve">       BASE REVENUE: </t>
  </si>
  <si>
    <t xml:space="preserve">BR_SF   </t>
  </si>
  <si>
    <t xml:space="preserve">         Natural Gas </t>
  </si>
  <si>
    <t xml:space="preserve">         Propane     </t>
  </si>
  <si>
    <t xml:space="preserve">----------- </t>
  </si>
  <si>
    <t xml:space="preserve">BR_CF   </t>
  </si>
  <si>
    <t xml:space="preserve">BR_ELEC </t>
  </si>
  <si>
    <t xml:space="preserve">BR_GAS  </t>
  </si>
  <si>
    <t>BASE REV</t>
  </si>
  <si>
    <t xml:space="preserve">            PAYROLL: </t>
  </si>
  <si>
    <t xml:space="preserve"> P/R    </t>
  </si>
  <si>
    <t xml:space="preserve">            PLANT:   </t>
  </si>
  <si>
    <t xml:space="preserve"> PLT    </t>
  </si>
  <si>
    <t xml:space="preserve">          EDP PLANT: </t>
  </si>
  <si>
    <t xml:space="preserve">EDPPLT  </t>
  </si>
  <si>
    <t xml:space="preserve">  South Fl           </t>
  </si>
  <si>
    <t xml:space="preserve">  Central Fl         </t>
  </si>
  <si>
    <t xml:space="preserve">  Northwest Fl       </t>
  </si>
  <si>
    <t xml:space="preserve">  Northeast Fl       </t>
  </si>
  <si>
    <t xml:space="preserve">  Non-Utility        </t>
  </si>
  <si>
    <t>===========</t>
  </si>
  <si>
    <t xml:space="preserve">=========== </t>
  </si>
  <si>
    <t>Northwest Fl.</t>
  </si>
  <si>
    <t>Northeast Fl.</t>
  </si>
  <si>
    <t>South Fl.</t>
  </si>
  <si>
    <t>Central Fl</t>
  </si>
  <si>
    <t>Corporate</t>
  </si>
  <si>
    <t xml:space="preserve">1310.1.7&amp;8 CASH &amp; IN </t>
  </si>
  <si>
    <t>D</t>
  </si>
  <si>
    <t xml:space="preserve">1650 Prepay-Exc Pens </t>
  </si>
  <si>
    <t>L</t>
  </si>
  <si>
    <t xml:space="preserve">   P/R  </t>
  </si>
  <si>
    <t>M</t>
  </si>
  <si>
    <t xml:space="preserve">1820.2 &amp; 100.1430.1  </t>
  </si>
  <si>
    <t>============</t>
  </si>
  <si>
    <t>2280.31 Pension Reser</t>
  </si>
  <si>
    <t xml:space="preserve"> PAYROLL</t>
  </si>
  <si>
    <t xml:space="preserve">2280.32 Med Self Ins </t>
  </si>
  <si>
    <t xml:space="preserve">2280.34 401k accrual </t>
  </si>
  <si>
    <t xml:space="preserve">2280.1* Storm Damage </t>
  </si>
  <si>
    <t xml:space="preserve"> BR     </t>
  </si>
  <si>
    <t xml:space="preserve">BR-GAS  </t>
  </si>
  <si>
    <t xml:space="preserve"> BR-ELEC</t>
  </si>
  <si>
    <t xml:space="preserve">2320.1* &amp; .99        </t>
  </si>
  <si>
    <t xml:space="preserve">   A/P  </t>
  </si>
  <si>
    <t>2320.8 Sal &amp; Wage Pay</t>
  </si>
  <si>
    <t xml:space="preserve">2360.1 Ad Valorem    </t>
  </si>
  <si>
    <t xml:space="preserve">  DIRECT</t>
  </si>
  <si>
    <t xml:space="preserve">2360.2 State GR Tax  </t>
  </si>
  <si>
    <t>2360.3 FPSC Assessmnt</t>
  </si>
  <si>
    <t xml:space="preserve"> BASE RV</t>
  </si>
  <si>
    <t>2360.5 Fed Unempl Tax</t>
  </si>
  <si>
    <t xml:space="preserve">2360.6 St Unempl Tax </t>
  </si>
  <si>
    <t xml:space="preserve">2360.7 FICA          </t>
  </si>
  <si>
    <t>2360.8 Fed Income Tax</t>
  </si>
  <si>
    <t xml:space="preserve">2360.9 St Income Tax </t>
  </si>
  <si>
    <t>2370.1&amp;.2 Interest Ac</t>
  </si>
  <si>
    <t>cr PLANT</t>
  </si>
  <si>
    <t xml:space="preserve">2410 Tax Collect Pay </t>
  </si>
  <si>
    <t xml:space="preserve">2420.1 Vactn Pay Acc </t>
  </si>
  <si>
    <t xml:space="preserve">PAYROLL </t>
  </si>
  <si>
    <t xml:space="preserve">2420.3 Audt Fees Acc </t>
  </si>
  <si>
    <t xml:space="preserve">2530.31&amp;32 Env Cost  </t>
  </si>
  <si>
    <t>R</t>
  </si>
  <si>
    <t>Q</t>
  </si>
  <si>
    <t>S</t>
  </si>
  <si>
    <t>U</t>
  </si>
  <si>
    <t>V</t>
  </si>
  <si>
    <t>X</t>
  </si>
  <si>
    <t>W</t>
  </si>
  <si>
    <t>Z</t>
  </si>
  <si>
    <t>WORKING FUNDS &amp; CASH INVEST.                  1350</t>
  </si>
  <si>
    <t>CASH                                                                                  1310</t>
  </si>
  <si>
    <t>SPECIAL DEPOSITS                                                     1340</t>
  </si>
  <si>
    <t>UNBILLED REVENUE                                                 1730</t>
  </si>
  <si>
    <t>ACCUM. PROV. UNCOLLECT. ACCTS.             1440</t>
  </si>
  <si>
    <t>RECEIVABLE ASSOC. COMPANIES                    1460</t>
  </si>
  <si>
    <t>PLANT &amp; OPER.MATERIAL &amp; SUPPL.              1540</t>
  </si>
  <si>
    <t>STORES EXPENSE                                                       1630</t>
  </si>
  <si>
    <t>PREPAYMENTS-PENSIONS                                   1650.3</t>
  </si>
  <si>
    <t>CONSERVATION                                                      1860.61</t>
  </si>
  <si>
    <t>UNRECOVERED GAS COST                                  1860.21</t>
  </si>
  <si>
    <t>MISC DEFERRED DEBITS                                       1860.1 &amp; 1860.23</t>
  </si>
  <si>
    <t>UNDISTRIBUTED CAPITAL                                  1860.3</t>
  </si>
  <si>
    <t>OTHER REGULATORY ASSETS                            1820</t>
  </si>
  <si>
    <t>UNAMORT. RATE CASE                                            1860.1</t>
  </si>
  <si>
    <t>CUST. ACCTS. REC.-GAS                                          1420, 1430</t>
  </si>
  <si>
    <t>MDSE,JOBBING &amp; OTHER</t>
  </si>
  <si>
    <t>PREPAYMENTS-TAXES, LICENSE Other</t>
  </si>
  <si>
    <t>PREPAYMENTS-ORCOM MAINT.</t>
  </si>
  <si>
    <t>PREPAYMENTS-INSURANCE                               1650.1, .2, .4, .5</t>
  </si>
  <si>
    <t>DEFERRED PIPING AND CONVERSION</t>
  </si>
  <si>
    <t>EMPLOYEE ACCOUNTS REC.  &amp;  OTHER         1430.</t>
  </si>
  <si>
    <t>CONSERVATION                                                                           2530.61</t>
  </si>
  <si>
    <t>ENVIRONMENTAL RECOVERY                                             2530.31&amp;.32</t>
  </si>
  <si>
    <t>Electric</t>
  </si>
  <si>
    <t>Natural Gas</t>
  </si>
  <si>
    <t>SPECIAL DEPOSITS   - ENVIRONMENTAL</t>
  </si>
  <si>
    <t>STORM RESERVE</t>
  </si>
  <si>
    <t>ACCRUED ASSET REMOVAL COST</t>
  </si>
  <si>
    <t>DEFFERED INCOME TAXES</t>
  </si>
  <si>
    <t>TAX CREDITS - WEIGHTED COST</t>
  </si>
  <si>
    <t>SPECIFIC</t>
  </si>
  <si>
    <t>BOOKS</t>
  </si>
  <si>
    <t>PRO-RATA</t>
  </si>
  <si>
    <t>FLORIDA PUBLIC UTILITIES COMPANY</t>
  </si>
  <si>
    <t>NATURAL GAS</t>
  </si>
  <si>
    <t>COMPANY:  FLORIDA PUBLIC UTILITIES COMPANY</t>
  </si>
  <si>
    <t>RATE BASE CALCULATION</t>
  </si>
  <si>
    <t>2) ELIMINATE FUEL REVENUES AND EXPENSES</t>
  </si>
  <si>
    <t>3) ELIMINATE CONSERVATION</t>
  </si>
  <si>
    <t>4)NON-UTILITY DEPRECIATION EXPENSE</t>
  </si>
  <si>
    <t>5) ELIMINATE AEP REVENUES AND EXPENSES</t>
  </si>
  <si>
    <t>ACCOUNTS REC. MISC. -AEP REC.                    1860.4</t>
  </si>
  <si>
    <t>AEP</t>
  </si>
  <si>
    <t>OTHER REGULATORY ASSETS</t>
  </si>
  <si>
    <t>TEMPORARY FACILITIES</t>
  </si>
  <si>
    <t>UNDISTRIBUTED CAPITAL</t>
  </si>
  <si>
    <t>DEFERRED PIPING &amp; CONVERSION</t>
  </si>
  <si>
    <t>UNAMORT RATE CASE</t>
  </si>
  <si>
    <t>2/  Includes the issuance cost of debt.</t>
  </si>
  <si>
    <t>DEFERRED INCOME TAXES - CURRENT</t>
  </si>
  <si>
    <t>MERCHANDISE DOWN PAYMENTS</t>
  </si>
  <si>
    <t>13 MTH AVERAGE</t>
  </si>
  <si>
    <t>RATE REFUND ADJUSTMENT</t>
  </si>
  <si>
    <t>RATE REFUND REVENUES</t>
  </si>
  <si>
    <t>RATE REFUND BALANCE</t>
  </si>
  <si>
    <t>FROM LAST</t>
  </si>
  <si>
    <t>RATE CASE</t>
  </si>
  <si>
    <t>INTEREST ACCRUED - CUSTOMER DEPOSITS</t>
  </si>
  <si>
    <t>INTEREST ACCRUED - DEBT</t>
  </si>
  <si>
    <t xml:space="preserve"> DIRECT -P/R FPU</t>
  </si>
  <si>
    <t>OTHER REGULATORY ASSETS                            1821</t>
  </si>
  <si>
    <t>ACCRUED COMPENSATION</t>
  </si>
  <si>
    <t xml:space="preserve"> 12 2010    </t>
  </si>
  <si>
    <t xml:space="preserve">Non-Utility </t>
  </si>
  <si>
    <t>Nat Gas</t>
  </si>
  <si>
    <t>Signature</t>
  </si>
  <si>
    <t>SCHEDULE 3</t>
  </si>
  <si>
    <t xml:space="preserve"> SCHEDULE 3</t>
  </si>
  <si>
    <t>1 2011</t>
  </si>
  <si>
    <t>2 2011</t>
  </si>
  <si>
    <t xml:space="preserve"> 3 2011  </t>
  </si>
  <si>
    <t xml:space="preserve">       User: YOUNG                                                                 13 MONTHS ENDING MAR 2011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</si>
  <si>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OVER RECOVERED PGA</t>
  </si>
  <si>
    <t>1860 Oth Deferred Charges</t>
  </si>
  <si>
    <t>282 &amp;283 Deferred Income Tax</t>
  </si>
  <si>
    <t>142 Accounts Rec</t>
  </si>
  <si>
    <t xml:space="preserve">2280.1 &amp; 2 Self Ins      </t>
  </si>
  <si>
    <t>4 2011</t>
  </si>
  <si>
    <t>5 2011</t>
  </si>
  <si>
    <t xml:space="preserve"> 6 2011  </t>
  </si>
  <si>
    <t>Parent</t>
  </si>
  <si>
    <t>NG</t>
  </si>
  <si>
    <t>NG/Parent</t>
  </si>
  <si>
    <t>Parent (see analysis)</t>
  </si>
  <si>
    <t>Parent / NG</t>
  </si>
  <si>
    <t>Parent/NG</t>
  </si>
  <si>
    <t>Parent / NG (see analysis)</t>
  </si>
  <si>
    <t>Total Work Cap Assets</t>
  </si>
  <si>
    <t>Total Work Cap Liabiities</t>
  </si>
  <si>
    <t>7 2011</t>
  </si>
  <si>
    <t>8 2011</t>
  </si>
  <si>
    <t xml:space="preserve"> 9 2011  </t>
  </si>
  <si>
    <t>AVERAGE LONG</t>
  </si>
  <si>
    <t>WEIGHTED AVERAGE COST OF LONG TERM DEBT</t>
  </si>
  <si>
    <t>10 2011</t>
  </si>
  <si>
    <t>11 2011</t>
  </si>
  <si>
    <t xml:space="preserve"> 12 2011  </t>
  </si>
  <si>
    <t xml:space="preserve">  ELIM. ACQUISITION ADJUSTMENT</t>
  </si>
  <si>
    <t xml:space="preserve">   ELIM. REG ASSET-TRNSCTN &amp; TRNSITN CSTS</t>
  </si>
  <si>
    <t>ELIMINATE ACQUISITION AMORTIZATION</t>
  </si>
  <si>
    <t>ELIMINATE TRANSACT./TRANSIT. AMORTIZATION</t>
  </si>
  <si>
    <t>LONG TERM DEBT - CU</t>
  </si>
  <si>
    <t>LONG TERM DEBT - FC</t>
  </si>
  <si>
    <t>INCL ACQUISITION ADJUSTMENT</t>
  </si>
  <si>
    <t>EXCL ACQUISITION ADJUSTMENT</t>
  </si>
  <si>
    <t>2)   ELIMINATE GOODWILL</t>
  </si>
  <si>
    <t>SHORT TERM DEBT - REFINANCED LTD</t>
  </si>
  <si>
    <t>1) INCOME TAX SYNC AND INTEREST ADJ.</t>
  </si>
  <si>
    <t xml:space="preserve">           Michael Cassel</t>
  </si>
  <si>
    <t>1) ELIMINATIONS TO NON-UTILITY MATERIALS</t>
  </si>
  <si>
    <t>6) ELIMINATE REVENUE RELATED TAXES</t>
  </si>
  <si>
    <t>7)5% OF ECONOMIC DEVELOPMENT</t>
  </si>
  <si>
    <t>8) OUT OF PERIOD ADJ</t>
  </si>
  <si>
    <t>9) FLEX RATE REVENUES</t>
  </si>
  <si>
    <t>3)   FLEX RATE PLANT</t>
  </si>
  <si>
    <t>4)   ELIM. NON-UTILITY PLANT</t>
  </si>
  <si>
    <t>5)   ELIMINATE UNDER-RECOVERIES</t>
  </si>
  <si>
    <t>6)  OUT OF PERIOD ADJUSTMENT</t>
  </si>
  <si>
    <t>7)  ELIMINATE DEF. ENVIRONMENTAL COSTS</t>
  </si>
  <si>
    <t xml:space="preserve">ADJUSTED </t>
  </si>
  <si>
    <t xml:space="preserve">           AVP - Regulatory Affairs</t>
  </si>
  <si>
    <t>10)REVERSE STATE INCOME TAX POTENTIAL REFUND</t>
  </si>
  <si>
    <t>7)  ELIMINATE INT. EARNING CWIP</t>
  </si>
  <si>
    <t>8)  ELIMINATE DEF. ENVIRONMENTAL COSTS</t>
  </si>
  <si>
    <t>For the 12 Months Ending December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</si>
</sst>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&quot;$&quot;#,##0"/>
    <numFmt numFmtId="167" formatCode="_(&quot;$&quot;* #,##0_);_(&quot;$&quot;* \(#,##0\);_(&quot;$&quot;* &quot;-&quot;??_);_(@_)"/>
    <numFmt numFmtId="168" formatCode="#,##0;\(#,##0\)"/>
    <numFmt numFmtId="169" formatCode="&quot;$&quot;#,##0;\(&quot;$&quot;#,##0\)"/>
    <numFmt numFmtId="170" formatCode="###0.0%;\(###0.0%\)"/>
    <numFmt numFmtId="171" formatCode="#,##0.00;\(#,##0.00\)"/>
    <numFmt numFmtId="172" formatCode="&quot;$&quot;#,##0.00;\(&quot;$&quot;#,##0.00\)"/>
    <numFmt numFmtId="173" formatCode="[$$-409]* #,##0.00_);_([$$-409]* \#\,##0.00\);_([$$-409]* &quot;-&quot;??_);_(@_)"/>
    <numFmt numFmtId="174" formatCode="[$$-409]* #,##0_);_([$$-409]* \#\,##0\);_([$$-409]* &quot;-&quot;_);_(@_)"/>
    <numFmt numFmtId="175" formatCode="#,###,##0;\(#,###,##0\)"/>
    <numFmt numFmtId="176" formatCode="&quot;$&quot;#,###,##0;\(&quot;$&quot;#,###,##0\)"/>
    <numFmt numFmtId="177" formatCode="#,##0.00%;\(#,##0.00%\)"/>
    <numFmt numFmtId="178" formatCode="&quot;$&quot;#,###,##0.00;\(&quot;$&quot;#,###,##0.00\)"/>
    <numFmt numFmtId="179" formatCode="#,###,##0.00;\(#,###,##0.00\)"/>
    <numFmt numFmtId="180" formatCode="_(* #,##0.00_);_(* \(\ #,##0.00\ \);_(* &quot;-&quot;??_);_(\ @_ \)"/>
    <numFmt numFmtId="181" formatCode="&quot;$&quot;#,##0.00"/>
    <numFmt numFmtId="182" formatCode="0.0%"/>
    <numFmt numFmtId="183" formatCode="#,##0;\-#,##0;&quot;-&quot;"/>
    <numFmt numFmtId="184" formatCode="0%\ ;[Red]\(0%\);&quot;- &quot;"/>
    <numFmt numFmtId="185" formatCode="[$-409]mmmm\ d\,\ yyyy;@"/>
    <numFmt numFmtId="186" formatCode="#,##0_);\(#,##0\);\-_)"/>
    <numFmt numFmtId="187" formatCode="#,##0.0_);\(#,##0.0\);\-_)"/>
  </numFmts>
  <fonts count="12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2"/>
      <name val="Arial MT"/>
    </font>
    <font>
      <sz val="12"/>
      <name val="Arial"/>
      <family val="2"/>
    </font>
    <font>
      <sz val="10"/>
      <color indexed="1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Tahoma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b/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0"/>
      <name val="Arial"/>
      <family val="2"/>
    </font>
    <font>
      <b/>
      <i/>
      <sz val="9"/>
      <color indexed="21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u/>
      <sz val="10"/>
      <color indexed="39"/>
      <name val="Arial"/>
      <family val="2"/>
    </font>
    <font>
      <sz val="10"/>
      <color indexed="0"/>
      <name val="Arial"/>
      <family val="2"/>
    </font>
    <font>
      <i/>
      <sz val="8"/>
      <color indexed="0"/>
      <name val="Arial"/>
      <family val="2"/>
    </font>
    <font>
      <sz val="10"/>
      <color indexed="63"/>
      <name val="Arial"/>
      <family val="2"/>
    </font>
    <font>
      <sz val="11"/>
      <color indexed="63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8"/>
      <color indexed="12"/>
      <name val="Calibri"/>
      <family val="2"/>
    </font>
    <font>
      <sz val="8"/>
      <color indexed="10"/>
      <name val="Calibri"/>
      <family val="2"/>
    </font>
    <font>
      <sz val="14"/>
      <color indexed="0"/>
      <name val="Arial Black"/>
      <family val="2"/>
    </font>
    <font>
      <sz val="10"/>
      <color indexed="0"/>
      <name val="Arial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1"/>
      <color indexed="8"/>
      <name val="Calibri"/>
      <family val="2"/>
    </font>
    <font>
      <b/>
      <sz val="11"/>
      <color indexed="0"/>
      <name val="Arial Narrow"/>
      <family val="2"/>
    </font>
    <font>
      <sz val="10"/>
      <color indexed="63"/>
      <name val="Tahoma"/>
      <family val="2"/>
    </font>
    <font>
      <sz val="11"/>
      <color indexed="63"/>
      <name val="Calibri"/>
      <family val="2"/>
    </font>
    <font>
      <sz val="11"/>
      <color indexed="6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8"/>
      <color indexed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4"/>
      <color indexed="0"/>
      <name val="Arial Black"/>
      <family val="2"/>
    </font>
    <font>
      <sz val="10"/>
      <color indexed="0"/>
      <name val="Arial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b/>
      <i/>
      <sz val="10"/>
      <color indexed="0"/>
      <name val="Arial"/>
      <family val="2"/>
    </font>
    <font>
      <i/>
      <sz val="10"/>
      <color indexed="0"/>
      <name val="Arial"/>
      <family val="2"/>
    </font>
    <font>
      <sz val="14"/>
      <name val="Square721 Cn BT"/>
    </font>
    <font>
      <sz val="11"/>
      <color indexed="8"/>
      <name val="Comic Sans MS"/>
      <family val="2"/>
    </font>
    <font>
      <b/>
      <sz val="12"/>
      <color indexed="0"/>
      <name val="Arial Narrow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0"/>
      <color rgb="FF000000"/>
      <name val="Arial"/>
      <family val="2"/>
    </font>
    <font>
      <sz val="10"/>
      <color indexed="0"/>
      <name val="Arial"/>
      <family val="2"/>
    </font>
    <font>
      <b/>
      <i/>
      <sz val="9"/>
      <color indexed="21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932">
    <xf numFmtId="0" fontId="0" fillId="0" borderId="0"/>
    <xf numFmtId="183" fontId="15" fillId="0" borderId="0" applyFill="0" applyBorder="0" applyAlignment="0"/>
    <xf numFmtId="182" fontId="13" fillId="0" borderId="0" applyFill="0" applyBorder="0" applyAlignment="0"/>
    <xf numFmtId="181" fontId="13" fillId="0" borderId="0" applyFill="0" applyBorder="0" applyAlignment="0"/>
    <xf numFmtId="43" fontId="1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" fontId="33" fillId="0" borderId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" fontId="33" fillId="0" borderId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" fontId="33" fillId="0" borderId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180" fontId="36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36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180" fontId="36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" fontId="33" fillId="0" borderId="0"/>
    <xf numFmtId="180" fontId="3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18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18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" fontId="33" fillId="0" borderId="0"/>
    <xf numFmtId="43" fontId="1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2" fillId="0" borderId="0" applyFont="0" applyFill="0" applyBorder="0" applyAlignment="0" applyProtection="0"/>
    <xf numFmtId="3" fontId="33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173" fontId="33" fillId="0" borderId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173" fontId="33" fillId="0" borderId="0"/>
    <xf numFmtId="44" fontId="22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173" fontId="33" fillId="0" borderId="0"/>
    <xf numFmtId="44" fontId="56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13" fillId="0" borderId="0" applyFont="0" applyFill="0" applyBorder="0" applyAlignment="0" applyProtection="0"/>
    <xf numFmtId="174" fontId="33" fillId="0" borderId="0"/>
    <xf numFmtId="184" fontId="32" fillId="0" borderId="0" applyFill="0" applyBorder="0" applyAlignment="0"/>
    <xf numFmtId="168" fontId="22" fillId="0" borderId="0"/>
    <xf numFmtId="175" fontId="38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68" fontId="22" fillId="0" borderId="0"/>
    <xf numFmtId="175" fontId="22" fillId="0" borderId="0"/>
    <xf numFmtId="168" fontId="22" fillId="0" borderId="0"/>
    <xf numFmtId="179" fontId="22" fillId="0" borderId="0"/>
    <xf numFmtId="175" fontId="22" fillId="0" borderId="0"/>
    <xf numFmtId="175" fontId="22" fillId="0" borderId="0"/>
    <xf numFmtId="175" fontId="22" fillId="0" borderId="0"/>
    <xf numFmtId="179" fontId="22" fillId="0" borderId="0"/>
    <xf numFmtId="175" fontId="22" fillId="0" borderId="0"/>
    <xf numFmtId="175" fontId="22" fillId="0" borderId="0"/>
    <xf numFmtId="179" fontId="22" fillId="0" borderId="0"/>
    <xf numFmtId="179" fontId="22" fillId="0" borderId="0"/>
    <xf numFmtId="175" fontId="22" fillId="0" borderId="0"/>
    <xf numFmtId="175" fontId="40" fillId="0" borderId="0"/>
    <xf numFmtId="168" fontId="22" fillId="0" borderId="0"/>
    <xf numFmtId="168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68" fontId="22" fillId="0" borderId="0"/>
    <xf numFmtId="175" fontId="22" fillId="0" borderId="0"/>
    <xf numFmtId="175" fontId="22" fillId="0" borderId="0"/>
    <xf numFmtId="175" fontId="22" fillId="0" borderId="0"/>
    <xf numFmtId="171" fontId="22" fillId="0" borderId="0"/>
    <xf numFmtId="175" fontId="47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68" fontId="22" fillId="0" borderId="0"/>
    <xf numFmtId="179" fontId="22" fillId="0" borderId="0"/>
    <xf numFmtId="168" fontId="22" fillId="0" borderId="0"/>
    <xf numFmtId="168" fontId="22" fillId="0" borderId="0"/>
    <xf numFmtId="175" fontId="64" fillId="0" borderId="0"/>
    <xf numFmtId="168" fontId="23" fillId="0" borderId="0"/>
    <xf numFmtId="168" fontId="22" fillId="0" borderId="0"/>
    <xf numFmtId="168" fontId="22" fillId="0" borderId="0"/>
    <xf numFmtId="175" fontId="22" fillId="0" borderId="0"/>
    <xf numFmtId="171" fontId="22" fillId="0" borderId="0"/>
    <xf numFmtId="168" fontId="22" fillId="0" borderId="0"/>
    <xf numFmtId="171" fontId="23" fillId="0" borderId="0"/>
    <xf numFmtId="171" fontId="22" fillId="0" borderId="0"/>
    <xf numFmtId="171" fontId="22" fillId="0" borderId="0"/>
    <xf numFmtId="171" fontId="22" fillId="0" borderId="0"/>
    <xf numFmtId="168" fontId="23" fillId="0" borderId="0"/>
    <xf numFmtId="168" fontId="22" fillId="0" borderId="0"/>
    <xf numFmtId="168" fontId="22" fillId="0" borderId="0"/>
    <xf numFmtId="171" fontId="22" fillId="0" borderId="0"/>
    <xf numFmtId="168" fontId="22" fillId="0" borderId="0"/>
    <xf numFmtId="175" fontId="22" fillId="0" borderId="0"/>
    <xf numFmtId="175" fontId="22" fillId="0" borderId="0"/>
    <xf numFmtId="175" fontId="22" fillId="0" borderId="0"/>
    <xf numFmtId="168" fontId="22" fillId="0" borderId="0"/>
    <xf numFmtId="175" fontId="22" fillId="0" borderId="0"/>
    <xf numFmtId="175" fontId="22" fillId="0" borderId="0"/>
    <xf numFmtId="179" fontId="22" fillId="0" borderId="0"/>
    <xf numFmtId="175" fontId="22" fillId="0" borderId="0"/>
    <xf numFmtId="175" fontId="22" fillId="0" borderId="0"/>
    <xf numFmtId="179" fontId="22" fillId="0" borderId="0"/>
    <xf numFmtId="175" fontId="22" fillId="0" borderId="0"/>
    <xf numFmtId="179" fontId="22" fillId="0" borderId="0"/>
    <xf numFmtId="179" fontId="22" fillId="0" borderId="0"/>
    <xf numFmtId="175" fontId="22" fillId="0" borderId="0"/>
    <xf numFmtId="175" fontId="22" fillId="0" borderId="0"/>
    <xf numFmtId="179" fontId="22" fillId="0" borderId="0"/>
    <xf numFmtId="169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69" fontId="22" fillId="0" borderId="0"/>
    <xf numFmtId="169" fontId="22" fillId="0" borderId="0"/>
    <xf numFmtId="178" fontId="22" fillId="0" borderId="0"/>
    <xf numFmtId="176" fontId="40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2" fontId="22" fillId="0" borderId="0"/>
    <xf numFmtId="176" fontId="22" fillId="0" borderId="0"/>
    <xf numFmtId="176" fontId="22" fillId="0" borderId="0"/>
    <xf numFmtId="178" fontId="22" fillId="0" borderId="0"/>
    <xf numFmtId="178" fontId="22" fillId="0" borderId="0"/>
    <xf numFmtId="176" fontId="64" fillId="0" borderId="0"/>
    <xf numFmtId="169" fontId="23" fillId="0" borderId="0"/>
    <xf numFmtId="169" fontId="22" fillId="0" borderId="0"/>
    <xf numFmtId="169" fontId="22" fillId="0" borderId="0"/>
    <xf numFmtId="172" fontId="22" fillId="0" borderId="0"/>
    <xf numFmtId="169" fontId="22" fillId="0" borderId="0"/>
    <xf numFmtId="172" fontId="23" fillId="0" borderId="0"/>
    <xf numFmtId="172" fontId="22" fillId="0" borderId="0"/>
    <xf numFmtId="172" fontId="22" fillId="0" borderId="0"/>
    <xf numFmtId="172" fontId="22" fillId="0" borderId="0"/>
    <xf numFmtId="169" fontId="23" fillId="0" borderId="0"/>
    <xf numFmtId="169" fontId="22" fillId="0" borderId="0"/>
    <xf numFmtId="169" fontId="22" fillId="0" borderId="0"/>
    <xf numFmtId="172" fontId="22" fillId="0" borderId="0"/>
    <xf numFmtId="169" fontId="22" fillId="0" borderId="0"/>
    <xf numFmtId="176" fontId="22" fillId="0" borderId="0"/>
    <xf numFmtId="176" fontId="22" fillId="0" borderId="0"/>
    <xf numFmtId="176" fontId="22" fillId="0" borderId="0"/>
    <xf numFmtId="169" fontId="22" fillId="0" borderId="0"/>
    <xf numFmtId="176" fontId="22" fillId="0" borderId="0"/>
    <xf numFmtId="176" fontId="22" fillId="0" borderId="0"/>
    <xf numFmtId="178" fontId="22" fillId="0" borderId="0"/>
    <xf numFmtId="169" fontId="22" fillId="0" borderId="0"/>
    <xf numFmtId="176" fontId="22" fillId="0" borderId="0"/>
    <xf numFmtId="169" fontId="22" fillId="0" borderId="0"/>
    <xf numFmtId="176" fontId="22" fillId="0" borderId="0"/>
    <xf numFmtId="169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2" fontId="22" fillId="0" borderId="0"/>
    <xf numFmtId="170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0" fontId="22" fillId="0" borderId="0"/>
    <xf numFmtId="177" fontId="22" fillId="0" borderId="0"/>
    <xf numFmtId="170" fontId="22" fillId="0" borderId="0"/>
    <xf numFmtId="170" fontId="22" fillId="0" borderId="0"/>
    <xf numFmtId="177" fontId="22" fillId="0" borderId="0"/>
    <xf numFmtId="177" fontId="22" fillId="0" borderId="0"/>
    <xf numFmtId="170" fontId="22" fillId="0" borderId="0"/>
    <xf numFmtId="177" fontId="40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64" fillId="0" borderId="0"/>
    <xf numFmtId="170" fontId="23" fillId="0" borderId="0"/>
    <xf numFmtId="170" fontId="22" fillId="0" borderId="0"/>
    <xf numFmtId="170" fontId="22" fillId="0" borderId="0"/>
    <xf numFmtId="170" fontId="22" fillId="0" borderId="0"/>
    <xf numFmtId="170" fontId="23" fillId="0" borderId="0"/>
    <xf numFmtId="170" fontId="22" fillId="0" borderId="0"/>
    <xf numFmtId="170" fontId="22" fillId="0" borderId="0"/>
    <xf numFmtId="170" fontId="22" fillId="0" borderId="0"/>
    <xf numFmtId="170" fontId="23" fillId="0" borderId="0"/>
    <xf numFmtId="170" fontId="22" fillId="0" borderId="0"/>
    <xf numFmtId="170" fontId="22" fillId="0" borderId="0"/>
    <xf numFmtId="170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0" fontId="22" fillId="0" borderId="0"/>
    <xf numFmtId="177" fontId="22" fillId="0" borderId="0"/>
    <xf numFmtId="170" fontId="22" fillId="0" borderId="0"/>
    <xf numFmtId="177" fontId="22" fillId="0" borderId="0"/>
    <xf numFmtId="170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38" fontId="21" fillId="4" borderId="0" applyNumberFormat="0" applyBorder="0" applyAlignment="0" applyProtection="0"/>
    <xf numFmtId="0" fontId="51" fillId="0" borderId="1" applyNumberFormat="0" applyAlignment="0" applyProtection="0">
      <alignment horizontal="left" vertical="center"/>
    </xf>
    <xf numFmtId="0" fontId="51" fillId="0" borderId="2">
      <alignment horizontal="left" vertical="center"/>
    </xf>
    <xf numFmtId="10" fontId="21" fillId="5" borderId="3" applyNumberFormat="0" applyBorder="0" applyAlignment="0" applyProtection="0"/>
    <xf numFmtId="38" fontId="50" fillId="0" borderId="0">
      <alignment horizontal="left" wrapText="1"/>
    </xf>
    <xf numFmtId="38" fontId="52" fillId="0" borderId="0">
      <alignment horizontal="left" wrapText="1"/>
    </xf>
    <xf numFmtId="184" fontId="32" fillId="0" borderId="0" applyFill="0" applyBorder="0" applyAlignment="0"/>
    <xf numFmtId="184" fontId="32" fillId="0" borderId="0"/>
    <xf numFmtId="0" fontId="22" fillId="0" borderId="0"/>
    <xf numFmtId="0" fontId="2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2" fillId="0" borderId="0"/>
    <xf numFmtId="0" fontId="22" fillId="0" borderId="0"/>
    <xf numFmtId="0" fontId="73" fillId="0" borderId="0"/>
    <xf numFmtId="0" fontId="22" fillId="0" borderId="0"/>
    <xf numFmtId="0" fontId="73" fillId="0" borderId="0"/>
    <xf numFmtId="0" fontId="73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6" fillId="0" borderId="0"/>
    <xf numFmtId="0" fontId="1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3" fillId="0" borderId="0"/>
    <xf numFmtId="0" fontId="73" fillId="0" borderId="0"/>
    <xf numFmtId="0" fontId="13" fillId="0" borderId="0"/>
    <xf numFmtId="0" fontId="13" fillId="0" borderId="0"/>
    <xf numFmtId="0" fontId="73" fillId="0" borderId="0"/>
    <xf numFmtId="0" fontId="73" fillId="0" borderId="0"/>
    <xf numFmtId="0" fontId="22" fillId="0" borderId="0"/>
    <xf numFmtId="0" fontId="73" fillId="0" borderId="0"/>
    <xf numFmtId="0" fontId="13" fillId="0" borderId="0"/>
    <xf numFmtId="0" fontId="73" fillId="0" borderId="0"/>
    <xf numFmtId="0" fontId="13" fillId="0" borderId="0"/>
    <xf numFmtId="0" fontId="13" fillId="0" borderId="0"/>
    <xf numFmtId="0" fontId="73" fillId="0" borderId="0"/>
    <xf numFmtId="0" fontId="13" fillId="0" borderId="0"/>
    <xf numFmtId="0" fontId="73" fillId="0" borderId="0"/>
    <xf numFmtId="0" fontId="74" fillId="0" borderId="0"/>
    <xf numFmtId="0" fontId="73" fillId="0" borderId="0"/>
    <xf numFmtId="0" fontId="13" fillId="0" borderId="0"/>
    <xf numFmtId="0" fontId="7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0" fillId="0" borderId="0"/>
    <xf numFmtId="0" fontId="2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2" fillId="0" borderId="0"/>
    <xf numFmtId="0" fontId="73" fillId="0" borderId="0"/>
    <xf numFmtId="0" fontId="22" fillId="0" borderId="0"/>
    <xf numFmtId="0" fontId="73" fillId="0" borderId="0"/>
    <xf numFmtId="0" fontId="73" fillId="0" borderId="0"/>
    <xf numFmtId="0" fontId="73" fillId="0" borderId="0"/>
    <xf numFmtId="0" fontId="2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7" fillId="0" borderId="0"/>
    <xf numFmtId="0" fontId="22" fillId="0" borderId="0"/>
    <xf numFmtId="0" fontId="13" fillId="0" borderId="0"/>
    <xf numFmtId="0" fontId="22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8" fillId="0" borderId="0"/>
    <xf numFmtId="0" fontId="13" fillId="0" borderId="0"/>
    <xf numFmtId="0" fontId="72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48" fillId="0" borderId="0"/>
    <xf numFmtId="0" fontId="13" fillId="0" borderId="0"/>
    <xf numFmtId="0" fontId="72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37" fontId="31" fillId="0" borderId="0"/>
    <xf numFmtId="0" fontId="13" fillId="0" borderId="0"/>
    <xf numFmtId="0" fontId="73" fillId="0" borderId="0"/>
    <xf numFmtId="0" fontId="13" fillId="0" borderId="0"/>
    <xf numFmtId="37" fontId="31" fillId="0" borderId="0"/>
    <xf numFmtId="0" fontId="74" fillId="0" borderId="0"/>
    <xf numFmtId="0" fontId="73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4" fillId="0" borderId="0"/>
    <xf numFmtId="0" fontId="1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4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3" fillId="0" borderId="0"/>
    <xf numFmtId="0" fontId="73" fillId="0" borderId="0"/>
    <xf numFmtId="0" fontId="73" fillId="0" borderId="0"/>
    <xf numFmtId="0" fontId="74" fillId="0" borderId="0"/>
    <xf numFmtId="0" fontId="22" fillId="0" borderId="0"/>
    <xf numFmtId="0" fontId="7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2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37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37" fontId="31" fillId="0" borderId="0"/>
    <xf numFmtId="0" fontId="74" fillId="0" borderId="0"/>
    <xf numFmtId="0" fontId="13" fillId="0" borderId="0"/>
    <xf numFmtId="0" fontId="73" fillId="0" borderId="0"/>
    <xf numFmtId="0" fontId="74" fillId="0" borderId="0"/>
    <xf numFmtId="0" fontId="73" fillId="0" borderId="0"/>
    <xf numFmtId="0" fontId="22" fillId="0" borderId="0"/>
    <xf numFmtId="0" fontId="74" fillId="0" borderId="0"/>
    <xf numFmtId="0" fontId="73" fillId="0" borderId="0"/>
    <xf numFmtId="0" fontId="74" fillId="0" borderId="0"/>
    <xf numFmtId="0" fontId="73" fillId="0" borderId="0"/>
    <xf numFmtId="0" fontId="13" fillId="0" borderId="0"/>
    <xf numFmtId="0" fontId="13" fillId="0" borderId="0"/>
    <xf numFmtId="0" fontId="53" fillId="0" borderId="0"/>
    <xf numFmtId="0" fontId="22" fillId="0" borderId="0"/>
    <xf numFmtId="0" fontId="53" fillId="0" borderId="0"/>
    <xf numFmtId="0" fontId="22" fillId="0" borderId="0"/>
    <xf numFmtId="0" fontId="13" fillId="0" borderId="0"/>
    <xf numFmtId="0" fontId="22" fillId="0" borderId="0"/>
    <xf numFmtId="37" fontId="31" fillId="0" borderId="0"/>
    <xf numFmtId="0" fontId="13" fillId="0" borderId="0"/>
    <xf numFmtId="0" fontId="13" fillId="0" borderId="0"/>
    <xf numFmtId="0" fontId="73" fillId="0" borderId="0"/>
    <xf numFmtId="0" fontId="74" fillId="0" borderId="0"/>
    <xf numFmtId="0" fontId="73" fillId="0" borderId="0"/>
    <xf numFmtId="0" fontId="74" fillId="0" borderId="0"/>
    <xf numFmtId="0" fontId="13" fillId="0" borderId="0"/>
    <xf numFmtId="0" fontId="74" fillId="0" borderId="0"/>
    <xf numFmtId="0" fontId="73" fillId="0" borderId="0"/>
    <xf numFmtId="0" fontId="64" fillId="0" borderId="0"/>
    <xf numFmtId="0" fontId="64" fillId="0" borderId="0"/>
    <xf numFmtId="0" fontId="73" fillId="0" borderId="0"/>
    <xf numFmtId="0" fontId="73" fillId="0" borderId="0"/>
    <xf numFmtId="0" fontId="13" fillId="0" borderId="0"/>
    <xf numFmtId="0" fontId="22" fillId="0" borderId="0"/>
    <xf numFmtId="37" fontId="31" fillId="0" borderId="0"/>
    <xf numFmtId="0" fontId="13" fillId="0" borderId="0"/>
    <xf numFmtId="0" fontId="22" fillId="0" borderId="0"/>
    <xf numFmtId="0" fontId="22" fillId="0" borderId="0"/>
    <xf numFmtId="37" fontId="31" fillId="0" borderId="0"/>
    <xf numFmtId="0" fontId="22" fillId="0" borderId="0"/>
    <xf numFmtId="37" fontId="31" fillId="0" borderId="0"/>
    <xf numFmtId="0" fontId="22" fillId="0" borderId="0"/>
    <xf numFmtId="37" fontId="31" fillId="0" borderId="0"/>
    <xf numFmtId="0" fontId="22" fillId="0" borderId="0"/>
    <xf numFmtId="0" fontId="55" fillId="0" borderId="0"/>
    <xf numFmtId="0" fontId="55" fillId="0" borderId="0"/>
    <xf numFmtId="0" fontId="13" fillId="0" borderId="0"/>
    <xf numFmtId="0" fontId="55" fillId="0" borderId="0"/>
    <xf numFmtId="0" fontId="22" fillId="0" borderId="0"/>
    <xf numFmtId="0" fontId="55" fillId="0" borderId="0"/>
    <xf numFmtId="0" fontId="13" fillId="0" borderId="0"/>
    <xf numFmtId="0" fontId="13" fillId="0" borderId="0"/>
    <xf numFmtId="0" fontId="13" fillId="0" borderId="0"/>
    <xf numFmtId="37" fontId="31" fillId="0" borderId="0"/>
    <xf numFmtId="0" fontId="22" fillId="0" borderId="0"/>
    <xf numFmtId="37" fontId="31" fillId="0" borderId="0"/>
    <xf numFmtId="0" fontId="22" fillId="0" borderId="0"/>
    <xf numFmtId="37" fontId="31" fillId="0" borderId="0"/>
    <xf numFmtId="0" fontId="74" fillId="0" borderId="0"/>
    <xf numFmtId="37" fontId="31" fillId="0" borderId="0"/>
    <xf numFmtId="0" fontId="73" fillId="0" borderId="0"/>
    <xf numFmtId="0" fontId="74" fillId="0" borderId="0"/>
    <xf numFmtId="37" fontId="31" fillId="0" borderId="0"/>
    <xf numFmtId="0" fontId="73" fillId="0" borderId="0"/>
    <xf numFmtId="0" fontId="74" fillId="0" borderId="0"/>
    <xf numFmtId="37" fontId="31" fillId="0" borderId="0"/>
    <xf numFmtId="0" fontId="73" fillId="0" borderId="0"/>
    <xf numFmtId="0" fontId="74" fillId="0" borderId="0"/>
    <xf numFmtId="37" fontId="31" fillId="0" borderId="0"/>
    <xf numFmtId="0" fontId="73" fillId="0" borderId="0"/>
    <xf numFmtId="0" fontId="13" fillId="0" borderId="0"/>
    <xf numFmtId="0" fontId="13" fillId="0" borderId="0"/>
    <xf numFmtId="37" fontId="31" fillId="0" borderId="0"/>
    <xf numFmtId="0" fontId="73" fillId="0" borderId="0"/>
    <xf numFmtId="0" fontId="22" fillId="0" borderId="0"/>
    <xf numFmtId="0" fontId="22" fillId="0" borderId="0"/>
    <xf numFmtId="0" fontId="73" fillId="0" borderId="0"/>
    <xf numFmtId="0" fontId="22" fillId="0" borderId="0"/>
    <xf numFmtId="0" fontId="22" fillId="0" borderId="0"/>
    <xf numFmtId="0" fontId="13" fillId="0" borderId="0"/>
    <xf numFmtId="0" fontId="22" fillId="0" borderId="0"/>
    <xf numFmtId="0" fontId="22" fillId="0" borderId="0"/>
    <xf numFmtId="0" fontId="1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4" fillId="0" borderId="0"/>
    <xf numFmtId="0" fontId="22" fillId="0" borderId="0"/>
    <xf numFmtId="0" fontId="22" fillId="0" borderId="0"/>
    <xf numFmtId="0" fontId="73" fillId="0" borderId="0"/>
    <xf numFmtId="0" fontId="22" fillId="0" borderId="0"/>
    <xf numFmtId="0" fontId="22" fillId="0" borderId="0"/>
    <xf numFmtId="0" fontId="73" fillId="0" borderId="0"/>
    <xf numFmtId="0" fontId="22" fillId="0" borderId="0"/>
    <xf numFmtId="0" fontId="22" fillId="0" borderId="0"/>
    <xf numFmtId="0" fontId="73" fillId="0" borderId="0"/>
    <xf numFmtId="0" fontId="22" fillId="0" borderId="0"/>
    <xf numFmtId="0" fontId="22" fillId="0" borderId="0"/>
    <xf numFmtId="0" fontId="73" fillId="0" borderId="0"/>
    <xf numFmtId="0" fontId="22" fillId="0" borderId="0"/>
    <xf numFmtId="0" fontId="22" fillId="0" borderId="0"/>
    <xf numFmtId="0" fontId="73" fillId="0" borderId="0"/>
    <xf numFmtId="0" fontId="22" fillId="0" borderId="0"/>
    <xf numFmtId="0" fontId="22" fillId="0" borderId="0"/>
    <xf numFmtId="0" fontId="73" fillId="0" borderId="0"/>
    <xf numFmtId="0" fontId="22" fillId="0" borderId="0"/>
    <xf numFmtId="0" fontId="22" fillId="0" borderId="0"/>
    <xf numFmtId="0" fontId="13" fillId="0" borderId="0"/>
    <xf numFmtId="0" fontId="22" fillId="0" borderId="0"/>
    <xf numFmtId="0" fontId="22" fillId="0" borderId="0"/>
    <xf numFmtId="0" fontId="13" fillId="0" borderId="0"/>
    <xf numFmtId="0" fontId="22" fillId="0" borderId="0"/>
    <xf numFmtId="0" fontId="22" fillId="0" borderId="0"/>
    <xf numFmtId="0" fontId="74" fillId="0" borderId="0"/>
    <xf numFmtId="37" fontId="31" fillId="0" borderId="0"/>
    <xf numFmtId="37" fontId="31" fillId="0" borderId="0"/>
    <xf numFmtId="0" fontId="22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22" fillId="0" borderId="0"/>
    <xf numFmtId="0" fontId="73" fillId="0" borderId="0"/>
    <xf numFmtId="0" fontId="22" fillId="0" borderId="0"/>
    <xf numFmtId="0" fontId="73" fillId="0" borderId="0"/>
    <xf numFmtId="0" fontId="22" fillId="0" borderId="0"/>
    <xf numFmtId="0" fontId="13" fillId="0" borderId="0"/>
    <xf numFmtId="0" fontId="1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2" fillId="0" borderId="0"/>
    <xf numFmtId="0" fontId="72" fillId="0" borderId="0"/>
    <xf numFmtId="0" fontId="2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2" fillId="0" borderId="0"/>
    <xf numFmtId="0" fontId="73" fillId="0" borderId="0"/>
    <xf numFmtId="0" fontId="73" fillId="0" borderId="0"/>
    <xf numFmtId="0" fontId="74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22" fillId="0" borderId="0"/>
    <xf numFmtId="0" fontId="22" fillId="0" borderId="0"/>
    <xf numFmtId="0" fontId="13" fillId="0" borderId="0"/>
    <xf numFmtId="0" fontId="22" fillId="0" borderId="0"/>
    <xf numFmtId="0" fontId="22" fillId="0" borderId="0"/>
    <xf numFmtId="0" fontId="13" fillId="0" borderId="0"/>
    <xf numFmtId="0" fontId="22" fillId="0" borderId="0"/>
    <xf numFmtId="0" fontId="22" fillId="0" borderId="0"/>
    <xf numFmtId="0" fontId="73" fillId="0" borderId="0"/>
    <xf numFmtId="0" fontId="22" fillId="0" borderId="0"/>
    <xf numFmtId="0" fontId="22" fillId="0" borderId="0"/>
    <xf numFmtId="0" fontId="7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7" fillId="0" borderId="0"/>
    <xf numFmtId="0" fontId="22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8" fillId="0" borderId="0"/>
    <xf numFmtId="0" fontId="22" fillId="0" borderId="0"/>
    <xf numFmtId="0" fontId="22" fillId="0" borderId="0"/>
    <xf numFmtId="0" fontId="2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2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2" fillId="0" borderId="0"/>
    <xf numFmtId="0" fontId="73" fillId="0" borderId="0"/>
    <xf numFmtId="0" fontId="2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3" fillId="0" borderId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33" fillId="0" borderId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33" fillId="0" borderId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3" fillId="0" borderId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33" fillId="0" borderId="0"/>
    <xf numFmtId="9" fontId="1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3" fillId="0" borderId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184" fontId="32" fillId="0" borderId="0" applyFill="0" applyBorder="0" applyAlignment="0"/>
    <xf numFmtId="0" fontId="15" fillId="0" borderId="0" applyNumberFormat="0" applyBorder="0" applyAlignment="0"/>
    <xf numFmtId="0" fontId="22" fillId="0" borderId="0"/>
    <xf numFmtId="0" fontId="22" fillId="0" borderId="0"/>
    <xf numFmtId="0" fontId="22" fillId="0" borderId="0"/>
    <xf numFmtId="0" fontId="15" fillId="0" borderId="0" applyNumberFormat="0" applyBorder="0" applyAlignment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5" fillId="0" borderId="0" applyNumberFormat="0" applyBorder="0" applyAlignment="0"/>
    <xf numFmtId="0" fontId="22" fillId="0" borderId="0"/>
    <xf numFmtId="0" fontId="15" fillId="0" borderId="0" applyNumberFormat="0" applyBorder="0" applyAlignment="0"/>
    <xf numFmtId="0" fontId="22" fillId="0" borderId="0"/>
    <xf numFmtId="0" fontId="15" fillId="0" borderId="0" applyNumberFormat="0" applyBorder="0" applyAlignment="0"/>
    <xf numFmtId="0" fontId="22" fillId="0" borderId="0"/>
    <xf numFmtId="0" fontId="22" fillId="0" borderId="0"/>
    <xf numFmtId="0" fontId="22" fillId="0" borderId="0"/>
    <xf numFmtId="0" fontId="15" fillId="0" borderId="0" applyNumberFormat="0" applyBorder="0" applyAlignment="0"/>
    <xf numFmtId="0" fontId="15" fillId="0" borderId="0" applyNumberFormat="0" applyBorder="0" applyAlignment="0"/>
    <xf numFmtId="0" fontId="22" fillId="0" borderId="0"/>
    <xf numFmtId="0" fontId="22" fillId="0" borderId="0"/>
    <xf numFmtId="0" fontId="22" fillId="0" borderId="0"/>
    <xf numFmtId="0" fontId="15" fillId="0" borderId="0" applyNumberFormat="0" applyBorder="0" applyAlignment="0"/>
    <xf numFmtId="0" fontId="15" fillId="0" borderId="0" applyNumberFormat="0" applyBorder="0" applyAlignment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4" fillId="0" borderId="0" applyNumberFormat="0" applyBorder="0" applyAlignment="0"/>
    <xf numFmtId="0" fontId="24" fillId="0" borderId="0"/>
    <xf numFmtId="0" fontId="24" fillId="0" borderId="0"/>
    <xf numFmtId="0" fontId="6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4" fillId="0" borderId="0" applyNumberFormat="0" applyBorder="0" applyAlignment="0"/>
    <xf numFmtId="0" fontId="24" fillId="0" borderId="0"/>
    <xf numFmtId="0" fontId="14" fillId="0" borderId="0" applyNumberFormat="0" applyBorder="0" applyAlignment="0"/>
    <xf numFmtId="0" fontId="24" fillId="0" borderId="0"/>
    <xf numFmtId="0" fontId="14" fillId="0" borderId="0" applyNumberFormat="0" applyBorder="0" applyAlignment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4" fillId="0" borderId="0" applyNumberFormat="0" applyBorder="0" applyAlignment="0"/>
    <xf numFmtId="0" fontId="24" fillId="0" borderId="0"/>
    <xf numFmtId="0" fontId="14" fillId="0" borderId="0" applyNumberFormat="0" applyBorder="0" applyAlignment="0"/>
    <xf numFmtId="0" fontId="14" fillId="0" borderId="0" applyNumberFormat="0" applyBorder="0" applyAlignment="0"/>
    <xf numFmtId="0" fontId="24" fillId="0" borderId="0"/>
    <xf numFmtId="0" fontId="24" fillId="0" borderId="0"/>
    <xf numFmtId="0" fontId="14" fillId="0" borderId="0" applyNumberFormat="0" applyBorder="0" applyAlignment="0"/>
    <xf numFmtId="0" fontId="4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" fillId="0" borderId="0" applyNumberFormat="0" applyBorder="0" applyAlignment="0"/>
    <xf numFmtId="0" fontId="25" fillId="0" borderId="0"/>
    <xf numFmtId="0" fontId="25" fillId="0" borderId="0"/>
    <xf numFmtId="0" fontId="6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" fillId="0" borderId="0" applyNumberFormat="0" applyBorder="0" applyAlignment="0"/>
    <xf numFmtId="0" fontId="25" fillId="0" borderId="0"/>
    <xf numFmtId="0" fontId="16" fillId="0" borderId="0" applyNumberFormat="0" applyBorder="0" applyAlignment="0"/>
    <xf numFmtId="0" fontId="25" fillId="0" borderId="0"/>
    <xf numFmtId="0" fontId="16" fillId="0" borderId="0" applyNumberFormat="0" applyBorder="0" applyAlignment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16" fillId="0" borderId="0" applyNumberFormat="0" applyBorder="0" applyAlignment="0"/>
    <xf numFmtId="0" fontId="25" fillId="0" borderId="0"/>
    <xf numFmtId="0" fontId="16" fillId="0" borderId="0" applyNumberFormat="0" applyBorder="0" applyAlignment="0"/>
    <xf numFmtId="0" fontId="16" fillId="0" borderId="0" applyNumberFormat="0" applyBorder="0" applyAlignment="0"/>
    <xf numFmtId="0" fontId="25" fillId="0" borderId="0"/>
    <xf numFmtId="0" fontId="25" fillId="0" borderId="0"/>
    <xf numFmtId="0" fontId="16" fillId="0" borderId="0" applyNumberFormat="0" applyBorder="0" applyAlignment="0"/>
    <xf numFmtId="0" fontId="4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0" borderId="0" applyNumberFormat="0" applyBorder="0" applyAlignment="0"/>
    <xf numFmtId="0" fontId="43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6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17" fillId="0" borderId="0" applyNumberFormat="0" applyBorder="0" applyAlignment="0"/>
    <xf numFmtId="0" fontId="34" fillId="0" borderId="0"/>
    <xf numFmtId="0" fontId="17" fillId="0" borderId="0" applyNumberFormat="0" applyBorder="0" applyAlignment="0"/>
    <xf numFmtId="0" fontId="34" fillId="0" borderId="0"/>
    <xf numFmtId="0" fontId="34" fillId="0" borderId="0"/>
    <xf numFmtId="0" fontId="34" fillId="0" borderId="0"/>
    <xf numFmtId="0" fontId="17" fillId="0" borderId="0" applyNumberFormat="0" applyBorder="0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17" fillId="0" borderId="0" applyNumberFormat="0" applyBorder="0" applyAlignment="0"/>
    <xf numFmtId="0" fontId="17" fillId="0" borderId="0" applyNumberFormat="0" applyBorder="0" applyAlignment="0"/>
    <xf numFmtId="0" fontId="26" fillId="0" borderId="0"/>
    <xf numFmtId="0" fontId="28" fillId="3" borderId="0"/>
    <xf numFmtId="0" fontId="18" fillId="0" borderId="0" applyNumberFormat="0" applyBorder="0" applyAlignment="0"/>
    <xf numFmtId="0" fontId="44" fillId="0" borderId="0"/>
    <xf numFmtId="0" fontId="34" fillId="0" borderId="0"/>
    <xf numFmtId="0" fontId="34" fillId="0" borderId="0"/>
    <xf numFmtId="0" fontId="34" fillId="0" borderId="0"/>
    <xf numFmtId="0" fontId="49" fillId="3" borderId="0"/>
    <xf numFmtId="0" fontId="29" fillId="0" borderId="0"/>
    <xf numFmtId="0" fontId="29" fillId="0" borderId="0"/>
    <xf numFmtId="0" fontId="22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7" fillId="0" borderId="0"/>
    <xf numFmtId="0" fontId="49" fillId="3" borderId="0"/>
    <xf numFmtId="0" fontId="49" fillId="3" borderId="0"/>
    <xf numFmtId="0" fontId="28" fillId="0" borderId="0"/>
    <xf numFmtId="0" fontId="28" fillId="0" borderId="0"/>
    <xf numFmtId="0" fontId="34" fillId="0" borderId="0"/>
    <xf numFmtId="0" fontId="34" fillId="0" borderId="0"/>
    <xf numFmtId="0" fontId="67" fillId="0" borderId="0"/>
    <xf numFmtId="0" fontId="27" fillId="0" borderId="0"/>
    <xf numFmtId="0" fontId="22" fillId="0" borderId="0"/>
    <xf numFmtId="0" fontId="28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3" borderId="0"/>
    <xf numFmtId="0" fontId="22" fillId="0" borderId="0"/>
    <xf numFmtId="0" fontId="26" fillId="0" borderId="0"/>
    <xf numFmtId="0" fontId="28" fillId="3" borderId="0"/>
    <xf numFmtId="0" fontId="18" fillId="0" borderId="0" applyNumberFormat="0" applyBorder="0" applyAlignment="0"/>
    <xf numFmtId="0" fontId="26" fillId="0" borderId="0"/>
    <xf numFmtId="0" fontId="18" fillId="0" borderId="0" applyNumberFormat="0" applyBorder="0" applyAlignment="0"/>
    <xf numFmtId="0" fontId="26" fillId="0" borderId="0"/>
    <xf numFmtId="0" fontId="18" fillId="0" borderId="0" applyNumberFormat="0" applyBorder="0" applyAlignment="0"/>
    <xf numFmtId="0" fontId="26" fillId="0" borderId="0"/>
    <xf numFmtId="0" fontId="34" fillId="0" borderId="0"/>
    <xf numFmtId="0" fontId="34" fillId="0" borderId="0"/>
    <xf numFmtId="0" fontId="35" fillId="3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7" fillId="0" borderId="0"/>
    <xf numFmtId="0" fontId="27" fillId="0" borderId="0"/>
    <xf numFmtId="0" fontId="34" fillId="0" borderId="0"/>
    <xf numFmtId="0" fontId="18" fillId="0" borderId="0" applyNumberFormat="0" applyBorder="0" applyAlignment="0"/>
    <xf numFmtId="0" fontId="18" fillId="0" borderId="0" applyNumberFormat="0" applyBorder="0" applyAlignment="0"/>
    <xf numFmtId="0" fontId="49" fillId="3" borderId="0"/>
    <xf numFmtId="0" fontId="26" fillId="0" borderId="0"/>
    <xf numFmtId="0" fontId="18" fillId="0" borderId="0" applyNumberFormat="0" applyBorder="0" applyAlignment="0"/>
    <xf numFmtId="0" fontId="40" fillId="3" borderId="0"/>
    <xf numFmtId="0" fontId="22" fillId="3" borderId="0"/>
    <xf numFmtId="0" fontId="22" fillId="3" borderId="0"/>
    <xf numFmtId="0" fontId="22" fillId="3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2" borderId="0"/>
    <xf numFmtId="0" fontId="22" fillId="2" borderId="0"/>
    <xf numFmtId="0" fontId="26" fillId="0" borderId="0"/>
    <xf numFmtId="0" fontId="26" fillId="0" borderId="0"/>
    <xf numFmtId="0" fontId="22" fillId="3" borderId="0"/>
    <xf numFmtId="0" fontId="22" fillId="3" borderId="0"/>
    <xf numFmtId="0" fontId="68" fillId="0" borderId="0"/>
    <xf numFmtId="0" fontId="28" fillId="0" borderId="0"/>
    <xf numFmtId="0" fontId="34" fillId="0" borderId="0"/>
    <xf numFmtId="0" fontId="30" fillId="0" borderId="0"/>
    <xf numFmtId="0" fontId="34" fillId="0" borderId="0"/>
    <xf numFmtId="0" fontId="35" fillId="3" borderId="0"/>
    <xf numFmtId="0" fontId="34" fillId="0" borderId="0"/>
    <xf numFmtId="0" fontId="35" fillId="3" borderId="0"/>
    <xf numFmtId="0" fontId="35" fillId="3" borderId="0"/>
    <xf numFmtId="0" fontId="34" fillId="0" borderId="0"/>
    <xf numFmtId="0" fontId="18" fillId="0" borderId="0" applyNumberFormat="0" applyBorder="0" applyAlignment="0"/>
    <xf numFmtId="0" fontId="35" fillId="3" borderId="0"/>
    <xf numFmtId="0" fontId="18" fillId="0" borderId="0" applyNumberFormat="0" applyBorder="0" applyAlignment="0"/>
    <xf numFmtId="0" fontId="35" fillId="3" borderId="0"/>
    <xf numFmtId="0" fontId="18" fillId="0" borderId="0" applyNumberFormat="0" applyBorder="0" applyAlignment="0"/>
    <xf numFmtId="0" fontId="35" fillId="3" borderId="0"/>
    <xf numFmtId="0" fontId="22" fillId="3" borderId="0"/>
    <xf numFmtId="0" fontId="22" fillId="3" borderId="0"/>
    <xf numFmtId="0" fontId="35" fillId="3" borderId="0"/>
    <xf numFmtId="0" fontId="28" fillId="0" borderId="0"/>
    <xf numFmtId="0" fontId="22" fillId="3" borderId="0"/>
    <xf numFmtId="0" fontId="22" fillId="3" borderId="0"/>
    <xf numFmtId="0" fontId="22" fillId="2" borderId="0"/>
    <xf numFmtId="0" fontId="18" fillId="0" borderId="0" applyNumberFormat="0" applyBorder="0" applyAlignment="0"/>
    <xf numFmtId="0" fontId="18" fillId="0" borderId="0" applyNumberFormat="0" applyBorder="0" applyAlignment="0"/>
    <xf numFmtId="0" fontId="22" fillId="2" borderId="0"/>
    <xf numFmtId="0" fontId="30" fillId="0" borderId="0"/>
    <xf numFmtId="0" fontId="17" fillId="0" borderId="0" applyNumberFormat="0" applyBorder="0" applyAlignment="0"/>
    <xf numFmtId="0" fontId="69" fillId="3" borderId="0"/>
    <xf numFmtId="0" fontId="26" fillId="0" borderId="0"/>
    <xf numFmtId="0" fontId="71" fillId="0" borderId="0"/>
    <xf numFmtId="0" fontId="35" fillId="2" borderId="0"/>
    <xf numFmtId="0" fontId="35" fillId="2" borderId="0"/>
    <xf numFmtId="0" fontId="30" fillId="0" borderId="0"/>
    <xf numFmtId="0" fontId="71" fillId="0" borderId="0"/>
    <xf numFmtId="0" fontId="35" fillId="2" borderId="0"/>
    <xf numFmtId="0" fontId="35" fillId="2" borderId="0"/>
    <xf numFmtId="0" fontId="35" fillId="2" borderId="0"/>
    <xf numFmtId="0" fontId="49" fillId="3" borderId="0"/>
    <xf numFmtId="0" fontId="71" fillId="0" borderId="0"/>
    <xf numFmtId="0" fontId="17" fillId="0" borderId="0" applyNumberFormat="0" applyBorder="0" applyAlignment="0"/>
    <xf numFmtId="0" fontId="17" fillId="0" borderId="0" applyNumberFormat="0" applyBorder="0" applyAlignment="0"/>
    <xf numFmtId="0" fontId="49" fillId="3" borderId="0"/>
    <xf numFmtId="0" fontId="71" fillId="0" borderId="0"/>
    <xf numFmtId="0" fontId="45" fillId="2" borderId="0"/>
    <xf numFmtId="0" fontId="35" fillId="2" borderId="0"/>
    <xf numFmtId="0" fontId="35" fillId="2" borderId="0"/>
    <xf numFmtId="0" fontId="35" fillId="2" borderId="0"/>
    <xf numFmtId="0" fontId="49" fillId="3" borderId="0"/>
    <xf numFmtId="0" fontId="30" fillId="0" borderId="0"/>
    <xf numFmtId="0" fontId="30" fillId="0" borderId="0"/>
    <xf numFmtId="0" fontId="35" fillId="2" borderId="0"/>
    <xf numFmtId="0" fontId="35" fillId="2" borderId="0"/>
    <xf numFmtId="0" fontId="54" fillId="0" borderId="0"/>
    <xf numFmtId="0" fontId="26" fillId="0" borderId="0"/>
    <xf numFmtId="0" fontId="28" fillId="3" borderId="0"/>
    <xf numFmtId="0" fontId="28" fillId="3" borderId="0"/>
    <xf numFmtId="0" fontId="28" fillId="3" borderId="0"/>
    <xf numFmtId="0" fontId="28" fillId="3" borderId="0"/>
    <xf numFmtId="0" fontId="28" fillId="2" borderId="0"/>
    <xf numFmtId="0" fontId="28" fillId="2" borderId="0"/>
    <xf numFmtId="0" fontId="28" fillId="2" borderId="0"/>
    <xf numFmtId="0" fontId="28" fillId="2" borderId="0"/>
    <xf numFmtId="38" fontId="13" fillId="0" borderId="0">
      <alignment horizontal="left" wrapText="1"/>
    </xf>
    <xf numFmtId="38" fontId="13" fillId="0" borderId="0">
      <alignment horizontal="left" wrapText="1"/>
    </xf>
    <xf numFmtId="49" fontId="15" fillId="0" borderId="0" applyFill="0" applyBorder="0" applyAlignment="0"/>
    <xf numFmtId="184" fontId="32" fillId="0" borderId="0" applyFill="0" applyBorder="0" applyAlignment="0"/>
    <xf numFmtId="0" fontId="39" fillId="0" borderId="0" applyFill="0" applyBorder="0" applyProtection="0">
      <alignment horizontal="left" vertical="top"/>
    </xf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64" fillId="0" borderId="0"/>
    <xf numFmtId="0" fontId="75" fillId="0" borderId="0"/>
    <xf numFmtId="44" fontId="13" fillId="0" borderId="0" applyFont="0" applyFill="0" applyBorder="0" applyAlignment="0" applyProtection="0"/>
    <xf numFmtId="168" fontId="22" fillId="0" borderId="0"/>
    <xf numFmtId="169" fontId="22" fillId="0" borderId="0"/>
    <xf numFmtId="170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22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75" fillId="0" borderId="0"/>
    <xf numFmtId="0" fontId="11" fillId="0" borderId="0"/>
    <xf numFmtId="0" fontId="15" fillId="0" borderId="0" applyNumberFormat="0" applyBorder="0" applyAlignment="0"/>
    <xf numFmtId="0" fontId="14" fillId="0" borderId="0" applyNumberFormat="0" applyBorder="0" applyAlignment="0"/>
    <xf numFmtId="0" fontId="16" fillId="0" borderId="0" applyNumberFormat="0" applyBorder="0" applyAlignment="0"/>
    <xf numFmtId="0" fontId="17" fillId="0" borderId="0" applyNumberFormat="0" applyBorder="0" applyAlignment="0"/>
    <xf numFmtId="0" fontId="18" fillId="0" borderId="0" applyNumberFormat="0" applyBorder="0" applyAlignment="0"/>
    <xf numFmtId="0" fontId="18" fillId="0" borderId="0" applyNumberFormat="0" applyBorder="0" applyAlignment="0"/>
    <xf numFmtId="0" fontId="17" fillId="0" borderId="0" applyNumberFormat="0" applyBorder="0" applyAlignment="0"/>
    <xf numFmtId="0" fontId="11" fillId="0" borderId="0"/>
    <xf numFmtId="0" fontId="64" fillId="0" borderId="0"/>
    <xf numFmtId="0" fontId="75" fillId="0" borderId="0"/>
    <xf numFmtId="0" fontId="64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11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11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5" fillId="0" borderId="0"/>
    <xf numFmtId="9" fontId="75" fillId="0" borderId="0" applyFont="0" applyFill="0" applyBorder="0" applyAlignment="0" applyProtection="0"/>
    <xf numFmtId="0" fontId="75" fillId="0" borderId="0"/>
    <xf numFmtId="9" fontId="75" fillId="0" borderId="0" applyFont="0" applyFill="0" applyBorder="0" applyAlignment="0" applyProtection="0"/>
    <xf numFmtId="0" fontId="75" fillId="0" borderId="0"/>
    <xf numFmtId="9" fontId="75" fillId="0" borderId="0" applyFont="0" applyFill="0" applyBorder="0" applyAlignment="0" applyProtection="0"/>
    <xf numFmtId="0" fontId="75" fillId="0" borderId="0"/>
    <xf numFmtId="9" fontId="75" fillId="0" borderId="0" applyFont="0" applyFill="0" applyBorder="0" applyAlignment="0" applyProtection="0"/>
    <xf numFmtId="0" fontId="75" fillId="0" borderId="0"/>
    <xf numFmtId="9" fontId="75" fillId="0" borderId="0" applyFont="0" applyFill="0" applyBorder="0" applyAlignment="0" applyProtection="0"/>
    <xf numFmtId="0" fontId="75" fillId="0" borderId="0"/>
    <xf numFmtId="9" fontId="75" fillId="0" borderId="0" applyFont="0" applyFill="0" applyBorder="0" applyAlignment="0" applyProtection="0"/>
    <xf numFmtId="0" fontId="75" fillId="0" borderId="0"/>
    <xf numFmtId="9" fontId="75" fillId="0" borderId="0" applyFont="0" applyFill="0" applyBorder="0" applyAlignment="0" applyProtection="0"/>
    <xf numFmtId="0" fontId="64" fillId="0" borderId="0"/>
    <xf numFmtId="0" fontId="68" fillId="0" borderId="0"/>
    <xf numFmtId="0" fontId="64" fillId="3" borderId="0"/>
    <xf numFmtId="0" fontId="79" fillId="0" borderId="0"/>
    <xf numFmtId="0" fontId="1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0" fillId="0" borderId="0"/>
    <xf numFmtId="0" fontId="8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175" fontId="83" fillId="0" borderId="0"/>
    <xf numFmtId="0" fontId="81" fillId="0" borderId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5" fontId="22" fillId="0" borderId="0"/>
    <xf numFmtId="176" fontId="22" fillId="0" borderId="0"/>
    <xf numFmtId="177" fontId="2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2" fillId="0" borderId="0"/>
    <xf numFmtId="0" fontId="22" fillId="0" borderId="0"/>
    <xf numFmtId="0" fontId="55" fillId="0" borderId="0"/>
    <xf numFmtId="0" fontId="5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49" fillId="3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2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22" fillId="0" borderId="0"/>
    <xf numFmtId="0" fontId="13" fillId="0" borderId="0"/>
    <xf numFmtId="0" fontId="22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22" fillId="0" borderId="0"/>
    <xf numFmtId="0" fontId="28" fillId="0" borderId="0"/>
    <xf numFmtId="0" fontId="22" fillId="3" borderId="0"/>
    <xf numFmtId="0" fontId="5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5" fontId="22" fillId="0" borderId="0"/>
    <xf numFmtId="176" fontId="22" fillId="0" borderId="0"/>
    <xf numFmtId="177" fontId="22" fillId="0" borderId="0"/>
    <xf numFmtId="0" fontId="22" fillId="0" borderId="0"/>
    <xf numFmtId="0" fontId="22" fillId="0" borderId="0"/>
    <xf numFmtId="0" fontId="13" fillId="0" borderId="0"/>
    <xf numFmtId="0" fontId="22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49" fillId="3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22" fillId="0" borderId="0"/>
    <xf numFmtId="0" fontId="13" fillId="0" borderId="0"/>
    <xf numFmtId="0" fontId="22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22" fillId="0" borderId="0"/>
    <xf numFmtId="0" fontId="28" fillId="0" borderId="0"/>
    <xf numFmtId="0" fontId="22" fillId="3" borderId="0"/>
    <xf numFmtId="0" fontId="5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3" fillId="0" borderId="0"/>
    <xf numFmtId="175" fontId="83" fillId="0" borderId="0"/>
    <xf numFmtId="176" fontId="83" fillId="0" borderId="0"/>
    <xf numFmtId="177" fontId="83" fillId="0" borderId="0"/>
    <xf numFmtId="0" fontId="83" fillId="0" borderId="0"/>
    <xf numFmtId="0" fontId="82" fillId="0" borderId="0"/>
    <xf numFmtId="0" fontId="84" fillId="0" borderId="0"/>
    <xf numFmtId="0" fontId="85" fillId="0" borderId="0"/>
    <xf numFmtId="0" fontId="86" fillId="0" borderId="0"/>
    <xf numFmtId="0" fontId="87" fillId="3" borderId="0"/>
    <xf numFmtId="0" fontId="88" fillId="3" borderId="0"/>
    <xf numFmtId="0" fontId="83" fillId="0" borderId="0"/>
    <xf numFmtId="175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0" fontId="83" fillId="0" borderId="0"/>
    <xf numFmtId="175" fontId="83" fillId="0" borderId="0"/>
    <xf numFmtId="0" fontId="9" fillId="0" borderId="0"/>
    <xf numFmtId="43" fontId="9" fillId="0" borderId="0" applyFont="0" applyFill="0" applyBorder="0" applyAlignment="0" applyProtection="0"/>
    <xf numFmtId="175" fontId="22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175" fontId="22" fillId="0" borderId="0"/>
    <xf numFmtId="0" fontId="22" fillId="0" borderId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3" borderId="0" applyNumberFormat="0" applyBorder="0" applyAlignment="0" applyProtection="0"/>
    <xf numFmtId="0" fontId="70" fillId="13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70" fillId="15" borderId="0" applyNumberFormat="0" applyBorder="0" applyAlignment="0" applyProtection="0"/>
    <xf numFmtId="0" fontId="70" fillId="15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3" borderId="0" applyNumberFormat="0" applyBorder="0" applyAlignment="0" applyProtection="0"/>
    <xf numFmtId="0" fontId="70" fillId="13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186" fontId="13" fillId="0" borderId="0" applyFill="0" applyBorder="0" applyAlignment="0"/>
    <xf numFmtId="186" fontId="13" fillId="0" borderId="0" applyFill="0" applyBorder="0" applyAlignment="0"/>
    <xf numFmtId="186" fontId="13" fillId="0" borderId="0" applyFill="0" applyBorder="0" applyAlignment="0"/>
    <xf numFmtId="186" fontId="13" fillId="0" borderId="0" applyFill="0" applyBorder="0" applyAlignment="0"/>
    <xf numFmtId="186" fontId="13" fillId="0" borderId="0" applyFill="0" applyBorder="0" applyAlignment="0"/>
    <xf numFmtId="186" fontId="13" fillId="0" borderId="0" applyFill="0" applyBorder="0" applyAlignment="0"/>
    <xf numFmtId="186" fontId="13" fillId="0" borderId="0" applyFill="0" applyBorder="0" applyAlignment="0"/>
    <xf numFmtId="186" fontId="13" fillId="0" borderId="0" applyFill="0" applyBorder="0" applyAlignment="0"/>
    <xf numFmtId="186" fontId="13" fillId="0" borderId="0" applyFill="0" applyBorder="0" applyAlignment="0"/>
    <xf numFmtId="186" fontId="13" fillId="0" borderId="0" applyFill="0" applyBorder="0" applyAlignment="0"/>
    <xf numFmtId="186" fontId="13" fillId="0" borderId="0" applyFill="0" applyBorder="0" applyAlignment="0"/>
    <xf numFmtId="183" fontId="15" fillId="0" borderId="0" applyFill="0" applyBorder="0" applyAlignment="0"/>
    <xf numFmtId="186" fontId="13" fillId="0" borderId="0" applyFill="0" applyBorder="0" applyAlignment="0"/>
    <xf numFmtId="182" fontId="13" fillId="0" borderId="0" applyFill="0" applyBorder="0" applyAlignment="0"/>
    <xf numFmtId="182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80" fontId="36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top"/>
    </xf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top"/>
    </xf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top"/>
    </xf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top"/>
    </xf>
    <xf numFmtId="43" fontId="15" fillId="0" borderId="0" applyFont="0" applyFill="0" applyBorder="0" applyAlignment="0" applyProtection="0">
      <alignment vertical="top"/>
    </xf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31" fillId="0" borderId="0" applyFont="0" applyFill="0" applyBorder="0" applyAlignment="0" applyProtection="0"/>
    <xf numFmtId="187" fontId="13" fillId="0" borderId="0" applyFill="0" applyBorder="0" applyAlignment="0"/>
    <xf numFmtId="187" fontId="13" fillId="0" borderId="0" applyFill="0" applyBorder="0" applyAlignment="0"/>
    <xf numFmtId="187" fontId="13" fillId="0" borderId="0" applyFill="0" applyBorder="0" applyAlignment="0"/>
    <xf numFmtId="187" fontId="13" fillId="0" borderId="0" applyFill="0" applyBorder="0" applyAlignment="0"/>
    <xf numFmtId="187" fontId="13" fillId="0" borderId="0" applyFill="0" applyBorder="0" applyAlignment="0"/>
    <xf numFmtId="187" fontId="13" fillId="0" borderId="0" applyFill="0" applyBorder="0" applyAlignment="0"/>
    <xf numFmtId="187" fontId="13" fillId="0" borderId="0" applyFill="0" applyBorder="0" applyAlignment="0"/>
    <xf numFmtId="187" fontId="13" fillId="0" borderId="0" applyFill="0" applyBorder="0" applyAlignment="0"/>
    <xf numFmtId="187" fontId="13" fillId="0" borderId="0" applyFill="0" applyBorder="0" applyAlignment="0"/>
    <xf numFmtId="187" fontId="13" fillId="0" borderId="0" applyFill="0" applyBorder="0" applyAlignment="0"/>
    <xf numFmtId="187" fontId="13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7" fontId="13" fillId="0" borderId="0" applyFill="0" applyBorder="0" applyAlignment="0"/>
    <xf numFmtId="179" fontId="22" fillId="0" borderId="0"/>
    <xf numFmtId="178" fontId="22" fillId="0" borderId="0"/>
    <xf numFmtId="177" fontId="22" fillId="0" borderId="0"/>
    <xf numFmtId="0" fontId="51" fillId="0" borderId="2">
      <alignment horizontal="left" vertical="center"/>
    </xf>
    <xf numFmtId="0" fontId="51" fillId="0" borderId="2">
      <alignment horizontal="left" vertical="center"/>
    </xf>
    <xf numFmtId="0" fontId="51" fillId="0" borderId="2">
      <alignment horizontal="left" vertical="center"/>
    </xf>
    <xf numFmtId="0" fontId="51" fillId="0" borderId="2">
      <alignment horizontal="left" vertical="center"/>
    </xf>
    <xf numFmtId="0" fontId="51" fillId="0" borderId="2">
      <alignment horizontal="left" vertical="center"/>
    </xf>
    <xf numFmtId="0" fontId="51" fillId="0" borderId="2">
      <alignment horizontal="left" vertical="center"/>
    </xf>
    <xf numFmtId="0" fontId="51" fillId="0" borderId="2">
      <alignment horizontal="left" vertical="center"/>
    </xf>
    <xf numFmtId="0" fontId="51" fillId="0" borderId="2">
      <alignment horizontal="left" vertical="center"/>
    </xf>
    <xf numFmtId="0" fontId="51" fillId="0" borderId="2">
      <alignment horizontal="left" vertical="center"/>
    </xf>
    <xf numFmtId="0" fontId="51" fillId="0" borderId="2">
      <alignment horizontal="left" vertical="center"/>
    </xf>
    <xf numFmtId="0" fontId="51" fillId="0" borderId="2">
      <alignment horizontal="left" vertical="center"/>
    </xf>
    <xf numFmtId="0" fontId="51" fillId="0" borderId="2">
      <alignment horizontal="left" vertical="center"/>
    </xf>
    <xf numFmtId="0" fontId="51" fillId="0" borderId="2">
      <alignment horizontal="left" vertical="center"/>
    </xf>
    <xf numFmtId="0" fontId="51" fillId="0" borderId="2">
      <alignment horizontal="left" vertical="center"/>
    </xf>
    <xf numFmtId="0" fontId="51" fillId="0" borderId="2">
      <alignment horizontal="left" vertical="center"/>
    </xf>
    <xf numFmtId="0" fontId="51" fillId="0" borderId="2">
      <alignment horizontal="left" vertical="center"/>
    </xf>
    <xf numFmtId="0" fontId="51" fillId="0" borderId="2">
      <alignment horizontal="left" vertical="center"/>
    </xf>
    <xf numFmtId="0" fontId="51" fillId="0" borderId="2">
      <alignment horizontal="left" vertical="center"/>
    </xf>
    <xf numFmtId="0" fontId="51" fillId="0" borderId="2">
      <alignment horizontal="left" vertical="center"/>
    </xf>
    <xf numFmtId="0" fontId="51" fillId="0" borderId="2">
      <alignment horizontal="left" vertical="center"/>
    </xf>
    <xf numFmtId="10" fontId="21" fillId="5" borderId="3" applyNumberFormat="0" applyBorder="0" applyAlignment="0" applyProtection="0"/>
    <xf numFmtId="10" fontId="21" fillId="5" borderId="3" applyNumberFormat="0" applyBorder="0" applyAlignment="0" applyProtection="0"/>
    <xf numFmtId="10" fontId="21" fillId="5" borderId="3" applyNumberFormat="0" applyBorder="0" applyAlignment="0" applyProtection="0"/>
    <xf numFmtId="10" fontId="21" fillId="5" borderId="3" applyNumberFormat="0" applyBorder="0" applyAlignment="0" applyProtection="0"/>
    <xf numFmtId="10" fontId="21" fillId="5" borderId="3" applyNumberFormat="0" applyBorder="0" applyAlignment="0" applyProtection="0"/>
    <xf numFmtId="10" fontId="21" fillId="5" borderId="3" applyNumberFormat="0" applyBorder="0" applyAlignment="0" applyProtection="0"/>
    <xf numFmtId="10" fontId="21" fillId="5" borderId="3" applyNumberFormat="0" applyBorder="0" applyAlignment="0" applyProtection="0"/>
    <xf numFmtId="10" fontId="21" fillId="5" borderId="3" applyNumberFormat="0" applyBorder="0" applyAlignment="0" applyProtection="0"/>
    <xf numFmtId="10" fontId="21" fillId="5" borderId="3" applyNumberFormat="0" applyBorder="0" applyAlignment="0" applyProtection="0"/>
    <xf numFmtId="10" fontId="21" fillId="5" borderId="3" applyNumberFormat="0" applyBorder="0" applyAlignment="0" applyProtection="0"/>
    <xf numFmtId="10" fontId="21" fillId="5" borderId="3" applyNumberFormat="0" applyBorder="0" applyAlignment="0" applyProtection="0"/>
    <xf numFmtId="187" fontId="13" fillId="0" borderId="0" applyFill="0" applyBorder="0" applyAlignment="0"/>
    <xf numFmtId="187" fontId="13" fillId="0" borderId="0" applyFill="0" applyBorder="0" applyAlignment="0"/>
    <xf numFmtId="187" fontId="13" fillId="0" borderId="0" applyFill="0" applyBorder="0" applyAlignment="0"/>
    <xf numFmtId="187" fontId="13" fillId="0" borderId="0" applyFill="0" applyBorder="0" applyAlignment="0"/>
    <xf numFmtId="187" fontId="13" fillId="0" borderId="0" applyFill="0" applyBorder="0" applyAlignment="0"/>
    <xf numFmtId="187" fontId="13" fillId="0" borderId="0" applyFill="0" applyBorder="0" applyAlignment="0"/>
    <xf numFmtId="187" fontId="13" fillId="0" borderId="0" applyFill="0" applyBorder="0" applyAlignment="0"/>
    <xf numFmtId="187" fontId="13" fillId="0" borderId="0" applyFill="0" applyBorder="0" applyAlignment="0"/>
    <xf numFmtId="187" fontId="13" fillId="0" borderId="0" applyFill="0" applyBorder="0" applyAlignment="0"/>
    <xf numFmtId="187" fontId="13" fillId="0" borderId="0" applyFill="0" applyBorder="0" applyAlignment="0"/>
    <xf numFmtId="187" fontId="13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7" fontId="13" fillId="0" borderId="0"/>
    <xf numFmtId="187" fontId="13" fillId="0" borderId="0"/>
    <xf numFmtId="187" fontId="13" fillId="0" borderId="0"/>
    <xf numFmtId="187" fontId="13" fillId="0" borderId="0"/>
    <xf numFmtId="187" fontId="13" fillId="0" borderId="0"/>
    <xf numFmtId="187" fontId="13" fillId="0" borderId="0"/>
    <xf numFmtId="187" fontId="13" fillId="0" borderId="0"/>
    <xf numFmtId="187" fontId="13" fillId="0" borderId="0"/>
    <xf numFmtId="187" fontId="13" fillId="0" borderId="0"/>
    <xf numFmtId="187" fontId="13" fillId="0" borderId="0"/>
    <xf numFmtId="187" fontId="13" fillId="0" borderId="0"/>
    <xf numFmtId="184" fontId="32" fillId="0" borderId="0"/>
    <xf numFmtId="184" fontId="32" fillId="0" borderId="0"/>
    <xf numFmtId="0" fontId="13" fillId="0" borderId="0"/>
    <xf numFmtId="0" fontId="8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0" fillId="0" borderId="0"/>
    <xf numFmtId="0" fontId="89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1" fillId="0" borderId="0"/>
    <xf numFmtId="0" fontId="8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0" fillId="0" borderId="0"/>
    <xf numFmtId="0" fontId="89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0" fillId="0" borderId="0"/>
    <xf numFmtId="0" fontId="89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13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0" fillId="0" borderId="0"/>
    <xf numFmtId="0" fontId="89" fillId="0" borderId="0"/>
    <xf numFmtId="0" fontId="13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9" fillId="0" borderId="0"/>
    <xf numFmtId="0" fontId="89" fillId="0" borderId="0"/>
    <xf numFmtId="0" fontId="15" fillId="0" borderId="0">
      <alignment vertical="top"/>
    </xf>
    <xf numFmtId="0" fontId="89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 applyNumberFormat="0" applyFill="0" applyBorder="0" applyAlignment="0" applyProtection="0"/>
    <xf numFmtId="0" fontId="89" fillId="0" borderId="0"/>
    <xf numFmtId="0" fontId="13" fillId="0" borderId="0" applyNumberFormat="0" applyFill="0" applyBorder="0" applyAlignment="0" applyProtection="0"/>
    <xf numFmtId="0" fontId="70" fillId="0" borderId="0"/>
    <xf numFmtId="0" fontId="15" fillId="0" borderId="0">
      <alignment vertical="top"/>
    </xf>
    <xf numFmtId="0" fontId="70" fillId="0" borderId="0"/>
    <xf numFmtId="0" fontId="70" fillId="0" borderId="0"/>
    <xf numFmtId="0" fontId="70" fillId="0" borderId="0"/>
    <xf numFmtId="0" fontId="13" fillId="0" borderId="0" applyNumberFormat="0" applyFill="0" applyBorder="0" applyAlignment="0" applyProtection="0"/>
    <xf numFmtId="0" fontId="70" fillId="0" borderId="0"/>
    <xf numFmtId="0" fontId="89" fillId="0" borderId="0"/>
    <xf numFmtId="0" fontId="13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0" fillId="0" borderId="0"/>
    <xf numFmtId="0" fontId="89" fillId="0" borderId="0"/>
    <xf numFmtId="0" fontId="13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9" fillId="0" borderId="0"/>
    <xf numFmtId="0" fontId="15" fillId="0" borderId="0">
      <alignment vertical="top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13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9" fillId="0" borderId="0"/>
    <xf numFmtId="0" fontId="15" fillId="0" borderId="0">
      <alignment vertical="top"/>
    </xf>
    <xf numFmtId="0" fontId="89" fillId="0" borderId="0"/>
    <xf numFmtId="0" fontId="13" fillId="0" borderId="0"/>
    <xf numFmtId="0" fontId="13" fillId="0" borderId="0"/>
    <xf numFmtId="0" fontId="15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175" fontId="83" fillId="0" borderId="0"/>
    <xf numFmtId="0" fontId="81" fillId="0" borderId="0"/>
    <xf numFmtId="175" fontId="83" fillId="0" borderId="0"/>
    <xf numFmtId="0" fontId="9" fillId="0" borderId="0"/>
    <xf numFmtId="0" fontId="91" fillId="0" borderId="0"/>
    <xf numFmtId="0" fontId="87" fillId="0" borderId="0"/>
    <xf numFmtId="0" fontId="92" fillId="3" borderId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179" fontId="83" fillId="0" borderId="0"/>
    <xf numFmtId="178" fontId="83" fillId="0" borderId="0"/>
    <xf numFmtId="0" fontId="85" fillId="0" borderId="0"/>
    <xf numFmtId="0" fontId="94" fillId="0" borderId="0"/>
    <xf numFmtId="0" fontId="87" fillId="0" borderId="0"/>
    <xf numFmtId="0" fontId="93" fillId="0" borderId="0"/>
    <xf numFmtId="0" fontId="9" fillId="0" borderId="0"/>
    <xf numFmtId="0" fontId="9" fillId="0" borderId="0"/>
    <xf numFmtId="0" fontId="9" fillId="0" borderId="0"/>
    <xf numFmtId="0" fontId="81" fillId="0" borderId="0"/>
    <xf numFmtId="9" fontId="13" fillId="0" borderId="0" applyFont="0" applyFill="0" applyBorder="0" applyAlignment="0" applyProtection="0"/>
    <xf numFmtId="0" fontId="81" fillId="0" borderId="0"/>
    <xf numFmtId="9" fontId="13" fillId="0" borderId="0" applyFont="0" applyFill="0" applyBorder="0" applyAlignment="0" applyProtection="0"/>
    <xf numFmtId="0" fontId="81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1" fillId="0" borderId="0"/>
    <xf numFmtId="9" fontId="13" fillId="0" borderId="0" applyFont="0" applyFill="0" applyBorder="0" applyAlignment="0" applyProtection="0"/>
    <xf numFmtId="0" fontId="81" fillId="0" borderId="0"/>
    <xf numFmtId="0" fontId="8" fillId="0" borderId="0"/>
    <xf numFmtId="175" fontId="83" fillId="0" borderId="0"/>
    <xf numFmtId="9" fontId="1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17" applyNumberFormat="0" applyFill="0" applyAlignment="0" applyProtection="0"/>
    <xf numFmtId="0" fontId="97" fillId="0" borderId="18" applyNumberFormat="0" applyFill="0" applyAlignment="0" applyProtection="0"/>
    <xf numFmtId="0" fontId="98" fillId="0" borderId="19" applyNumberFormat="0" applyFill="0" applyAlignment="0" applyProtection="0"/>
    <xf numFmtId="0" fontId="98" fillId="0" borderId="0" applyNumberFormat="0" applyFill="0" applyBorder="0" applyAlignment="0" applyProtection="0"/>
    <xf numFmtId="0" fontId="99" fillId="17" borderId="0" applyNumberFormat="0" applyBorder="0" applyAlignment="0" applyProtection="0"/>
    <xf numFmtId="0" fontId="100" fillId="18" borderId="0" applyNumberFormat="0" applyBorder="0" applyAlignment="0" applyProtection="0"/>
    <xf numFmtId="0" fontId="101" fillId="19" borderId="0" applyNumberFormat="0" applyBorder="0" applyAlignment="0" applyProtection="0"/>
    <xf numFmtId="0" fontId="102" fillId="20" borderId="20" applyNumberFormat="0" applyAlignment="0" applyProtection="0"/>
    <xf numFmtId="0" fontId="103" fillId="21" borderId="21" applyNumberFormat="0" applyAlignment="0" applyProtection="0"/>
    <xf numFmtId="0" fontId="104" fillId="21" borderId="20" applyNumberFormat="0" applyAlignment="0" applyProtection="0"/>
    <xf numFmtId="0" fontId="105" fillId="0" borderId="22" applyNumberFormat="0" applyFill="0" applyAlignment="0" applyProtection="0"/>
    <xf numFmtId="0" fontId="106" fillId="22" borderId="23" applyNumberFormat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25" applyNumberFormat="0" applyFill="0" applyAlignment="0" applyProtection="0"/>
    <xf numFmtId="0" fontId="110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0" fillId="27" borderId="0" applyNumberFormat="0" applyBorder="0" applyAlignment="0" applyProtection="0"/>
    <xf numFmtId="0" fontId="110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110" fillId="31" borderId="0" applyNumberFormat="0" applyBorder="0" applyAlignment="0" applyProtection="0"/>
    <xf numFmtId="0" fontId="110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110" fillId="35" borderId="0" applyNumberFormat="0" applyBorder="0" applyAlignment="0" applyProtection="0"/>
    <xf numFmtId="0" fontId="110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110" fillId="39" borderId="0" applyNumberFormat="0" applyBorder="0" applyAlignment="0" applyProtection="0"/>
    <xf numFmtId="0" fontId="110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110" fillId="43" borderId="0" applyNumberFormat="0" applyBorder="0" applyAlignment="0" applyProtection="0"/>
    <xf numFmtId="0" fontId="110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110" fillId="47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55" fillId="0" borderId="0"/>
    <xf numFmtId="0" fontId="5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/>
    <xf numFmtId="0" fontId="13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4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28" fillId="3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35" fillId="3" borderId="0"/>
    <xf numFmtId="0" fontId="22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2" fillId="0" borderId="0"/>
    <xf numFmtId="0" fontId="13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7" fillId="0" borderId="0"/>
    <xf numFmtId="9" fontId="13" fillId="0" borderId="0" applyFont="0" applyFill="0" applyBorder="0" applyAlignment="0" applyProtection="0"/>
    <xf numFmtId="0" fontId="7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0" fillId="0" borderId="0"/>
    <xf numFmtId="0" fontId="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1" fillId="0" borderId="0"/>
    <xf numFmtId="0" fontId="87" fillId="0" borderId="0"/>
    <xf numFmtId="0" fontId="92" fillId="3" borderId="0"/>
    <xf numFmtId="0" fontId="85" fillId="0" borderId="0"/>
    <xf numFmtId="0" fontId="86" fillId="0" borderId="0"/>
    <xf numFmtId="0" fontId="111" fillId="0" borderId="0"/>
    <xf numFmtId="179" fontId="83" fillId="0" borderId="0"/>
    <xf numFmtId="0" fontId="7" fillId="23" borderId="24" applyNumberFormat="0" applyFont="0" applyAlignment="0" applyProtection="0"/>
    <xf numFmtId="179" fontId="1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5" fontId="22" fillId="0" borderId="0"/>
    <xf numFmtId="176" fontId="22" fillId="0" borderId="0"/>
    <xf numFmtId="177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49" fillId="3" borderId="0"/>
    <xf numFmtId="9" fontId="13" fillId="0" borderId="0" applyFon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13" fillId="0" borderId="0"/>
    <xf numFmtId="0" fontId="7" fillId="0" borderId="0"/>
    <xf numFmtId="43" fontId="13" fillId="0" borderId="0" applyFont="0" applyFill="0" applyBorder="0" applyAlignment="0" applyProtection="0"/>
    <xf numFmtId="0" fontId="7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28" fillId="0" borderId="0"/>
    <xf numFmtId="0" fontId="22" fillId="3" borderId="0"/>
    <xf numFmtId="0" fontId="5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3" fillId="0" borderId="0"/>
    <xf numFmtId="0" fontId="86" fillId="0" borderId="0"/>
    <xf numFmtId="0" fontId="87" fillId="3" borderId="0"/>
    <xf numFmtId="0" fontId="88" fillId="3" borderId="0"/>
    <xf numFmtId="0" fontId="83" fillId="0" borderId="0"/>
    <xf numFmtId="175" fontId="83" fillId="0" borderId="0"/>
    <xf numFmtId="0" fontId="83" fillId="0" borderId="0"/>
    <xf numFmtId="175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7" fillId="0" borderId="0"/>
    <xf numFmtId="43" fontId="7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5" fillId="0" borderId="0">
      <alignment vertical="top"/>
    </xf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0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9" fontId="13" fillId="0" borderId="0" applyFont="0" applyFill="0" applyBorder="0" applyAlignment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5" fontId="22" fillId="0" borderId="0"/>
    <xf numFmtId="175" fontId="22" fillId="0" borderId="0"/>
    <xf numFmtId="0" fontId="22" fillId="0" borderId="0"/>
    <xf numFmtId="0" fontId="22" fillId="0" borderId="0"/>
    <xf numFmtId="175" fontId="22" fillId="0" borderId="0"/>
    <xf numFmtId="175" fontId="22" fillId="0" borderId="0"/>
    <xf numFmtId="0" fontId="22" fillId="0" borderId="0"/>
    <xf numFmtId="0" fontId="2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75" fontId="22" fillId="0" borderId="0"/>
    <xf numFmtId="0" fontId="1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2" fillId="0" borderId="0"/>
    <xf numFmtId="175" fontId="22" fillId="0" borderId="0"/>
    <xf numFmtId="175" fontId="22" fillId="0" borderId="0"/>
    <xf numFmtId="44" fontId="13" fillId="0" borderId="0" applyFont="0" applyFill="0" applyBorder="0" applyAlignment="0" applyProtection="0"/>
    <xf numFmtId="168" fontId="22" fillId="0" borderId="0"/>
    <xf numFmtId="0" fontId="22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22" fillId="0" borderId="0"/>
    <xf numFmtId="175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75" fontId="22" fillId="0" borderId="0"/>
    <xf numFmtId="0" fontId="22" fillId="0" borderId="0"/>
    <xf numFmtId="0" fontId="22" fillId="0" borderId="0"/>
    <xf numFmtId="175" fontId="22" fillId="0" borderId="0"/>
    <xf numFmtId="0" fontId="22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175" fontId="22" fillId="0" borderId="0"/>
    <xf numFmtId="0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0" fontId="22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0" fontId="28" fillId="3" borderId="0"/>
    <xf numFmtId="0" fontId="25" fillId="0" borderId="0"/>
    <xf numFmtId="0" fontId="26" fillId="0" borderId="0"/>
    <xf numFmtId="0" fontId="35" fillId="3" borderId="0"/>
    <xf numFmtId="0" fontId="22" fillId="0" borderId="0"/>
    <xf numFmtId="176" fontId="22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5" fontId="22" fillId="0" borderId="0"/>
    <xf numFmtId="0" fontId="22" fillId="0" borderId="0"/>
    <xf numFmtId="0" fontId="22" fillId="0" borderId="0"/>
    <xf numFmtId="0" fontId="22" fillId="0" borderId="0"/>
    <xf numFmtId="175" fontId="22" fillId="0" borderId="0"/>
    <xf numFmtId="0" fontId="22" fillId="0" borderId="0"/>
    <xf numFmtId="0" fontId="22" fillId="0" borderId="0"/>
    <xf numFmtId="175" fontId="22" fillId="0" borderId="0"/>
    <xf numFmtId="0" fontId="22" fillId="0" borderId="0"/>
    <xf numFmtId="0" fontId="22" fillId="0" borderId="0"/>
    <xf numFmtId="175" fontId="22" fillId="0" borderId="0"/>
    <xf numFmtId="0" fontId="22" fillId="0" borderId="0"/>
    <xf numFmtId="0" fontId="22" fillId="0" borderId="0"/>
    <xf numFmtId="175" fontId="22" fillId="0" borderId="0"/>
    <xf numFmtId="0" fontId="22" fillId="0" borderId="0"/>
    <xf numFmtId="0" fontId="22" fillId="0" borderId="0"/>
    <xf numFmtId="175" fontId="22" fillId="0" borderId="0"/>
    <xf numFmtId="0" fontId="22" fillId="0" borderId="0"/>
    <xf numFmtId="0" fontId="22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175" fontId="22" fillId="0" borderId="0"/>
    <xf numFmtId="175" fontId="22" fillId="0" borderId="0"/>
    <xf numFmtId="0" fontId="22" fillId="0" borderId="0"/>
    <xf numFmtId="0" fontId="34" fillId="0" borderId="0"/>
    <xf numFmtId="175" fontId="22" fillId="0" borderId="0"/>
    <xf numFmtId="175" fontId="22" fillId="0" borderId="0"/>
    <xf numFmtId="0" fontId="22" fillId="0" borderId="0"/>
    <xf numFmtId="0" fontId="22" fillId="0" borderId="0"/>
    <xf numFmtId="177" fontId="22" fillId="0" borderId="0"/>
    <xf numFmtId="43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175" fontId="22" fillId="0" borderId="0"/>
    <xf numFmtId="175" fontId="22" fillId="0" borderId="0"/>
    <xf numFmtId="0" fontId="22" fillId="0" borderId="0"/>
    <xf numFmtId="0" fontId="81" fillId="0" borderId="0"/>
    <xf numFmtId="0" fontId="6" fillId="0" borderId="0"/>
    <xf numFmtId="0" fontId="22" fillId="0" borderId="0"/>
    <xf numFmtId="175" fontId="22" fillId="0" borderId="0"/>
    <xf numFmtId="0" fontId="13" fillId="0" borderId="0"/>
    <xf numFmtId="175" fontId="22" fillId="0" borderId="0"/>
    <xf numFmtId="0" fontId="27" fillId="0" borderId="0"/>
    <xf numFmtId="0" fontId="28" fillId="0" borderId="0"/>
    <xf numFmtId="0" fontId="49" fillId="3" borderId="0"/>
    <xf numFmtId="0" fontId="22" fillId="0" borderId="0"/>
    <xf numFmtId="175" fontId="22" fillId="0" borderId="0"/>
    <xf numFmtId="179" fontId="22" fillId="0" borderId="0"/>
    <xf numFmtId="178" fontId="22" fillId="0" borderId="0"/>
    <xf numFmtId="0" fontId="26" fillId="0" borderId="0"/>
    <xf numFmtId="0" fontId="30" fillId="0" borderId="0"/>
    <xf numFmtId="0" fontId="28" fillId="0" borderId="0"/>
    <xf numFmtId="0" fontId="2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175" fontId="113" fillId="0" borderId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175" fontId="113" fillId="0" borderId="0"/>
    <xf numFmtId="0" fontId="112" fillId="0" borderId="0"/>
    <xf numFmtId="44" fontId="13" fillId="0" borderId="0" applyFont="0" applyFill="0" applyBorder="0" applyAlignment="0" applyProtection="0"/>
    <xf numFmtId="168" fontId="22" fillId="0" borderId="0"/>
    <xf numFmtId="168" fontId="22" fillId="0" borderId="0"/>
    <xf numFmtId="44" fontId="13" fillId="0" borderId="0" applyFont="0" applyFill="0" applyBorder="0" applyAlignment="0" applyProtection="0"/>
    <xf numFmtId="0" fontId="112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12" fillId="0" borderId="0"/>
    <xf numFmtId="0" fontId="4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7" fillId="0" borderId="0"/>
    <xf numFmtId="0" fontId="28" fillId="0" borderId="0"/>
    <xf numFmtId="0" fontId="49" fillId="3" borderId="0"/>
    <xf numFmtId="0" fontId="26" fillId="0" borderId="0"/>
    <xf numFmtId="0" fontId="34" fillId="0" borderId="0"/>
    <xf numFmtId="179" fontId="22" fillId="0" borderId="0"/>
    <xf numFmtId="0" fontId="4" fillId="23" borderId="2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12" fillId="0" borderId="0"/>
    <xf numFmtId="0" fontId="112" fillId="0" borderId="0"/>
    <xf numFmtId="9" fontId="13" fillId="0" borderId="0" applyFont="0" applyFill="0" applyBorder="0" applyAlignment="0" applyProtection="0"/>
    <xf numFmtId="0" fontId="112" fillId="0" borderId="0"/>
    <xf numFmtId="9" fontId="1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75" fontId="113" fillId="0" borderId="0"/>
    <xf numFmtId="0" fontId="11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3" fillId="0" borderId="0"/>
    <xf numFmtId="175" fontId="113" fillId="0" borderId="0"/>
    <xf numFmtId="176" fontId="113" fillId="0" borderId="0"/>
    <xf numFmtId="177" fontId="113" fillId="0" borderId="0"/>
    <xf numFmtId="0" fontId="113" fillId="0" borderId="0"/>
    <xf numFmtId="0" fontId="114" fillId="0" borderId="0"/>
    <xf numFmtId="0" fontId="115" fillId="0" borderId="0"/>
    <xf numFmtId="0" fontId="116" fillId="0" borderId="0"/>
    <xf numFmtId="0" fontId="119" fillId="0" borderId="0"/>
    <xf numFmtId="0" fontId="118" fillId="3" borderId="0"/>
    <xf numFmtId="0" fontId="120" fillId="3" borderId="0"/>
    <xf numFmtId="0" fontId="113" fillId="0" borderId="0"/>
    <xf numFmtId="175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0" fontId="113" fillId="0" borderId="0"/>
    <xf numFmtId="175" fontId="113" fillId="0" borderId="0"/>
    <xf numFmtId="0" fontId="3" fillId="0" borderId="0"/>
    <xf numFmtId="43" fontId="3" fillId="0" borderId="0" applyFont="0" applyFill="0" applyBorder="0" applyAlignment="0" applyProtection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3" fillId="0" borderId="0"/>
    <xf numFmtId="175" fontId="113" fillId="0" borderId="0"/>
    <xf numFmtId="0" fontId="112" fillId="0" borderId="0"/>
    <xf numFmtId="175" fontId="113" fillId="0" borderId="0"/>
    <xf numFmtId="0" fontId="3" fillId="0" borderId="0"/>
    <xf numFmtId="0" fontId="117" fillId="0" borderId="0"/>
    <xf numFmtId="0" fontId="118" fillId="0" borderId="0"/>
    <xf numFmtId="0" fontId="121" fillId="3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79" fontId="113" fillId="0" borderId="0"/>
    <xf numFmtId="178" fontId="113" fillId="0" borderId="0"/>
    <xf numFmtId="0" fontId="116" fillId="0" borderId="0"/>
    <xf numFmtId="0" fontId="123" fillId="0" borderId="0"/>
    <xf numFmtId="0" fontId="118" fillId="0" borderId="0"/>
    <xf numFmtId="0" fontId="122" fillId="0" borderId="0"/>
    <xf numFmtId="0" fontId="3" fillId="0" borderId="0"/>
    <xf numFmtId="0" fontId="3" fillId="0" borderId="0"/>
    <xf numFmtId="0" fontId="3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3" fillId="0" borderId="0"/>
    <xf numFmtId="175" fontId="1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7" fillId="0" borderId="0"/>
    <xf numFmtId="0" fontId="118" fillId="0" borderId="0"/>
    <xf numFmtId="0" fontId="121" fillId="3" borderId="0"/>
    <xf numFmtId="0" fontId="116" fillId="0" borderId="0"/>
    <xf numFmtId="0" fontId="119" fillId="0" borderId="0"/>
    <xf numFmtId="0" fontId="124" fillId="0" borderId="0"/>
    <xf numFmtId="179" fontId="113" fillId="0" borderId="0"/>
    <xf numFmtId="0" fontId="3" fillId="23" borderId="24" applyNumberFormat="0" applyFont="0" applyAlignment="0" applyProtection="0"/>
    <xf numFmtId="179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3" fillId="0" borderId="0"/>
    <xf numFmtId="0" fontId="119" fillId="0" borderId="0"/>
    <xf numFmtId="0" fontId="118" fillId="3" borderId="0"/>
    <xf numFmtId="0" fontId="120" fillId="3" borderId="0"/>
    <xf numFmtId="0" fontId="113" fillId="0" borderId="0"/>
    <xf numFmtId="175" fontId="113" fillId="0" borderId="0"/>
    <xf numFmtId="0" fontId="113" fillId="0" borderId="0"/>
    <xf numFmtId="175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1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9" fontId="22" fillId="0" borderId="0"/>
    <xf numFmtId="175" fontId="22" fillId="0" borderId="0"/>
    <xf numFmtId="175" fontId="22" fillId="0" borderId="0"/>
    <xf numFmtId="179" fontId="55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9" fontId="22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6" fillId="3" borderId="0"/>
  </cellStyleXfs>
  <cellXfs count="108">
    <xf numFmtId="0" fontId="0" fillId="0" borderId="0" xfId="0"/>
    <xf numFmtId="0" fontId="57" fillId="0" borderId="0" xfId="0" applyFont="1" applyFill="1"/>
    <xf numFmtId="0" fontId="58" fillId="0" borderId="0" xfId="0" quotePrefix="1" applyFont="1" applyFill="1"/>
    <xf numFmtId="0" fontId="58" fillId="0" borderId="0" xfId="0" applyFont="1" applyFill="1"/>
    <xf numFmtId="0" fontId="59" fillId="0" borderId="0" xfId="0" applyFont="1" applyFill="1"/>
    <xf numFmtId="165" fontId="59" fillId="0" borderId="0" xfId="0" applyNumberFormat="1" applyFont="1" applyFill="1" applyAlignment="1">
      <alignment horizontal="center"/>
    </xf>
    <xf numFmtId="17" fontId="59" fillId="0" borderId="4" xfId="0" applyNumberFormat="1" applyFont="1" applyFill="1" applyBorder="1" applyAlignment="1">
      <alignment horizontal="center"/>
    </xf>
    <xf numFmtId="0" fontId="59" fillId="0" borderId="4" xfId="0" applyFont="1" applyFill="1" applyBorder="1" applyAlignment="1">
      <alignment horizontal="center"/>
    </xf>
    <xf numFmtId="37" fontId="59" fillId="0" borderId="0" xfId="0" applyNumberFormat="1" applyFont="1" applyFill="1"/>
    <xf numFmtId="5" fontId="59" fillId="0" borderId="0" xfId="0" applyNumberFormat="1" applyFont="1" applyFill="1"/>
    <xf numFmtId="0" fontId="59" fillId="0" borderId="0" xfId="0" applyFont="1" applyFill="1" applyBorder="1"/>
    <xf numFmtId="5" fontId="59" fillId="0" borderId="2" xfId="0" applyNumberFormat="1" applyFont="1" applyFill="1" applyBorder="1"/>
    <xf numFmtId="0" fontId="59" fillId="0" borderId="0" xfId="0" applyFont="1" applyFill="1" applyAlignment="1">
      <alignment horizontal="right"/>
    </xf>
    <xf numFmtId="5" fontId="59" fillId="0" borderId="5" xfId="0" applyNumberFormat="1" applyFont="1" applyFill="1" applyBorder="1"/>
    <xf numFmtId="5" fontId="59" fillId="0" borderId="0" xfId="0" applyNumberFormat="1" applyFont="1" applyFill="1" applyBorder="1"/>
    <xf numFmtId="0" fontId="59" fillId="0" borderId="0" xfId="0" quotePrefix="1" applyFont="1" applyFill="1" applyAlignment="1">
      <alignment horizontal="left"/>
    </xf>
    <xf numFmtId="5" fontId="59" fillId="0" borderId="6" xfId="0" applyNumberFormat="1" applyFont="1" applyFill="1" applyBorder="1"/>
    <xf numFmtId="0" fontId="59" fillId="0" borderId="4" xfId="0" applyFont="1" applyFill="1" applyBorder="1"/>
    <xf numFmtId="0" fontId="60" fillId="0" borderId="0" xfId="0" applyFont="1" applyFill="1" applyBorder="1"/>
    <xf numFmtId="5" fontId="59" fillId="0" borderId="4" xfId="0" applyNumberFormat="1" applyFont="1" applyFill="1" applyBorder="1"/>
    <xf numFmtId="10" fontId="59" fillId="0" borderId="0" xfId="0" applyNumberFormat="1" applyFont="1" applyFill="1"/>
    <xf numFmtId="0" fontId="59" fillId="0" borderId="0" xfId="0" applyFont="1" applyFill="1" applyAlignment="1">
      <alignment horizontal="center"/>
    </xf>
    <xf numFmtId="166" fontId="59" fillId="0" borderId="0" xfId="0" applyNumberFormat="1" applyFont="1" applyFill="1"/>
    <xf numFmtId="17" fontId="59" fillId="0" borderId="0" xfId="0" applyNumberFormat="1" applyFont="1" applyFill="1"/>
    <xf numFmtId="0" fontId="59" fillId="0" borderId="2" xfId="0" applyFont="1" applyFill="1" applyBorder="1"/>
    <xf numFmtId="166" fontId="59" fillId="0" borderId="2" xfId="0" applyNumberFormat="1" applyFont="1" applyFill="1" applyBorder="1"/>
    <xf numFmtId="0" fontId="60" fillId="0" borderId="0" xfId="0" applyFont="1" applyFill="1" applyBorder="1" applyAlignment="1">
      <alignment horizontal="center"/>
    </xf>
    <xf numFmtId="6" fontId="59" fillId="0" borderId="0" xfId="0" applyNumberFormat="1" applyFont="1" applyFill="1"/>
    <xf numFmtId="15" fontId="59" fillId="0" borderId="0" xfId="0" applyNumberFormat="1" applyFont="1" applyFill="1"/>
    <xf numFmtId="3" fontId="59" fillId="0" borderId="0" xfId="0" applyNumberFormat="1" applyFont="1" applyFill="1"/>
    <xf numFmtId="4" fontId="59" fillId="0" borderId="0" xfId="0" applyNumberFormat="1" applyFont="1" applyFill="1"/>
    <xf numFmtId="3" fontId="59" fillId="0" borderId="0" xfId="0" applyNumberFormat="1" applyFont="1" applyFill="1" applyBorder="1"/>
    <xf numFmtId="0" fontId="61" fillId="0" borderId="0" xfId="0" quotePrefix="1" applyFont="1" applyFill="1" applyAlignment="1">
      <alignment horizontal="left"/>
    </xf>
    <xf numFmtId="0" fontId="62" fillId="0" borderId="0" xfId="0" quotePrefix="1" applyFont="1" applyFill="1" applyAlignment="1">
      <alignment horizontal="left"/>
    </xf>
    <xf numFmtId="0" fontId="62" fillId="0" borderId="0" xfId="0" applyFont="1" applyFill="1"/>
    <xf numFmtId="10" fontId="59" fillId="0" borderId="2" xfId="0" applyNumberFormat="1" applyFont="1" applyFill="1" applyBorder="1"/>
    <xf numFmtId="0" fontId="59" fillId="0" borderId="0" xfId="0" quotePrefix="1" applyFont="1" applyFill="1" applyAlignment="1">
      <alignment horizontal="right"/>
    </xf>
    <xf numFmtId="6" fontId="59" fillId="0" borderId="0" xfId="0" applyNumberFormat="1" applyFont="1" applyFill="1" applyBorder="1"/>
    <xf numFmtId="10" fontId="59" fillId="0" borderId="4" xfId="0" applyNumberFormat="1" applyFont="1" applyFill="1" applyBorder="1"/>
    <xf numFmtId="6" fontId="59" fillId="0" borderId="6" xfId="0" applyNumberFormat="1" applyFont="1" applyFill="1" applyBorder="1"/>
    <xf numFmtId="0" fontId="59" fillId="0" borderId="0" xfId="0" applyFont="1" applyFill="1" applyBorder="1" applyAlignment="1">
      <alignment horizontal="center"/>
    </xf>
    <xf numFmtId="0" fontId="59" fillId="0" borderId="0" xfId="0" quotePrefix="1" applyFont="1" applyFill="1" applyBorder="1" applyAlignment="1">
      <alignment horizontal="left"/>
    </xf>
    <xf numFmtId="165" fontId="59" fillId="0" borderId="0" xfId="0" applyNumberFormat="1" applyFont="1" applyFill="1"/>
    <xf numFmtId="0" fontId="76" fillId="0" borderId="0" xfId="0" applyFont="1"/>
    <xf numFmtId="0" fontId="76" fillId="0" borderId="0" xfId="0" applyFont="1" applyFill="1"/>
    <xf numFmtId="5" fontId="76" fillId="0" borderId="0" xfId="0" applyNumberFormat="1" applyFont="1" applyFill="1"/>
    <xf numFmtId="10" fontId="76" fillId="0" borderId="0" xfId="0" applyNumberFormat="1" applyFont="1" applyFill="1"/>
    <xf numFmtId="185" fontId="76" fillId="0" borderId="0" xfId="0" applyNumberFormat="1" applyFont="1" applyAlignment="1">
      <alignment horizontal="left"/>
    </xf>
    <xf numFmtId="0" fontId="76" fillId="0" borderId="0" xfId="0" applyFont="1" applyAlignment="1">
      <alignment horizontal="center"/>
    </xf>
    <xf numFmtId="167" fontId="76" fillId="0" borderId="0" xfId="762" applyNumberFormat="1" applyFont="1"/>
    <xf numFmtId="10" fontId="76" fillId="0" borderId="0" xfId="3899" applyNumberFormat="1" applyFont="1"/>
    <xf numFmtId="167" fontId="76" fillId="0" borderId="4" xfId="762" applyNumberFormat="1" applyFont="1" applyBorder="1"/>
    <xf numFmtId="10" fontId="76" fillId="0" borderId="4" xfId="3899" applyNumberFormat="1" applyFont="1" applyBorder="1"/>
    <xf numFmtId="167" fontId="76" fillId="0" borderId="2" xfId="762" applyNumberFormat="1" applyFont="1" applyBorder="1"/>
    <xf numFmtId="167" fontId="76" fillId="0" borderId="5" xfId="762" applyNumberFormat="1" applyFont="1" applyBorder="1"/>
    <xf numFmtId="167" fontId="76" fillId="0" borderId="6" xfId="762" applyNumberFormat="1" applyFont="1" applyBorder="1"/>
    <xf numFmtId="0" fontId="76" fillId="0" borderId="0" xfId="0" applyFont="1" applyBorder="1"/>
    <xf numFmtId="0" fontId="76" fillId="0" borderId="0" xfId="0" applyFont="1" applyBorder="1" applyAlignment="1">
      <alignment horizontal="center"/>
    </xf>
    <xf numFmtId="167" fontId="76" fillId="0" borderId="0" xfId="762" applyNumberFormat="1" applyFont="1" applyBorder="1"/>
    <xf numFmtId="0" fontId="76" fillId="0" borderId="0" xfId="0" applyFont="1" applyFill="1" applyBorder="1"/>
    <xf numFmtId="0" fontId="76" fillId="0" borderId="4" xfId="0" applyFont="1" applyBorder="1" applyAlignment="1">
      <alignment horizontal="center"/>
    </xf>
    <xf numFmtId="167" fontId="76" fillId="0" borderId="0" xfId="762" applyNumberFormat="1" applyFont="1" applyFill="1"/>
    <xf numFmtId="167" fontId="76" fillId="0" borderId="0" xfId="762" applyNumberFormat="1" applyFont="1" applyFill="1" applyBorder="1"/>
    <xf numFmtId="164" fontId="76" fillId="0" borderId="0" xfId="3898" applyNumberFormat="1" applyFont="1"/>
    <xf numFmtId="164" fontId="76" fillId="0" borderId="0" xfId="3898" applyNumberFormat="1" applyFont="1" applyBorder="1"/>
    <xf numFmtId="0" fontId="76" fillId="0" borderId="0" xfId="0" applyFont="1" applyFill="1" applyAlignment="1">
      <alignment horizontal="center"/>
    </xf>
    <xf numFmtId="0" fontId="76" fillId="0" borderId="7" xfId="0" applyFont="1" applyBorder="1" applyAlignment="1">
      <alignment horizontal="center"/>
    </xf>
    <xf numFmtId="0" fontId="76" fillId="0" borderId="8" xfId="0" applyFont="1" applyBorder="1" applyAlignment="1">
      <alignment horizontal="center"/>
    </xf>
    <xf numFmtId="0" fontId="76" fillId="0" borderId="9" xfId="0" applyFont="1" applyBorder="1" applyAlignment="1">
      <alignment horizontal="center"/>
    </xf>
    <xf numFmtId="0" fontId="76" fillId="0" borderId="10" xfId="0" applyFont="1" applyBorder="1" applyAlignment="1">
      <alignment horizontal="center"/>
    </xf>
    <xf numFmtId="0" fontId="76" fillId="0" borderId="11" xfId="0" applyFont="1" applyBorder="1" applyAlignment="1">
      <alignment horizontal="center"/>
    </xf>
    <xf numFmtId="0" fontId="77" fillId="0" borderId="0" xfId="0" applyFont="1" applyAlignment="1">
      <alignment horizontal="center"/>
    </xf>
    <xf numFmtId="0" fontId="76" fillId="0" borderId="10" xfId="0" applyFont="1" applyBorder="1"/>
    <xf numFmtId="0" fontId="76" fillId="0" borderId="11" xfId="0" applyFont="1" applyBorder="1"/>
    <xf numFmtId="167" fontId="76" fillId="0" borderId="10" xfId="762" applyNumberFormat="1" applyFont="1" applyBorder="1"/>
    <xf numFmtId="5" fontId="76" fillId="0" borderId="0" xfId="0" applyNumberFormat="1" applyFont="1" applyFill="1" applyBorder="1"/>
    <xf numFmtId="167" fontId="76" fillId="0" borderId="12" xfId="762" applyNumberFormat="1" applyFont="1" applyBorder="1"/>
    <xf numFmtId="0" fontId="78" fillId="0" borderId="0" xfId="0" applyFont="1" applyFill="1"/>
    <xf numFmtId="0" fontId="76" fillId="0" borderId="12" xfId="0" applyFont="1" applyBorder="1" applyAlignment="1">
      <alignment horizontal="center"/>
    </xf>
    <xf numFmtId="0" fontId="76" fillId="0" borderId="13" xfId="0" applyFont="1" applyBorder="1" applyAlignment="1">
      <alignment horizontal="center"/>
    </xf>
    <xf numFmtId="10" fontId="76" fillId="0" borderId="0" xfId="3899" applyNumberFormat="1" applyFont="1" applyBorder="1"/>
    <xf numFmtId="10" fontId="76" fillId="0" borderId="11" xfId="3899" applyNumberFormat="1" applyFont="1" applyBorder="1"/>
    <xf numFmtId="10" fontId="76" fillId="0" borderId="13" xfId="3899" applyNumberFormat="1" applyFont="1" applyBorder="1"/>
    <xf numFmtId="0" fontId="76" fillId="6" borderId="0" xfId="0" applyFont="1" applyFill="1"/>
    <xf numFmtId="10" fontId="76" fillId="0" borderId="10" xfId="3899" applyNumberFormat="1" applyFont="1" applyBorder="1"/>
    <xf numFmtId="10" fontId="76" fillId="0" borderId="12" xfId="3899" applyNumberFormat="1" applyFont="1" applyBorder="1"/>
    <xf numFmtId="0" fontId="76" fillId="0" borderId="15" xfId="0" applyFont="1" applyBorder="1" applyAlignment="1">
      <alignment horizontal="center"/>
    </xf>
    <xf numFmtId="0" fontId="76" fillId="0" borderId="16" xfId="0" applyFont="1" applyBorder="1" applyAlignment="1">
      <alignment horizontal="center"/>
    </xf>
    <xf numFmtId="0" fontId="76" fillId="0" borderId="14" xfId="0" applyFont="1" applyBorder="1" applyAlignment="1">
      <alignment horizontal="center"/>
    </xf>
    <xf numFmtId="0" fontId="76" fillId="0" borderId="16" xfId="0" applyFont="1" applyBorder="1"/>
    <xf numFmtId="10" fontId="76" fillId="0" borderId="16" xfId="3899" applyNumberFormat="1" applyFont="1" applyBorder="1"/>
    <xf numFmtId="10" fontId="76" fillId="0" borderId="14" xfId="3899" applyNumberFormat="1" applyFont="1" applyBorder="1"/>
    <xf numFmtId="0" fontId="76" fillId="0" borderId="7" xfId="0" applyFont="1" applyBorder="1"/>
    <xf numFmtId="0" fontId="76" fillId="0" borderId="8" xfId="0" applyFont="1" applyBorder="1"/>
    <xf numFmtId="0" fontId="76" fillId="0" borderId="9" xfId="0" applyFont="1" applyBorder="1"/>
    <xf numFmtId="0" fontId="76" fillId="0" borderId="0" xfId="0" applyFont="1"/>
    <xf numFmtId="0" fontId="76" fillId="0" borderId="0" xfId="0" applyFont="1"/>
    <xf numFmtId="0" fontId="76" fillId="0" borderId="12" xfId="0" applyFont="1" applyBorder="1"/>
    <xf numFmtId="0" fontId="76" fillId="0" borderId="4" xfId="0" applyFont="1" applyBorder="1"/>
    <xf numFmtId="0" fontId="76" fillId="0" borderId="13" xfId="0" applyFont="1" applyBorder="1"/>
    <xf numFmtId="0" fontId="76" fillId="0" borderId="0" xfId="0" applyFont="1" applyAlignment="1">
      <alignment horizontal="right"/>
    </xf>
    <xf numFmtId="44" fontId="76" fillId="0" borderId="0" xfId="0" applyNumberFormat="1" applyFont="1"/>
    <xf numFmtId="167" fontId="76" fillId="0" borderId="0" xfId="0" applyNumberFormat="1" applyFont="1"/>
    <xf numFmtId="0" fontId="0" fillId="0" borderId="0" xfId="0"/>
    <xf numFmtId="0" fontId="76" fillId="0" borderId="4" xfId="0" applyFont="1" applyBorder="1"/>
    <xf numFmtId="0" fontId="76" fillId="0" borderId="8" xfId="0" applyFont="1" applyBorder="1"/>
    <xf numFmtId="0" fontId="76" fillId="0" borderId="0" xfId="0" applyFont="1" applyAlignment="1">
      <alignment horizontal="center"/>
    </xf>
    <xf numFmtId="0" fontId="76" fillId="0" borderId="0" xfId="0" applyFont="1" applyAlignment="1"/>
  </cellXfs>
  <cellStyles count="31932">
    <cellStyle name="20% - Accent1" xfId="16783" builtinId="30" customBuiltin="1"/>
    <cellStyle name="20% - Accent1 2" xfId="4932"/>
    <cellStyle name="20% - Accent1 2 2" xfId="4933"/>
    <cellStyle name="20% - Accent1 3" xfId="4934"/>
    <cellStyle name="20% - Accent1 4" xfId="19847"/>
    <cellStyle name="20% - Accent1 5" xfId="22437"/>
    <cellStyle name="20% - Accent2" xfId="16787" builtinId="34" customBuiltin="1"/>
    <cellStyle name="20% - Accent2 2" xfId="4935"/>
    <cellStyle name="20% - Accent2 2 2" xfId="4936"/>
    <cellStyle name="20% - Accent2 3" xfId="4937"/>
    <cellStyle name="20% - Accent2 4" xfId="19849"/>
    <cellStyle name="20% - Accent2 5" xfId="22439"/>
    <cellStyle name="20% - Accent3" xfId="16791" builtinId="38" customBuiltin="1"/>
    <cellStyle name="20% - Accent3 2" xfId="4938"/>
    <cellStyle name="20% - Accent3 2 2" xfId="4939"/>
    <cellStyle name="20% - Accent3 3" xfId="4940"/>
    <cellStyle name="20% - Accent3 4" xfId="19851"/>
    <cellStyle name="20% - Accent3 5" xfId="22441"/>
    <cellStyle name="20% - Accent4" xfId="16795" builtinId="42" customBuiltin="1"/>
    <cellStyle name="20% - Accent4 2" xfId="4941"/>
    <cellStyle name="20% - Accent4 2 2" xfId="4942"/>
    <cellStyle name="20% - Accent4 3" xfId="4943"/>
    <cellStyle name="20% - Accent4 4" xfId="19853"/>
    <cellStyle name="20% - Accent4 5" xfId="22443"/>
    <cellStyle name="20% - Accent5" xfId="16799" builtinId="46" customBuiltin="1"/>
    <cellStyle name="20% - Accent5 2" xfId="4944"/>
    <cellStyle name="20% - Accent5 2 2" xfId="4945"/>
    <cellStyle name="20% - Accent5 3" xfId="4946"/>
    <cellStyle name="20% - Accent5 4" xfId="19855"/>
    <cellStyle name="20% - Accent5 5" xfId="22445"/>
    <cellStyle name="20% - Accent6" xfId="16803" builtinId="50" customBuiltin="1"/>
    <cellStyle name="20% - Accent6 2" xfId="4947"/>
    <cellStyle name="20% - Accent6 2 2" xfId="4948"/>
    <cellStyle name="20% - Accent6 3" xfId="4949"/>
    <cellStyle name="20% - Accent6 4" xfId="19857"/>
    <cellStyle name="20% - Accent6 5" xfId="22447"/>
    <cellStyle name="40% - Accent1" xfId="16784" builtinId="31" customBuiltin="1"/>
    <cellStyle name="40% - Accent1 2" xfId="4950"/>
    <cellStyle name="40% - Accent1 2 2" xfId="4951"/>
    <cellStyle name="40% - Accent1 3" xfId="4952"/>
    <cellStyle name="40% - Accent1 4" xfId="19848"/>
    <cellStyle name="40% - Accent1 5" xfId="22438"/>
    <cellStyle name="40% - Accent2" xfId="16788" builtinId="35" customBuiltin="1"/>
    <cellStyle name="40% - Accent2 2" xfId="4953"/>
    <cellStyle name="40% - Accent2 2 2" xfId="4954"/>
    <cellStyle name="40% - Accent2 3" xfId="4955"/>
    <cellStyle name="40% - Accent2 4" xfId="19850"/>
    <cellStyle name="40% - Accent2 5" xfId="22440"/>
    <cellStyle name="40% - Accent3" xfId="16792" builtinId="39" customBuiltin="1"/>
    <cellStyle name="40% - Accent3 2" xfId="4956"/>
    <cellStyle name="40% - Accent3 2 2" xfId="4957"/>
    <cellStyle name="40% - Accent3 3" xfId="4958"/>
    <cellStyle name="40% - Accent3 4" xfId="19852"/>
    <cellStyle name="40% - Accent3 5" xfId="22442"/>
    <cellStyle name="40% - Accent4" xfId="16796" builtinId="43" customBuiltin="1"/>
    <cellStyle name="40% - Accent4 2" xfId="4959"/>
    <cellStyle name="40% - Accent4 2 2" xfId="4960"/>
    <cellStyle name="40% - Accent4 3" xfId="4961"/>
    <cellStyle name="40% - Accent4 4" xfId="19854"/>
    <cellStyle name="40% - Accent4 5" xfId="22444"/>
    <cellStyle name="40% - Accent5" xfId="16800" builtinId="47" customBuiltin="1"/>
    <cellStyle name="40% - Accent5 2" xfId="4962"/>
    <cellStyle name="40% - Accent5 2 2" xfId="4963"/>
    <cellStyle name="40% - Accent5 3" xfId="4964"/>
    <cellStyle name="40% - Accent5 4" xfId="19856"/>
    <cellStyle name="40% - Accent5 5" xfId="22446"/>
    <cellStyle name="40% - Accent6" xfId="16804" builtinId="51" customBuiltin="1"/>
    <cellStyle name="40% - Accent6 2" xfId="4965"/>
    <cellStyle name="40% - Accent6 2 2" xfId="4966"/>
    <cellStyle name="40% - Accent6 3" xfId="4967"/>
    <cellStyle name="40% - Accent6 4" xfId="19858"/>
    <cellStyle name="40% - Accent6 5" xfId="22448"/>
    <cellStyle name="60% - Accent1" xfId="16785" builtinId="32" customBuiltin="1"/>
    <cellStyle name="60% - Accent2" xfId="16789" builtinId="36" customBuiltin="1"/>
    <cellStyle name="60% - Accent3" xfId="16793" builtinId="40" customBuiltin="1"/>
    <cellStyle name="60% - Accent4" xfId="16797" builtinId="44" customBuiltin="1"/>
    <cellStyle name="60% - Accent5" xfId="16801" builtinId="48" customBuiltin="1"/>
    <cellStyle name="60% - Accent6" xfId="16805" builtinId="52" customBuiltin="1"/>
    <cellStyle name="Accent1" xfId="16782" builtinId="29" customBuiltin="1"/>
    <cellStyle name="Accent2" xfId="16786" builtinId="33" customBuiltin="1"/>
    <cellStyle name="Accent3" xfId="16790" builtinId="37" customBuiltin="1"/>
    <cellStyle name="Accent4" xfId="16794" builtinId="41" customBuiltin="1"/>
    <cellStyle name="Accent5" xfId="16798" builtinId="45" customBuiltin="1"/>
    <cellStyle name="Accent6" xfId="16802" builtinId="49" customBuiltin="1"/>
    <cellStyle name="Bad" xfId="16772" builtinId="27" customBuiltin="1"/>
    <cellStyle name="Calc Currency (0)" xfId="1"/>
    <cellStyle name="Calc Currency (0) 2" xfId="4969"/>
    <cellStyle name="Calc Currency (0) 2 2" xfId="4970"/>
    <cellStyle name="Calc Currency (0) 3" xfId="4971"/>
    <cellStyle name="Calc Currency (0) 3 2" xfId="4972"/>
    <cellStyle name="Calc Currency (0) 4" xfId="4973"/>
    <cellStyle name="Calc Currency (0) 4 2" xfId="4974"/>
    <cellStyle name="Calc Currency (0) 4 3" xfId="4975"/>
    <cellStyle name="Calc Currency (0) 5" xfId="4976"/>
    <cellStyle name="Calc Currency (0) 5 2" xfId="4977"/>
    <cellStyle name="Calc Currency (0) 6" xfId="4978"/>
    <cellStyle name="Calc Currency (0) 7" xfId="4979"/>
    <cellStyle name="Calc Currency (0) 8" xfId="4968"/>
    <cellStyle name="Calc Currency (0)_MD Vehicles" xfId="4980"/>
    <cellStyle name="Calc Percent (0)" xfId="2"/>
    <cellStyle name="Calc Percent (0) 2" xfId="4981"/>
    <cellStyle name="Calc Percent (0) 3" xfId="4982"/>
    <cellStyle name="Calc Percent (1)" xfId="3"/>
    <cellStyle name="Calc Percent (1) 2" xfId="4983"/>
    <cellStyle name="Calc Percent (1) 3" xfId="4984"/>
    <cellStyle name="Calculation" xfId="16776" builtinId="22" customBuiltin="1"/>
    <cellStyle name="Check Cell" xfId="16778" builtinId="23" customBuiltin="1"/>
    <cellStyle name="Comma" xfId="3898" builtinId="3"/>
    <cellStyle name="Comma 10" xfId="4"/>
    <cellStyle name="Comma 10 2" xfId="5"/>
    <cellStyle name="Comma 10 2 2" xfId="6"/>
    <cellStyle name="Comma 10 2 2 2" xfId="7"/>
    <cellStyle name="Comma 10 2 2 2 2" xfId="8"/>
    <cellStyle name="Comma 10 2 2 2 3" xfId="9"/>
    <cellStyle name="Comma 10 2 2 3" xfId="10"/>
    <cellStyle name="Comma 10 2 2 4" xfId="11"/>
    <cellStyle name="Comma 10 2 3" xfId="12"/>
    <cellStyle name="Comma 10 2 3 2" xfId="13"/>
    <cellStyle name="Comma 10 2 3 3" xfId="14"/>
    <cellStyle name="Comma 10 2 4" xfId="15"/>
    <cellStyle name="Comma 10 2 5" xfId="16"/>
    <cellStyle name="Comma 10 2 6" xfId="17"/>
    <cellStyle name="Comma 10 3" xfId="18"/>
    <cellStyle name="Comma 10 3 2" xfId="19"/>
    <cellStyle name="Comma 10 3 2 2" xfId="20"/>
    <cellStyle name="Comma 10 3 2 3" xfId="21"/>
    <cellStyle name="Comma 10 3 3" xfId="22"/>
    <cellStyle name="Comma 10 3 4" xfId="23"/>
    <cellStyle name="Comma 10 4" xfId="24"/>
    <cellStyle name="Comma 10 4 2" xfId="25"/>
    <cellStyle name="Comma 10 4 3" xfId="26"/>
    <cellStyle name="Comma 10 5" xfId="27"/>
    <cellStyle name="Comma 10 6" xfId="28"/>
    <cellStyle name="Comma 10 7" xfId="29"/>
    <cellStyle name="Comma 10 8" xfId="30"/>
    <cellStyle name="Comma 11" xfId="31"/>
    <cellStyle name="Comma 11 2" xfId="4985"/>
    <cellStyle name="Comma 12" xfId="32"/>
    <cellStyle name="Comma 12 2" xfId="4986"/>
    <cellStyle name="Comma 13" xfId="33"/>
    <cellStyle name="Comma 13 2" xfId="4987"/>
    <cellStyle name="Comma 14" xfId="34"/>
    <cellStyle name="Comma 14 2" xfId="4988"/>
    <cellStyle name="Comma 15" xfId="4426"/>
    <cellStyle name="Comma 15 2" xfId="4735"/>
    <cellStyle name="Comma 15 2 2" xfId="4991"/>
    <cellStyle name="Comma 15 2 3" xfId="4990"/>
    <cellStyle name="Comma 15 3" xfId="4992"/>
    <cellStyle name="Comma 15 3 2" xfId="18291"/>
    <cellStyle name="Comma 15 3 3" xfId="17904"/>
    <cellStyle name="Comma 15 4" xfId="4989"/>
    <cellStyle name="Comma 15 5" xfId="4635"/>
    <cellStyle name="Comma 16" xfId="4432"/>
    <cellStyle name="Comma 16 2" xfId="4741"/>
    <cellStyle name="Comma 16 3" xfId="4641"/>
    <cellStyle name="Comma 16 3 2" xfId="18159"/>
    <cellStyle name="Comma 17" xfId="4429"/>
    <cellStyle name="Comma 17 2" xfId="4738"/>
    <cellStyle name="Comma 17 3" xfId="4638"/>
    <cellStyle name="Comma 17 3 2" xfId="18157"/>
    <cellStyle name="Comma 18" xfId="4625"/>
    <cellStyle name="Comma 18 2" xfId="16580"/>
    <cellStyle name="Comma 19" xfId="4874"/>
    <cellStyle name="Comma 19 2" xfId="16689"/>
    <cellStyle name="Comma 19 2 2" xfId="18711"/>
    <cellStyle name="Comma 19 2 2 2" xfId="19730"/>
    <cellStyle name="Comma 19 2 2 2 2" xfId="21740"/>
    <cellStyle name="Comma 19 2 2 2 3" xfId="23898"/>
    <cellStyle name="Comma 19 2 2 3" xfId="20864"/>
    <cellStyle name="Comma 19 2 2 4" xfId="23021"/>
    <cellStyle name="Comma 19 2 3" xfId="19199"/>
    <cellStyle name="Comma 19 2 3 2" xfId="21332"/>
    <cellStyle name="Comma 19 2 3 3" xfId="23489"/>
    <cellStyle name="Comma 19 2 4" xfId="20249"/>
    <cellStyle name="Comma 19 2 5" xfId="22366"/>
    <cellStyle name="Comma 19 3" xfId="18290"/>
    <cellStyle name="Comma 19 3 2" xfId="19565"/>
    <cellStyle name="Comma 19 3 2 2" xfId="21575"/>
    <cellStyle name="Comma 19 3 2 3" xfId="23733"/>
    <cellStyle name="Comma 19 3 3" xfId="20699"/>
    <cellStyle name="Comma 19 3 4" xfId="22856"/>
    <cellStyle name="Comma 19 4" xfId="17897"/>
    <cellStyle name="Comma 19 5" xfId="18930"/>
    <cellStyle name="Comma 19 5 2" xfId="21082"/>
    <cellStyle name="Comma 19 5 3" xfId="23239"/>
    <cellStyle name="Comma 19 6" xfId="20081"/>
    <cellStyle name="Comma 19 7" xfId="22139"/>
    <cellStyle name="Comma 2" xfId="35"/>
    <cellStyle name="Comma 2 10" xfId="36"/>
    <cellStyle name="Comma 2 10 2" xfId="4993"/>
    <cellStyle name="Comma 2 11" xfId="37"/>
    <cellStyle name="Comma 2 12" xfId="38"/>
    <cellStyle name="Comma 2 13" xfId="39"/>
    <cellStyle name="Comma 2 14" xfId="40"/>
    <cellStyle name="Comma 2 15" xfId="41"/>
    <cellStyle name="Comma 2 16" xfId="42"/>
    <cellStyle name="Comma 2 17" xfId="43"/>
    <cellStyle name="Comma 2 18" xfId="4453"/>
    <cellStyle name="Comma 2 18 10" xfId="19872"/>
    <cellStyle name="Comma 2 18 11" xfId="21865"/>
    <cellStyle name="Comma 2 18 2" xfId="4761"/>
    <cellStyle name="Comma 2 18 2 2" xfId="16639"/>
    <cellStyle name="Comma 2 18 2 2 2" xfId="18661"/>
    <cellStyle name="Comma 2 18 2 2 2 2" xfId="19680"/>
    <cellStyle name="Comma 2 18 2 2 2 2 2" xfId="21690"/>
    <cellStyle name="Comma 2 18 2 2 2 2 3" xfId="23848"/>
    <cellStyle name="Comma 2 18 2 2 2 3" xfId="20814"/>
    <cellStyle name="Comma 2 18 2 2 2 4" xfId="22971"/>
    <cellStyle name="Comma 2 18 2 2 3" xfId="19148"/>
    <cellStyle name="Comma 2 18 2 2 3 2" xfId="21281"/>
    <cellStyle name="Comma 2 18 2 2 3 3" xfId="23438"/>
    <cellStyle name="Comma 2 18 2 2 4" xfId="20199"/>
    <cellStyle name="Comma 2 18 2 2 5" xfId="22316"/>
    <cellStyle name="Comma 2 18 2 3" xfId="18224"/>
    <cellStyle name="Comma 2 18 2 3 2" xfId="19515"/>
    <cellStyle name="Comma 2 18 2 3 2 2" xfId="21525"/>
    <cellStyle name="Comma 2 18 2 3 2 3" xfId="23683"/>
    <cellStyle name="Comma 2 18 2 3 3" xfId="20648"/>
    <cellStyle name="Comma 2 18 2 3 4" xfId="22790"/>
    <cellStyle name="Comma 2 18 2 4" xfId="17917"/>
    <cellStyle name="Comma 2 18 2 4 2" xfId="20376"/>
    <cellStyle name="Comma 2 18 2 4 3" xfId="22516"/>
    <cellStyle name="Comma 2 18 2 5" xfId="18880"/>
    <cellStyle name="Comma 2 18 2 5 2" xfId="21032"/>
    <cellStyle name="Comma 2 18 2 5 3" xfId="23189"/>
    <cellStyle name="Comma 2 18 2 6" xfId="20031"/>
    <cellStyle name="Comma 2 18 2 7" xfId="22026"/>
    <cellStyle name="Comma 2 18 3" xfId="16586"/>
    <cellStyle name="Comma 2 18 3 2" xfId="18608"/>
    <cellStyle name="Comma 2 18 3 2 2" xfId="19627"/>
    <cellStyle name="Comma 2 18 3 2 2 2" xfId="21637"/>
    <cellStyle name="Comma 2 18 3 2 2 3" xfId="23795"/>
    <cellStyle name="Comma 2 18 3 2 3" xfId="20761"/>
    <cellStyle name="Comma 2 18 3 2 4" xfId="22918"/>
    <cellStyle name="Comma 2 18 3 3" xfId="17975"/>
    <cellStyle name="Comma 2 18 3 3 2" xfId="20429"/>
    <cellStyle name="Comma 2 18 3 3 3" xfId="22569"/>
    <cellStyle name="Comma 2 18 3 4" xfId="19094"/>
    <cellStyle name="Comma 2 18 3 4 2" xfId="21227"/>
    <cellStyle name="Comma 2 18 3 4 3" xfId="23384"/>
    <cellStyle name="Comma 2 18 3 5" xfId="20146"/>
    <cellStyle name="Comma 2 18 3 6" xfId="22263"/>
    <cellStyle name="Comma 2 18 4" xfId="4661"/>
    <cellStyle name="Comma 2 18 4 2" xfId="18171"/>
    <cellStyle name="Comma 2 18 4 2 2" xfId="19462"/>
    <cellStyle name="Comma 2 18 4 2 2 2" xfId="21472"/>
    <cellStyle name="Comma 2 18 4 2 2 3" xfId="23630"/>
    <cellStyle name="Comma 2 18 4 2 3" xfId="20595"/>
    <cellStyle name="Comma 2 18 4 2 4" xfId="22737"/>
    <cellStyle name="Comma 2 18 4 3" xfId="19073"/>
    <cellStyle name="Comma 2 18 4 3 2" xfId="21208"/>
    <cellStyle name="Comma 2 18 4 3 3" xfId="23365"/>
    <cellStyle name="Comma 2 18 4 4" xfId="19978"/>
    <cellStyle name="Comma 2 18 4 5" xfId="21973"/>
    <cellStyle name="Comma 2 18 5" xfId="16717"/>
    <cellStyle name="Comma 2 18 5 2" xfId="18721"/>
    <cellStyle name="Comma 2 18 5 2 2" xfId="20874"/>
    <cellStyle name="Comma 2 18 5 2 3" xfId="23031"/>
    <cellStyle name="Comma 2 18 5 3" xfId="19741"/>
    <cellStyle name="Comma 2 18 5 3 2" xfId="21751"/>
    <cellStyle name="Comma 2 18 5 3 3" xfId="23909"/>
    <cellStyle name="Comma 2 18 5 4" xfId="20260"/>
    <cellStyle name="Comma 2 18 5 5" xfId="22388"/>
    <cellStyle name="Comma 2 18 6" xfId="18037"/>
    <cellStyle name="Comma 2 18 6 2" xfId="19356"/>
    <cellStyle name="Comma 2 18 6 2 2" xfId="21366"/>
    <cellStyle name="Comma 2 18 6 2 3" xfId="23524"/>
    <cellStyle name="Comma 2 18 6 3" xfId="20489"/>
    <cellStyle name="Comma 2 18 6 4" xfId="22631"/>
    <cellStyle name="Comma 2 18 7" xfId="16862"/>
    <cellStyle name="Comma 2 18 8" xfId="18827"/>
    <cellStyle name="Comma 2 18 8 2" xfId="20979"/>
    <cellStyle name="Comma 2 18 8 3" xfId="23136"/>
    <cellStyle name="Comma 2 18 9" xfId="19795"/>
    <cellStyle name="Comma 2 18 9 2" xfId="21804"/>
    <cellStyle name="Comma 2 18 9 3" xfId="23962"/>
    <cellStyle name="Comma 2 19" xfId="4564"/>
    <cellStyle name="Comma 2 2" xfId="44"/>
    <cellStyle name="Comma 2 2 10" xfId="45"/>
    <cellStyle name="Comma 2 2 11" xfId="46"/>
    <cellStyle name="Comma 2 2 12" xfId="47"/>
    <cellStyle name="Comma 2 2 13" xfId="48"/>
    <cellStyle name="Comma 2 2 14" xfId="49"/>
    <cellStyle name="Comma 2 2 15" xfId="50"/>
    <cellStyle name="Comma 2 2 16" xfId="51"/>
    <cellStyle name="Comma 2 2 17" xfId="4454"/>
    <cellStyle name="Comma 2 2 17 10" xfId="19873"/>
    <cellStyle name="Comma 2 2 17 11" xfId="21866"/>
    <cellStyle name="Comma 2 2 17 2" xfId="4762"/>
    <cellStyle name="Comma 2 2 17 2 2" xfId="16640"/>
    <cellStyle name="Comma 2 2 17 2 2 2" xfId="18662"/>
    <cellStyle name="Comma 2 2 17 2 2 2 2" xfId="19681"/>
    <cellStyle name="Comma 2 2 17 2 2 2 2 2" xfId="21691"/>
    <cellStyle name="Comma 2 2 17 2 2 2 2 3" xfId="23849"/>
    <cellStyle name="Comma 2 2 17 2 2 2 3" xfId="20815"/>
    <cellStyle name="Comma 2 2 17 2 2 2 4" xfId="22972"/>
    <cellStyle name="Comma 2 2 17 2 2 3" xfId="19149"/>
    <cellStyle name="Comma 2 2 17 2 2 3 2" xfId="21282"/>
    <cellStyle name="Comma 2 2 17 2 2 3 3" xfId="23439"/>
    <cellStyle name="Comma 2 2 17 2 2 4" xfId="20200"/>
    <cellStyle name="Comma 2 2 17 2 2 5" xfId="22317"/>
    <cellStyle name="Comma 2 2 17 2 3" xfId="18225"/>
    <cellStyle name="Comma 2 2 17 2 3 2" xfId="19516"/>
    <cellStyle name="Comma 2 2 17 2 3 2 2" xfId="21526"/>
    <cellStyle name="Comma 2 2 17 2 3 2 3" xfId="23684"/>
    <cellStyle name="Comma 2 2 17 2 3 3" xfId="20649"/>
    <cellStyle name="Comma 2 2 17 2 3 4" xfId="22791"/>
    <cellStyle name="Comma 2 2 17 2 4" xfId="17918"/>
    <cellStyle name="Comma 2 2 17 2 4 2" xfId="20377"/>
    <cellStyle name="Comma 2 2 17 2 4 3" xfId="22517"/>
    <cellStyle name="Comma 2 2 17 2 5" xfId="18881"/>
    <cellStyle name="Comma 2 2 17 2 5 2" xfId="21033"/>
    <cellStyle name="Comma 2 2 17 2 5 3" xfId="23190"/>
    <cellStyle name="Comma 2 2 17 2 6" xfId="20032"/>
    <cellStyle name="Comma 2 2 17 2 7" xfId="22027"/>
    <cellStyle name="Comma 2 2 17 3" xfId="16587"/>
    <cellStyle name="Comma 2 2 17 3 2" xfId="18609"/>
    <cellStyle name="Comma 2 2 17 3 2 2" xfId="19628"/>
    <cellStyle name="Comma 2 2 17 3 2 2 2" xfId="21638"/>
    <cellStyle name="Comma 2 2 17 3 2 2 3" xfId="23796"/>
    <cellStyle name="Comma 2 2 17 3 2 3" xfId="20762"/>
    <cellStyle name="Comma 2 2 17 3 2 4" xfId="22919"/>
    <cellStyle name="Comma 2 2 17 3 3" xfId="17976"/>
    <cellStyle name="Comma 2 2 17 3 3 2" xfId="20430"/>
    <cellStyle name="Comma 2 2 17 3 3 3" xfId="22570"/>
    <cellStyle name="Comma 2 2 17 3 4" xfId="19095"/>
    <cellStyle name="Comma 2 2 17 3 4 2" xfId="21228"/>
    <cellStyle name="Comma 2 2 17 3 4 3" xfId="23385"/>
    <cellStyle name="Comma 2 2 17 3 5" xfId="20147"/>
    <cellStyle name="Comma 2 2 17 3 6" xfId="22264"/>
    <cellStyle name="Comma 2 2 17 4" xfId="4662"/>
    <cellStyle name="Comma 2 2 17 4 2" xfId="18172"/>
    <cellStyle name="Comma 2 2 17 4 2 2" xfId="19463"/>
    <cellStyle name="Comma 2 2 17 4 2 2 2" xfId="21473"/>
    <cellStyle name="Comma 2 2 17 4 2 2 3" xfId="23631"/>
    <cellStyle name="Comma 2 2 17 4 2 3" xfId="20596"/>
    <cellStyle name="Comma 2 2 17 4 2 4" xfId="22738"/>
    <cellStyle name="Comma 2 2 17 4 3" xfId="19207"/>
    <cellStyle name="Comma 2 2 17 4 3 2" xfId="21340"/>
    <cellStyle name="Comma 2 2 17 4 3 3" xfId="23497"/>
    <cellStyle name="Comma 2 2 17 4 4" xfId="19979"/>
    <cellStyle name="Comma 2 2 17 4 5" xfId="21974"/>
    <cellStyle name="Comma 2 2 17 5" xfId="16718"/>
    <cellStyle name="Comma 2 2 17 5 2" xfId="18722"/>
    <cellStyle name="Comma 2 2 17 5 2 2" xfId="20875"/>
    <cellStyle name="Comma 2 2 17 5 2 3" xfId="23032"/>
    <cellStyle name="Comma 2 2 17 5 3" xfId="19742"/>
    <cellStyle name="Comma 2 2 17 5 3 2" xfId="21752"/>
    <cellStyle name="Comma 2 2 17 5 3 3" xfId="23910"/>
    <cellStyle name="Comma 2 2 17 5 4" xfId="20261"/>
    <cellStyle name="Comma 2 2 17 5 5" xfId="22389"/>
    <cellStyle name="Comma 2 2 17 6" xfId="18038"/>
    <cellStyle name="Comma 2 2 17 6 2" xfId="19357"/>
    <cellStyle name="Comma 2 2 17 6 2 2" xfId="21367"/>
    <cellStyle name="Comma 2 2 17 6 2 3" xfId="23525"/>
    <cellStyle name="Comma 2 2 17 6 3" xfId="20490"/>
    <cellStyle name="Comma 2 2 17 6 4" xfId="22632"/>
    <cellStyle name="Comma 2 2 17 7" xfId="16863"/>
    <cellStyle name="Comma 2 2 17 8" xfId="18828"/>
    <cellStyle name="Comma 2 2 17 8 2" xfId="20980"/>
    <cellStyle name="Comma 2 2 17 8 3" xfId="23137"/>
    <cellStyle name="Comma 2 2 17 9" xfId="19796"/>
    <cellStyle name="Comma 2 2 17 9 2" xfId="21805"/>
    <cellStyle name="Comma 2 2 17 9 3" xfId="23963"/>
    <cellStyle name="Comma 2 2 18" xfId="4565"/>
    <cellStyle name="Comma 2 2 19" xfId="4994"/>
    <cellStyle name="Comma 2 2 2" xfId="52"/>
    <cellStyle name="Comma 2 2 2 2" xfId="53"/>
    <cellStyle name="Comma 2 2 2 2 2" xfId="54"/>
    <cellStyle name="Comma 2 2 2 2 2 2" xfId="55"/>
    <cellStyle name="Comma 2 2 2 2 2 2 2" xfId="56"/>
    <cellStyle name="Comma 2 2 2 2 2 2 3" xfId="57"/>
    <cellStyle name="Comma 2 2 2 2 2 3" xfId="58"/>
    <cellStyle name="Comma 2 2 2 2 2 4" xfId="59"/>
    <cellStyle name="Comma 2 2 2 2 3" xfId="60"/>
    <cellStyle name="Comma 2 2 2 2 3 2" xfId="61"/>
    <cellStyle name="Comma 2 2 2 2 3 3" xfId="62"/>
    <cellStyle name="Comma 2 2 2 2 4" xfId="63"/>
    <cellStyle name="Comma 2 2 2 2 5" xfId="64"/>
    <cellStyle name="Comma 2 2 2 2 6" xfId="65"/>
    <cellStyle name="Comma 2 2 2 3" xfId="66"/>
    <cellStyle name="Comma 2 2 2 3 2" xfId="67"/>
    <cellStyle name="Comma 2 2 2 3 2 2" xfId="68"/>
    <cellStyle name="Comma 2 2 2 3 2 3" xfId="69"/>
    <cellStyle name="Comma 2 2 2 3 3" xfId="70"/>
    <cellStyle name="Comma 2 2 2 3 4" xfId="71"/>
    <cellStyle name="Comma 2 2 2 4" xfId="72"/>
    <cellStyle name="Comma 2 2 2 4 2" xfId="73"/>
    <cellStyle name="Comma 2 2 2 4 3" xfId="74"/>
    <cellStyle name="Comma 2 2 2 5" xfId="75"/>
    <cellStyle name="Comma 2 2 2 6" xfId="76"/>
    <cellStyle name="Comma 2 2 2 7" xfId="77"/>
    <cellStyle name="Comma 2 2 2 8" xfId="4995"/>
    <cellStyle name="Comma 2 2 20" xfId="16525"/>
    <cellStyle name="Comma 2 2 20 2" xfId="18553"/>
    <cellStyle name="Comma 2 2 20 2 2" xfId="19572"/>
    <cellStyle name="Comma 2 2 20 2 2 2" xfId="21582"/>
    <cellStyle name="Comma 2 2 20 2 2 3" xfId="23740"/>
    <cellStyle name="Comma 2 2 20 2 3" xfId="20706"/>
    <cellStyle name="Comma 2 2 20 2 4" xfId="22863"/>
    <cellStyle name="Comma 2 2 20 3" xfId="18937"/>
    <cellStyle name="Comma 2 2 20 3 2" xfId="21089"/>
    <cellStyle name="Comma 2 2 20 3 3" xfId="23246"/>
    <cellStyle name="Comma 2 2 20 4" xfId="20091"/>
    <cellStyle name="Comma 2 2 20 5" xfId="22207"/>
    <cellStyle name="Comma 2 2 21" xfId="4510"/>
    <cellStyle name="Comma 2 2 21 2" xfId="18088"/>
    <cellStyle name="Comma 2 2 21 2 2" xfId="19407"/>
    <cellStyle name="Comma 2 2 21 2 2 2" xfId="21417"/>
    <cellStyle name="Comma 2 2 21 2 2 3" xfId="23575"/>
    <cellStyle name="Comma 2 2 21 2 3" xfId="20540"/>
    <cellStyle name="Comma 2 2 21 2 4" xfId="22682"/>
    <cellStyle name="Comma 2 2 21 3" xfId="18953"/>
    <cellStyle name="Comma 2 2 21 3 2" xfId="21105"/>
    <cellStyle name="Comma 2 2 21 3 3" xfId="23262"/>
    <cellStyle name="Comma 2 2 21 4" xfId="19923"/>
    <cellStyle name="Comma 2 2 21 5" xfId="21918"/>
    <cellStyle name="Comma 2 2 22" xfId="16807"/>
    <cellStyle name="Comma 2 2 22 2" xfId="20310"/>
    <cellStyle name="Comma 2 2 22 3" xfId="22450"/>
    <cellStyle name="Comma 2 2 23" xfId="18771"/>
    <cellStyle name="Comma 2 2 23 2" xfId="20924"/>
    <cellStyle name="Comma 2 2 23 3" xfId="23081"/>
    <cellStyle name="Comma 2 2 3" xfId="78"/>
    <cellStyle name="Comma 2 2 3 2" xfId="79"/>
    <cellStyle name="Comma 2 2 3 2 2" xfId="80"/>
    <cellStyle name="Comma 2 2 3 2 2 2" xfId="81"/>
    <cellStyle name="Comma 2 2 3 2 2 3" xfId="82"/>
    <cellStyle name="Comma 2 2 3 2 3" xfId="83"/>
    <cellStyle name="Comma 2 2 3 2 4" xfId="84"/>
    <cellStyle name="Comma 2 2 3 3" xfId="85"/>
    <cellStyle name="Comma 2 2 3 3 2" xfId="86"/>
    <cellStyle name="Comma 2 2 3 3 3" xfId="87"/>
    <cellStyle name="Comma 2 2 3 4" xfId="88"/>
    <cellStyle name="Comma 2 2 3 5" xfId="89"/>
    <cellStyle name="Comma 2 2 3 6" xfId="90"/>
    <cellStyle name="Comma 2 2 4" xfId="91"/>
    <cellStyle name="Comma 2 2 4 2" xfId="92"/>
    <cellStyle name="Comma 2 2 4 2 2" xfId="93"/>
    <cellStyle name="Comma 2 2 4 2 2 2" xfId="94"/>
    <cellStyle name="Comma 2 2 4 2 2 3" xfId="95"/>
    <cellStyle name="Comma 2 2 4 2 3" xfId="96"/>
    <cellStyle name="Comma 2 2 4 2 4" xfId="97"/>
    <cellStyle name="Comma 2 2 4 3" xfId="98"/>
    <cellStyle name="Comma 2 2 4 3 2" xfId="99"/>
    <cellStyle name="Comma 2 2 4 3 3" xfId="100"/>
    <cellStyle name="Comma 2 2 4 4" xfId="101"/>
    <cellStyle name="Comma 2 2 4 5" xfId="102"/>
    <cellStyle name="Comma 2 2 4 6" xfId="103"/>
    <cellStyle name="Comma 2 2 5" xfId="104"/>
    <cellStyle name="Comma 2 2 5 2" xfId="105"/>
    <cellStyle name="Comma 2 2 5 2 2" xfId="106"/>
    <cellStyle name="Comma 2 2 5 2 3" xfId="107"/>
    <cellStyle name="Comma 2 2 5 3" xfId="108"/>
    <cellStyle name="Comma 2 2 5 4" xfId="109"/>
    <cellStyle name="Comma 2 2 6" xfId="110"/>
    <cellStyle name="Comma 2 2 6 2" xfId="111"/>
    <cellStyle name="Comma 2 2 6 3" xfId="112"/>
    <cellStyle name="Comma 2 2 7" xfId="113"/>
    <cellStyle name="Comma 2 2 8" xfId="114"/>
    <cellStyle name="Comma 2 2 9" xfId="115"/>
    <cellStyle name="Comma 2 20" xfId="16524"/>
    <cellStyle name="Comma 2 20 2" xfId="18552"/>
    <cellStyle name="Comma 2 20 2 2" xfId="19571"/>
    <cellStyle name="Comma 2 20 2 2 2" xfId="21581"/>
    <cellStyle name="Comma 2 20 2 2 3" xfId="23739"/>
    <cellStyle name="Comma 2 20 2 3" xfId="20705"/>
    <cellStyle name="Comma 2 20 2 4" xfId="22862"/>
    <cellStyle name="Comma 2 20 3" xfId="18936"/>
    <cellStyle name="Comma 2 20 3 2" xfId="21088"/>
    <cellStyle name="Comma 2 20 3 3" xfId="23245"/>
    <cellStyle name="Comma 2 20 4" xfId="20090"/>
    <cellStyle name="Comma 2 20 5" xfId="22206"/>
    <cellStyle name="Comma 2 21" xfId="4509"/>
    <cellStyle name="Comma 2 21 2" xfId="18087"/>
    <cellStyle name="Comma 2 21 2 2" xfId="19406"/>
    <cellStyle name="Comma 2 21 2 2 2" xfId="21416"/>
    <cellStyle name="Comma 2 21 2 2 3" xfId="23574"/>
    <cellStyle name="Comma 2 21 2 3" xfId="20539"/>
    <cellStyle name="Comma 2 21 2 4" xfId="22681"/>
    <cellStyle name="Comma 2 21 3" xfId="18952"/>
    <cellStyle name="Comma 2 21 3 2" xfId="21104"/>
    <cellStyle name="Comma 2 21 3 3" xfId="23261"/>
    <cellStyle name="Comma 2 21 4" xfId="19922"/>
    <cellStyle name="Comma 2 21 5" xfId="21917"/>
    <cellStyle name="Comma 2 22" xfId="16806"/>
    <cellStyle name="Comma 2 22 2" xfId="20309"/>
    <cellStyle name="Comma 2 22 3" xfId="22449"/>
    <cellStyle name="Comma 2 23" xfId="18770"/>
    <cellStyle name="Comma 2 23 2" xfId="20923"/>
    <cellStyle name="Comma 2 23 3" xfId="23080"/>
    <cellStyle name="Comma 2 3" xfId="116"/>
    <cellStyle name="Comma 2 3 2" xfId="117"/>
    <cellStyle name="Comma 2 3 2 2" xfId="4997"/>
    <cellStyle name="Comma 2 3 2 3" xfId="4998"/>
    <cellStyle name="Comma 2 3 2 4" xfId="4999"/>
    <cellStyle name="Comma 2 3 2 5" xfId="5000"/>
    <cellStyle name="Comma 2 3 2 6" xfId="4996"/>
    <cellStyle name="Comma 2 3 3" xfId="5001"/>
    <cellStyle name="Comma 2 3 3 2" xfId="5002"/>
    <cellStyle name="Comma 2 3 3 3" xfId="5003"/>
    <cellStyle name="Comma 2 3 3 4" xfId="5004"/>
    <cellStyle name="Comma 2 3 4" xfId="5005"/>
    <cellStyle name="Comma 2 3 4 2" xfId="5006"/>
    <cellStyle name="Comma 2 3 4 3" xfId="5007"/>
    <cellStyle name="Comma 2 3 5" xfId="5008"/>
    <cellStyle name="Comma 2 3 6" xfId="5009"/>
    <cellStyle name="Comma 2 3 7" xfId="5010"/>
    <cellStyle name="Comma 2 4" xfId="118"/>
    <cellStyle name="Comma 2 4 2" xfId="119"/>
    <cellStyle name="Comma 2 4 2 2" xfId="120"/>
    <cellStyle name="Comma 2 4 2 2 2" xfId="121"/>
    <cellStyle name="Comma 2 4 2 2 2 2" xfId="122"/>
    <cellStyle name="Comma 2 4 2 2 2 3" xfId="123"/>
    <cellStyle name="Comma 2 4 2 2 3" xfId="124"/>
    <cellStyle name="Comma 2 4 2 2 4" xfId="125"/>
    <cellStyle name="Comma 2 4 2 3" xfId="126"/>
    <cellStyle name="Comma 2 4 2 3 2" xfId="127"/>
    <cellStyle name="Comma 2 4 2 3 3" xfId="128"/>
    <cellStyle name="Comma 2 4 2 4" xfId="129"/>
    <cellStyle name="Comma 2 4 2 5" xfId="130"/>
    <cellStyle name="Comma 2 4 2 6" xfId="131"/>
    <cellStyle name="Comma 2 4 2 7" xfId="5012"/>
    <cellStyle name="Comma 2 4 3" xfId="132"/>
    <cellStyle name="Comma 2 4 3 2" xfId="133"/>
    <cellStyle name="Comma 2 4 3 2 2" xfId="134"/>
    <cellStyle name="Comma 2 4 3 2 3" xfId="135"/>
    <cellStyle name="Comma 2 4 3 3" xfId="136"/>
    <cellStyle name="Comma 2 4 3 4" xfId="137"/>
    <cellStyle name="Comma 2 4 3 5" xfId="5013"/>
    <cellStyle name="Comma 2 4 4" xfId="138"/>
    <cellStyle name="Comma 2 4 4 2" xfId="139"/>
    <cellStyle name="Comma 2 4 4 3" xfId="140"/>
    <cellStyle name="Comma 2 4 4 4" xfId="5014"/>
    <cellStyle name="Comma 2 4 5" xfId="141"/>
    <cellStyle name="Comma 2 4 5 2" xfId="5015"/>
    <cellStyle name="Comma 2 4 6" xfId="142"/>
    <cellStyle name="Comma 2 4 6 2" xfId="5016"/>
    <cellStyle name="Comma 2 4 7" xfId="143"/>
    <cellStyle name="Comma 2 4 8" xfId="5011"/>
    <cellStyle name="Comma 2 5" xfId="144"/>
    <cellStyle name="Comma 2 5 2" xfId="145"/>
    <cellStyle name="Comma 2 5 2 2" xfId="146"/>
    <cellStyle name="Comma 2 5 2 2 2" xfId="147"/>
    <cellStyle name="Comma 2 5 2 2 3" xfId="148"/>
    <cellStyle name="Comma 2 5 2 3" xfId="149"/>
    <cellStyle name="Comma 2 5 2 4" xfId="150"/>
    <cellStyle name="Comma 2 5 2 5" xfId="5018"/>
    <cellStyle name="Comma 2 5 3" xfId="151"/>
    <cellStyle name="Comma 2 5 3 2" xfId="152"/>
    <cellStyle name="Comma 2 5 3 3" xfId="153"/>
    <cellStyle name="Comma 2 5 3 4" xfId="5019"/>
    <cellStyle name="Comma 2 5 4" xfId="154"/>
    <cellStyle name="Comma 2 5 4 2" xfId="5020"/>
    <cellStyle name="Comma 2 5 5" xfId="155"/>
    <cellStyle name="Comma 2 5 6" xfId="156"/>
    <cellStyle name="Comma 2 5 7" xfId="5017"/>
    <cellStyle name="Comma 2 6" xfId="157"/>
    <cellStyle name="Comma 2 6 2" xfId="158"/>
    <cellStyle name="Comma 2 6 2 2" xfId="159"/>
    <cellStyle name="Comma 2 6 2 2 2" xfId="160"/>
    <cellStyle name="Comma 2 6 2 2 3" xfId="161"/>
    <cellStyle name="Comma 2 6 2 3" xfId="162"/>
    <cellStyle name="Comma 2 6 2 4" xfId="163"/>
    <cellStyle name="Comma 2 6 2 5" xfId="5022"/>
    <cellStyle name="Comma 2 6 3" xfId="164"/>
    <cellStyle name="Comma 2 6 3 2" xfId="165"/>
    <cellStyle name="Comma 2 6 3 3" xfId="166"/>
    <cellStyle name="Comma 2 6 3 4" xfId="5023"/>
    <cellStyle name="Comma 2 6 4" xfId="167"/>
    <cellStyle name="Comma 2 6 4 2" xfId="5024"/>
    <cellStyle name="Comma 2 6 5" xfId="168"/>
    <cellStyle name="Comma 2 6 6" xfId="169"/>
    <cellStyle name="Comma 2 6 7" xfId="5021"/>
    <cellStyle name="Comma 2 7" xfId="170"/>
    <cellStyle name="Comma 2 7 2" xfId="171"/>
    <cellStyle name="Comma 2 7 2 2" xfId="172"/>
    <cellStyle name="Comma 2 7 2 3" xfId="173"/>
    <cellStyle name="Comma 2 7 2 4" xfId="5026"/>
    <cellStyle name="Comma 2 7 3" xfId="174"/>
    <cellStyle name="Comma 2 7 3 2" xfId="5027"/>
    <cellStyle name="Comma 2 7 4" xfId="175"/>
    <cellStyle name="Comma 2 7 5" xfId="5025"/>
    <cellStyle name="Comma 2 8" xfId="176"/>
    <cellStyle name="Comma 2 8 2" xfId="177"/>
    <cellStyle name="Comma 2 8 3" xfId="178"/>
    <cellStyle name="Comma 2 8 4" xfId="5028"/>
    <cellStyle name="Comma 2 9" xfId="179"/>
    <cellStyle name="Comma 2 9 2" xfId="5029"/>
    <cellStyle name="Comma 20" xfId="16523"/>
    <cellStyle name="Comma 21" xfId="4508"/>
    <cellStyle name="Comma 22" xfId="19315"/>
    <cellStyle name="Comma 23" xfId="19866"/>
    <cellStyle name="Comma 24" xfId="20085"/>
    <cellStyle name="Comma 3" xfId="180"/>
    <cellStyle name="Comma 3 10" xfId="181"/>
    <cellStyle name="Comma 3 11" xfId="182"/>
    <cellStyle name="Comma 3 12" xfId="183"/>
    <cellStyle name="Comma 3 13" xfId="184"/>
    <cellStyle name="Comma 3 14" xfId="185"/>
    <cellStyle name="Comma 3 15" xfId="186"/>
    <cellStyle name="Comma 3 16" xfId="5030"/>
    <cellStyle name="Comma 3 2" xfId="187"/>
    <cellStyle name="Comma 3 2 10" xfId="188"/>
    <cellStyle name="Comma 3 2 11" xfId="189"/>
    <cellStyle name="Comma 3 2 12" xfId="190"/>
    <cellStyle name="Comma 3 2 13" xfId="191"/>
    <cellStyle name="Comma 3 2 14" xfId="5031"/>
    <cellStyle name="Comma 3 2 2" xfId="192"/>
    <cellStyle name="Comma 3 2 2 10" xfId="193"/>
    <cellStyle name="Comma 3 2 2 11" xfId="194"/>
    <cellStyle name="Comma 3 2 2 12" xfId="195"/>
    <cellStyle name="Comma 3 2 2 13" xfId="196"/>
    <cellStyle name="Comma 3 2 2 14" xfId="197"/>
    <cellStyle name="Comma 3 2 2 15" xfId="4455"/>
    <cellStyle name="Comma 3 2 2 15 10" xfId="19874"/>
    <cellStyle name="Comma 3 2 2 15 11" xfId="21867"/>
    <cellStyle name="Comma 3 2 2 15 2" xfId="4763"/>
    <cellStyle name="Comma 3 2 2 15 2 2" xfId="16641"/>
    <cellStyle name="Comma 3 2 2 15 2 2 2" xfId="18663"/>
    <cellStyle name="Comma 3 2 2 15 2 2 2 2" xfId="19682"/>
    <cellStyle name="Comma 3 2 2 15 2 2 2 2 2" xfId="21692"/>
    <cellStyle name="Comma 3 2 2 15 2 2 2 2 3" xfId="23850"/>
    <cellStyle name="Comma 3 2 2 15 2 2 2 3" xfId="20816"/>
    <cellStyle name="Comma 3 2 2 15 2 2 2 4" xfId="22973"/>
    <cellStyle name="Comma 3 2 2 15 2 2 3" xfId="19150"/>
    <cellStyle name="Comma 3 2 2 15 2 2 3 2" xfId="21283"/>
    <cellStyle name="Comma 3 2 2 15 2 2 3 3" xfId="23440"/>
    <cellStyle name="Comma 3 2 2 15 2 2 4" xfId="20201"/>
    <cellStyle name="Comma 3 2 2 15 2 2 5" xfId="22318"/>
    <cellStyle name="Comma 3 2 2 15 2 3" xfId="18226"/>
    <cellStyle name="Comma 3 2 2 15 2 3 2" xfId="19517"/>
    <cellStyle name="Comma 3 2 2 15 2 3 2 2" xfId="21527"/>
    <cellStyle name="Comma 3 2 2 15 2 3 2 3" xfId="23685"/>
    <cellStyle name="Comma 3 2 2 15 2 3 3" xfId="20650"/>
    <cellStyle name="Comma 3 2 2 15 2 3 4" xfId="22792"/>
    <cellStyle name="Comma 3 2 2 15 2 4" xfId="17919"/>
    <cellStyle name="Comma 3 2 2 15 2 4 2" xfId="20378"/>
    <cellStyle name="Comma 3 2 2 15 2 4 3" xfId="22518"/>
    <cellStyle name="Comma 3 2 2 15 2 5" xfId="18882"/>
    <cellStyle name="Comma 3 2 2 15 2 5 2" xfId="21034"/>
    <cellStyle name="Comma 3 2 2 15 2 5 3" xfId="23191"/>
    <cellStyle name="Comma 3 2 2 15 2 6" xfId="20033"/>
    <cellStyle name="Comma 3 2 2 15 2 7" xfId="22028"/>
    <cellStyle name="Comma 3 2 2 15 3" xfId="16588"/>
    <cellStyle name="Comma 3 2 2 15 3 2" xfId="18610"/>
    <cellStyle name="Comma 3 2 2 15 3 2 2" xfId="19629"/>
    <cellStyle name="Comma 3 2 2 15 3 2 2 2" xfId="21639"/>
    <cellStyle name="Comma 3 2 2 15 3 2 2 3" xfId="23797"/>
    <cellStyle name="Comma 3 2 2 15 3 2 3" xfId="20763"/>
    <cellStyle name="Comma 3 2 2 15 3 2 4" xfId="22920"/>
    <cellStyle name="Comma 3 2 2 15 3 3" xfId="17977"/>
    <cellStyle name="Comma 3 2 2 15 3 3 2" xfId="20431"/>
    <cellStyle name="Comma 3 2 2 15 3 3 3" xfId="22571"/>
    <cellStyle name="Comma 3 2 2 15 3 4" xfId="19096"/>
    <cellStyle name="Comma 3 2 2 15 3 4 2" xfId="21229"/>
    <cellStyle name="Comma 3 2 2 15 3 4 3" xfId="23386"/>
    <cellStyle name="Comma 3 2 2 15 3 5" xfId="20148"/>
    <cellStyle name="Comma 3 2 2 15 3 6" xfId="22265"/>
    <cellStyle name="Comma 3 2 2 15 4" xfId="4663"/>
    <cellStyle name="Comma 3 2 2 15 4 2" xfId="18173"/>
    <cellStyle name="Comma 3 2 2 15 4 2 2" xfId="19464"/>
    <cellStyle name="Comma 3 2 2 15 4 2 2 2" xfId="21474"/>
    <cellStyle name="Comma 3 2 2 15 4 2 2 3" xfId="23632"/>
    <cellStyle name="Comma 3 2 2 15 4 2 3" xfId="20597"/>
    <cellStyle name="Comma 3 2 2 15 4 2 4" xfId="22739"/>
    <cellStyle name="Comma 3 2 2 15 4 3" xfId="19049"/>
    <cellStyle name="Comma 3 2 2 15 4 3 2" xfId="21190"/>
    <cellStyle name="Comma 3 2 2 15 4 3 3" xfId="23347"/>
    <cellStyle name="Comma 3 2 2 15 4 4" xfId="19980"/>
    <cellStyle name="Comma 3 2 2 15 4 5" xfId="21975"/>
    <cellStyle name="Comma 3 2 2 15 5" xfId="16719"/>
    <cellStyle name="Comma 3 2 2 15 5 2" xfId="18723"/>
    <cellStyle name="Comma 3 2 2 15 5 2 2" xfId="20876"/>
    <cellStyle name="Comma 3 2 2 15 5 2 3" xfId="23033"/>
    <cellStyle name="Comma 3 2 2 15 5 3" xfId="19743"/>
    <cellStyle name="Comma 3 2 2 15 5 3 2" xfId="21753"/>
    <cellStyle name="Comma 3 2 2 15 5 3 3" xfId="23911"/>
    <cellStyle name="Comma 3 2 2 15 5 4" xfId="20262"/>
    <cellStyle name="Comma 3 2 2 15 5 5" xfId="22390"/>
    <cellStyle name="Comma 3 2 2 15 6" xfId="18039"/>
    <cellStyle name="Comma 3 2 2 15 6 2" xfId="19358"/>
    <cellStyle name="Comma 3 2 2 15 6 2 2" xfId="21368"/>
    <cellStyle name="Comma 3 2 2 15 6 2 3" xfId="23526"/>
    <cellStyle name="Comma 3 2 2 15 6 3" xfId="20491"/>
    <cellStyle name="Comma 3 2 2 15 6 4" xfId="22633"/>
    <cellStyle name="Comma 3 2 2 15 7" xfId="16864"/>
    <cellStyle name="Comma 3 2 2 15 8" xfId="18829"/>
    <cellStyle name="Comma 3 2 2 15 8 2" xfId="20981"/>
    <cellStyle name="Comma 3 2 2 15 8 3" xfId="23138"/>
    <cellStyle name="Comma 3 2 2 15 9" xfId="19797"/>
    <cellStyle name="Comma 3 2 2 15 9 2" xfId="21806"/>
    <cellStyle name="Comma 3 2 2 15 9 3" xfId="23964"/>
    <cellStyle name="Comma 3 2 2 16" xfId="4566"/>
    <cellStyle name="Comma 3 2 2 17" xfId="5032"/>
    <cellStyle name="Comma 3 2 2 18" xfId="16526"/>
    <cellStyle name="Comma 3 2 2 18 2" xfId="18554"/>
    <cellStyle name="Comma 3 2 2 18 2 2" xfId="19573"/>
    <cellStyle name="Comma 3 2 2 18 2 2 2" xfId="21583"/>
    <cellStyle name="Comma 3 2 2 18 2 2 3" xfId="23741"/>
    <cellStyle name="Comma 3 2 2 18 2 3" xfId="20707"/>
    <cellStyle name="Comma 3 2 2 18 2 4" xfId="22864"/>
    <cellStyle name="Comma 3 2 2 18 3" xfId="18938"/>
    <cellStyle name="Comma 3 2 2 18 3 2" xfId="21090"/>
    <cellStyle name="Comma 3 2 2 18 3 3" xfId="23247"/>
    <cellStyle name="Comma 3 2 2 18 4" xfId="20092"/>
    <cellStyle name="Comma 3 2 2 18 5" xfId="22208"/>
    <cellStyle name="Comma 3 2 2 19" xfId="4511"/>
    <cellStyle name="Comma 3 2 2 19 2" xfId="18089"/>
    <cellStyle name="Comma 3 2 2 19 2 2" xfId="19408"/>
    <cellStyle name="Comma 3 2 2 19 2 2 2" xfId="21418"/>
    <cellStyle name="Comma 3 2 2 19 2 2 3" xfId="23576"/>
    <cellStyle name="Comma 3 2 2 19 2 3" xfId="20541"/>
    <cellStyle name="Comma 3 2 2 19 2 4" xfId="22683"/>
    <cellStyle name="Comma 3 2 2 19 3" xfId="19041"/>
    <cellStyle name="Comma 3 2 2 19 3 2" xfId="21182"/>
    <cellStyle name="Comma 3 2 2 19 3 3" xfId="23339"/>
    <cellStyle name="Comma 3 2 2 19 4" xfId="19924"/>
    <cellStyle name="Comma 3 2 2 19 5" xfId="21919"/>
    <cellStyle name="Comma 3 2 2 2" xfId="198"/>
    <cellStyle name="Comma 3 2 2 2 2" xfId="199"/>
    <cellStyle name="Comma 3 2 2 2 2 2" xfId="200"/>
    <cellStyle name="Comma 3 2 2 2 2 2 2" xfId="201"/>
    <cellStyle name="Comma 3 2 2 2 2 2 2 2" xfId="202"/>
    <cellStyle name="Comma 3 2 2 2 2 2 2 3" xfId="203"/>
    <cellStyle name="Comma 3 2 2 2 2 2 3" xfId="204"/>
    <cellStyle name="Comma 3 2 2 2 2 2 4" xfId="205"/>
    <cellStyle name="Comma 3 2 2 2 2 3" xfId="206"/>
    <cellStyle name="Comma 3 2 2 2 2 3 2" xfId="207"/>
    <cellStyle name="Comma 3 2 2 2 2 3 3" xfId="208"/>
    <cellStyle name="Comma 3 2 2 2 2 4" xfId="209"/>
    <cellStyle name="Comma 3 2 2 2 2 5" xfId="210"/>
    <cellStyle name="Comma 3 2 2 2 2 6" xfId="211"/>
    <cellStyle name="Comma 3 2 2 2 3" xfId="212"/>
    <cellStyle name="Comma 3 2 2 2 3 2" xfId="213"/>
    <cellStyle name="Comma 3 2 2 2 3 2 2" xfId="214"/>
    <cellStyle name="Comma 3 2 2 2 3 2 3" xfId="215"/>
    <cellStyle name="Comma 3 2 2 2 3 3" xfId="216"/>
    <cellStyle name="Comma 3 2 2 2 3 4" xfId="217"/>
    <cellStyle name="Comma 3 2 2 2 4" xfId="218"/>
    <cellStyle name="Comma 3 2 2 2 4 2" xfId="219"/>
    <cellStyle name="Comma 3 2 2 2 4 3" xfId="220"/>
    <cellStyle name="Comma 3 2 2 2 5" xfId="221"/>
    <cellStyle name="Comma 3 2 2 2 6" xfId="222"/>
    <cellStyle name="Comma 3 2 2 2 7" xfId="223"/>
    <cellStyle name="Comma 3 2 2 20" xfId="16808"/>
    <cellStyle name="Comma 3 2 2 20 2" xfId="20311"/>
    <cellStyle name="Comma 3 2 2 20 3" xfId="22451"/>
    <cellStyle name="Comma 3 2 2 21" xfId="18772"/>
    <cellStyle name="Comma 3 2 2 21 2" xfId="20925"/>
    <cellStyle name="Comma 3 2 2 21 3" xfId="23082"/>
    <cellStyle name="Comma 3 2 2 3" xfId="224"/>
    <cellStyle name="Comma 3 2 2 3 2" xfId="225"/>
    <cellStyle name="Comma 3 2 2 3 2 2" xfId="226"/>
    <cellStyle name="Comma 3 2 2 3 2 2 2" xfId="227"/>
    <cellStyle name="Comma 3 2 2 3 2 2 3" xfId="228"/>
    <cellStyle name="Comma 3 2 2 3 2 3" xfId="229"/>
    <cellStyle name="Comma 3 2 2 3 2 4" xfId="230"/>
    <cellStyle name="Comma 3 2 2 3 3" xfId="231"/>
    <cellStyle name="Comma 3 2 2 3 3 2" xfId="232"/>
    <cellStyle name="Comma 3 2 2 3 3 3" xfId="233"/>
    <cellStyle name="Comma 3 2 2 3 4" xfId="234"/>
    <cellStyle name="Comma 3 2 2 3 5" xfId="235"/>
    <cellStyle name="Comma 3 2 2 3 6" xfId="236"/>
    <cellStyle name="Comma 3 2 2 4" xfId="237"/>
    <cellStyle name="Comma 3 2 2 4 2" xfId="238"/>
    <cellStyle name="Comma 3 2 2 4 2 2" xfId="239"/>
    <cellStyle name="Comma 3 2 2 4 2 2 2" xfId="240"/>
    <cellStyle name="Comma 3 2 2 4 2 2 3" xfId="241"/>
    <cellStyle name="Comma 3 2 2 4 2 3" xfId="242"/>
    <cellStyle name="Comma 3 2 2 4 2 4" xfId="243"/>
    <cellStyle name="Comma 3 2 2 4 3" xfId="244"/>
    <cellStyle name="Comma 3 2 2 4 3 2" xfId="245"/>
    <cellStyle name="Comma 3 2 2 4 3 3" xfId="246"/>
    <cellStyle name="Comma 3 2 2 4 4" xfId="247"/>
    <cellStyle name="Comma 3 2 2 4 5" xfId="248"/>
    <cellStyle name="Comma 3 2 2 4 6" xfId="249"/>
    <cellStyle name="Comma 3 2 2 5" xfId="250"/>
    <cellStyle name="Comma 3 2 2 5 2" xfId="251"/>
    <cellStyle name="Comma 3 2 2 5 2 2" xfId="252"/>
    <cellStyle name="Comma 3 2 2 5 2 3" xfId="253"/>
    <cellStyle name="Comma 3 2 2 5 3" xfId="254"/>
    <cellStyle name="Comma 3 2 2 5 4" xfId="255"/>
    <cellStyle name="Comma 3 2 2 6" xfId="256"/>
    <cellStyle name="Comma 3 2 2 6 2" xfId="257"/>
    <cellStyle name="Comma 3 2 2 6 3" xfId="258"/>
    <cellStyle name="Comma 3 2 2 7" xfId="259"/>
    <cellStyle name="Comma 3 2 2 8" xfId="260"/>
    <cellStyle name="Comma 3 2 2 9" xfId="261"/>
    <cellStyle name="Comma 3 2 3" xfId="262"/>
    <cellStyle name="Comma 3 2 3 2" xfId="263"/>
    <cellStyle name="Comma 3 2 3 2 2" xfId="264"/>
    <cellStyle name="Comma 3 2 3 2 2 2" xfId="265"/>
    <cellStyle name="Comma 3 2 3 2 2 2 2" xfId="266"/>
    <cellStyle name="Comma 3 2 3 2 2 2 3" xfId="267"/>
    <cellStyle name="Comma 3 2 3 2 2 3" xfId="268"/>
    <cellStyle name="Comma 3 2 3 2 2 4" xfId="269"/>
    <cellStyle name="Comma 3 2 3 2 3" xfId="270"/>
    <cellStyle name="Comma 3 2 3 2 3 2" xfId="271"/>
    <cellStyle name="Comma 3 2 3 2 3 3" xfId="272"/>
    <cellStyle name="Comma 3 2 3 2 4" xfId="273"/>
    <cellStyle name="Comma 3 2 3 2 5" xfId="274"/>
    <cellStyle name="Comma 3 2 3 2 6" xfId="275"/>
    <cellStyle name="Comma 3 2 3 3" xfId="276"/>
    <cellStyle name="Comma 3 2 3 3 2" xfId="277"/>
    <cellStyle name="Comma 3 2 3 3 2 2" xfId="278"/>
    <cellStyle name="Comma 3 2 3 3 2 3" xfId="279"/>
    <cellStyle name="Comma 3 2 3 3 3" xfId="280"/>
    <cellStyle name="Comma 3 2 3 3 4" xfId="281"/>
    <cellStyle name="Comma 3 2 3 4" xfId="282"/>
    <cellStyle name="Comma 3 2 3 4 2" xfId="283"/>
    <cellStyle name="Comma 3 2 3 4 3" xfId="284"/>
    <cellStyle name="Comma 3 2 3 5" xfId="285"/>
    <cellStyle name="Comma 3 2 3 6" xfId="286"/>
    <cellStyle name="Comma 3 2 3 7" xfId="287"/>
    <cellStyle name="Comma 3 2 3 8" xfId="288"/>
    <cellStyle name="Comma 3 2 3 9" xfId="5033"/>
    <cellStyle name="Comma 3 2 4" xfId="289"/>
    <cellStyle name="Comma 3 2 4 10" xfId="290"/>
    <cellStyle name="Comma 3 2 4 11" xfId="4456"/>
    <cellStyle name="Comma 3 2 4 11 10" xfId="19875"/>
    <cellStyle name="Comma 3 2 4 11 11" xfId="21868"/>
    <cellStyle name="Comma 3 2 4 11 2" xfId="4764"/>
    <cellStyle name="Comma 3 2 4 11 2 2" xfId="16642"/>
    <cellStyle name="Comma 3 2 4 11 2 2 2" xfId="18664"/>
    <cellStyle name="Comma 3 2 4 11 2 2 2 2" xfId="19683"/>
    <cellStyle name="Comma 3 2 4 11 2 2 2 2 2" xfId="21693"/>
    <cellStyle name="Comma 3 2 4 11 2 2 2 2 3" xfId="23851"/>
    <cellStyle name="Comma 3 2 4 11 2 2 2 3" xfId="20817"/>
    <cellStyle name="Comma 3 2 4 11 2 2 2 4" xfId="22974"/>
    <cellStyle name="Comma 3 2 4 11 2 2 3" xfId="19151"/>
    <cellStyle name="Comma 3 2 4 11 2 2 3 2" xfId="21284"/>
    <cellStyle name="Comma 3 2 4 11 2 2 3 3" xfId="23441"/>
    <cellStyle name="Comma 3 2 4 11 2 2 4" xfId="20202"/>
    <cellStyle name="Comma 3 2 4 11 2 2 5" xfId="22319"/>
    <cellStyle name="Comma 3 2 4 11 2 3" xfId="18227"/>
    <cellStyle name="Comma 3 2 4 11 2 3 2" xfId="19518"/>
    <cellStyle name="Comma 3 2 4 11 2 3 2 2" xfId="21528"/>
    <cellStyle name="Comma 3 2 4 11 2 3 2 3" xfId="23686"/>
    <cellStyle name="Comma 3 2 4 11 2 3 3" xfId="20651"/>
    <cellStyle name="Comma 3 2 4 11 2 3 4" xfId="22793"/>
    <cellStyle name="Comma 3 2 4 11 2 4" xfId="17920"/>
    <cellStyle name="Comma 3 2 4 11 2 4 2" xfId="20379"/>
    <cellStyle name="Comma 3 2 4 11 2 4 3" xfId="22519"/>
    <cellStyle name="Comma 3 2 4 11 2 5" xfId="18883"/>
    <cellStyle name="Comma 3 2 4 11 2 5 2" xfId="21035"/>
    <cellStyle name="Comma 3 2 4 11 2 5 3" xfId="23192"/>
    <cellStyle name="Comma 3 2 4 11 2 6" xfId="20034"/>
    <cellStyle name="Comma 3 2 4 11 2 7" xfId="22029"/>
    <cellStyle name="Comma 3 2 4 11 3" xfId="16589"/>
    <cellStyle name="Comma 3 2 4 11 3 2" xfId="18611"/>
    <cellStyle name="Comma 3 2 4 11 3 2 2" xfId="19630"/>
    <cellStyle name="Comma 3 2 4 11 3 2 2 2" xfId="21640"/>
    <cellStyle name="Comma 3 2 4 11 3 2 2 3" xfId="23798"/>
    <cellStyle name="Comma 3 2 4 11 3 2 3" xfId="20764"/>
    <cellStyle name="Comma 3 2 4 11 3 2 4" xfId="22921"/>
    <cellStyle name="Comma 3 2 4 11 3 3" xfId="17978"/>
    <cellStyle name="Comma 3 2 4 11 3 3 2" xfId="20432"/>
    <cellStyle name="Comma 3 2 4 11 3 3 3" xfId="22572"/>
    <cellStyle name="Comma 3 2 4 11 3 4" xfId="19097"/>
    <cellStyle name="Comma 3 2 4 11 3 4 2" xfId="21230"/>
    <cellStyle name="Comma 3 2 4 11 3 4 3" xfId="23387"/>
    <cellStyle name="Comma 3 2 4 11 3 5" xfId="20149"/>
    <cellStyle name="Comma 3 2 4 11 3 6" xfId="22266"/>
    <cellStyle name="Comma 3 2 4 11 4" xfId="4664"/>
    <cellStyle name="Comma 3 2 4 11 4 2" xfId="18174"/>
    <cellStyle name="Comma 3 2 4 11 4 2 2" xfId="19465"/>
    <cellStyle name="Comma 3 2 4 11 4 2 2 2" xfId="21475"/>
    <cellStyle name="Comma 3 2 4 11 4 2 2 3" xfId="23633"/>
    <cellStyle name="Comma 3 2 4 11 4 2 3" xfId="20598"/>
    <cellStyle name="Comma 3 2 4 11 4 2 4" xfId="22740"/>
    <cellStyle name="Comma 3 2 4 11 4 3" xfId="19050"/>
    <cellStyle name="Comma 3 2 4 11 4 3 2" xfId="21191"/>
    <cellStyle name="Comma 3 2 4 11 4 3 3" xfId="23348"/>
    <cellStyle name="Comma 3 2 4 11 4 4" xfId="19981"/>
    <cellStyle name="Comma 3 2 4 11 4 5" xfId="21976"/>
    <cellStyle name="Comma 3 2 4 11 5" xfId="16720"/>
    <cellStyle name="Comma 3 2 4 11 5 2" xfId="18724"/>
    <cellStyle name="Comma 3 2 4 11 5 2 2" xfId="20877"/>
    <cellStyle name="Comma 3 2 4 11 5 2 3" xfId="23034"/>
    <cellStyle name="Comma 3 2 4 11 5 3" xfId="19744"/>
    <cellStyle name="Comma 3 2 4 11 5 3 2" xfId="21754"/>
    <cellStyle name="Comma 3 2 4 11 5 3 3" xfId="23912"/>
    <cellStyle name="Comma 3 2 4 11 5 4" xfId="20263"/>
    <cellStyle name="Comma 3 2 4 11 5 5" xfId="22391"/>
    <cellStyle name="Comma 3 2 4 11 6" xfId="18040"/>
    <cellStyle name="Comma 3 2 4 11 6 2" xfId="19359"/>
    <cellStyle name="Comma 3 2 4 11 6 2 2" xfId="21369"/>
    <cellStyle name="Comma 3 2 4 11 6 2 3" xfId="23527"/>
    <cellStyle name="Comma 3 2 4 11 6 3" xfId="20492"/>
    <cellStyle name="Comma 3 2 4 11 6 4" xfId="22634"/>
    <cellStyle name="Comma 3 2 4 11 7" xfId="16865"/>
    <cellStyle name="Comma 3 2 4 11 8" xfId="18830"/>
    <cellStyle name="Comma 3 2 4 11 8 2" xfId="20982"/>
    <cellStyle name="Comma 3 2 4 11 8 3" xfId="23139"/>
    <cellStyle name="Comma 3 2 4 11 9" xfId="19798"/>
    <cellStyle name="Comma 3 2 4 11 9 2" xfId="21807"/>
    <cellStyle name="Comma 3 2 4 11 9 3" xfId="23965"/>
    <cellStyle name="Comma 3 2 4 12" xfId="4567"/>
    <cellStyle name="Comma 3 2 4 13" xfId="5034"/>
    <cellStyle name="Comma 3 2 4 14" xfId="16527"/>
    <cellStyle name="Comma 3 2 4 14 2" xfId="18555"/>
    <cellStyle name="Comma 3 2 4 14 2 2" xfId="19574"/>
    <cellStyle name="Comma 3 2 4 14 2 2 2" xfId="21584"/>
    <cellStyle name="Comma 3 2 4 14 2 2 3" xfId="23742"/>
    <cellStyle name="Comma 3 2 4 14 2 3" xfId="20708"/>
    <cellStyle name="Comma 3 2 4 14 2 4" xfId="22865"/>
    <cellStyle name="Comma 3 2 4 14 3" xfId="18939"/>
    <cellStyle name="Comma 3 2 4 14 3 2" xfId="21091"/>
    <cellStyle name="Comma 3 2 4 14 3 3" xfId="23248"/>
    <cellStyle name="Comma 3 2 4 14 4" xfId="20093"/>
    <cellStyle name="Comma 3 2 4 14 5" xfId="22209"/>
    <cellStyle name="Comma 3 2 4 15" xfId="4512"/>
    <cellStyle name="Comma 3 2 4 15 2" xfId="18090"/>
    <cellStyle name="Comma 3 2 4 15 2 2" xfId="19409"/>
    <cellStyle name="Comma 3 2 4 15 2 2 2" xfId="21419"/>
    <cellStyle name="Comma 3 2 4 15 2 2 3" xfId="23577"/>
    <cellStyle name="Comma 3 2 4 15 2 3" xfId="20542"/>
    <cellStyle name="Comma 3 2 4 15 2 4" xfId="22684"/>
    <cellStyle name="Comma 3 2 4 15 3" xfId="18954"/>
    <cellStyle name="Comma 3 2 4 15 3 2" xfId="21106"/>
    <cellStyle name="Comma 3 2 4 15 3 3" xfId="23263"/>
    <cellStyle name="Comma 3 2 4 15 4" xfId="19925"/>
    <cellStyle name="Comma 3 2 4 15 5" xfId="21920"/>
    <cellStyle name="Comma 3 2 4 16" xfId="16809"/>
    <cellStyle name="Comma 3 2 4 16 2" xfId="20312"/>
    <cellStyle name="Comma 3 2 4 16 3" xfId="22452"/>
    <cellStyle name="Comma 3 2 4 17" xfId="18773"/>
    <cellStyle name="Comma 3 2 4 17 2" xfId="20926"/>
    <cellStyle name="Comma 3 2 4 17 3" xfId="23083"/>
    <cellStyle name="Comma 3 2 4 2" xfId="291"/>
    <cellStyle name="Comma 3 2 4 2 2" xfId="292"/>
    <cellStyle name="Comma 3 2 4 2 2 2" xfId="293"/>
    <cellStyle name="Comma 3 2 4 2 2 3" xfId="294"/>
    <cellStyle name="Comma 3 2 4 2 3" xfId="295"/>
    <cellStyle name="Comma 3 2 4 2 4" xfId="296"/>
    <cellStyle name="Comma 3 2 4 3" xfId="297"/>
    <cellStyle name="Comma 3 2 4 3 2" xfId="298"/>
    <cellStyle name="Comma 3 2 4 3 3" xfId="299"/>
    <cellStyle name="Comma 3 2 4 4" xfId="300"/>
    <cellStyle name="Comma 3 2 4 5" xfId="301"/>
    <cellStyle name="Comma 3 2 4 6" xfId="302"/>
    <cellStyle name="Comma 3 2 4 7" xfId="303"/>
    <cellStyle name="Comma 3 2 4 8" xfId="304"/>
    <cellStyle name="Comma 3 2 4 9" xfId="305"/>
    <cellStyle name="Comma 3 2 5" xfId="306"/>
    <cellStyle name="Comma 3 2 5 2" xfId="307"/>
    <cellStyle name="Comma 3 2 5 2 2" xfId="308"/>
    <cellStyle name="Comma 3 2 5 2 2 2" xfId="309"/>
    <cellStyle name="Comma 3 2 5 2 2 3" xfId="310"/>
    <cellStyle name="Comma 3 2 5 2 3" xfId="311"/>
    <cellStyle name="Comma 3 2 5 2 4" xfId="312"/>
    <cellStyle name="Comma 3 2 5 3" xfId="313"/>
    <cellStyle name="Comma 3 2 5 3 2" xfId="314"/>
    <cellStyle name="Comma 3 2 5 3 3" xfId="315"/>
    <cellStyle name="Comma 3 2 5 4" xfId="316"/>
    <cellStyle name="Comma 3 2 5 5" xfId="317"/>
    <cellStyle name="Comma 3 2 5 6" xfId="318"/>
    <cellStyle name="Comma 3 2 6" xfId="319"/>
    <cellStyle name="Comma 3 2 6 2" xfId="320"/>
    <cellStyle name="Comma 3 2 6 2 2" xfId="321"/>
    <cellStyle name="Comma 3 2 6 2 3" xfId="322"/>
    <cellStyle name="Comma 3 2 6 3" xfId="323"/>
    <cellStyle name="Comma 3 2 6 4" xfId="324"/>
    <cellStyle name="Comma 3 2 7" xfId="325"/>
    <cellStyle name="Comma 3 2 7 2" xfId="326"/>
    <cellStyle name="Comma 3 2 7 3" xfId="327"/>
    <cellStyle name="Comma 3 2 8" xfId="328"/>
    <cellStyle name="Comma 3 2 9" xfId="329"/>
    <cellStyle name="Comma 3 3" xfId="330"/>
    <cellStyle name="Comma 3 3 10" xfId="331"/>
    <cellStyle name="Comma 3 3 11" xfId="332"/>
    <cellStyle name="Comma 3 3 12" xfId="333"/>
    <cellStyle name="Comma 3 3 13" xfId="334"/>
    <cellStyle name="Comma 3 3 14" xfId="335"/>
    <cellStyle name="Comma 3 3 15" xfId="5035"/>
    <cellStyle name="Comma 3 3 15 2" xfId="18292"/>
    <cellStyle name="Comma 3 3 15 3" xfId="16866"/>
    <cellStyle name="Comma 3 3 16" xfId="16528"/>
    <cellStyle name="Comma 3 3 16 2" xfId="18556"/>
    <cellStyle name="Comma 3 3 16 2 2" xfId="19575"/>
    <cellStyle name="Comma 3 3 16 2 2 2" xfId="21585"/>
    <cellStyle name="Comma 3 3 16 2 2 3" xfId="23743"/>
    <cellStyle name="Comma 3 3 16 2 3" xfId="20709"/>
    <cellStyle name="Comma 3 3 16 2 4" xfId="22866"/>
    <cellStyle name="Comma 3 3 16 3" xfId="18940"/>
    <cellStyle name="Comma 3 3 16 3 2" xfId="21092"/>
    <cellStyle name="Comma 3 3 16 3 3" xfId="23249"/>
    <cellStyle name="Comma 3 3 16 4" xfId="20094"/>
    <cellStyle name="Comma 3 3 16 5" xfId="22210"/>
    <cellStyle name="Comma 3 3 17" xfId="4513"/>
    <cellStyle name="Comma 3 3 17 2" xfId="18091"/>
    <cellStyle name="Comma 3 3 17 2 2" xfId="19410"/>
    <cellStyle name="Comma 3 3 17 2 2 2" xfId="21420"/>
    <cellStyle name="Comma 3 3 17 2 2 3" xfId="23578"/>
    <cellStyle name="Comma 3 3 17 2 3" xfId="20543"/>
    <cellStyle name="Comma 3 3 17 2 4" xfId="22685"/>
    <cellStyle name="Comma 3 3 17 3" xfId="18955"/>
    <cellStyle name="Comma 3 3 17 3 2" xfId="21107"/>
    <cellStyle name="Comma 3 3 17 3 3" xfId="23264"/>
    <cellStyle name="Comma 3 3 17 4" xfId="19926"/>
    <cellStyle name="Comma 3 3 17 5" xfId="21921"/>
    <cellStyle name="Comma 3 3 18" xfId="16810"/>
    <cellStyle name="Comma 3 3 18 2" xfId="20313"/>
    <cellStyle name="Comma 3 3 18 3" xfId="22453"/>
    <cellStyle name="Comma 3 3 19" xfId="18774"/>
    <cellStyle name="Comma 3 3 19 2" xfId="20927"/>
    <cellStyle name="Comma 3 3 19 3" xfId="23084"/>
    <cellStyle name="Comma 3 3 2" xfId="336"/>
    <cellStyle name="Comma 3 3 2 2" xfId="337"/>
    <cellStyle name="Comma 3 3 2 2 2" xfId="338"/>
    <cellStyle name="Comma 3 3 2 2 2 2" xfId="339"/>
    <cellStyle name="Comma 3 3 2 2 2 2 2" xfId="340"/>
    <cellStyle name="Comma 3 3 2 2 2 2 3" xfId="341"/>
    <cellStyle name="Comma 3 3 2 2 2 3" xfId="342"/>
    <cellStyle name="Comma 3 3 2 2 2 4" xfId="343"/>
    <cellStyle name="Comma 3 3 2 2 3" xfId="344"/>
    <cellStyle name="Comma 3 3 2 2 3 2" xfId="345"/>
    <cellStyle name="Comma 3 3 2 2 3 3" xfId="346"/>
    <cellStyle name="Comma 3 3 2 2 4" xfId="347"/>
    <cellStyle name="Comma 3 3 2 2 5" xfId="348"/>
    <cellStyle name="Comma 3 3 2 2 6" xfId="349"/>
    <cellStyle name="Comma 3 3 2 3" xfId="350"/>
    <cellStyle name="Comma 3 3 2 3 2" xfId="351"/>
    <cellStyle name="Comma 3 3 2 3 2 2" xfId="352"/>
    <cellStyle name="Comma 3 3 2 3 2 3" xfId="353"/>
    <cellStyle name="Comma 3 3 2 3 3" xfId="354"/>
    <cellStyle name="Comma 3 3 2 3 4" xfId="355"/>
    <cellStyle name="Comma 3 3 2 4" xfId="356"/>
    <cellStyle name="Comma 3 3 2 4 2" xfId="357"/>
    <cellStyle name="Comma 3 3 2 4 3" xfId="358"/>
    <cellStyle name="Comma 3 3 2 5" xfId="359"/>
    <cellStyle name="Comma 3 3 2 6" xfId="360"/>
    <cellStyle name="Comma 3 3 2 7" xfId="361"/>
    <cellStyle name="Comma 3 3 2 8" xfId="362"/>
    <cellStyle name="Comma 3 3 2 9" xfId="363"/>
    <cellStyle name="Comma 3 3 3" xfId="364"/>
    <cellStyle name="Comma 3 3 3 10" xfId="4568"/>
    <cellStyle name="Comma 3 3 3 11" xfId="16529"/>
    <cellStyle name="Comma 3 3 3 11 2" xfId="18557"/>
    <cellStyle name="Comma 3 3 3 11 2 2" xfId="19576"/>
    <cellStyle name="Comma 3 3 3 11 2 2 2" xfId="21586"/>
    <cellStyle name="Comma 3 3 3 11 2 2 3" xfId="23744"/>
    <cellStyle name="Comma 3 3 3 11 2 3" xfId="20710"/>
    <cellStyle name="Comma 3 3 3 11 2 4" xfId="22867"/>
    <cellStyle name="Comma 3 3 3 11 3" xfId="18941"/>
    <cellStyle name="Comma 3 3 3 11 3 2" xfId="21093"/>
    <cellStyle name="Comma 3 3 3 11 3 3" xfId="23250"/>
    <cellStyle name="Comma 3 3 3 11 4" xfId="20095"/>
    <cellStyle name="Comma 3 3 3 11 5" xfId="22211"/>
    <cellStyle name="Comma 3 3 3 12" xfId="4514"/>
    <cellStyle name="Comma 3 3 3 12 2" xfId="18092"/>
    <cellStyle name="Comma 3 3 3 12 2 2" xfId="19411"/>
    <cellStyle name="Comma 3 3 3 12 2 2 2" xfId="21421"/>
    <cellStyle name="Comma 3 3 3 12 2 2 3" xfId="23579"/>
    <cellStyle name="Comma 3 3 3 12 2 3" xfId="20544"/>
    <cellStyle name="Comma 3 3 3 12 2 4" xfId="22686"/>
    <cellStyle name="Comma 3 3 3 12 3" xfId="18956"/>
    <cellStyle name="Comma 3 3 3 12 3 2" xfId="21108"/>
    <cellStyle name="Comma 3 3 3 12 3 3" xfId="23265"/>
    <cellStyle name="Comma 3 3 3 12 4" xfId="19927"/>
    <cellStyle name="Comma 3 3 3 12 5" xfId="21922"/>
    <cellStyle name="Comma 3 3 3 13" xfId="16811"/>
    <cellStyle name="Comma 3 3 3 13 2" xfId="20314"/>
    <cellStyle name="Comma 3 3 3 13 3" xfId="22454"/>
    <cellStyle name="Comma 3 3 3 14" xfId="18775"/>
    <cellStyle name="Comma 3 3 3 14 2" xfId="20928"/>
    <cellStyle name="Comma 3 3 3 14 3" xfId="23085"/>
    <cellStyle name="Comma 3 3 3 2" xfId="365"/>
    <cellStyle name="Comma 3 3 3 2 2" xfId="366"/>
    <cellStyle name="Comma 3 3 3 2 2 2" xfId="367"/>
    <cellStyle name="Comma 3 3 3 2 2 3" xfId="368"/>
    <cellStyle name="Comma 3 3 3 2 3" xfId="369"/>
    <cellStyle name="Comma 3 3 3 2 4" xfId="370"/>
    <cellStyle name="Comma 3 3 3 3" xfId="371"/>
    <cellStyle name="Comma 3 3 3 3 2" xfId="372"/>
    <cellStyle name="Comma 3 3 3 3 3" xfId="373"/>
    <cellStyle name="Comma 3 3 3 4" xfId="374"/>
    <cellStyle name="Comma 3 3 3 5" xfId="375"/>
    <cellStyle name="Comma 3 3 3 6" xfId="376"/>
    <cellStyle name="Comma 3 3 3 7" xfId="377"/>
    <cellStyle name="Comma 3 3 3 8" xfId="378"/>
    <cellStyle name="Comma 3 3 3 9" xfId="4457"/>
    <cellStyle name="Comma 3 3 3 9 10" xfId="19876"/>
    <cellStyle name="Comma 3 3 3 9 11" xfId="21869"/>
    <cellStyle name="Comma 3 3 3 9 2" xfId="4765"/>
    <cellStyle name="Comma 3 3 3 9 2 2" xfId="16643"/>
    <cellStyle name="Comma 3 3 3 9 2 2 2" xfId="18665"/>
    <cellStyle name="Comma 3 3 3 9 2 2 2 2" xfId="19684"/>
    <cellStyle name="Comma 3 3 3 9 2 2 2 2 2" xfId="21694"/>
    <cellStyle name="Comma 3 3 3 9 2 2 2 2 3" xfId="23852"/>
    <cellStyle name="Comma 3 3 3 9 2 2 2 3" xfId="20818"/>
    <cellStyle name="Comma 3 3 3 9 2 2 2 4" xfId="22975"/>
    <cellStyle name="Comma 3 3 3 9 2 2 3" xfId="19152"/>
    <cellStyle name="Comma 3 3 3 9 2 2 3 2" xfId="21285"/>
    <cellStyle name="Comma 3 3 3 9 2 2 3 3" xfId="23442"/>
    <cellStyle name="Comma 3 3 3 9 2 2 4" xfId="20203"/>
    <cellStyle name="Comma 3 3 3 9 2 2 5" xfId="22320"/>
    <cellStyle name="Comma 3 3 3 9 2 3" xfId="18228"/>
    <cellStyle name="Comma 3 3 3 9 2 3 2" xfId="19519"/>
    <cellStyle name="Comma 3 3 3 9 2 3 2 2" xfId="21529"/>
    <cellStyle name="Comma 3 3 3 9 2 3 2 3" xfId="23687"/>
    <cellStyle name="Comma 3 3 3 9 2 3 3" xfId="20652"/>
    <cellStyle name="Comma 3 3 3 9 2 3 4" xfId="22794"/>
    <cellStyle name="Comma 3 3 3 9 2 4" xfId="17921"/>
    <cellStyle name="Comma 3 3 3 9 2 4 2" xfId="20380"/>
    <cellStyle name="Comma 3 3 3 9 2 4 3" xfId="22520"/>
    <cellStyle name="Comma 3 3 3 9 2 5" xfId="18884"/>
    <cellStyle name="Comma 3 3 3 9 2 5 2" xfId="21036"/>
    <cellStyle name="Comma 3 3 3 9 2 5 3" xfId="23193"/>
    <cellStyle name="Comma 3 3 3 9 2 6" xfId="20035"/>
    <cellStyle name="Comma 3 3 3 9 2 7" xfId="22030"/>
    <cellStyle name="Comma 3 3 3 9 3" xfId="16590"/>
    <cellStyle name="Comma 3 3 3 9 3 2" xfId="18612"/>
    <cellStyle name="Comma 3 3 3 9 3 2 2" xfId="19631"/>
    <cellStyle name="Comma 3 3 3 9 3 2 2 2" xfId="21641"/>
    <cellStyle name="Comma 3 3 3 9 3 2 2 3" xfId="23799"/>
    <cellStyle name="Comma 3 3 3 9 3 2 3" xfId="20765"/>
    <cellStyle name="Comma 3 3 3 9 3 2 4" xfId="22922"/>
    <cellStyle name="Comma 3 3 3 9 3 3" xfId="17979"/>
    <cellStyle name="Comma 3 3 3 9 3 3 2" xfId="20433"/>
    <cellStyle name="Comma 3 3 3 9 3 3 3" xfId="22573"/>
    <cellStyle name="Comma 3 3 3 9 3 4" xfId="19098"/>
    <cellStyle name="Comma 3 3 3 9 3 4 2" xfId="21231"/>
    <cellStyle name="Comma 3 3 3 9 3 4 3" xfId="23388"/>
    <cellStyle name="Comma 3 3 3 9 3 5" xfId="20150"/>
    <cellStyle name="Comma 3 3 3 9 3 6" xfId="22267"/>
    <cellStyle name="Comma 3 3 3 9 4" xfId="4665"/>
    <cellStyle name="Comma 3 3 3 9 4 2" xfId="18175"/>
    <cellStyle name="Comma 3 3 3 9 4 2 2" xfId="19466"/>
    <cellStyle name="Comma 3 3 3 9 4 2 2 2" xfId="21476"/>
    <cellStyle name="Comma 3 3 3 9 4 2 2 3" xfId="23634"/>
    <cellStyle name="Comma 3 3 3 9 4 2 3" xfId="20599"/>
    <cellStyle name="Comma 3 3 3 9 4 2 4" xfId="22741"/>
    <cellStyle name="Comma 3 3 3 9 4 3" xfId="19075"/>
    <cellStyle name="Comma 3 3 3 9 4 3 2" xfId="21210"/>
    <cellStyle name="Comma 3 3 3 9 4 3 3" xfId="23367"/>
    <cellStyle name="Comma 3 3 3 9 4 4" xfId="19982"/>
    <cellStyle name="Comma 3 3 3 9 4 5" xfId="21977"/>
    <cellStyle name="Comma 3 3 3 9 5" xfId="16721"/>
    <cellStyle name="Comma 3 3 3 9 5 2" xfId="18725"/>
    <cellStyle name="Comma 3 3 3 9 5 2 2" xfId="20878"/>
    <cellStyle name="Comma 3 3 3 9 5 2 3" xfId="23035"/>
    <cellStyle name="Comma 3 3 3 9 5 3" xfId="19745"/>
    <cellStyle name="Comma 3 3 3 9 5 3 2" xfId="21755"/>
    <cellStyle name="Comma 3 3 3 9 5 3 3" xfId="23913"/>
    <cellStyle name="Comma 3 3 3 9 5 4" xfId="20264"/>
    <cellStyle name="Comma 3 3 3 9 5 5" xfId="22392"/>
    <cellStyle name="Comma 3 3 3 9 6" xfId="18041"/>
    <cellStyle name="Comma 3 3 3 9 6 2" xfId="19360"/>
    <cellStyle name="Comma 3 3 3 9 6 2 2" xfId="21370"/>
    <cellStyle name="Comma 3 3 3 9 6 2 3" xfId="23528"/>
    <cellStyle name="Comma 3 3 3 9 6 3" xfId="20493"/>
    <cellStyle name="Comma 3 3 3 9 6 4" xfId="22635"/>
    <cellStyle name="Comma 3 3 3 9 7" xfId="16867"/>
    <cellStyle name="Comma 3 3 3 9 8" xfId="18831"/>
    <cellStyle name="Comma 3 3 3 9 8 2" xfId="20983"/>
    <cellStyle name="Comma 3 3 3 9 8 3" xfId="23140"/>
    <cellStyle name="Comma 3 3 3 9 9" xfId="19799"/>
    <cellStyle name="Comma 3 3 3 9 9 2" xfId="21808"/>
    <cellStyle name="Comma 3 3 3 9 9 3" xfId="23966"/>
    <cellStyle name="Comma 3 3 4" xfId="379"/>
    <cellStyle name="Comma 3 3 4 2" xfId="380"/>
    <cellStyle name="Comma 3 3 4 2 2" xfId="381"/>
    <cellStyle name="Comma 3 3 4 2 2 2" xfId="382"/>
    <cellStyle name="Comma 3 3 4 2 2 3" xfId="383"/>
    <cellStyle name="Comma 3 3 4 2 3" xfId="384"/>
    <cellStyle name="Comma 3 3 4 2 4" xfId="385"/>
    <cellStyle name="Comma 3 3 4 3" xfId="386"/>
    <cellStyle name="Comma 3 3 4 3 2" xfId="387"/>
    <cellStyle name="Comma 3 3 4 3 3" xfId="388"/>
    <cellStyle name="Comma 3 3 4 4" xfId="389"/>
    <cellStyle name="Comma 3 3 4 5" xfId="390"/>
    <cellStyle name="Comma 3 3 4 6" xfId="391"/>
    <cellStyle name="Comma 3 3 5" xfId="392"/>
    <cellStyle name="Comma 3 3 5 2" xfId="393"/>
    <cellStyle name="Comma 3 3 5 2 2" xfId="394"/>
    <cellStyle name="Comma 3 3 5 2 3" xfId="395"/>
    <cellStyle name="Comma 3 3 5 3" xfId="396"/>
    <cellStyle name="Comma 3 3 5 4" xfId="397"/>
    <cellStyle name="Comma 3 3 6" xfId="398"/>
    <cellStyle name="Comma 3 3 6 2" xfId="399"/>
    <cellStyle name="Comma 3 3 6 3" xfId="400"/>
    <cellStyle name="Comma 3 3 7" xfId="401"/>
    <cellStyle name="Comma 3 3 8" xfId="402"/>
    <cellStyle name="Comma 3 3 9" xfId="403"/>
    <cellStyle name="Comma 3 4" xfId="404"/>
    <cellStyle name="Comma 3 4 2" xfId="405"/>
    <cellStyle name="Comma 3 4 2 2" xfId="5038"/>
    <cellStyle name="Comma 3 4 2 2 2" xfId="5039"/>
    <cellStyle name="Comma 3 4 2 2 2 2" xfId="5040"/>
    <cellStyle name="Comma 3 4 2 2 3" xfId="5041"/>
    <cellStyle name="Comma 3 4 2 3" xfId="5042"/>
    <cellStyle name="Comma 3 4 2 3 2" xfId="5043"/>
    <cellStyle name="Comma 3 4 2 4" xfId="5044"/>
    <cellStyle name="Comma 3 4 2 5" xfId="5037"/>
    <cellStyle name="Comma 3 4 3" xfId="5045"/>
    <cellStyle name="Comma 3 4 3 2" xfId="5046"/>
    <cellStyle name="Comma 3 4 3 2 2" xfId="5047"/>
    <cellStyle name="Comma 3 4 3 3" xfId="5048"/>
    <cellStyle name="Comma 3 4 4" xfId="5049"/>
    <cellStyle name="Comma 3 4 4 2" xfId="5050"/>
    <cellStyle name="Comma 3 4 5" xfId="5051"/>
    <cellStyle name="Comma 3 4 6" xfId="5036"/>
    <cellStyle name="Comma 3 5" xfId="406"/>
    <cellStyle name="Comma 3 5 10" xfId="407"/>
    <cellStyle name="Comma 3 5 11" xfId="408"/>
    <cellStyle name="Comma 3 5 12" xfId="4458"/>
    <cellStyle name="Comma 3 5 12 10" xfId="19877"/>
    <cellStyle name="Comma 3 5 12 11" xfId="21870"/>
    <cellStyle name="Comma 3 5 12 2" xfId="4766"/>
    <cellStyle name="Comma 3 5 12 2 2" xfId="16644"/>
    <cellStyle name="Comma 3 5 12 2 2 2" xfId="18666"/>
    <cellStyle name="Comma 3 5 12 2 2 2 2" xfId="19685"/>
    <cellStyle name="Comma 3 5 12 2 2 2 2 2" xfId="21695"/>
    <cellStyle name="Comma 3 5 12 2 2 2 2 3" xfId="23853"/>
    <cellStyle name="Comma 3 5 12 2 2 2 3" xfId="20819"/>
    <cellStyle name="Comma 3 5 12 2 2 2 4" xfId="22976"/>
    <cellStyle name="Comma 3 5 12 2 2 3" xfId="19153"/>
    <cellStyle name="Comma 3 5 12 2 2 3 2" xfId="21286"/>
    <cellStyle name="Comma 3 5 12 2 2 3 3" xfId="23443"/>
    <cellStyle name="Comma 3 5 12 2 2 4" xfId="20204"/>
    <cellStyle name="Comma 3 5 12 2 2 5" xfId="22321"/>
    <cellStyle name="Comma 3 5 12 2 3" xfId="18229"/>
    <cellStyle name="Comma 3 5 12 2 3 2" xfId="19520"/>
    <cellStyle name="Comma 3 5 12 2 3 2 2" xfId="21530"/>
    <cellStyle name="Comma 3 5 12 2 3 2 3" xfId="23688"/>
    <cellStyle name="Comma 3 5 12 2 3 3" xfId="20653"/>
    <cellStyle name="Comma 3 5 12 2 3 4" xfId="22795"/>
    <cellStyle name="Comma 3 5 12 2 4" xfId="17922"/>
    <cellStyle name="Comma 3 5 12 2 4 2" xfId="20381"/>
    <cellStyle name="Comma 3 5 12 2 4 3" xfId="22521"/>
    <cellStyle name="Comma 3 5 12 2 5" xfId="18885"/>
    <cellStyle name="Comma 3 5 12 2 5 2" xfId="21037"/>
    <cellStyle name="Comma 3 5 12 2 5 3" xfId="23194"/>
    <cellStyle name="Comma 3 5 12 2 6" xfId="20036"/>
    <cellStyle name="Comma 3 5 12 2 7" xfId="22031"/>
    <cellStyle name="Comma 3 5 12 3" xfId="16591"/>
    <cellStyle name="Comma 3 5 12 3 2" xfId="18613"/>
    <cellStyle name="Comma 3 5 12 3 2 2" xfId="19632"/>
    <cellStyle name="Comma 3 5 12 3 2 2 2" xfId="21642"/>
    <cellStyle name="Comma 3 5 12 3 2 2 3" xfId="23800"/>
    <cellStyle name="Comma 3 5 12 3 2 3" xfId="20766"/>
    <cellStyle name="Comma 3 5 12 3 2 4" xfId="22923"/>
    <cellStyle name="Comma 3 5 12 3 3" xfId="17980"/>
    <cellStyle name="Comma 3 5 12 3 3 2" xfId="20434"/>
    <cellStyle name="Comma 3 5 12 3 3 3" xfId="22574"/>
    <cellStyle name="Comma 3 5 12 3 4" xfId="19099"/>
    <cellStyle name="Comma 3 5 12 3 4 2" xfId="21232"/>
    <cellStyle name="Comma 3 5 12 3 4 3" xfId="23389"/>
    <cellStyle name="Comma 3 5 12 3 5" xfId="20151"/>
    <cellStyle name="Comma 3 5 12 3 6" xfId="22268"/>
    <cellStyle name="Comma 3 5 12 4" xfId="4666"/>
    <cellStyle name="Comma 3 5 12 4 2" xfId="18176"/>
    <cellStyle name="Comma 3 5 12 4 2 2" xfId="19467"/>
    <cellStyle name="Comma 3 5 12 4 2 2 2" xfId="21477"/>
    <cellStyle name="Comma 3 5 12 4 2 2 3" xfId="23635"/>
    <cellStyle name="Comma 3 5 12 4 2 3" xfId="20600"/>
    <cellStyle name="Comma 3 5 12 4 2 4" xfId="22742"/>
    <cellStyle name="Comma 3 5 12 4 3" xfId="19074"/>
    <cellStyle name="Comma 3 5 12 4 3 2" xfId="21209"/>
    <cellStyle name="Comma 3 5 12 4 3 3" xfId="23366"/>
    <cellStyle name="Comma 3 5 12 4 4" xfId="19983"/>
    <cellStyle name="Comma 3 5 12 4 5" xfId="21978"/>
    <cellStyle name="Comma 3 5 12 5" xfId="16722"/>
    <cellStyle name="Comma 3 5 12 5 2" xfId="18726"/>
    <cellStyle name="Comma 3 5 12 5 2 2" xfId="20879"/>
    <cellStyle name="Comma 3 5 12 5 2 3" xfId="23036"/>
    <cellStyle name="Comma 3 5 12 5 3" xfId="19746"/>
    <cellStyle name="Comma 3 5 12 5 3 2" xfId="21756"/>
    <cellStyle name="Comma 3 5 12 5 3 3" xfId="23914"/>
    <cellStyle name="Comma 3 5 12 5 4" xfId="20265"/>
    <cellStyle name="Comma 3 5 12 5 5" xfId="22393"/>
    <cellStyle name="Comma 3 5 12 6" xfId="18042"/>
    <cellStyle name="Comma 3 5 12 6 2" xfId="19361"/>
    <cellStyle name="Comma 3 5 12 6 2 2" xfId="21371"/>
    <cellStyle name="Comma 3 5 12 6 2 3" xfId="23529"/>
    <cellStyle name="Comma 3 5 12 6 3" xfId="20494"/>
    <cellStyle name="Comma 3 5 12 6 4" xfId="22636"/>
    <cellStyle name="Comma 3 5 12 7" xfId="16868"/>
    <cellStyle name="Comma 3 5 12 8" xfId="18832"/>
    <cellStyle name="Comma 3 5 12 8 2" xfId="20984"/>
    <cellStyle name="Comma 3 5 12 8 3" xfId="23141"/>
    <cellStyle name="Comma 3 5 12 9" xfId="19800"/>
    <cellStyle name="Comma 3 5 12 9 2" xfId="21809"/>
    <cellStyle name="Comma 3 5 12 9 3" xfId="23967"/>
    <cellStyle name="Comma 3 5 13" xfId="4569"/>
    <cellStyle name="Comma 3 5 14" xfId="16530"/>
    <cellStyle name="Comma 3 5 14 2" xfId="18558"/>
    <cellStyle name="Comma 3 5 14 2 2" xfId="19577"/>
    <cellStyle name="Comma 3 5 14 2 2 2" xfId="21587"/>
    <cellStyle name="Comma 3 5 14 2 2 3" xfId="23745"/>
    <cellStyle name="Comma 3 5 14 2 3" xfId="20711"/>
    <cellStyle name="Comma 3 5 14 2 4" xfId="22868"/>
    <cellStyle name="Comma 3 5 14 3" xfId="18942"/>
    <cellStyle name="Comma 3 5 14 3 2" xfId="21094"/>
    <cellStyle name="Comma 3 5 14 3 3" xfId="23251"/>
    <cellStyle name="Comma 3 5 14 4" xfId="20096"/>
    <cellStyle name="Comma 3 5 14 5" xfId="22212"/>
    <cellStyle name="Comma 3 5 15" xfId="4515"/>
    <cellStyle name="Comma 3 5 15 2" xfId="18093"/>
    <cellStyle name="Comma 3 5 15 2 2" xfId="19412"/>
    <cellStyle name="Comma 3 5 15 2 2 2" xfId="21422"/>
    <cellStyle name="Comma 3 5 15 2 2 3" xfId="23580"/>
    <cellStyle name="Comma 3 5 15 2 3" xfId="20545"/>
    <cellStyle name="Comma 3 5 15 2 4" xfId="22687"/>
    <cellStyle name="Comma 3 5 15 3" xfId="18957"/>
    <cellStyle name="Comma 3 5 15 3 2" xfId="21109"/>
    <cellStyle name="Comma 3 5 15 3 3" xfId="23266"/>
    <cellStyle name="Comma 3 5 15 4" xfId="19928"/>
    <cellStyle name="Comma 3 5 15 5" xfId="21923"/>
    <cellStyle name="Comma 3 5 16" xfId="16812"/>
    <cellStyle name="Comma 3 5 16 2" xfId="20315"/>
    <cellStyle name="Comma 3 5 16 3" xfId="22455"/>
    <cellStyle name="Comma 3 5 17" xfId="18776"/>
    <cellStyle name="Comma 3 5 17 2" xfId="20929"/>
    <cellStyle name="Comma 3 5 17 3" xfId="23086"/>
    <cellStyle name="Comma 3 5 2" xfId="409"/>
    <cellStyle name="Comma 3 5 2 2" xfId="410"/>
    <cellStyle name="Comma 3 5 2 2 2" xfId="411"/>
    <cellStyle name="Comma 3 5 2 2 2 2" xfId="412"/>
    <cellStyle name="Comma 3 5 2 2 2 3" xfId="413"/>
    <cellStyle name="Comma 3 5 2 2 3" xfId="414"/>
    <cellStyle name="Comma 3 5 2 2 4" xfId="415"/>
    <cellStyle name="Comma 3 5 2 3" xfId="416"/>
    <cellStyle name="Comma 3 5 2 3 2" xfId="417"/>
    <cellStyle name="Comma 3 5 2 3 3" xfId="418"/>
    <cellStyle name="Comma 3 5 2 4" xfId="419"/>
    <cellStyle name="Comma 3 5 2 5" xfId="420"/>
    <cellStyle name="Comma 3 5 2 6" xfId="421"/>
    <cellStyle name="Comma 3 5 3" xfId="422"/>
    <cellStyle name="Comma 3 5 3 2" xfId="423"/>
    <cellStyle name="Comma 3 5 3 2 2" xfId="424"/>
    <cellStyle name="Comma 3 5 3 2 3" xfId="425"/>
    <cellStyle name="Comma 3 5 3 3" xfId="426"/>
    <cellStyle name="Comma 3 5 3 4" xfId="427"/>
    <cellStyle name="Comma 3 5 4" xfId="428"/>
    <cellStyle name="Comma 3 5 4 2" xfId="429"/>
    <cellStyle name="Comma 3 5 4 3" xfId="430"/>
    <cellStyle name="Comma 3 5 5" xfId="431"/>
    <cellStyle name="Comma 3 5 6" xfId="432"/>
    <cellStyle name="Comma 3 5 7" xfId="433"/>
    <cellStyle name="Comma 3 5 8" xfId="434"/>
    <cellStyle name="Comma 3 5 9" xfId="435"/>
    <cellStyle name="Comma 3 6" xfId="436"/>
    <cellStyle name="Comma 3 6 2" xfId="437"/>
    <cellStyle name="Comma 3 6 2 2" xfId="438"/>
    <cellStyle name="Comma 3 6 2 2 2" xfId="439"/>
    <cellStyle name="Comma 3 6 2 2 3" xfId="440"/>
    <cellStyle name="Comma 3 6 2 3" xfId="441"/>
    <cellStyle name="Comma 3 6 2 4" xfId="442"/>
    <cellStyle name="Comma 3 6 3" xfId="443"/>
    <cellStyle name="Comma 3 6 3 2" xfId="444"/>
    <cellStyle name="Comma 3 6 3 3" xfId="445"/>
    <cellStyle name="Comma 3 6 4" xfId="446"/>
    <cellStyle name="Comma 3 6 5" xfId="447"/>
    <cellStyle name="Comma 3 6 6" xfId="448"/>
    <cellStyle name="Comma 3 7" xfId="449"/>
    <cellStyle name="Comma 3 7 2" xfId="450"/>
    <cellStyle name="Comma 3 7 2 2" xfId="451"/>
    <cellStyle name="Comma 3 7 2 2 2" xfId="452"/>
    <cellStyle name="Comma 3 7 2 2 3" xfId="453"/>
    <cellStyle name="Comma 3 7 2 3" xfId="454"/>
    <cellStyle name="Comma 3 7 2 4" xfId="455"/>
    <cellStyle name="Comma 3 7 3" xfId="456"/>
    <cellStyle name="Comma 3 7 3 2" xfId="457"/>
    <cellStyle name="Comma 3 7 3 3" xfId="458"/>
    <cellStyle name="Comma 3 7 4" xfId="459"/>
    <cellStyle name="Comma 3 7 5" xfId="460"/>
    <cellStyle name="Comma 3 7 6" xfId="461"/>
    <cellStyle name="Comma 3 8" xfId="462"/>
    <cellStyle name="Comma 3 8 2" xfId="463"/>
    <cellStyle name="Comma 3 8 2 2" xfId="464"/>
    <cellStyle name="Comma 3 8 2 3" xfId="465"/>
    <cellStyle name="Comma 3 8 3" xfId="466"/>
    <cellStyle name="Comma 3 8 4" xfId="467"/>
    <cellStyle name="Comma 3 9" xfId="468"/>
    <cellStyle name="Comma 3 9 2" xfId="469"/>
    <cellStyle name="Comma 3 9 2 2" xfId="5052"/>
    <cellStyle name="Comma 3 9 3" xfId="470"/>
    <cellStyle name="Comma 34" xfId="5053"/>
    <cellStyle name="Comma 34 10" xfId="5054"/>
    <cellStyle name="Comma 34 11" xfId="5055"/>
    <cellStyle name="Comma 34 12" xfId="5056"/>
    <cellStyle name="Comma 34 13" xfId="5057"/>
    <cellStyle name="Comma 34 14" xfId="5058"/>
    <cellStyle name="Comma 34 15" xfId="5059"/>
    <cellStyle name="Comma 34 2" xfId="5060"/>
    <cellStyle name="Comma 34 3" xfId="5061"/>
    <cellStyle name="Comma 34 4" xfId="5062"/>
    <cellStyle name="Comma 34 5" xfId="5063"/>
    <cellStyle name="Comma 34 6" xfId="5064"/>
    <cellStyle name="Comma 34 7" xfId="5065"/>
    <cellStyle name="Comma 34 8" xfId="5066"/>
    <cellStyle name="Comma 34 9" xfId="5067"/>
    <cellStyle name="Comma 35" xfId="5068"/>
    <cellStyle name="Comma 35 10" xfId="5069"/>
    <cellStyle name="Comma 35 11" xfId="5070"/>
    <cellStyle name="Comma 35 12" xfId="5071"/>
    <cellStyle name="Comma 35 13" xfId="5072"/>
    <cellStyle name="Comma 35 14" xfId="5073"/>
    <cellStyle name="Comma 35 15" xfId="5074"/>
    <cellStyle name="Comma 35 2" xfId="5075"/>
    <cellStyle name="Comma 35 3" xfId="5076"/>
    <cellStyle name="Comma 35 4" xfId="5077"/>
    <cellStyle name="Comma 35 5" xfId="5078"/>
    <cellStyle name="Comma 35 6" xfId="5079"/>
    <cellStyle name="Comma 35 7" xfId="5080"/>
    <cellStyle name="Comma 35 8" xfId="5081"/>
    <cellStyle name="Comma 35 9" xfId="5082"/>
    <cellStyle name="Comma 36" xfId="5083"/>
    <cellStyle name="Comma 36 10" xfId="5084"/>
    <cellStyle name="Comma 36 11" xfId="5085"/>
    <cellStyle name="Comma 36 12" xfId="5086"/>
    <cellStyle name="Comma 36 13" xfId="5087"/>
    <cellStyle name="Comma 36 14" xfId="5088"/>
    <cellStyle name="Comma 36 15" xfId="5089"/>
    <cellStyle name="Comma 36 2" xfId="5090"/>
    <cellStyle name="Comma 36 3" xfId="5091"/>
    <cellStyle name="Comma 36 4" xfId="5092"/>
    <cellStyle name="Comma 36 5" xfId="5093"/>
    <cellStyle name="Comma 36 6" xfId="5094"/>
    <cellStyle name="Comma 36 7" xfId="5095"/>
    <cellStyle name="Comma 36 8" xfId="5096"/>
    <cellStyle name="Comma 36 9" xfId="5097"/>
    <cellStyle name="Comma 37" xfId="5098"/>
    <cellStyle name="Comma 37 10" xfId="5099"/>
    <cellStyle name="Comma 37 11" xfId="5100"/>
    <cellStyle name="Comma 37 12" xfId="5101"/>
    <cellStyle name="Comma 37 13" xfId="5102"/>
    <cellStyle name="Comma 37 14" xfId="5103"/>
    <cellStyle name="Comma 37 15" xfId="5104"/>
    <cellStyle name="Comma 37 2" xfId="5105"/>
    <cellStyle name="Comma 37 3" xfId="5106"/>
    <cellStyle name="Comma 37 4" xfId="5107"/>
    <cellStyle name="Comma 37 5" xfId="5108"/>
    <cellStyle name="Comma 37 6" xfId="5109"/>
    <cellStyle name="Comma 37 7" xfId="5110"/>
    <cellStyle name="Comma 37 8" xfId="5111"/>
    <cellStyle name="Comma 37 9" xfId="5112"/>
    <cellStyle name="Comma 38" xfId="5113"/>
    <cellStyle name="Comma 38 10" xfId="5114"/>
    <cellStyle name="Comma 38 11" xfId="5115"/>
    <cellStyle name="Comma 38 12" xfId="5116"/>
    <cellStyle name="Comma 38 13" xfId="5117"/>
    <cellStyle name="Comma 38 14" xfId="5118"/>
    <cellStyle name="Comma 38 15" xfId="5119"/>
    <cellStyle name="Comma 38 2" xfId="5120"/>
    <cellStyle name="Comma 38 3" xfId="5121"/>
    <cellStyle name="Comma 38 4" xfId="5122"/>
    <cellStyle name="Comma 38 5" xfId="5123"/>
    <cellStyle name="Comma 38 6" xfId="5124"/>
    <cellStyle name="Comma 38 7" xfId="5125"/>
    <cellStyle name="Comma 38 8" xfId="5126"/>
    <cellStyle name="Comma 38 9" xfId="5127"/>
    <cellStyle name="Comma 39" xfId="5128"/>
    <cellStyle name="Comma 39 10" xfId="5129"/>
    <cellStyle name="Comma 39 11" xfId="5130"/>
    <cellStyle name="Comma 39 12" xfId="5131"/>
    <cellStyle name="Comma 39 13" xfId="5132"/>
    <cellStyle name="Comma 39 14" xfId="5133"/>
    <cellStyle name="Comma 39 15" xfId="5134"/>
    <cellStyle name="Comma 39 2" xfId="5135"/>
    <cellStyle name="Comma 39 3" xfId="5136"/>
    <cellStyle name="Comma 39 4" xfId="5137"/>
    <cellStyle name="Comma 39 5" xfId="5138"/>
    <cellStyle name="Comma 39 6" xfId="5139"/>
    <cellStyle name="Comma 39 7" xfId="5140"/>
    <cellStyle name="Comma 39 8" xfId="5141"/>
    <cellStyle name="Comma 39 9" xfId="5142"/>
    <cellStyle name="Comma 4" xfId="471"/>
    <cellStyle name="Comma 4 2" xfId="472"/>
    <cellStyle name="Comma 4 2 2" xfId="473"/>
    <cellStyle name="Comma 4 2 2 2" xfId="5143"/>
    <cellStyle name="Comma 4 2 3" xfId="474"/>
    <cellStyle name="Comma 4 3" xfId="475"/>
    <cellStyle name="Comma 4 3 2" xfId="476"/>
    <cellStyle name="Comma 4 3 3" xfId="477"/>
    <cellStyle name="Comma 4 3 4" xfId="5144"/>
    <cellStyle name="Comma 4 4" xfId="478"/>
    <cellStyle name="Comma 4 5" xfId="479"/>
    <cellStyle name="Comma 40" xfId="5145"/>
    <cellStyle name="Comma 40 10" xfId="5146"/>
    <cellStyle name="Comma 40 11" xfId="5147"/>
    <cellStyle name="Comma 40 12" xfId="5148"/>
    <cellStyle name="Comma 40 13" xfId="5149"/>
    <cellStyle name="Comma 40 14" xfId="5150"/>
    <cellStyle name="Comma 40 15" xfId="5151"/>
    <cellStyle name="Comma 40 2" xfId="5152"/>
    <cellStyle name="Comma 40 3" xfId="5153"/>
    <cellStyle name="Comma 40 4" xfId="5154"/>
    <cellStyle name="Comma 40 5" xfId="5155"/>
    <cellStyle name="Comma 40 6" xfId="5156"/>
    <cellStyle name="Comma 40 7" xfId="5157"/>
    <cellStyle name="Comma 40 8" xfId="5158"/>
    <cellStyle name="Comma 40 9" xfId="5159"/>
    <cellStyle name="Comma 41" xfId="5160"/>
    <cellStyle name="Comma 41 10" xfId="5161"/>
    <cellStyle name="Comma 41 11" xfId="5162"/>
    <cellStyle name="Comma 41 12" xfId="5163"/>
    <cellStyle name="Comma 41 13" xfId="5164"/>
    <cellStyle name="Comma 41 14" xfId="5165"/>
    <cellStyle name="Comma 41 15" xfId="5166"/>
    <cellStyle name="Comma 41 2" xfId="5167"/>
    <cellStyle name="Comma 41 3" xfId="5168"/>
    <cellStyle name="Comma 41 4" xfId="5169"/>
    <cellStyle name="Comma 41 5" xfId="5170"/>
    <cellStyle name="Comma 41 6" xfId="5171"/>
    <cellStyle name="Comma 41 7" xfId="5172"/>
    <cellStyle name="Comma 41 8" xfId="5173"/>
    <cellStyle name="Comma 41 9" xfId="5174"/>
    <cellStyle name="Comma 5" xfId="480"/>
    <cellStyle name="Comma 5 10" xfId="481"/>
    <cellStyle name="Comma 5 10 2" xfId="5175"/>
    <cellStyle name="Comma 5 11" xfId="482"/>
    <cellStyle name="Comma 5 12" xfId="483"/>
    <cellStyle name="Comma 5 13" xfId="484"/>
    <cellStyle name="Comma 5 2" xfId="485"/>
    <cellStyle name="Comma 5 2 10" xfId="486"/>
    <cellStyle name="Comma 5 2 11" xfId="487"/>
    <cellStyle name="Comma 5 2 12" xfId="488"/>
    <cellStyle name="Comma 5 2 13" xfId="489"/>
    <cellStyle name="Comma 5 2 14" xfId="490"/>
    <cellStyle name="Comma 5 2 15" xfId="4459"/>
    <cellStyle name="Comma 5 2 15 10" xfId="19878"/>
    <cellStyle name="Comma 5 2 15 11" xfId="21871"/>
    <cellStyle name="Comma 5 2 15 2" xfId="4767"/>
    <cellStyle name="Comma 5 2 15 2 2" xfId="16645"/>
    <cellStyle name="Comma 5 2 15 2 2 2" xfId="18667"/>
    <cellStyle name="Comma 5 2 15 2 2 2 2" xfId="19686"/>
    <cellStyle name="Comma 5 2 15 2 2 2 2 2" xfId="21696"/>
    <cellStyle name="Comma 5 2 15 2 2 2 2 3" xfId="23854"/>
    <cellStyle name="Comma 5 2 15 2 2 2 3" xfId="20820"/>
    <cellStyle name="Comma 5 2 15 2 2 2 4" xfId="22977"/>
    <cellStyle name="Comma 5 2 15 2 2 3" xfId="19154"/>
    <cellStyle name="Comma 5 2 15 2 2 3 2" xfId="21287"/>
    <cellStyle name="Comma 5 2 15 2 2 3 3" xfId="23444"/>
    <cellStyle name="Comma 5 2 15 2 2 4" xfId="20205"/>
    <cellStyle name="Comma 5 2 15 2 2 5" xfId="22322"/>
    <cellStyle name="Comma 5 2 15 2 3" xfId="18230"/>
    <cellStyle name="Comma 5 2 15 2 3 2" xfId="19521"/>
    <cellStyle name="Comma 5 2 15 2 3 2 2" xfId="21531"/>
    <cellStyle name="Comma 5 2 15 2 3 2 3" xfId="23689"/>
    <cellStyle name="Comma 5 2 15 2 3 3" xfId="20654"/>
    <cellStyle name="Comma 5 2 15 2 3 4" xfId="22796"/>
    <cellStyle name="Comma 5 2 15 2 4" xfId="17923"/>
    <cellStyle name="Comma 5 2 15 2 4 2" xfId="20382"/>
    <cellStyle name="Comma 5 2 15 2 4 3" xfId="22522"/>
    <cellStyle name="Comma 5 2 15 2 5" xfId="18886"/>
    <cellStyle name="Comma 5 2 15 2 5 2" xfId="21038"/>
    <cellStyle name="Comma 5 2 15 2 5 3" xfId="23195"/>
    <cellStyle name="Comma 5 2 15 2 6" xfId="20037"/>
    <cellStyle name="Comma 5 2 15 2 7" xfId="22032"/>
    <cellStyle name="Comma 5 2 15 3" xfId="16592"/>
    <cellStyle name="Comma 5 2 15 3 2" xfId="18614"/>
    <cellStyle name="Comma 5 2 15 3 2 2" xfId="19633"/>
    <cellStyle name="Comma 5 2 15 3 2 2 2" xfId="21643"/>
    <cellStyle name="Comma 5 2 15 3 2 2 3" xfId="23801"/>
    <cellStyle name="Comma 5 2 15 3 2 3" xfId="20767"/>
    <cellStyle name="Comma 5 2 15 3 2 4" xfId="22924"/>
    <cellStyle name="Comma 5 2 15 3 3" xfId="17981"/>
    <cellStyle name="Comma 5 2 15 3 3 2" xfId="20435"/>
    <cellStyle name="Comma 5 2 15 3 3 3" xfId="22575"/>
    <cellStyle name="Comma 5 2 15 3 4" xfId="19100"/>
    <cellStyle name="Comma 5 2 15 3 4 2" xfId="21233"/>
    <cellStyle name="Comma 5 2 15 3 4 3" xfId="23390"/>
    <cellStyle name="Comma 5 2 15 3 5" xfId="20152"/>
    <cellStyle name="Comma 5 2 15 3 6" xfId="22269"/>
    <cellStyle name="Comma 5 2 15 4" xfId="4667"/>
    <cellStyle name="Comma 5 2 15 4 2" xfId="18177"/>
    <cellStyle name="Comma 5 2 15 4 2 2" xfId="19468"/>
    <cellStyle name="Comma 5 2 15 4 2 2 2" xfId="21478"/>
    <cellStyle name="Comma 5 2 15 4 2 2 3" xfId="23636"/>
    <cellStyle name="Comma 5 2 15 4 2 3" xfId="20601"/>
    <cellStyle name="Comma 5 2 15 4 2 4" xfId="22743"/>
    <cellStyle name="Comma 5 2 15 4 3" xfId="19208"/>
    <cellStyle name="Comma 5 2 15 4 3 2" xfId="21341"/>
    <cellStyle name="Comma 5 2 15 4 3 3" xfId="23498"/>
    <cellStyle name="Comma 5 2 15 4 4" xfId="19984"/>
    <cellStyle name="Comma 5 2 15 4 5" xfId="21979"/>
    <cellStyle name="Comma 5 2 15 5" xfId="16723"/>
    <cellStyle name="Comma 5 2 15 5 2" xfId="18727"/>
    <cellStyle name="Comma 5 2 15 5 2 2" xfId="20880"/>
    <cellStyle name="Comma 5 2 15 5 2 3" xfId="23037"/>
    <cellStyle name="Comma 5 2 15 5 3" xfId="19747"/>
    <cellStyle name="Comma 5 2 15 5 3 2" xfId="21757"/>
    <cellStyle name="Comma 5 2 15 5 3 3" xfId="23915"/>
    <cellStyle name="Comma 5 2 15 5 4" xfId="20266"/>
    <cellStyle name="Comma 5 2 15 5 5" xfId="22394"/>
    <cellStyle name="Comma 5 2 15 6" xfId="18043"/>
    <cellStyle name="Comma 5 2 15 6 2" xfId="19362"/>
    <cellStyle name="Comma 5 2 15 6 2 2" xfId="21372"/>
    <cellStyle name="Comma 5 2 15 6 2 3" xfId="23530"/>
    <cellStyle name="Comma 5 2 15 6 3" xfId="20495"/>
    <cellStyle name="Comma 5 2 15 6 4" xfId="22637"/>
    <cellStyle name="Comma 5 2 15 7" xfId="16869"/>
    <cellStyle name="Comma 5 2 15 8" xfId="18833"/>
    <cellStyle name="Comma 5 2 15 8 2" xfId="20985"/>
    <cellStyle name="Comma 5 2 15 8 3" xfId="23142"/>
    <cellStyle name="Comma 5 2 15 9" xfId="19801"/>
    <cellStyle name="Comma 5 2 15 9 2" xfId="21810"/>
    <cellStyle name="Comma 5 2 15 9 3" xfId="23968"/>
    <cellStyle name="Comma 5 2 16" xfId="4570"/>
    <cellStyle name="Comma 5 2 17" xfId="5176"/>
    <cellStyle name="Comma 5 2 18" xfId="16531"/>
    <cellStyle name="Comma 5 2 18 2" xfId="18559"/>
    <cellStyle name="Comma 5 2 18 2 2" xfId="19578"/>
    <cellStyle name="Comma 5 2 18 2 2 2" xfId="21588"/>
    <cellStyle name="Comma 5 2 18 2 2 3" xfId="23746"/>
    <cellStyle name="Comma 5 2 18 2 3" xfId="20712"/>
    <cellStyle name="Comma 5 2 18 2 4" xfId="22869"/>
    <cellStyle name="Comma 5 2 18 3" xfId="18943"/>
    <cellStyle name="Comma 5 2 18 3 2" xfId="21095"/>
    <cellStyle name="Comma 5 2 18 3 3" xfId="23252"/>
    <cellStyle name="Comma 5 2 18 4" xfId="20097"/>
    <cellStyle name="Comma 5 2 18 5" xfId="22213"/>
    <cellStyle name="Comma 5 2 19" xfId="4516"/>
    <cellStyle name="Comma 5 2 19 2" xfId="18094"/>
    <cellStyle name="Comma 5 2 19 2 2" xfId="19413"/>
    <cellStyle name="Comma 5 2 19 2 2 2" xfId="21423"/>
    <cellStyle name="Comma 5 2 19 2 2 3" xfId="23581"/>
    <cellStyle name="Comma 5 2 19 2 3" xfId="20546"/>
    <cellStyle name="Comma 5 2 19 2 4" xfId="22688"/>
    <cellStyle name="Comma 5 2 19 3" xfId="18958"/>
    <cellStyle name="Comma 5 2 19 3 2" xfId="21110"/>
    <cellStyle name="Comma 5 2 19 3 3" xfId="23267"/>
    <cellStyle name="Comma 5 2 19 4" xfId="19929"/>
    <cellStyle name="Comma 5 2 19 5" xfId="21924"/>
    <cellStyle name="Comma 5 2 2" xfId="491"/>
    <cellStyle name="Comma 5 2 2 2" xfId="492"/>
    <cellStyle name="Comma 5 2 2 2 2" xfId="493"/>
    <cellStyle name="Comma 5 2 2 2 2 2" xfId="494"/>
    <cellStyle name="Comma 5 2 2 2 2 2 2" xfId="495"/>
    <cellStyle name="Comma 5 2 2 2 2 2 2 2" xfId="5177"/>
    <cellStyle name="Comma 5 2 2 2 2 2 2 2 2" xfId="5178"/>
    <cellStyle name="Comma 5 2 2 2 2 2 2 3" xfId="5179"/>
    <cellStyle name="Comma 5 2 2 2 2 2 3" xfId="496"/>
    <cellStyle name="Comma 5 2 2 2 2 2 3 2" xfId="5180"/>
    <cellStyle name="Comma 5 2 2 2 2 2 4" xfId="5181"/>
    <cellStyle name="Comma 5 2 2 2 2 3" xfId="497"/>
    <cellStyle name="Comma 5 2 2 2 2 3 2" xfId="5182"/>
    <cellStyle name="Comma 5 2 2 2 2 3 2 2" xfId="5183"/>
    <cellStyle name="Comma 5 2 2 2 2 3 3" xfId="5184"/>
    <cellStyle name="Comma 5 2 2 2 2 4" xfId="498"/>
    <cellStyle name="Comma 5 2 2 2 2 4 2" xfId="5185"/>
    <cellStyle name="Comma 5 2 2 2 2 5" xfId="5186"/>
    <cellStyle name="Comma 5 2 2 2 3" xfId="499"/>
    <cellStyle name="Comma 5 2 2 2 3 2" xfId="500"/>
    <cellStyle name="Comma 5 2 2 2 3 2 2" xfId="5187"/>
    <cellStyle name="Comma 5 2 2 2 3 2 2 2" xfId="5188"/>
    <cellStyle name="Comma 5 2 2 2 3 2 3" xfId="5189"/>
    <cellStyle name="Comma 5 2 2 2 3 3" xfId="501"/>
    <cellStyle name="Comma 5 2 2 2 3 3 2" xfId="5190"/>
    <cellStyle name="Comma 5 2 2 2 3 4" xfId="5191"/>
    <cellStyle name="Comma 5 2 2 2 4" xfId="502"/>
    <cellStyle name="Comma 5 2 2 2 4 2" xfId="5192"/>
    <cellStyle name="Comma 5 2 2 2 4 2 2" xfId="5193"/>
    <cellStyle name="Comma 5 2 2 2 4 3" xfId="5194"/>
    <cellStyle name="Comma 5 2 2 2 5" xfId="503"/>
    <cellStyle name="Comma 5 2 2 2 5 2" xfId="5195"/>
    <cellStyle name="Comma 5 2 2 2 6" xfId="504"/>
    <cellStyle name="Comma 5 2 2 3" xfId="505"/>
    <cellStyle name="Comma 5 2 2 3 2" xfId="506"/>
    <cellStyle name="Comma 5 2 2 3 2 2" xfId="507"/>
    <cellStyle name="Comma 5 2 2 3 2 2 2" xfId="5196"/>
    <cellStyle name="Comma 5 2 2 3 2 2 2 2" xfId="5197"/>
    <cellStyle name="Comma 5 2 2 3 2 2 3" xfId="5198"/>
    <cellStyle name="Comma 5 2 2 3 2 3" xfId="508"/>
    <cellStyle name="Comma 5 2 2 3 2 3 2" xfId="5199"/>
    <cellStyle name="Comma 5 2 2 3 2 4" xfId="5200"/>
    <cellStyle name="Comma 5 2 2 3 3" xfId="509"/>
    <cellStyle name="Comma 5 2 2 3 3 2" xfId="5201"/>
    <cellStyle name="Comma 5 2 2 3 3 2 2" xfId="5202"/>
    <cellStyle name="Comma 5 2 2 3 3 3" xfId="5203"/>
    <cellStyle name="Comma 5 2 2 3 4" xfId="510"/>
    <cellStyle name="Comma 5 2 2 3 4 2" xfId="5204"/>
    <cellStyle name="Comma 5 2 2 3 5" xfId="5205"/>
    <cellStyle name="Comma 5 2 2 4" xfId="511"/>
    <cellStyle name="Comma 5 2 2 4 2" xfId="512"/>
    <cellStyle name="Comma 5 2 2 4 2 2" xfId="5206"/>
    <cellStyle name="Comma 5 2 2 4 2 2 2" xfId="5207"/>
    <cellStyle name="Comma 5 2 2 4 2 3" xfId="5208"/>
    <cellStyle name="Comma 5 2 2 4 3" xfId="513"/>
    <cellStyle name="Comma 5 2 2 4 3 2" xfId="5209"/>
    <cellStyle name="Comma 5 2 2 4 4" xfId="5210"/>
    <cellStyle name="Comma 5 2 2 5" xfId="514"/>
    <cellStyle name="Comma 5 2 2 5 2" xfId="5211"/>
    <cellStyle name="Comma 5 2 2 5 2 2" xfId="5212"/>
    <cellStyle name="Comma 5 2 2 5 3" xfId="5213"/>
    <cellStyle name="Comma 5 2 2 6" xfId="515"/>
    <cellStyle name="Comma 5 2 2 6 2" xfId="5214"/>
    <cellStyle name="Comma 5 2 2 7" xfId="516"/>
    <cellStyle name="Comma 5 2 20" xfId="16813"/>
    <cellStyle name="Comma 5 2 20 2" xfId="20316"/>
    <cellStyle name="Comma 5 2 20 3" xfId="22456"/>
    <cellStyle name="Comma 5 2 21" xfId="18777"/>
    <cellStyle name="Comma 5 2 21 2" xfId="20930"/>
    <cellStyle name="Comma 5 2 21 3" xfId="23087"/>
    <cellStyle name="Comma 5 2 3" xfId="517"/>
    <cellStyle name="Comma 5 2 3 2" xfId="518"/>
    <cellStyle name="Comma 5 2 3 2 2" xfId="519"/>
    <cellStyle name="Comma 5 2 3 2 2 2" xfId="520"/>
    <cellStyle name="Comma 5 2 3 2 2 2 2" xfId="5215"/>
    <cellStyle name="Comma 5 2 3 2 2 2 2 2" xfId="5216"/>
    <cellStyle name="Comma 5 2 3 2 2 2 3" xfId="5217"/>
    <cellStyle name="Comma 5 2 3 2 2 3" xfId="521"/>
    <cellStyle name="Comma 5 2 3 2 2 3 2" xfId="5218"/>
    <cellStyle name="Comma 5 2 3 2 2 4" xfId="5219"/>
    <cellStyle name="Comma 5 2 3 2 3" xfId="522"/>
    <cellStyle name="Comma 5 2 3 2 3 2" xfId="5220"/>
    <cellStyle name="Comma 5 2 3 2 3 2 2" xfId="5221"/>
    <cellStyle name="Comma 5 2 3 2 3 3" xfId="5222"/>
    <cellStyle name="Comma 5 2 3 2 4" xfId="523"/>
    <cellStyle name="Comma 5 2 3 2 4 2" xfId="5223"/>
    <cellStyle name="Comma 5 2 3 2 5" xfId="5224"/>
    <cellStyle name="Comma 5 2 3 3" xfId="524"/>
    <cellStyle name="Comma 5 2 3 3 2" xfId="525"/>
    <cellStyle name="Comma 5 2 3 3 2 2" xfId="5225"/>
    <cellStyle name="Comma 5 2 3 3 2 2 2" xfId="5226"/>
    <cellStyle name="Comma 5 2 3 3 2 3" xfId="5227"/>
    <cellStyle name="Comma 5 2 3 3 3" xfId="526"/>
    <cellStyle name="Comma 5 2 3 3 3 2" xfId="5228"/>
    <cellStyle name="Comma 5 2 3 3 4" xfId="5229"/>
    <cellStyle name="Comma 5 2 3 4" xfId="527"/>
    <cellStyle name="Comma 5 2 3 4 2" xfId="5230"/>
    <cellStyle name="Comma 5 2 3 4 2 2" xfId="5231"/>
    <cellStyle name="Comma 5 2 3 4 3" xfId="5232"/>
    <cellStyle name="Comma 5 2 3 5" xfId="528"/>
    <cellStyle name="Comma 5 2 3 5 2" xfId="5233"/>
    <cellStyle name="Comma 5 2 3 6" xfId="529"/>
    <cellStyle name="Comma 5 2 4" xfId="530"/>
    <cellStyle name="Comma 5 2 4 2" xfId="531"/>
    <cellStyle name="Comma 5 2 4 2 2" xfId="532"/>
    <cellStyle name="Comma 5 2 4 2 2 2" xfId="533"/>
    <cellStyle name="Comma 5 2 4 2 2 2 2" xfId="5234"/>
    <cellStyle name="Comma 5 2 4 2 2 3" xfId="534"/>
    <cellStyle name="Comma 5 2 4 2 3" xfId="535"/>
    <cellStyle name="Comma 5 2 4 2 3 2" xfId="5235"/>
    <cellStyle name="Comma 5 2 4 2 4" xfId="536"/>
    <cellStyle name="Comma 5 2 4 3" xfId="537"/>
    <cellStyle name="Comma 5 2 4 3 2" xfId="538"/>
    <cellStyle name="Comma 5 2 4 3 2 2" xfId="5236"/>
    <cellStyle name="Comma 5 2 4 3 3" xfId="539"/>
    <cellStyle name="Comma 5 2 4 4" xfId="540"/>
    <cellStyle name="Comma 5 2 4 4 2" xfId="5237"/>
    <cellStyle name="Comma 5 2 4 5" xfId="541"/>
    <cellStyle name="Comma 5 2 4 6" xfId="542"/>
    <cellStyle name="Comma 5 2 5" xfId="543"/>
    <cellStyle name="Comma 5 2 5 2" xfId="544"/>
    <cellStyle name="Comma 5 2 5 2 2" xfId="545"/>
    <cellStyle name="Comma 5 2 5 2 2 2" xfId="5238"/>
    <cellStyle name="Comma 5 2 5 2 3" xfId="546"/>
    <cellStyle name="Comma 5 2 5 3" xfId="547"/>
    <cellStyle name="Comma 5 2 5 3 2" xfId="5239"/>
    <cellStyle name="Comma 5 2 5 4" xfId="548"/>
    <cellStyle name="Comma 5 2 6" xfId="549"/>
    <cellStyle name="Comma 5 2 6 2" xfId="550"/>
    <cellStyle name="Comma 5 2 6 2 2" xfId="5240"/>
    <cellStyle name="Comma 5 2 6 3" xfId="551"/>
    <cellStyle name="Comma 5 2 7" xfId="552"/>
    <cellStyle name="Comma 5 2 7 2" xfId="5241"/>
    <cellStyle name="Comma 5 2 7 2 2" xfId="5242"/>
    <cellStyle name="Comma 5 2 7 3" xfId="5243"/>
    <cellStyle name="Comma 5 2 8" xfId="553"/>
    <cellStyle name="Comma 5 2 9" xfId="554"/>
    <cellStyle name="Comma 5 3" xfId="555"/>
    <cellStyle name="Comma 5 3 2" xfId="556"/>
    <cellStyle name="Comma 5 3 2 2" xfId="557"/>
    <cellStyle name="Comma 5 3 2 2 2" xfId="558"/>
    <cellStyle name="Comma 5 3 2 2 2 2" xfId="559"/>
    <cellStyle name="Comma 5 3 2 2 2 2 2" xfId="5244"/>
    <cellStyle name="Comma 5 3 2 2 2 2 2 2" xfId="5245"/>
    <cellStyle name="Comma 5 3 2 2 2 2 2 2 2" xfId="5246"/>
    <cellStyle name="Comma 5 3 2 2 2 2 2 3" xfId="5247"/>
    <cellStyle name="Comma 5 3 2 2 2 2 3" xfId="5248"/>
    <cellStyle name="Comma 5 3 2 2 2 2 3 2" xfId="5249"/>
    <cellStyle name="Comma 5 3 2 2 2 2 4" xfId="5250"/>
    <cellStyle name="Comma 5 3 2 2 2 3" xfId="560"/>
    <cellStyle name="Comma 5 3 2 2 2 3 2" xfId="5251"/>
    <cellStyle name="Comma 5 3 2 2 2 3 2 2" xfId="5252"/>
    <cellStyle name="Comma 5 3 2 2 2 3 3" xfId="5253"/>
    <cellStyle name="Comma 5 3 2 2 2 4" xfId="5254"/>
    <cellStyle name="Comma 5 3 2 2 2 4 2" xfId="5255"/>
    <cellStyle name="Comma 5 3 2 2 2 5" xfId="5256"/>
    <cellStyle name="Comma 5 3 2 2 3" xfId="561"/>
    <cellStyle name="Comma 5 3 2 2 3 2" xfId="5257"/>
    <cellStyle name="Comma 5 3 2 2 3 2 2" xfId="5258"/>
    <cellStyle name="Comma 5 3 2 2 3 2 2 2" xfId="5259"/>
    <cellStyle name="Comma 5 3 2 2 3 2 3" xfId="5260"/>
    <cellStyle name="Comma 5 3 2 2 3 3" xfId="5261"/>
    <cellStyle name="Comma 5 3 2 2 3 3 2" xfId="5262"/>
    <cellStyle name="Comma 5 3 2 2 3 4" xfId="5263"/>
    <cellStyle name="Comma 5 3 2 2 4" xfId="562"/>
    <cellStyle name="Comma 5 3 2 2 4 2" xfId="5264"/>
    <cellStyle name="Comma 5 3 2 2 4 2 2" xfId="5265"/>
    <cellStyle name="Comma 5 3 2 2 4 3" xfId="5266"/>
    <cellStyle name="Comma 5 3 2 2 5" xfId="5267"/>
    <cellStyle name="Comma 5 3 2 2 5 2" xfId="5268"/>
    <cellStyle name="Comma 5 3 2 2 6" xfId="5269"/>
    <cellStyle name="Comma 5 3 2 3" xfId="563"/>
    <cellStyle name="Comma 5 3 2 3 2" xfId="564"/>
    <cellStyle name="Comma 5 3 2 3 2 2" xfId="5270"/>
    <cellStyle name="Comma 5 3 2 3 2 2 2" xfId="5271"/>
    <cellStyle name="Comma 5 3 2 3 2 2 2 2" xfId="5272"/>
    <cellStyle name="Comma 5 3 2 3 2 2 3" xfId="5273"/>
    <cellStyle name="Comma 5 3 2 3 2 3" xfId="5274"/>
    <cellStyle name="Comma 5 3 2 3 2 3 2" xfId="5275"/>
    <cellStyle name="Comma 5 3 2 3 2 4" xfId="5276"/>
    <cellStyle name="Comma 5 3 2 3 3" xfId="565"/>
    <cellStyle name="Comma 5 3 2 3 3 2" xfId="5277"/>
    <cellStyle name="Comma 5 3 2 3 3 2 2" xfId="5278"/>
    <cellStyle name="Comma 5 3 2 3 3 3" xfId="5279"/>
    <cellStyle name="Comma 5 3 2 3 4" xfId="5280"/>
    <cellStyle name="Comma 5 3 2 3 4 2" xfId="5281"/>
    <cellStyle name="Comma 5 3 2 3 5" xfId="5282"/>
    <cellStyle name="Comma 5 3 2 4" xfId="566"/>
    <cellStyle name="Comma 5 3 2 4 2" xfId="5283"/>
    <cellStyle name="Comma 5 3 2 4 2 2" xfId="5284"/>
    <cellStyle name="Comma 5 3 2 4 2 2 2" xfId="5285"/>
    <cellStyle name="Comma 5 3 2 4 2 3" xfId="5286"/>
    <cellStyle name="Comma 5 3 2 4 3" xfId="5287"/>
    <cellStyle name="Comma 5 3 2 4 3 2" xfId="5288"/>
    <cellStyle name="Comma 5 3 2 4 4" xfId="5289"/>
    <cellStyle name="Comma 5 3 2 5" xfId="567"/>
    <cellStyle name="Comma 5 3 2 5 2" xfId="5290"/>
    <cellStyle name="Comma 5 3 2 5 2 2" xfId="5291"/>
    <cellStyle name="Comma 5 3 2 5 3" xfId="5292"/>
    <cellStyle name="Comma 5 3 2 6" xfId="568"/>
    <cellStyle name="Comma 5 3 2 6 2" xfId="5293"/>
    <cellStyle name="Comma 5 3 2 7" xfId="5294"/>
    <cellStyle name="Comma 5 3 3" xfId="569"/>
    <cellStyle name="Comma 5 3 3 2" xfId="570"/>
    <cellStyle name="Comma 5 3 3 2 2" xfId="571"/>
    <cellStyle name="Comma 5 3 3 2 2 2" xfId="5295"/>
    <cellStyle name="Comma 5 3 3 2 2 2 2" xfId="5296"/>
    <cellStyle name="Comma 5 3 3 2 2 2 2 2" xfId="5297"/>
    <cellStyle name="Comma 5 3 3 2 2 2 3" xfId="5298"/>
    <cellStyle name="Comma 5 3 3 2 2 3" xfId="5299"/>
    <cellStyle name="Comma 5 3 3 2 2 3 2" xfId="5300"/>
    <cellStyle name="Comma 5 3 3 2 2 4" xfId="5301"/>
    <cellStyle name="Comma 5 3 3 2 3" xfId="572"/>
    <cellStyle name="Comma 5 3 3 2 3 2" xfId="5302"/>
    <cellStyle name="Comma 5 3 3 2 3 2 2" xfId="5303"/>
    <cellStyle name="Comma 5 3 3 2 3 3" xfId="5304"/>
    <cellStyle name="Comma 5 3 3 2 4" xfId="5305"/>
    <cellStyle name="Comma 5 3 3 2 4 2" xfId="5306"/>
    <cellStyle name="Comma 5 3 3 2 5" xfId="5307"/>
    <cellStyle name="Comma 5 3 3 3" xfId="573"/>
    <cellStyle name="Comma 5 3 3 3 2" xfId="5308"/>
    <cellStyle name="Comma 5 3 3 3 2 2" xfId="5309"/>
    <cellStyle name="Comma 5 3 3 3 2 2 2" xfId="5310"/>
    <cellStyle name="Comma 5 3 3 3 2 3" xfId="5311"/>
    <cellStyle name="Comma 5 3 3 3 3" xfId="5312"/>
    <cellStyle name="Comma 5 3 3 3 3 2" xfId="5313"/>
    <cellStyle name="Comma 5 3 3 3 4" xfId="5314"/>
    <cellStyle name="Comma 5 3 3 4" xfId="574"/>
    <cellStyle name="Comma 5 3 3 4 2" xfId="5315"/>
    <cellStyle name="Comma 5 3 3 4 2 2" xfId="5316"/>
    <cellStyle name="Comma 5 3 3 4 3" xfId="5317"/>
    <cellStyle name="Comma 5 3 3 5" xfId="5318"/>
    <cellStyle name="Comma 5 3 3 5 2" xfId="5319"/>
    <cellStyle name="Comma 5 3 3 6" xfId="5320"/>
    <cellStyle name="Comma 5 3 4" xfId="575"/>
    <cellStyle name="Comma 5 3 4 2" xfId="576"/>
    <cellStyle name="Comma 5 3 4 2 2" xfId="5321"/>
    <cellStyle name="Comma 5 3 4 2 2 2" xfId="5322"/>
    <cellStyle name="Comma 5 3 4 2 2 2 2" xfId="5323"/>
    <cellStyle name="Comma 5 3 4 2 2 3" xfId="5324"/>
    <cellStyle name="Comma 5 3 4 2 3" xfId="5325"/>
    <cellStyle name="Comma 5 3 4 2 3 2" xfId="5326"/>
    <cellStyle name="Comma 5 3 4 2 4" xfId="5327"/>
    <cellStyle name="Comma 5 3 4 3" xfId="577"/>
    <cellStyle name="Comma 5 3 4 3 2" xfId="5328"/>
    <cellStyle name="Comma 5 3 4 3 2 2" xfId="5329"/>
    <cellStyle name="Comma 5 3 4 3 3" xfId="5330"/>
    <cellStyle name="Comma 5 3 4 4" xfId="5331"/>
    <cellStyle name="Comma 5 3 4 4 2" xfId="5332"/>
    <cellStyle name="Comma 5 3 4 5" xfId="5333"/>
    <cellStyle name="Comma 5 3 5" xfId="578"/>
    <cellStyle name="Comma 5 3 5 2" xfId="5334"/>
    <cellStyle name="Comma 5 3 5 2 2" xfId="5335"/>
    <cellStyle name="Comma 5 3 5 2 2 2" xfId="5336"/>
    <cellStyle name="Comma 5 3 5 2 3" xfId="5337"/>
    <cellStyle name="Comma 5 3 5 3" xfId="5338"/>
    <cellStyle name="Comma 5 3 5 3 2" xfId="5339"/>
    <cellStyle name="Comma 5 3 5 4" xfId="5340"/>
    <cellStyle name="Comma 5 3 6" xfId="579"/>
    <cellStyle name="Comma 5 3 6 2" xfId="5341"/>
    <cellStyle name="Comma 5 3 6 2 2" xfId="5342"/>
    <cellStyle name="Comma 5 3 6 3" xfId="5343"/>
    <cellStyle name="Comma 5 3 7" xfId="580"/>
    <cellStyle name="Comma 5 3 7 2" xfId="5344"/>
    <cellStyle name="Comma 5 3 8" xfId="581"/>
    <cellStyle name="Comma 5 4" xfId="582"/>
    <cellStyle name="Comma 5 4 10" xfId="583"/>
    <cellStyle name="Comma 5 4 11" xfId="4460"/>
    <cellStyle name="Comma 5 4 11 10" xfId="19879"/>
    <cellStyle name="Comma 5 4 11 11" xfId="21872"/>
    <cellStyle name="Comma 5 4 11 2" xfId="4768"/>
    <cellStyle name="Comma 5 4 11 2 2" xfId="16646"/>
    <cellStyle name="Comma 5 4 11 2 2 2" xfId="18668"/>
    <cellStyle name="Comma 5 4 11 2 2 2 2" xfId="19687"/>
    <cellStyle name="Comma 5 4 11 2 2 2 2 2" xfId="21697"/>
    <cellStyle name="Comma 5 4 11 2 2 2 2 3" xfId="23855"/>
    <cellStyle name="Comma 5 4 11 2 2 2 3" xfId="20821"/>
    <cellStyle name="Comma 5 4 11 2 2 2 4" xfId="22978"/>
    <cellStyle name="Comma 5 4 11 2 2 3" xfId="19155"/>
    <cellStyle name="Comma 5 4 11 2 2 3 2" xfId="21288"/>
    <cellStyle name="Comma 5 4 11 2 2 3 3" xfId="23445"/>
    <cellStyle name="Comma 5 4 11 2 2 4" xfId="20206"/>
    <cellStyle name="Comma 5 4 11 2 2 5" xfId="22323"/>
    <cellStyle name="Comma 5 4 11 2 3" xfId="18231"/>
    <cellStyle name="Comma 5 4 11 2 3 2" xfId="19522"/>
    <cellStyle name="Comma 5 4 11 2 3 2 2" xfId="21532"/>
    <cellStyle name="Comma 5 4 11 2 3 2 3" xfId="23690"/>
    <cellStyle name="Comma 5 4 11 2 3 3" xfId="20655"/>
    <cellStyle name="Comma 5 4 11 2 3 4" xfId="22797"/>
    <cellStyle name="Comma 5 4 11 2 4" xfId="17924"/>
    <cellStyle name="Comma 5 4 11 2 4 2" xfId="20383"/>
    <cellStyle name="Comma 5 4 11 2 4 3" xfId="22523"/>
    <cellStyle name="Comma 5 4 11 2 5" xfId="18887"/>
    <cellStyle name="Comma 5 4 11 2 5 2" xfId="21039"/>
    <cellStyle name="Comma 5 4 11 2 5 3" xfId="23196"/>
    <cellStyle name="Comma 5 4 11 2 6" xfId="20038"/>
    <cellStyle name="Comma 5 4 11 2 7" xfId="22033"/>
    <cellStyle name="Comma 5 4 11 3" xfId="16593"/>
    <cellStyle name="Comma 5 4 11 3 2" xfId="18615"/>
    <cellStyle name="Comma 5 4 11 3 2 2" xfId="19634"/>
    <cellStyle name="Comma 5 4 11 3 2 2 2" xfId="21644"/>
    <cellStyle name="Comma 5 4 11 3 2 2 3" xfId="23802"/>
    <cellStyle name="Comma 5 4 11 3 2 3" xfId="20768"/>
    <cellStyle name="Comma 5 4 11 3 2 4" xfId="22925"/>
    <cellStyle name="Comma 5 4 11 3 3" xfId="17982"/>
    <cellStyle name="Comma 5 4 11 3 3 2" xfId="20436"/>
    <cellStyle name="Comma 5 4 11 3 3 3" xfId="22576"/>
    <cellStyle name="Comma 5 4 11 3 4" xfId="19101"/>
    <cellStyle name="Comma 5 4 11 3 4 2" xfId="21234"/>
    <cellStyle name="Comma 5 4 11 3 4 3" xfId="23391"/>
    <cellStyle name="Comma 5 4 11 3 5" xfId="20153"/>
    <cellStyle name="Comma 5 4 11 3 6" xfId="22270"/>
    <cellStyle name="Comma 5 4 11 4" xfId="4668"/>
    <cellStyle name="Comma 5 4 11 4 2" xfId="18178"/>
    <cellStyle name="Comma 5 4 11 4 2 2" xfId="19469"/>
    <cellStyle name="Comma 5 4 11 4 2 2 2" xfId="21479"/>
    <cellStyle name="Comma 5 4 11 4 2 2 3" xfId="23637"/>
    <cellStyle name="Comma 5 4 11 4 2 3" xfId="20602"/>
    <cellStyle name="Comma 5 4 11 4 2 4" xfId="22744"/>
    <cellStyle name="Comma 5 4 11 4 3" xfId="19051"/>
    <cellStyle name="Comma 5 4 11 4 3 2" xfId="21192"/>
    <cellStyle name="Comma 5 4 11 4 3 3" xfId="23349"/>
    <cellStyle name="Comma 5 4 11 4 4" xfId="19985"/>
    <cellStyle name="Comma 5 4 11 4 5" xfId="21980"/>
    <cellStyle name="Comma 5 4 11 5" xfId="16724"/>
    <cellStyle name="Comma 5 4 11 5 2" xfId="18728"/>
    <cellStyle name="Comma 5 4 11 5 2 2" xfId="20881"/>
    <cellStyle name="Comma 5 4 11 5 2 3" xfId="23038"/>
    <cellStyle name="Comma 5 4 11 5 3" xfId="19748"/>
    <cellStyle name="Comma 5 4 11 5 3 2" xfId="21758"/>
    <cellStyle name="Comma 5 4 11 5 3 3" xfId="23916"/>
    <cellStyle name="Comma 5 4 11 5 4" xfId="20267"/>
    <cellStyle name="Comma 5 4 11 5 5" xfId="22395"/>
    <cellStyle name="Comma 5 4 11 6" xfId="18044"/>
    <cellStyle name="Comma 5 4 11 6 2" xfId="19363"/>
    <cellStyle name="Comma 5 4 11 6 2 2" xfId="21373"/>
    <cellStyle name="Comma 5 4 11 6 2 3" xfId="23531"/>
    <cellStyle name="Comma 5 4 11 6 3" xfId="20496"/>
    <cellStyle name="Comma 5 4 11 6 4" xfId="22638"/>
    <cellStyle name="Comma 5 4 11 7" xfId="16870"/>
    <cellStyle name="Comma 5 4 11 8" xfId="18834"/>
    <cellStyle name="Comma 5 4 11 8 2" xfId="20986"/>
    <cellStyle name="Comma 5 4 11 8 3" xfId="23143"/>
    <cellStyle name="Comma 5 4 11 9" xfId="19802"/>
    <cellStyle name="Comma 5 4 11 9 2" xfId="21811"/>
    <cellStyle name="Comma 5 4 11 9 3" xfId="23969"/>
    <cellStyle name="Comma 5 4 12" xfId="4571"/>
    <cellStyle name="Comma 5 4 13" xfId="16532"/>
    <cellStyle name="Comma 5 4 13 2" xfId="18560"/>
    <cellStyle name="Comma 5 4 13 2 2" xfId="19579"/>
    <cellStyle name="Comma 5 4 13 2 2 2" xfId="21589"/>
    <cellStyle name="Comma 5 4 13 2 2 3" xfId="23747"/>
    <cellStyle name="Comma 5 4 13 2 3" xfId="20713"/>
    <cellStyle name="Comma 5 4 13 2 4" xfId="22870"/>
    <cellStyle name="Comma 5 4 13 3" xfId="18944"/>
    <cellStyle name="Comma 5 4 13 3 2" xfId="21096"/>
    <cellStyle name="Comma 5 4 13 3 3" xfId="23253"/>
    <cellStyle name="Comma 5 4 13 4" xfId="20098"/>
    <cellStyle name="Comma 5 4 13 5" xfId="22214"/>
    <cellStyle name="Comma 5 4 14" xfId="4517"/>
    <cellStyle name="Comma 5 4 14 2" xfId="18095"/>
    <cellStyle name="Comma 5 4 14 2 2" xfId="19414"/>
    <cellStyle name="Comma 5 4 14 2 2 2" xfId="21424"/>
    <cellStyle name="Comma 5 4 14 2 2 3" xfId="23582"/>
    <cellStyle name="Comma 5 4 14 2 3" xfId="20547"/>
    <cellStyle name="Comma 5 4 14 2 4" xfId="22689"/>
    <cellStyle name="Comma 5 4 14 3" xfId="19042"/>
    <cellStyle name="Comma 5 4 14 3 2" xfId="21183"/>
    <cellStyle name="Comma 5 4 14 3 3" xfId="23340"/>
    <cellStyle name="Comma 5 4 14 4" xfId="19930"/>
    <cellStyle name="Comma 5 4 14 5" xfId="21925"/>
    <cellStyle name="Comma 5 4 15" xfId="16814"/>
    <cellStyle name="Comma 5 4 15 2" xfId="20317"/>
    <cellStyle name="Comma 5 4 15 3" xfId="22457"/>
    <cellStyle name="Comma 5 4 16" xfId="18778"/>
    <cellStyle name="Comma 5 4 16 2" xfId="20931"/>
    <cellStyle name="Comma 5 4 16 3" xfId="23088"/>
    <cellStyle name="Comma 5 4 2" xfId="584"/>
    <cellStyle name="Comma 5 4 2 2" xfId="585"/>
    <cellStyle name="Comma 5 4 2 2 2" xfId="586"/>
    <cellStyle name="Comma 5 4 2 2 2 2" xfId="5345"/>
    <cellStyle name="Comma 5 4 2 2 2 2 2" xfId="5346"/>
    <cellStyle name="Comma 5 4 2 2 2 2 2 2" xfId="5347"/>
    <cellStyle name="Comma 5 4 2 2 2 2 3" xfId="5348"/>
    <cellStyle name="Comma 5 4 2 2 2 3" xfId="5349"/>
    <cellStyle name="Comma 5 4 2 2 2 3 2" xfId="5350"/>
    <cellStyle name="Comma 5 4 2 2 2 4" xfId="5351"/>
    <cellStyle name="Comma 5 4 2 2 3" xfId="587"/>
    <cellStyle name="Comma 5 4 2 2 3 2" xfId="5352"/>
    <cellStyle name="Comma 5 4 2 2 3 2 2" xfId="5353"/>
    <cellStyle name="Comma 5 4 2 2 3 3" xfId="5354"/>
    <cellStyle name="Comma 5 4 2 2 4" xfId="5355"/>
    <cellStyle name="Comma 5 4 2 2 4 2" xfId="5356"/>
    <cellStyle name="Comma 5 4 2 2 5" xfId="5357"/>
    <cellStyle name="Comma 5 4 2 3" xfId="588"/>
    <cellStyle name="Comma 5 4 2 3 2" xfId="5358"/>
    <cellStyle name="Comma 5 4 2 3 2 2" xfId="5359"/>
    <cellStyle name="Comma 5 4 2 3 2 2 2" xfId="5360"/>
    <cellStyle name="Comma 5 4 2 3 2 3" xfId="5361"/>
    <cellStyle name="Comma 5 4 2 3 3" xfId="5362"/>
    <cellStyle name="Comma 5 4 2 3 3 2" xfId="5363"/>
    <cellStyle name="Comma 5 4 2 3 4" xfId="5364"/>
    <cellStyle name="Comma 5 4 2 4" xfId="589"/>
    <cellStyle name="Comma 5 4 2 4 2" xfId="5365"/>
    <cellStyle name="Comma 5 4 2 4 2 2" xfId="5366"/>
    <cellStyle name="Comma 5 4 2 4 3" xfId="5367"/>
    <cellStyle name="Comma 5 4 2 5" xfId="5368"/>
    <cellStyle name="Comma 5 4 2 5 2" xfId="5369"/>
    <cellStyle name="Comma 5 4 2 6" xfId="5370"/>
    <cellStyle name="Comma 5 4 3" xfId="590"/>
    <cellStyle name="Comma 5 4 3 2" xfId="591"/>
    <cellStyle name="Comma 5 4 3 2 2" xfId="5371"/>
    <cellStyle name="Comma 5 4 3 2 2 2" xfId="5372"/>
    <cellStyle name="Comma 5 4 3 2 2 2 2" xfId="5373"/>
    <cellStyle name="Comma 5 4 3 2 2 3" xfId="5374"/>
    <cellStyle name="Comma 5 4 3 2 3" xfId="5375"/>
    <cellStyle name="Comma 5 4 3 2 3 2" xfId="5376"/>
    <cellStyle name="Comma 5 4 3 2 4" xfId="5377"/>
    <cellStyle name="Comma 5 4 3 3" xfId="592"/>
    <cellStyle name="Comma 5 4 3 3 2" xfId="5378"/>
    <cellStyle name="Comma 5 4 3 3 2 2" xfId="5379"/>
    <cellStyle name="Comma 5 4 3 3 3" xfId="5380"/>
    <cellStyle name="Comma 5 4 3 4" xfId="5381"/>
    <cellStyle name="Comma 5 4 3 4 2" xfId="5382"/>
    <cellStyle name="Comma 5 4 3 5" xfId="5383"/>
    <cellStyle name="Comma 5 4 4" xfId="593"/>
    <cellStyle name="Comma 5 4 4 2" xfId="5384"/>
    <cellStyle name="Comma 5 4 4 2 2" xfId="5385"/>
    <cellStyle name="Comma 5 4 4 2 2 2" xfId="5386"/>
    <cellStyle name="Comma 5 4 4 2 3" xfId="5387"/>
    <cellStyle name="Comma 5 4 4 3" xfId="5388"/>
    <cellStyle name="Comma 5 4 4 3 2" xfId="5389"/>
    <cellStyle name="Comma 5 4 4 4" xfId="5390"/>
    <cellStyle name="Comma 5 4 5" xfId="594"/>
    <cellStyle name="Comma 5 4 5 2" xfId="5391"/>
    <cellStyle name="Comma 5 4 5 2 2" xfId="5392"/>
    <cellStyle name="Comma 5 4 5 3" xfId="5393"/>
    <cellStyle name="Comma 5 4 6" xfId="595"/>
    <cellStyle name="Comma 5 4 6 2" xfId="5394"/>
    <cellStyle name="Comma 5 4 7" xfId="596"/>
    <cellStyle name="Comma 5 4 8" xfId="597"/>
    <cellStyle name="Comma 5 4 9" xfId="598"/>
    <cellStyle name="Comma 5 5" xfId="599"/>
    <cellStyle name="Comma 5 5 2" xfId="600"/>
    <cellStyle name="Comma 5 5 2 2" xfId="601"/>
    <cellStyle name="Comma 5 5 2 2 2" xfId="602"/>
    <cellStyle name="Comma 5 5 2 2 2 2" xfId="5395"/>
    <cellStyle name="Comma 5 5 2 2 2 2 2" xfId="5396"/>
    <cellStyle name="Comma 5 5 2 2 2 3" xfId="5397"/>
    <cellStyle name="Comma 5 5 2 2 3" xfId="603"/>
    <cellStyle name="Comma 5 5 2 2 3 2" xfId="5398"/>
    <cellStyle name="Comma 5 5 2 2 4" xfId="5399"/>
    <cellStyle name="Comma 5 5 2 3" xfId="604"/>
    <cellStyle name="Comma 5 5 2 3 2" xfId="5400"/>
    <cellStyle name="Comma 5 5 2 3 2 2" xfId="5401"/>
    <cellStyle name="Comma 5 5 2 3 3" xfId="5402"/>
    <cellStyle name="Comma 5 5 2 4" xfId="605"/>
    <cellStyle name="Comma 5 5 2 4 2" xfId="5403"/>
    <cellStyle name="Comma 5 5 2 5" xfId="5404"/>
    <cellStyle name="Comma 5 5 3" xfId="606"/>
    <cellStyle name="Comma 5 5 3 2" xfId="607"/>
    <cellStyle name="Comma 5 5 3 2 2" xfId="5405"/>
    <cellStyle name="Comma 5 5 3 2 2 2" xfId="5406"/>
    <cellStyle name="Comma 5 5 3 2 3" xfId="5407"/>
    <cellStyle name="Comma 5 5 3 3" xfId="608"/>
    <cellStyle name="Comma 5 5 3 3 2" xfId="5408"/>
    <cellStyle name="Comma 5 5 3 4" xfId="5409"/>
    <cellStyle name="Comma 5 5 4" xfId="609"/>
    <cellStyle name="Comma 5 5 4 2" xfId="5410"/>
    <cellStyle name="Comma 5 5 4 2 2" xfId="5411"/>
    <cellStyle name="Comma 5 5 4 3" xfId="5412"/>
    <cellStyle name="Comma 5 5 5" xfId="610"/>
    <cellStyle name="Comma 5 5 5 2" xfId="5413"/>
    <cellStyle name="Comma 5 5 6" xfId="611"/>
    <cellStyle name="Comma 5 6" xfId="612"/>
    <cellStyle name="Comma 5 6 2" xfId="613"/>
    <cellStyle name="Comma 5 6 2 2" xfId="614"/>
    <cellStyle name="Comma 5 6 2 2 2" xfId="5414"/>
    <cellStyle name="Comma 5 6 2 2 2 2" xfId="5415"/>
    <cellStyle name="Comma 5 6 2 2 3" xfId="5416"/>
    <cellStyle name="Comma 5 6 2 3" xfId="615"/>
    <cellStyle name="Comma 5 6 2 3 2" xfId="5417"/>
    <cellStyle name="Comma 5 6 2 4" xfId="5418"/>
    <cellStyle name="Comma 5 6 3" xfId="616"/>
    <cellStyle name="Comma 5 6 3 2" xfId="5419"/>
    <cellStyle name="Comma 5 6 3 2 2" xfId="5420"/>
    <cellStyle name="Comma 5 6 3 3" xfId="5421"/>
    <cellStyle name="Comma 5 6 4" xfId="617"/>
    <cellStyle name="Comma 5 6 4 2" xfId="5422"/>
    <cellStyle name="Comma 5 6 5" xfId="5423"/>
    <cellStyle name="Comma 5 7" xfId="618"/>
    <cellStyle name="Comma 5 7 2" xfId="619"/>
    <cellStyle name="Comma 5 7 2 2" xfId="5424"/>
    <cellStyle name="Comma 5 7 2 2 2" xfId="5425"/>
    <cellStyle name="Comma 5 7 2 3" xfId="5426"/>
    <cellStyle name="Comma 5 7 3" xfId="620"/>
    <cellStyle name="Comma 5 7 3 2" xfId="5427"/>
    <cellStyle name="Comma 5 7 4" xfId="5428"/>
    <cellStyle name="Comma 5 8" xfId="621"/>
    <cellStyle name="Comma 5 8 2" xfId="5429"/>
    <cellStyle name="Comma 5 8 2 2" xfId="5430"/>
    <cellStyle name="Comma 5 8 3" xfId="5431"/>
    <cellStyle name="Comma 5 9" xfId="622"/>
    <cellStyle name="Comma 5 9 2" xfId="5432"/>
    <cellStyle name="Comma 5 9 2 2" xfId="5433"/>
    <cellStyle name="Comma 5 9 3" xfId="5434"/>
    <cellStyle name="Comma 54" xfId="5435"/>
    <cellStyle name="Comma 54 2" xfId="5436"/>
    <cellStyle name="Comma 54 2 2" xfId="5437"/>
    <cellStyle name="Comma 54 2 2 2" xfId="5438"/>
    <cellStyle name="Comma 54 2 2 2 2" xfId="5439"/>
    <cellStyle name="Comma 54 2 2 2 2 2" xfId="5440"/>
    <cellStyle name="Comma 54 2 2 2 3" xfId="5441"/>
    <cellStyle name="Comma 54 2 2 3" xfId="5442"/>
    <cellStyle name="Comma 54 2 2 3 2" xfId="5443"/>
    <cellStyle name="Comma 54 2 2 4" xfId="5444"/>
    <cellStyle name="Comma 54 2 3" xfId="5445"/>
    <cellStyle name="Comma 54 2 3 2" xfId="5446"/>
    <cellStyle name="Comma 54 2 3 2 2" xfId="5447"/>
    <cellStyle name="Comma 54 2 3 3" xfId="5448"/>
    <cellStyle name="Comma 54 2 4" xfId="5449"/>
    <cellStyle name="Comma 54 2 4 2" xfId="5450"/>
    <cellStyle name="Comma 54 2 5" xfId="5451"/>
    <cellStyle name="Comma 54 3" xfId="5452"/>
    <cellStyle name="Comma 54 3 2" xfId="5453"/>
    <cellStyle name="Comma 54 3 2 2" xfId="5454"/>
    <cellStyle name="Comma 54 3 2 2 2" xfId="5455"/>
    <cellStyle name="Comma 54 3 2 2 2 2" xfId="5456"/>
    <cellStyle name="Comma 54 3 2 2 3" xfId="5457"/>
    <cellStyle name="Comma 54 3 2 3" xfId="5458"/>
    <cellStyle name="Comma 54 3 2 3 2" xfId="5459"/>
    <cellStyle name="Comma 54 3 2 4" xfId="5460"/>
    <cellStyle name="Comma 54 3 3" xfId="5461"/>
    <cellStyle name="Comma 54 3 3 2" xfId="5462"/>
    <cellStyle name="Comma 54 3 3 2 2" xfId="5463"/>
    <cellStyle name="Comma 54 3 3 3" xfId="5464"/>
    <cellStyle name="Comma 54 3 4" xfId="5465"/>
    <cellStyle name="Comma 54 3 4 2" xfId="5466"/>
    <cellStyle name="Comma 54 3 5" xfId="5467"/>
    <cellStyle name="Comma 54 4" xfId="5468"/>
    <cellStyle name="Comma 54 4 2" xfId="5469"/>
    <cellStyle name="Comma 54 4 2 2" xfId="5470"/>
    <cellStyle name="Comma 54 4 2 2 2" xfId="5471"/>
    <cellStyle name="Comma 54 4 2 3" xfId="5472"/>
    <cellStyle name="Comma 54 4 3" xfId="5473"/>
    <cellStyle name="Comma 54 4 3 2" xfId="5474"/>
    <cellStyle name="Comma 54 4 4" xfId="5475"/>
    <cellStyle name="Comma 54 5" xfId="5476"/>
    <cellStyle name="Comma 54 5 2" xfId="5477"/>
    <cellStyle name="Comma 54 5 2 2" xfId="5478"/>
    <cellStyle name="Comma 54 5 3" xfId="5479"/>
    <cellStyle name="Comma 54 6" xfId="5480"/>
    <cellStyle name="Comma 54 6 2" xfId="5481"/>
    <cellStyle name="Comma 54 6 2 2" xfId="5482"/>
    <cellStyle name="Comma 54 6 3" xfId="5483"/>
    <cellStyle name="Comma 54 7" xfId="5484"/>
    <cellStyle name="Comma 54 7 2" xfId="5485"/>
    <cellStyle name="Comma 54 8" xfId="5486"/>
    <cellStyle name="Comma 6" xfId="623"/>
    <cellStyle name="Comma 6 2" xfId="5487"/>
    <cellStyle name="Comma 6 3" xfId="5488"/>
    <cellStyle name="Comma 7" xfId="624"/>
    <cellStyle name="Comma 7 10" xfId="625"/>
    <cellStyle name="Comma 7 11" xfId="626"/>
    <cellStyle name="Comma 7 12" xfId="627"/>
    <cellStyle name="Comma 7 13" xfId="628"/>
    <cellStyle name="Comma 7 14" xfId="629"/>
    <cellStyle name="Comma 7 15" xfId="16533"/>
    <cellStyle name="Comma 7 15 2" xfId="18561"/>
    <cellStyle name="Comma 7 15 2 2" xfId="19580"/>
    <cellStyle name="Comma 7 15 2 2 2" xfId="21590"/>
    <cellStyle name="Comma 7 15 2 2 3" xfId="23748"/>
    <cellStyle name="Comma 7 15 2 3" xfId="20714"/>
    <cellStyle name="Comma 7 15 2 4" xfId="22871"/>
    <cellStyle name="Comma 7 15 3" xfId="16871"/>
    <cellStyle name="Comma 7 15 4" xfId="18945"/>
    <cellStyle name="Comma 7 15 4 2" xfId="21097"/>
    <cellStyle name="Comma 7 15 4 3" xfId="23254"/>
    <cellStyle name="Comma 7 15 5" xfId="20099"/>
    <cellStyle name="Comma 7 15 6" xfId="22215"/>
    <cellStyle name="Comma 7 16" xfId="4518"/>
    <cellStyle name="Comma 7 16 2" xfId="18096"/>
    <cellStyle name="Comma 7 16 2 2" xfId="19415"/>
    <cellStyle name="Comma 7 16 2 2 2" xfId="21425"/>
    <cellStyle name="Comma 7 16 2 2 3" xfId="23583"/>
    <cellStyle name="Comma 7 16 2 3" xfId="20548"/>
    <cellStyle name="Comma 7 16 2 4" xfId="22690"/>
    <cellStyle name="Comma 7 16 3" xfId="18959"/>
    <cellStyle name="Comma 7 16 3 2" xfId="21111"/>
    <cellStyle name="Comma 7 16 3 3" xfId="23268"/>
    <cellStyle name="Comma 7 16 4" xfId="19931"/>
    <cellStyle name="Comma 7 16 5" xfId="21926"/>
    <cellStyle name="Comma 7 17" xfId="16815"/>
    <cellStyle name="Comma 7 17 2" xfId="20318"/>
    <cellStyle name="Comma 7 17 3" xfId="22458"/>
    <cellStyle name="Comma 7 18" xfId="18779"/>
    <cellStyle name="Comma 7 18 2" xfId="20932"/>
    <cellStyle name="Comma 7 18 3" xfId="23089"/>
    <cellStyle name="Comma 7 2" xfId="630"/>
    <cellStyle name="Comma 7 2 2" xfId="631"/>
    <cellStyle name="Comma 7 2 2 2" xfId="632"/>
    <cellStyle name="Comma 7 2 2 2 2" xfId="633"/>
    <cellStyle name="Comma 7 2 2 2 2 2" xfId="634"/>
    <cellStyle name="Comma 7 2 2 2 2 3" xfId="635"/>
    <cellStyle name="Comma 7 2 2 2 3" xfId="636"/>
    <cellStyle name="Comma 7 2 2 2 4" xfId="637"/>
    <cellStyle name="Comma 7 2 2 3" xfId="638"/>
    <cellStyle name="Comma 7 2 2 3 2" xfId="639"/>
    <cellStyle name="Comma 7 2 2 3 3" xfId="640"/>
    <cellStyle name="Comma 7 2 2 4" xfId="641"/>
    <cellStyle name="Comma 7 2 2 5" xfId="642"/>
    <cellStyle name="Comma 7 2 2 6" xfId="643"/>
    <cellStyle name="Comma 7 2 3" xfId="644"/>
    <cellStyle name="Comma 7 2 3 2" xfId="645"/>
    <cellStyle name="Comma 7 2 3 2 2" xfId="646"/>
    <cellStyle name="Comma 7 2 3 2 3" xfId="647"/>
    <cellStyle name="Comma 7 2 3 3" xfId="648"/>
    <cellStyle name="Comma 7 2 3 4" xfId="649"/>
    <cellStyle name="Comma 7 2 4" xfId="650"/>
    <cellStyle name="Comma 7 2 4 2" xfId="651"/>
    <cellStyle name="Comma 7 2 4 3" xfId="652"/>
    <cellStyle name="Comma 7 2 5" xfId="653"/>
    <cellStyle name="Comma 7 2 6" xfId="654"/>
    <cellStyle name="Comma 7 2 7" xfId="655"/>
    <cellStyle name="Comma 7 2 8" xfId="656"/>
    <cellStyle name="Comma 7 2 9" xfId="657"/>
    <cellStyle name="Comma 7 3" xfId="658"/>
    <cellStyle name="Comma 7 3 2" xfId="659"/>
    <cellStyle name="Comma 7 3 2 2" xfId="660"/>
    <cellStyle name="Comma 7 3 2 2 2" xfId="661"/>
    <cellStyle name="Comma 7 3 2 2 3" xfId="662"/>
    <cellStyle name="Comma 7 3 2 3" xfId="663"/>
    <cellStyle name="Comma 7 3 2 4" xfId="664"/>
    <cellStyle name="Comma 7 3 3" xfId="665"/>
    <cellStyle name="Comma 7 3 3 2" xfId="666"/>
    <cellStyle name="Comma 7 3 3 3" xfId="667"/>
    <cellStyle name="Comma 7 3 4" xfId="668"/>
    <cellStyle name="Comma 7 3 5" xfId="669"/>
    <cellStyle name="Comma 7 3 6" xfId="670"/>
    <cellStyle name="Comma 7 3 7" xfId="671"/>
    <cellStyle name="Comma 7 3 8" xfId="672"/>
    <cellStyle name="Comma 7 4" xfId="673"/>
    <cellStyle name="Comma 7 4 2" xfId="674"/>
    <cellStyle name="Comma 7 4 2 2" xfId="675"/>
    <cellStyle name="Comma 7 4 2 2 2" xfId="676"/>
    <cellStyle name="Comma 7 4 2 2 3" xfId="677"/>
    <cellStyle name="Comma 7 4 2 3" xfId="678"/>
    <cellStyle name="Comma 7 4 2 4" xfId="679"/>
    <cellStyle name="Comma 7 4 3" xfId="680"/>
    <cellStyle name="Comma 7 4 3 2" xfId="681"/>
    <cellStyle name="Comma 7 4 3 3" xfId="682"/>
    <cellStyle name="Comma 7 4 4" xfId="683"/>
    <cellStyle name="Comma 7 4 5" xfId="684"/>
    <cellStyle name="Comma 7 4 6" xfId="685"/>
    <cellStyle name="Comma 7 4 7" xfId="686"/>
    <cellStyle name="Comma 7 4 8" xfId="687"/>
    <cellStyle name="Comma 7 5" xfId="688"/>
    <cellStyle name="Comma 7 5 10" xfId="4519"/>
    <cellStyle name="Comma 7 5 10 2" xfId="18097"/>
    <cellStyle name="Comma 7 5 10 2 2" xfId="19416"/>
    <cellStyle name="Comma 7 5 10 2 2 2" xfId="21426"/>
    <cellStyle name="Comma 7 5 10 2 2 3" xfId="23584"/>
    <cellStyle name="Comma 7 5 10 2 3" xfId="20549"/>
    <cellStyle name="Comma 7 5 10 2 4" xfId="22691"/>
    <cellStyle name="Comma 7 5 10 3" xfId="18960"/>
    <cellStyle name="Comma 7 5 10 3 2" xfId="21112"/>
    <cellStyle name="Comma 7 5 10 3 3" xfId="23269"/>
    <cellStyle name="Comma 7 5 10 4" xfId="19932"/>
    <cellStyle name="Comma 7 5 10 5" xfId="21927"/>
    <cellStyle name="Comma 7 5 11" xfId="16816"/>
    <cellStyle name="Comma 7 5 11 2" xfId="20319"/>
    <cellStyle name="Comma 7 5 11 3" xfId="22459"/>
    <cellStyle name="Comma 7 5 12" xfId="18780"/>
    <cellStyle name="Comma 7 5 12 2" xfId="20933"/>
    <cellStyle name="Comma 7 5 12 3" xfId="23090"/>
    <cellStyle name="Comma 7 5 2" xfId="689"/>
    <cellStyle name="Comma 7 5 2 2" xfId="690"/>
    <cellStyle name="Comma 7 5 2 3" xfId="691"/>
    <cellStyle name="Comma 7 5 3" xfId="692"/>
    <cellStyle name="Comma 7 5 4" xfId="693"/>
    <cellStyle name="Comma 7 5 5" xfId="694"/>
    <cellStyle name="Comma 7 5 6" xfId="695"/>
    <cellStyle name="Comma 7 5 7" xfId="4461"/>
    <cellStyle name="Comma 7 5 7 10" xfId="19880"/>
    <cellStyle name="Comma 7 5 7 11" xfId="21873"/>
    <cellStyle name="Comma 7 5 7 2" xfId="4769"/>
    <cellStyle name="Comma 7 5 7 2 2" xfId="16647"/>
    <cellStyle name="Comma 7 5 7 2 2 2" xfId="18669"/>
    <cellStyle name="Comma 7 5 7 2 2 2 2" xfId="19688"/>
    <cellStyle name="Comma 7 5 7 2 2 2 2 2" xfId="21698"/>
    <cellStyle name="Comma 7 5 7 2 2 2 2 3" xfId="23856"/>
    <cellStyle name="Comma 7 5 7 2 2 2 3" xfId="20822"/>
    <cellStyle name="Comma 7 5 7 2 2 2 4" xfId="22979"/>
    <cellStyle name="Comma 7 5 7 2 2 3" xfId="19156"/>
    <cellStyle name="Comma 7 5 7 2 2 3 2" xfId="21289"/>
    <cellStyle name="Comma 7 5 7 2 2 3 3" xfId="23446"/>
    <cellStyle name="Comma 7 5 7 2 2 4" xfId="20207"/>
    <cellStyle name="Comma 7 5 7 2 2 5" xfId="22324"/>
    <cellStyle name="Comma 7 5 7 2 3" xfId="18232"/>
    <cellStyle name="Comma 7 5 7 2 3 2" xfId="19523"/>
    <cellStyle name="Comma 7 5 7 2 3 2 2" xfId="21533"/>
    <cellStyle name="Comma 7 5 7 2 3 2 3" xfId="23691"/>
    <cellStyle name="Comma 7 5 7 2 3 3" xfId="20656"/>
    <cellStyle name="Comma 7 5 7 2 3 4" xfId="22798"/>
    <cellStyle name="Comma 7 5 7 2 4" xfId="17925"/>
    <cellStyle name="Comma 7 5 7 2 4 2" xfId="20384"/>
    <cellStyle name="Comma 7 5 7 2 4 3" xfId="22524"/>
    <cellStyle name="Comma 7 5 7 2 5" xfId="18888"/>
    <cellStyle name="Comma 7 5 7 2 5 2" xfId="21040"/>
    <cellStyle name="Comma 7 5 7 2 5 3" xfId="23197"/>
    <cellStyle name="Comma 7 5 7 2 6" xfId="20039"/>
    <cellStyle name="Comma 7 5 7 2 7" xfId="22034"/>
    <cellStyle name="Comma 7 5 7 3" xfId="16594"/>
    <cellStyle name="Comma 7 5 7 3 2" xfId="18616"/>
    <cellStyle name="Comma 7 5 7 3 2 2" xfId="19635"/>
    <cellStyle name="Comma 7 5 7 3 2 2 2" xfId="21645"/>
    <cellStyle name="Comma 7 5 7 3 2 2 3" xfId="23803"/>
    <cellStyle name="Comma 7 5 7 3 2 3" xfId="20769"/>
    <cellStyle name="Comma 7 5 7 3 2 4" xfId="22926"/>
    <cellStyle name="Comma 7 5 7 3 3" xfId="17983"/>
    <cellStyle name="Comma 7 5 7 3 3 2" xfId="20437"/>
    <cellStyle name="Comma 7 5 7 3 3 3" xfId="22577"/>
    <cellStyle name="Comma 7 5 7 3 4" xfId="19102"/>
    <cellStyle name="Comma 7 5 7 3 4 2" xfId="21235"/>
    <cellStyle name="Comma 7 5 7 3 4 3" xfId="23392"/>
    <cellStyle name="Comma 7 5 7 3 5" xfId="20154"/>
    <cellStyle name="Comma 7 5 7 3 6" xfId="22271"/>
    <cellStyle name="Comma 7 5 7 4" xfId="4669"/>
    <cellStyle name="Comma 7 5 7 4 2" xfId="18179"/>
    <cellStyle name="Comma 7 5 7 4 2 2" xfId="19470"/>
    <cellStyle name="Comma 7 5 7 4 2 2 2" xfId="21480"/>
    <cellStyle name="Comma 7 5 7 4 2 2 3" xfId="23638"/>
    <cellStyle name="Comma 7 5 7 4 2 3" xfId="20603"/>
    <cellStyle name="Comma 7 5 7 4 2 4" xfId="22745"/>
    <cellStyle name="Comma 7 5 7 4 3" xfId="19076"/>
    <cellStyle name="Comma 7 5 7 4 3 2" xfId="21211"/>
    <cellStyle name="Comma 7 5 7 4 3 3" xfId="23368"/>
    <cellStyle name="Comma 7 5 7 4 4" xfId="19986"/>
    <cellStyle name="Comma 7 5 7 4 5" xfId="21981"/>
    <cellStyle name="Comma 7 5 7 5" xfId="16725"/>
    <cellStyle name="Comma 7 5 7 5 2" xfId="18729"/>
    <cellStyle name="Comma 7 5 7 5 2 2" xfId="20882"/>
    <cellStyle name="Comma 7 5 7 5 2 3" xfId="23039"/>
    <cellStyle name="Comma 7 5 7 5 3" xfId="19749"/>
    <cellStyle name="Comma 7 5 7 5 3 2" xfId="21759"/>
    <cellStyle name="Comma 7 5 7 5 3 3" xfId="23917"/>
    <cellStyle name="Comma 7 5 7 5 4" xfId="20268"/>
    <cellStyle name="Comma 7 5 7 5 5" xfId="22396"/>
    <cellStyle name="Comma 7 5 7 6" xfId="18045"/>
    <cellStyle name="Comma 7 5 7 6 2" xfId="19364"/>
    <cellStyle name="Comma 7 5 7 6 2 2" xfId="21374"/>
    <cellStyle name="Comma 7 5 7 6 2 3" xfId="23532"/>
    <cellStyle name="Comma 7 5 7 6 3" xfId="20497"/>
    <cellStyle name="Comma 7 5 7 6 4" xfId="22639"/>
    <cellStyle name="Comma 7 5 7 7" xfId="16872"/>
    <cellStyle name="Comma 7 5 7 8" xfId="18835"/>
    <cellStyle name="Comma 7 5 7 8 2" xfId="20987"/>
    <cellStyle name="Comma 7 5 7 8 3" xfId="23144"/>
    <cellStyle name="Comma 7 5 7 9" xfId="19803"/>
    <cellStyle name="Comma 7 5 7 9 2" xfId="21812"/>
    <cellStyle name="Comma 7 5 7 9 3" xfId="23970"/>
    <cellStyle name="Comma 7 5 8" xfId="4572"/>
    <cellStyle name="Comma 7 5 9" xfId="16534"/>
    <cellStyle name="Comma 7 5 9 2" xfId="18562"/>
    <cellStyle name="Comma 7 5 9 2 2" xfId="19581"/>
    <cellStyle name="Comma 7 5 9 2 2 2" xfId="21591"/>
    <cellStyle name="Comma 7 5 9 2 2 3" xfId="23749"/>
    <cellStyle name="Comma 7 5 9 2 3" xfId="20715"/>
    <cellStyle name="Comma 7 5 9 2 4" xfId="22872"/>
    <cellStyle name="Comma 7 5 9 3" xfId="18946"/>
    <cellStyle name="Comma 7 5 9 3 2" xfId="21098"/>
    <cellStyle name="Comma 7 5 9 3 3" xfId="23255"/>
    <cellStyle name="Comma 7 5 9 4" xfId="20100"/>
    <cellStyle name="Comma 7 5 9 5" xfId="22216"/>
    <cellStyle name="Comma 7 6" xfId="696"/>
    <cellStyle name="Comma 7 6 2" xfId="697"/>
    <cellStyle name="Comma 7 6 3" xfId="698"/>
    <cellStyle name="Comma 7 7" xfId="699"/>
    <cellStyle name="Comma 7 8" xfId="700"/>
    <cellStyle name="Comma 7 9" xfId="701"/>
    <cellStyle name="Comma 8" xfId="702"/>
    <cellStyle name="Comma 8 2" xfId="703"/>
    <cellStyle name="Comma 8 3" xfId="704"/>
    <cellStyle name="Comma 8 4" xfId="5489"/>
    <cellStyle name="Comma 9" xfId="705"/>
    <cellStyle name="Comma 9 10" xfId="706"/>
    <cellStyle name="Comma 9 11" xfId="5490"/>
    <cellStyle name="Comma 9 2" xfId="707"/>
    <cellStyle name="Comma 9 2 2" xfId="708"/>
    <cellStyle name="Comma 9 2 2 2" xfId="709"/>
    <cellStyle name="Comma 9 2 2 2 2" xfId="710"/>
    <cellStyle name="Comma 9 2 2 2 2 2" xfId="711"/>
    <cellStyle name="Comma 9 2 2 2 2 3" xfId="712"/>
    <cellStyle name="Comma 9 2 2 2 3" xfId="713"/>
    <cellStyle name="Comma 9 2 2 2 4" xfId="714"/>
    <cellStyle name="Comma 9 2 2 3" xfId="715"/>
    <cellStyle name="Comma 9 2 2 3 2" xfId="716"/>
    <cellStyle name="Comma 9 2 2 3 3" xfId="717"/>
    <cellStyle name="Comma 9 2 2 4" xfId="718"/>
    <cellStyle name="Comma 9 2 2 5" xfId="719"/>
    <cellStyle name="Comma 9 2 2 6" xfId="720"/>
    <cellStyle name="Comma 9 2 3" xfId="721"/>
    <cellStyle name="Comma 9 2 3 2" xfId="722"/>
    <cellStyle name="Comma 9 2 3 2 2" xfId="723"/>
    <cellStyle name="Comma 9 2 3 2 3" xfId="724"/>
    <cellStyle name="Comma 9 2 3 3" xfId="725"/>
    <cellStyle name="Comma 9 2 3 4" xfId="726"/>
    <cellStyle name="Comma 9 2 4" xfId="727"/>
    <cellStyle name="Comma 9 2 4 2" xfId="728"/>
    <cellStyle name="Comma 9 2 4 3" xfId="729"/>
    <cellStyle name="Comma 9 2 5" xfId="730"/>
    <cellStyle name="Comma 9 2 6" xfId="731"/>
    <cellStyle name="Comma 9 2 7" xfId="732"/>
    <cellStyle name="Comma 9 2 8" xfId="733"/>
    <cellStyle name="Comma 9 3" xfId="734"/>
    <cellStyle name="Comma 9 3 2" xfId="735"/>
    <cellStyle name="Comma 9 3 2 2" xfId="736"/>
    <cellStyle name="Comma 9 3 2 2 2" xfId="737"/>
    <cellStyle name="Comma 9 3 2 2 3" xfId="738"/>
    <cellStyle name="Comma 9 3 2 3" xfId="739"/>
    <cellStyle name="Comma 9 3 2 4" xfId="740"/>
    <cellStyle name="Comma 9 3 3" xfId="741"/>
    <cellStyle name="Comma 9 3 3 2" xfId="742"/>
    <cellStyle name="Comma 9 3 3 3" xfId="743"/>
    <cellStyle name="Comma 9 3 4" xfId="744"/>
    <cellStyle name="Comma 9 3 5" xfId="745"/>
    <cellStyle name="Comma 9 3 6" xfId="746"/>
    <cellStyle name="Comma 9 3 7" xfId="747"/>
    <cellStyle name="Comma 9 4" xfId="748"/>
    <cellStyle name="Comma 9 4 2" xfId="749"/>
    <cellStyle name="Comma 9 4 2 2" xfId="750"/>
    <cellStyle name="Comma 9 4 2 3" xfId="751"/>
    <cellStyle name="Comma 9 4 3" xfId="752"/>
    <cellStyle name="Comma 9 4 4" xfId="753"/>
    <cellStyle name="Comma 9 5" xfId="754"/>
    <cellStyle name="Comma 9 5 2" xfId="755"/>
    <cellStyle name="Comma 9 5 3" xfId="756"/>
    <cellStyle name="Comma 9 6" xfId="757"/>
    <cellStyle name="Comma 9 7" xfId="758"/>
    <cellStyle name="Comma 9 8" xfId="759"/>
    <cellStyle name="Comma 9 9" xfId="760"/>
    <cellStyle name="Comma0" xfId="761"/>
    <cellStyle name="Currency" xfId="762" builtinId="4"/>
    <cellStyle name="Currency 10" xfId="3902"/>
    <cellStyle name="Currency 11" xfId="4412"/>
    <cellStyle name="Currency 12" xfId="4411"/>
    <cellStyle name="Currency 13" xfId="16535"/>
    <cellStyle name="Currency 14" xfId="4520"/>
    <cellStyle name="Currency 15" xfId="19069"/>
    <cellStyle name="Currency 16" xfId="19861"/>
    <cellStyle name="Currency 17" xfId="19864"/>
    <cellStyle name="Currency 2" xfId="763"/>
    <cellStyle name="Currency 2 10" xfId="764"/>
    <cellStyle name="Currency 2 10 2" xfId="5491"/>
    <cellStyle name="Currency 2 10 2 2" xfId="5492"/>
    <cellStyle name="Currency 2 10 3" xfId="5493"/>
    <cellStyle name="Currency 2 11" xfId="765"/>
    <cellStyle name="Currency 2 11 2" xfId="5494"/>
    <cellStyle name="Currency 2 11 2 2" xfId="5495"/>
    <cellStyle name="Currency 2 11 3" xfId="5496"/>
    <cellStyle name="Currency 2 12" xfId="766"/>
    <cellStyle name="Currency 2 2" xfId="767"/>
    <cellStyle name="Currency 2 2 10" xfId="768"/>
    <cellStyle name="Currency 2 2 2" xfId="769"/>
    <cellStyle name="Currency 2 2 2 2" xfId="770"/>
    <cellStyle name="Currency 2 2 2 2 2" xfId="771"/>
    <cellStyle name="Currency 2 2 2 2 2 2" xfId="772"/>
    <cellStyle name="Currency 2 2 2 2 2 2 2" xfId="773"/>
    <cellStyle name="Currency 2 2 2 2 2 2 3" xfId="774"/>
    <cellStyle name="Currency 2 2 2 2 2 3" xfId="775"/>
    <cellStyle name="Currency 2 2 2 2 2 4" xfId="776"/>
    <cellStyle name="Currency 2 2 2 2 3" xfId="777"/>
    <cellStyle name="Currency 2 2 2 2 3 2" xfId="778"/>
    <cellStyle name="Currency 2 2 2 2 3 3" xfId="779"/>
    <cellStyle name="Currency 2 2 2 2 4" xfId="780"/>
    <cellStyle name="Currency 2 2 2 2 5" xfId="781"/>
    <cellStyle name="Currency 2 2 2 2 6" xfId="782"/>
    <cellStyle name="Currency 2 2 2 3" xfId="783"/>
    <cellStyle name="Currency 2 2 2 3 2" xfId="784"/>
    <cellStyle name="Currency 2 2 2 3 2 2" xfId="785"/>
    <cellStyle name="Currency 2 2 2 3 2 3" xfId="786"/>
    <cellStyle name="Currency 2 2 2 3 3" xfId="787"/>
    <cellStyle name="Currency 2 2 2 3 4" xfId="788"/>
    <cellStyle name="Currency 2 2 2 4" xfId="789"/>
    <cellStyle name="Currency 2 2 2 4 2" xfId="790"/>
    <cellStyle name="Currency 2 2 2 4 3" xfId="791"/>
    <cellStyle name="Currency 2 2 2 5" xfId="792"/>
    <cellStyle name="Currency 2 2 2 6" xfId="793"/>
    <cellStyle name="Currency 2 2 2 7" xfId="794"/>
    <cellStyle name="Currency 2 2 2 8" xfId="5497"/>
    <cellStyle name="Currency 2 2 3" xfId="795"/>
    <cellStyle name="Currency 2 2 3 2" xfId="796"/>
    <cellStyle name="Currency 2 2 3 2 2" xfId="797"/>
    <cellStyle name="Currency 2 2 3 2 2 2" xfId="798"/>
    <cellStyle name="Currency 2 2 3 2 2 3" xfId="799"/>
    <cellStyle name="Currency 2 2 3 2 3" xfId="800"/>
    <cellStyle name="Currency 2 2 3 2 4" xfId="801"/>
    <cellStyle name="Currency 2 2 3 3" xfId="802"/>
    <cellStyle name="Currency 2 2 3 3 2" xfId="803"/>
    <cellStyle name="Currency 2 2 3 3 3" xfId="804"/>
    <cellStyle name="Currency 2 2 3 4" xfId="805"/>
    <cellStyle name="Currency 2 2 3 5" xfId="806"/>
    <cellStyle name="Currency 2 2 3 6" xfId="807"/>
    <cellStyle name="Currency 2 2 4" xfId="808"/>
    <cellStyle name="Currency 2 2 4 2" xfId="809"/>
    <cellStyle name="Currency 2 2 4 2 2" xfId="810"/>
    <cellStyle name="Currency 2 2 4 2 2 2" xfId="811"/>
    <cellStyle name="Currency 2 2 4 2 2 3" xfId="812"/>
    <cellStyle name="Currency 2 2 4 2 3" xfId="813"/>
    <cellStyle name="Currency 2 2 4 2 4" xfId="814"/>
    <cellStyle name="Currency 2 2 4 3" xfId="815"/>
    <cellStyle name="Currency 2 2 4 3 2" xfId="816"/>
    <cellStyle name="Currency 2 2 4 3 3" xfId="817"/>
    <cellStyle name="Currency 2 2 4 4" xfId="818"/>
    <cellStyle name="Currency 2 2 4 5" xfId="819"/>
    <cellStyle name="Currency 2 2 4 6" xfId="820"/>
    <cellStyle name="Currency 2 2 5" xfId="821"/>
    <cellStyle name="Currency 2 2 5 2" xfId="822"/>
    <cellStyle name="Currency 2 2 5 2 2" xfId="823"/>
    <cellStyle name="Currency 2 2 5 2 3" xfId="824"/>
    <cellStyle name="Currency 2 2 5 3" xfId="825"/>
    <cellStyle name="Currency 2 2 5 4" xfId="826"/>
    <cellStyle name="Currency 2 2 6" xfId="827"/>
    <cellStyle name="Currency 2 2 6 2" xfId="828"/>
    <cellStyle name="Currency 2 2 6 3" xfId="829"/>
    <cellStyle name="Currency 2 2 7" xfId="830"/>
    <cellStyle name="Currency 2 2 8" xfId="831"/>
    <cellStyle name="Currency 2 2 9" xfId="832"/>
    <cellStyle name="Currency 2 3" xfId="833"/>
    <cellStyle name="Currency 2 4" xfId="834"/>
    <cellStyle name="Currency 2 4 2" xfId="835"/>
    <cellStyle name="Currency 2 4 2 2" xfId="836"/>
    <cellStyle name="Currency 2 4 2 2 2" xfId="837"/>
    <cellStyle name="Currency 2 4 2 2 2 2" xfId="838"/>
    <cellStyle name="Currency 2 4 2 2 2 3" xfId="839"/>
    <cellStyle name="Currency 2 4 2 2 3" xfId="840"/>
    <cellStyle name="Currency 2 4 2 2 4" xfId="841"/>
    <cellStyle name="Currency 2 4 2 3" xfId="842"/>
    <cellStyle name="Currency 2 4 2 3 2" xfId="843"/>
    <cellStyle name="Currency 2 4 2 3 3" xfId="844"/>
    <cellStyle name="Currency 2 4 2 4" xfId="845"/>
    <cellStyle name="Currency 2 4 2 5" xfId="846"/>
    <cellStyle name="Currency 2 4 2 6" xfId="847"/>
    <cellStyle name="Currency 2 4 2 7" xfId="5499"/>
    <cellStyle name="Currency 2 4 3" xfId="848"/>
    <cellStyle name="Currency 2 4 3 2" xfId="849"/>
    <cellStyle name="Currency 2 4 3 2 2" xfId="850"/>
    <cellStyle name="Currency 2 4 3 2 3" xfId="851"/>
    <cellStyle name="Currency 2 4 3 3" xfId="852"/>
    <cellStyle name="Currency 2 4 3 4" xfId="853"/>
    <cellStyle name="Currency 2 4 4" xfId="854"/>
    <cellStyle name="Currency 2 4 4 2" xfId="855"/>
    <cellStyle name="Currency 2 4 4 3" xfId="856"/>
    <cellStyle name="Currency 2 4 5" xfId="857"/>
    <cellStyle name="Currency 2 4 6" xfId="858"/>
    <cellStyle name="Currency 2 4 7" xfId="859"/>
    <cellStyle name="Currency 2 4 8" xfId="5498"/>
    <cellStyle name="Currency 2 5" xfId="860"/>
    <cellStyle name="Currency 2 5 2" xfId="861"/>
    <cellStyle name="Currency 2 5 2 2" xfId="862"/>
    <cellStyle name="Currency 2 5 2 2 2" xfId="863"/>
    <cellStyle name="Currency 2 5 2 2 2 2" xfId="5500"/>
    <cellStyle name="Currency 2 5 2 2 3" xfId="864"/>
    <cellStyle name="Currency 2 5 2 3" xfId="865"/>
    <cellStyle name="Currency 2 5 2 3 2" xfId="5501"/>
    <cellStyle name="Currency 2 5 2 4" xfId="866"/>
    <cellStyle name="Currency 2 5 3" xfId="867"/>
    <cellStyle name="Currency 2 5 3 2" xfId="868"/>
    <cellStyle name="Currency 2 5 3 2 2" xfId="5502"/>
    <cellStyle name="Currency 2 5 3 3" xfId="869"/>
    <cellStyle name="Currency 2 5 4" xfId="870"/>
    <cellStyle name="Currency 2 5 4 2" xfId="5503"/>
    <cellStyle name="Currency 2 5 5" xfId="871"/>
    <cellStyle name="Currency 2 5 6" xfId="872"/>
    <cellStyle name="Currency 2 6" xfId="873"/>
    <cellStyle name="Currency 2 6 2" xfId="874"/>
    <cellStyle name="Currency 2 6 2 2" xfId="875"/>
    <cellStyle name="Currency 2 6 2 2 2" xfId="876"/>
    <cellStyle name="Currency 2 6 2 2 2 2" xfId="5504"/>
    <cellStyle name="Currency 2 6 2 2 3" xfId="877"/>
    <cellStyle name="Currency 2 6 2 3" xfId="878"/>
    <cellStyle name="Currency 2 6 2 3 2" xfId="5505"/>
    <cellStyle name="Currency 2 6 2 4" xfId="879"/>
    <cellStyle name="Currency 2 6 3" xfId="880"/>
    <cellStyle name="Currency 2 6 3 2" xfId="881"/>
    <cellStyle name="Currency 2 6 3 2 2" xfId="5506"/>
    <cellStyle name="Currency 2 6 3 3" xfId="882"/>
    <cellStyle name="Currency 2 6 4" xfId="883"/>
    <cellStyle name="Currency 2 6 4 2" xfId="5507"/>
    <cellStyle name="Currency 2 6 5" xfId="884"/>
    <cellStyle name="Currency 2 6 6" xfId="885"/>
    <cellStyle name="Currency 2 7" xfId="886"/>
    <cellStyle name="Currency 2 7 2" xfId="887"/>
    <cellStyle name="Currency 2 7 2 2" xfId="888"/>
    <cellStyle name="Currency 2 7 2 2 2" xfId="5508"/>
    <cellStyle name="Currency 2 7 2 2 2 2" xfId="5509"/>
    <cellStyle name="Currency 2 7 2 2 3" xfId="5510"/>
    <cellStyle name="Currency 2 7 2 3" xfId="889"/>
    <cellStyle name="Currency 2 7 2 3 2" xfId="5511"/>
    <cellStyle name="Currency 2 7 2 4" xfId="5512"/>
    <cellStyle name="Currency 2 7 3" xfId="890"/>
    <cellStyle name="Currency 2 7 3 2" xfId="5513"/>
    <cellStyle name="Currency 2 7 3 2 2" xfId="5514"/>
    <cellStyle name="Currency 2 7 3 3" xfId="5515"/>
    <cellStyle name="Currency 2 7 4" xfId="891"/>
    <cellStyle name="Currency 2 7 4 2" xfId="5516"/>
    <cellStyle name="Currency 2 7 5" xfId="5517"/>
    <cellStyle name="Currency 2 8" xfId="892"/>
    <cellStyle name="Currency 2 8 2" xfId="893"/>
    <cellStyle name="Currency 2 8 2 2" xfId="5518"/>
    <cellStyle name="Currency 2 8 2 2 2" xfId="5519"/>
    <cellStyle name="Currency 2 8 2 3" xfId="5520"/>
    <cellStyle name="Currency 2 8 3" xfId="894"/>
    <cellStyle name="Currency 2 8 3 2" xfId="5521"/>
    <cellStyle name="Currency 2 8 4" xfId="5522"/>
    <cellStyle name="Currency 2 9" xfId="895"/>
    <cellStyle name="Currency 2 9 2" xfId="5523"/>
    <cellStyle name="Currency 2 9 2 2" xfId="5524"/>
    <cellStyle name="Currency 2 9 3" xfId="5525"/>
    <cellStyle name="Currency 3" xfId="896"/>
    <cellStyle name="Currency 3 10" xfId="897"/>
    <cellStyle name="Currency 3 11" xfId="898"/>
    <cellStyle name="Currency 3 12" xfId="899"/>
    <cellStyle name="Currency 3 13" xfId="900"/>
    <cellStyle name="Currency 3 14" xfId="901"/>
    <cellStyle name="Currency 3 15" xfId="902"/>
    <cellStyle name="Currency 3 16" xfId="5526"/>
    <cellStyle name="Currency 3 2" xfId="903"/>
    <cellStyle name="Currency 3 2 10" xfId="904"/>
    <cellStyle name="Currency 3 2 11" xfId="905"/>
    <cellStyle name="Currency 3 2 12" xfId="906"/>
    <cellStyle name="Currency 3 2 13" xfId="907"/>
    <cellStyle name="Currency 3 2 14" xfId="908"/>
    <cellStyle name="Currency 3 2 15" xfId="909"/>
    <cellStyle name="Currency 3 2 16" xfId="4462"/>
    <cellStyle name="Currency 3 2 16 10" xfId="19881"/>
    <cellStyle name="Currency 3 2 16 11" xfId="21874"/>
    <cellStyle name="Currency 3 2 16 2" xfId="4770"/>
    <cellStyle name="Currency 3 2 16 2 2" xfId="16648"/>
    <cellStyle name="Currency 3 2 16 2 2 2" xfId="18670"/>
    <cellStyle name="Currency 3 2 16 2 2 2 2" xfId="19689"/>
    <cellStyle name="Currency 3 2 16 2 2 2 2 2" xfId="21699"/>
    <cellStyle name="Currency 3 2 16 2 2 2 2 3" xfId="23857"/>
    <cellStyle name="Currency 3 2 16 2 2 2 3" xfId="20823"/>
    <cellStyle name="Currency 3 2 16 2 2 2 4" xfId="22980"/>
    <cellStyle name="Currency 3 2 16 2 2 3" xfId="19157"/>
    <cellStyle name="Currency 3 2 16 2 2 3 2" xfId="21290"/>
    <cellStyle name="Currency 3 2 16 2 2 3 3" xfId="23447"/>
    <cellStyle name="Currency 3 2 16 2 2 4" xfId="20208"/>
    <cellStyle name="Currency 3 2 16 2 2 5" xfId="22325"/>
    <cellStyle name="Currency 3 2 16 2 3" xfId="18233"/>
    <cellStyle name="Currency 3 2 16 2 3 2" xfId="19524"/>
    <cellStyle name="Currency 3 2 16 2 3 2 2" xfId="21534"/>
    <cellStyle name="Currency 3 2 16 2 3 2 3" xfId="23692"/>
    <cellStyle name="Currency 3 2 16 2 3 3" xfId="20657"/>
    <cellStyle name="Currency 3 2 16 2 3 4" xfId="22799"/>
    <cellStyle name="Currency 3 2 16 2 4" xfId="17926"/>
    <cellStyle name="Currency 3 2 16 2 4 2" xfId="20385"/>
    <cellStyle name="Currency 3 2 16 2 4 3" xfId="22525"/>
    <cellStyle name="Currency 3 2 16 2 5" xfId="18889"/>
    <cellStyle name="Currency 3 2 16 2 5 2" xfId="21041"/>
    <cellStyle name="Currency 3 2 16 2 5 3" xfId="23198"/>
    <cellStyle name="Currency 3 2 16 2 6" xfId="20040"/>
    <cellStyle name="Currency 3 2 16 2 7" xfId="22035"/>
    <cellStyle name="Currency 3 2 16 3" xfId="16595"/>
    <cellStyle name="Currency 3 2 16 3 2" xfId="18617"/>
    <cellStyle name="Currency 3 2 16 3 2 2" xfId="19636"/>
    <cellStyle name="Currency 3 2 16 3 2 2 2" xfId="21646"/>
    <cellStyle name="Currency 3 2 16 3 2 2 3" xfId="23804"/>
    <cellStyle name="Currency 3 2 16 3 2 3" xfId="20770"/>
    <cellStyle name="Currency 3 2 16 3 2 4" xfId="22927"/>
    <cellStyle name="Currency 3 2 16 3 3" xfId="17984"/>
    <cellStyle name="Currency 3 2 16 3 3 2" xfId="20438"/>
    <cellStyle name="Currency 3 2 16 3 3 3" xfId="22578"/>
    <cellStyle name="Currency 3 2 16 3 4" xfId="19103"/>
    <cellStyle name="Currency 3 2 16 3 4 2" xfId="21236"/>
    <cellStyle name="Currency 3 2 16 3 4 3" xfId="23393"/>
    <cellStyle name="Currency 3 2 16 3 5" xfId="20155"/>
    <cellStyle name="Currency 3 2 16 3 6" xfId="22272"/>
    <cellStyle name="Currency 3 2 16 4" xfId="4670"/>
    <cellStyle name="Currency 3 2 16 4 2" xfId="18180"/>
    <cellStyle name="Currency 3 2 16 4 2 2" xfId="19471"/>
    <cellStyle name="Currency 3 2 16 4 2 2 2" xfId="21481"/>
    <cellStyle name="Currency 3 2 16 4 2 2 3" xfId="23639"/>
    <cellStyle name="Currency 3 2 16 4 2 3" xfId="20604"/>
    <cellStyle name="Currency 3 2 16 4 2 4" xfId="22746"/>
    <cellStyle name="Currency 3 2 16 4 3" xfId="19052"/>
    <cellStyle name="Currency 3 2 16 4 3 2" xfId="21193"/>
    <cellStyle name="Currency 3 2 16 4 3 3" xfId="23350"/>
    <cellStyle name="Currency 3 2 16 4 4" xfId="19987"/>
    <cellStyle name="Currency 3 2 16 4 5" xfId="21982"/>
    <cellStyle name="Currency 3 2 16 5" xfId="16726"/>
    <cellStyle name="Currency 3 2 16 5 2" xfId="18730"/>
    <cellStyle name="Currency 3 2 16 5 2 2" xfId="20883"/>
    <cellStyle name="Currency 3 2 16 5 2 3" xfId="23040"/>
    <cellStyle name="Currency 3 2 16 5 3" xfId="19750"/>
    <cellStyle name="Currency 3 2 16 5 3 2" xfId="21760"/>
    <cellStyle name="Currency 3 2 16 5 3 3" xfId="23918"/>
    <cellStyle name="Currency 3 2 16 5 4" xfId="20269"/>
    <cellStyle name="Currency 3 2 16 5 5" xfId="22397"/>
    <cellStyle name="Currency 3 2 16 6" xfId="18046"/>
    <cellStyle name="Currency 3 2 16 6 2" xfId="19365"/>
    <cellStyle name="Currency 3 2 16 6 2 2" xfId="21375"/>
    <cellStyle name="Currency 3 2 16 6 2 3" xfId="23533"/>
    <cellStyle name="Currency 3 2 16 6 3" xfId="20498"/>
    <cellStyle name="Currency 3 2 16 6 4" xfId="22640"/>
    <cellStyle name="Currency 3 2 16 7" xfId="16873"/>
    <cellStyle name="Currency 3 2 16 8" xfId="18836"/>
    <cellStyle name="Currency 3 2 16 8 2" xfId="20988"/>
    <cellStyle name="Currency 3 2 16 8 3" xfId="23145"/>
    <cellStyle name="Currency 3 2 16 9" xfId="19804"/>
    <cellStyle name="Currency 3 2 16 9 2" xfId="21813"/>
    <cellStyle name="Currency 3 2 16 9 3" xfId="23971"/>
    <cellStyle name="Currency 3 2 17" xfId="4573"/>
    <cellStyle name="Currency 3 2 18" xfId="5527"/>
    <cellStyle name="Currency 3 2 19" xfId="16536"/>
    <cellStyle name="Currency 3 2 19 2" xfId="18563"/>
    <cellStyle name="Currency 3 2 19 2 2" xfId="19582"/>
    <cellStyle name="Currency 3 2 19 2 2 2" xfId="21592"/>
    <cellStyle name="Currency 3 2 19 2 2 3" xfId="23750"/>
    <cellStyle name="Currency 3 2 19 2 3" xfId="20716"/>
    <cellStyle name="Currency 3 2 19 2 4" xfId="22873"/>
    <cellStyle name="Currency 3 2 19 3" xfId="18947"/>
    <cellStyle name="Currency 3 2 19 3 2" xfId="21099"/>
    <cellStyle name="Currency 3 2 19 3 3" xfId="23256"/>
    <cellStyle name="Currency 3 2 19 4" xfId="20101"/>
    <cellStyle name="Currency 3 2 19 5" xfId="22217"/>
    <cellStyle name="Currency 3 2 2" xfId="910"/>
    <cellStyle name="Currency 3 2 2 10" xfId="911"/>
    <cellStyle name="Currency 3 2 2 11" xfId="912"/>
    <cellStyle name="Currency 3 2 2 12" xfId="913"/>
    <cellStyle name="Currency 3 2 2 13" xfId="914"/>
    <cellStyle name="Currency 3 2 2 14" xfId="915"/>
    <cellStyle name="Currency 3 2 2 15" xfId="4463"/>
    <cellStyle name="Currency 3 2 2 15 10" xfId="19882"/>
    <cellStyle name="Currency 3 2 2 15 11" xfId="21875"/>
    <cellStyle name="Currency 3 2 2 15 2" xfId="4771"/>
    <cellStyle name="Currency 3 2 2 15 2 2" xfId="16649"/>
    <cellStyle name="Currency 3 2 2 15 2 2 2" xfId="18671"/>
    <cellStyle name="Currency 3 2 2 15 2 2 2 2" xfId="19690"/>
    <cellStyle name="Currency 3 2 2 15 2 2 2 2 2" xfId="21700"/>
    <cellStyle name="Currency 3 2 2 15 2 2 2 2 3" xfId="23858"/>
    <cellStyle name="Currency 3 2 2 15 2 2 2 3" xfId="20824"/>
    <cellStyle name="Currency 3 2 2 15 2 2 2 4" xfId="22981"/>
    <cellStyle name="Currency 3 2 2 15 2 2 3" xfId="19158"/>
    <cellStyle name="Currency 3 2 2 15 2 2 3 2" xfId="21291"/>
    <cellStyle name="Currency 3 2 2 15 2 2 3 3" xfId="23448"/>
    <cellStyle name="Currency 3 2 2 15 2 2 4" xfId="20209"/>
    <cellStyle name="Currency 3 2 2 15 2 2 5" xfId="22326"/>
    <cellStyle name="Currency 3 2 2 15 2 3" xfId="18234"/>
    <cellStyle name="Currency 3 2 2 15 2 3 2" xfId="19525"/>
    <cellStyle name="Currency 3 2 2 15 2 3 2 2" xfId="21535"/>
    <cellStyle name="Currency 3 2 2 15 2 3 2 3" xfId="23693"/>
    <cellStyle name="Currency 3 2 2 15 2 3 3" xfId="20658"/>
    <cellStyle name="Currency 3 2 2 15 2 3 4" xfId="22800"/>
    <cellStyle name="Currency 3 2 2 15 2 4" xfId="17927"/>
    <cellStyle name="Currency 3 2 2 15 2 4 2" xfId="20386"/>
    <cellStyle name="Currency 3 2 2 15 2 4 3" xfId="22526"/>
    <cellStyle name="Currency 3 2 2 15 2 5" xfId="18890"/>
    <cellStyle name="Currency 3 2 2 15 2 5 2" xfId="21042"/>
    <cellStyle name="Currency 3 2 2 15 2 5 3" xfId="23199"/>
    <cellStyle name="Currency 3 2 2 15 2 6" xfId="20041"/>
    <cellStyle name="Currency 3 2 2 15 2 7" xfId="22036"/>
    <cellStyle name="Currency 3 2 2 15 3" xfId="16596"/>
    <cellStyle name="Currency 3 2 2 15 3 2" xfId="18618"/>
    <cellStyle name="Currency 3 2 2 15 3 2 2" xfId="19637"/>
    <cellStyle name="Currency 3 2 2 15 3 2 2 2" xfId="21647"/>
    <cellStyle name="Currency 3 2 2 15 3 2 2 3" xfId="23805"/>
    <cellStyle name="Currency 3 2 2 15 3 2 3" xfId="20771"/>
    <cellStyle name="Currency 3 2 2 15 3 2 4" xfId="22928"/>
    <cellStyle name="Currency 3 2 2 15 3 3" xfId="17985"/>
    <cellStyle name="Currency 3 2 2 15 3 3 2" xfId="20439"/>
    <cellStyle name="Currency 3 2 2 15 3 3 3" xfId="22579"/>
    <cellStyle name="Currency 3 2 2 15 3 4" xfId="19104"/>
    <cellStyle name="Currency 3 2 2 15 3 4 2" xfId="21237"/>
    <cellStyle name="Currency 3 2 2 15 3 4 3" xfId="23394"/>
    <cellStyle name="Currency 3 2 2 15 3 5" xfId="20156"/>
    <cellStyle name="Currency 3 2 2 15 3 6" xfId="22273"/>
    <cellStyle name="Currency 3 2 2 15 4" xfId="4671"/>
    <cellStyle name="Currency 3 2 2 15 4 2" xfId="18181"/>
    <cellStyle name="Currency 3 2 2 15 4 2 2" xfId="19472"/>
    <cellStyle name="Currency 3 2 2 15 4 2 2 2" xfId="21482"/>
    <cellStyle name="Currency 3 2 2 15 4 2 2 3" xfId="23640"/>
    <cellStyle name="Currency 3 2 2 15 4 2 3" xfId="20605"/>
    <cellStyle name="Currency 3 2 2 15 4 2 4" xfId="22747"/>
    <cellStyle name="Currency 3 2 2 15 4 3" xfId="19276"/>
    <cellStyle name="Currency 3 2 2 15 4 3 2" xfId="21354"/>
    <cellStyle name="Currency 3 2 2 15 4 3 3" xfId="23511"/>
    <cellStyle name="Currency 3 2 2 15 4 4" xfId="19988"/>
    <cellStyle name="Currency 3 2 2 15 4 5" xfId="21983"/>
    <cellStyle name="Currency 3 2 2 15 5" xfId="16727"/>
    <cellStyle name="Currency 3 2 2 15 5 2" xfId="18731"/>
    <cellStyle name="Currency 3 2 2 15 5 2 2" xfId="20884"/>
    <cellStyle name="Currency 3 2 2 15 5 2 3" xfId="23041"/>
    <cellStyle name="Currency 3 2 2 15 5 3" xfId="19751"/>
    <cellStyle name="Currency 3 2 2 15 5 3 2" xfId="21761"/>
    <cellStyle name="Currency 3 2 2 15 5 3 3" xfId="23919"/>
    <cellStyle name="Currency 3 2 2 15 5 4" xfId="20270"/>
    <cellStyle name="Currency 3 2 2 15 5 5" xfId="22398"/>
    <cellStyle name="Currency 3 2 2 15 6" xfId="18047"/>
    <cellStyle name="Currency 3 2 2 15 6 2" xfId="19366"/>
    <cellStyle name="Currency 3 2 2 15 6 2 2" xfId="21376"/>
    <cellStyle name="Currency 3 2 2 15 6 2 3" xfId="23534"/>
    <cellStyle name="Currency 3 2 2 15 6 3" xfId="20499"/>
    <cellStyle name="Currency 3 2 2 15 6 4" xfId="22641"/>
    <cellStyle name="Currency 3 2 2 15 7" xfId="16874"/>
    <cellStyle name="Currency 3 2 2 15 8" xfId="18837"/>
    <cellStyle name="Currency 3 2 2 15 8 2" xfId="20989"/>
    <cellStyle name="Currency 3 2 2 15 8 3" xfId="23146"/>
    <cellStyle name="Currency 3 2 2 15 9" xfId="19805"/>
    <cellStyle name="Currency 3 2 2 15 9 2" xfId="21814"/>
    <cellStyle name="Currency 3 2 2 15 9 3" xfId="23972"/>
    <cellStyle name="Currency 3 2 2 16" xfId="4574"/>
    <cellStyle name="Currency 3 2 2 17" xfId="16537"/>
    <cellStyle name="Currency 3 2 2 17 2" xfId="18564"/>
    <cellStyle name="Currency 3 2 2 17 2 2" xfId="19583"/>
    <cellStyle name="Currency 3 2 2 17 2 2 2" xfId="21593"/>
    <cellStyle name="Currency 3 2 2 17 2 2 3" xfId="23751"/>
    <cellStyle name="Currency 3 2 2 17 2 3" xfId="20717"/>
    <cellStyle name="Currency 3 2 2 17 2 4" xfId="22874"/>
    <cellStyle name="Currency 3 2 2 17 3" xfId="18948"/>
    <cellStyle name="Currency 3 2 2 17 3 2" xfId="21100"/>
    <cellStyle name="Currency 3 2 2 17 3 3" xfId="23257"/>
    <cellStyle name="Currency 3 2 2 17 4" xfId="20102"/>
    <cellStyle name="Currency 3 2 2 17 5" xfId="22218"/>
    <cellStyle name="Currency 3 2 2 18" xfId="4522"/>
    <cellStyle name="Currency 3 2 2 18 2" xfId="18099"/>
    <cellStyle name="Currency 3 2 2 18 2 2" xfId="19418"/>
    <cellStyle name="Currency 3 2 2 18 2 2 2" xfId="21428"/>
    <cellStyle name="Currency 3 2 2 18 2 2 3" xfId="23586"/>
    <cellStyle name="Currency 3 2 2 18 2 3" xfId="20551"/>
    <cellStyle name="Currency 3 2 2 18 2 4" xfId="22693"/>
    <cellStyle name="Currency 3 2 2 18 3" xfId="18961"/>
    <cellStyle name="Currency 3 2 2 18 3 2" xfId="21113"/>
    <cellStyle name="Currency 3 2 2 18 3 3" xfId="23270"/>
    <cellStyle name="Currency 3 2 2 18 4" xfId="19934"/>
    <cellStyle name="Currency 3 2 2 18 5" xfId="21929"/>
    <cellStyle name="Currency 3 2 2 19" xfId="16818"/>
    <cellStyle name="Currency 3 2 2 19 2" xfId="20321"/>
    <cellStyle name="Currency 3 2 2 19 3" xfId="22461"/>
    <cellStyle name="Currency 3 2 2 2" xfId="916"/>
    <cellStyle name="Currency 3 2 2 2 2" xfId="917"/>
    <cellStyle name="Currency 3 2 2 2 2 2" xfId="918"/>
    <cellStyle name="Currency 3 2 2 2 2 2 2" xfId="919"/>
    <cellStyle name="Currency 3 2 2 2 2 2 2 2" xfId="920"/>
    <cellStyle name="Currency 3 2 2 2 2 2 2 3" xfId="921"/>
    <cellStyle name="Currency 3 2 2 2 2 2 3" xfId="922"/>
    <cellStyle name="Currency 3 2 2 2 2 2 4" xfId="923"/>
    <cellStyle name="Currency 3 2 2 2 2 3" xfId="924"/>
    <cellStyle name="Currency 3 2 2 2 2 3 2" xfId="925"/>
    <cellStyle name="Currency 3 2 2 2 2 3 3" xfId="926"/>
    <cellStyle name="Currency 3 2 2 2 2 4" xfId="927"/>
    <cellStyle name="Currency 3 2 2 2 2 5" xfId="928"/>
    <cellStyle name="Currency 3 2 2 2 2 6" xfId="929"/>
    <cellStyle name="Currency 3 2 2 2 3" xfId="930"/>
    <cellStyle name="Currency 3 2 2 2 3 2" xfId="931"/>
    <cellStyle name="Currency 3 2 2 2 3 2 2" xfId="932"/>
    <cellStyle name="Currency 3 2 2 2 3 2 3" xfId="933"/>
    <cellStyle name="Currency 3 2 2 2 3 3" xfId="934"/>
    <cellStyle name="Currency 3 2 2 2 3 4" xfId="935"/>
    <cellStyle name="Currency 3 2 2 2 4" xfId="936"/>
    <cellStyle name="Currency 3 2 2 2 4 2" xfId="937"/>
    <cellStyle name="Currency 3 2 2 2 4 3" xfId="938"/>
    <cellStyle name="Currency 3 2 2 2 5" xfId="939"/>
    <cellStyle name="Currency 3 2 2 2 6" xfId="940"/>
    <cellStyle name="Currency 3 2 2 2 7" xfId="941"/>
    <cellStyle name="Currency 3 2 2 20" xfId="18782"/>
    <cellStyle name="Currency 3 2 2 20 2" xfId="20935"/>
    <cellStyle name="Currency 3 2 2 20 3" xfId="23092"/>
    <cellStyle name="Currency 3 2 2 3" xfId="942"/>
    <cellStyle name="Currency 3 2 2 3 2" xfId="943"/>
    <cellStyle name="Currency 3 2 2 3 2 2" xfId="944"/>
    <cellStyle name="Currency 3 2 2 3 2 2 2" xfId="945"/>
    <cellStyle name="Currency 3 2 2 3 2 2 3" xfId="946"/>
    <cellStyle name="Currency 3 2 2 3 2 3" xfId="947"/>
    <cellStyle name="Currency 3 2 2 3 2 4" xfId="948"/>
    <cellStyle name="Currency 3 2 2 3 3" xfId="949"/>
    <cellStyle name="Currency 3 2 2 3 3 2" xfId="950"/>
    <cellStyle name="Currency 3 2 2 3 3 3" xfId="951"/>
    <cellStyle name="Currency 3 2 2 3 4" xfId="952"/>
    <cellStyle name="Currency 3 2 2 3 5" xfId="953"/>
    <cellStyle name="Currency 3 2 2 3 6" xfId="954"/>
    <cellStyle name="Currency 3 2 2 4" xfId="955"/>
    <cellStyle name="Currency 3 2 2 4 2" xfId="956"/>
    <cellStyle name="Currency 3 2 2 4 2 2" xfId="957"/>
    <cellStyle name="Currency 3 2 2 4 2 2 2" xfId="958"/>
    <cellStyle name="Currency 3 2 2 4 2 2 3" xfId="959"/>
    <cellStyle name="Currency 3 2 2 4 2 3" xfId="960"/>
    <cellStyle name="Currency 3 2 2 4 2 4" xfId="961"/>
    <cellStyle name="Currency 3 2 2 4 3" xfId="962"/>
    <cellStyle name="Currency 3 2 2 4 3 2" xfId="963"/>
    <cellStyle name="Currency 3 2 2 4 3 3" xfId="964"/>
    <cellStyle name="Currency 3 2 2 4 4" xfId="965"/>
    <cellStyle name="Currency 3 2 2 4 5" xfId="966"/>
    <cellStyle name="Currency 3 2 2 4 6" xfId="967"/>
    <cellStyle name="Currency 3 2 2 5" xfId="968"/>
    <cellStyle name="Currency 3 2 2 5 2" xfId="969"/>
    <cellStyle name="Currency 3 2 2 5 2 2" xfId="970"/>
    <cellStyle name="Currency 3 2 2 5 2 3" xfId="971"/>
    <cellStyle name="Currency 3 2 2 5 3" xfId="972"/>
    <cellStyle name="Currency 3 2 2 5 4" xfId="973"/>
    <cellStyle name="Currency 3 2 2 6" xfId="974"/>
    <cellStyle name="Currency 3 2 2 6 2" xfId="975"/>
    <cellStyle name="Currency 3 2 2 6 3" xfId="976"/>
    <cellStyle name="Currency 3 2 2 7" xfId="977"/>
    <cellStyle name="Currency 3 2 2 8" xfId="978"/>
    <cellStyle name="Currency 3 2 2 9" xfId="979"/>
    <cellStyle name="Currency 3 2 20" xfId="4521"/>
    <cellStyle name="Currency 3 2 20 2" xfId="18098"/>
    <cellStyle name="Currency 3 2 20 2 2" xfId="19417"/>
    <cellStyle name="Currency 3 2 20 2 2 2" xfId="21427"/>
    <cellStyle name="Currency 3 2 20 2 2 3" xfId="23585"/>
    <cellStyle name="Currency 3 2 20 2 3" xfId="20550"/>
    <cellStyle name="Currency 3 2 20 2 4" xfId="22692"/>
    <cellStyle name="Currency 3 2 20 3" xfId="19043"/>
    <cellStyle name="Currency 3 2 20 3 2" xfId="21184"/>
    <cellStyle name="Currency 3 2 20 3 3" xfId="23341"/>
    <cellStyle name="Currency 3 2 20 4" xfId="19933"/>
    <cellStyle name="Currency 3 2 20 5" xfId="21928"/>
    <cellStyle name="Currency 3 2 21" xfId="16817"/>
    <cellStyle name="Currency 3 2 21 2" xfId="20320"/>
    <cellStyle name="Currency 3 2 21 3" xfId="22460"/>
    <cellStyle name="Currency 3 2 22" xfId="18781"/>
    <cellStyle name="Currency 3 2 22 2" xfId="20934"/>
    <cellStyle name="Currency 3 2 22 3" xfId="23091"/>
    <cellStyle name="Currency 3 2 3" xfId="980"/>
    <cellStyle name="Currency 3 2 3 2" xfId="981"/>
    <cellStyle name="Currency 3 2 3 2 2" xfId="982"/>
    <cellStyle name="Currency 3 2 3 2 2 2" xfId="983"/>
    <cellStyle name="Currency 3 2 3 2 2 2 2" xfId="984"/>
    <cellStyle name="Currency 3 2 3 2 2 2 3" xfId="985"/>
    <cellStyle name="Currency 3 2 3 2 2 3" xfId="986"/>
    <cellStyle name="Currency 3 2 3 2 2 4" xfId="987"/>
    <cellStyle name="Currency 3 2 3 2 3" xfId="988"/>
    <cellStyle name="Currency 3 2 3 2 3 2" xfId="989"/>
    <cellStyle name="Currency 3 2 3 2 3 3" xfId="990"/>
    <cellStyle name="Currency 3 2 3 2 4" xfId="991"/>
    <cellStyle name="Currency 3 2 3 2 5" xfId="992"/>
    <cellStyle name="Currency 3 2 3 2 6" xfId="993"/>
    <cellStyle name="Currency 3 2 3 3" xfId="994"/>
    <cellStyle name="Currency 3 2 3 3 2" xfId="995"/>
    <cellStyle name="Currency 3 2 3 3 2 2" xfId="996"/>
    <cellStyle name="Currency 3 2 3 3 2 3" xfId="997"/>
    <cellStyle name="Currency 3 2 3 3 3" xfId="998"/>
    <cellStyle name="Currency 3 2 3 3 4" xfId="999"/>
    <cellStyle name="Currency 3 2 3 4" xfId="1000"/>
    <cellStyle name="Currency 3 2 3 4 2" xfId="1001"/>
    <cellStyle name="Currency 3 2 3 4 3" xfId="1002"/>
    <cellStyle name="Currency 3 2 3 5" xfId="1003"/>
    <cellStyle name="Currency 3 2 3 6" xfId="1004"/>
    <cellStyle name="Currency 3 2 3 7" xfId="1005"/>
    <cellStyle name="Currency 3 2 4" xfId="1006"/>
    <cellStyle name="Currency 3 2 4 2" xfId="1007"/>
    <cellStyle name="Currency 3 2 4 2 2" xfId="1008"/>
    <cellStyle name="Currency 3 2 4 2 2 2" xfId="1009"/>
    <cellStyle name="Currency 3 2 4 2 2 3" xfId="1010"/>
    <cellStyle name="Currency 3 2 4 2 3" xfId="1011"/>
    <cellStyle name="Currency 3 2 4 2 4" xfId="1012"/>
    <cellStyle name="Currency 3 2 4 3" xfId="1013"/>
    <cellStyle name="Currency 3 2 4 3 2" xfId="1014"/>
    <cellStyle name="Currency 3 2 4 3 3" xfId="1015"/>
    <cellStyle name="Currency 3 2 4 4" xfId="1016"/>
    <cellStyle name="Currency 3 2 4 5" xfId="1017"/>
    <cellStyle name="Currency 3 2 4 6" xfId="1018"/>
    <cellStyle name="Currency 3 2 5" xfId="1019"/>
    <cellStyle name="Currency 3 2 5 2" xfId="1020"/>
    <cellStyle name="Currency 3 2 5 2 2" xfId="1021"/>
    <cellStyle name="Currency 3 2 5 2 2 2" xfId="1022"/>
    <cellStyle name="Currency 3 2 5 2 2 3" xfId="1023"/>
    <cellStyle name="Currency 3 2 5 2 3" xfId="1024"/>
    <cellStyle name="Currency 3 2 5 2 4" xfId="1025"/>
    <cellStyle name="Currency 3 2 5 3" xfId="1026"/>
    <cellStyle name="Currency 3 2 5 3 2" xfId="1027"/>
    <cellStyle name="Currency 3 2 5 3 3" xfId="1028"/>
    <cellStyle name="Currency 3 2 5 4" xfId="1029"/>
    <cellStyle name="Currency 3 2 5 5" xfId="1030"/>
    <cellStyle name="Currency 3 2 5 6" xfId="1031"/>
    <cellStyle name="Currency 3 2 6" xfId="1032"/>
    <cellStyle name="Currency 3 2 6 2" xfId="1033"/>
    <cellStyle name="Currency 3 2 6 2 2" xfId="1034"/>
    <cellStyle name="Currency 3 2 6 2 3" xfId="1035"/>
    <cellStyle name="Currency 3 2 6 3" xfId="1036"/>
    <cellStyle name="Currency 3 2 6 4" xfId="1037"/>
    <cellStyle name="Currency 3 2 7" xfId="1038"/>
    <cellStyle name="Currency 3 2 7 2" xfId="1039"/>
    <cellStyle name="Currency 3 2 7 3" xfId="1040"/>
    <cellStyle name="Currency 3 2 8" xfId="1041"/>
    <cellStyle name="Currency 3 2 9" xfId="1042"/>
    <cellStyle name="Currency 3 3" xfId="1043"/>
    <cellStyle name="Currency 3 3 10" xfId="1044"/>
    <cellStyle name="Currency 3 3 11" xfId="1045"/>
    <cellStyle name="Currency 3 3 12" xfId="1046"/>
    <cellStyle name="Currency 3 3 13" xfId="1047"/>
    <cellStyle name="Currency 3 3 14" xfId="1048"/>
    <cellStyle name="Currency 3 3 15" xfId="4464"/>
    <cellStyle name="Currency 3 3 15 10" xfId="19883"/>
    <cellStyle name="Currency 3 3 15 11" xfId="21876"/>
    <cellStyle name="Currency 3 3 15 2" xfId="4772"/>
    <cellStyle name="Currency 3 3 15 2 2" xfId="16650"/>
    <cellStyle name="Currency 3 3 15 2 2 2" xfId="18672"/>
    <cellStyle name="Currency 3 3 15 2 2 2 2" xfId="19691"/>
    <cellStyle name="Currency 3 3 15 2 2 2 2 2" xfId="21701"/>
    <cellStyle name="Currency 3 3 15 2 2 2 2 3" xfId="23859"/>
    <cellStyle name="Currency 3 3 15 2 2 2 3" xfId="20825"/>
    <cellStyle name="Currency 3 3 15 2 2 2 4" xfId="22982"/>
    <cellStyle name="Currency 3 3 15 2 2 3" xfId="19159"/>
    <cellStyle name="Currency 3 3 15 2 2 3 2" xfId="21292"/>
    <cellStyle name="Currency 3 3 15 2 2 3 3" xfId="23449"/>
    <cellStyle name="Currency 3 3 15 2 2 4" xfId="20210"/>
    <cellStyle name="Currency 3 3 15 2 2 5" xfId="22327"/>
    <cellStyle name="Currency 3 3 15 2 3" xfId="18235"/>
    <cellStyle name="Currency 3 3 15 2 3 2" xfId="19526"/>
    <cellStyle name="Currency 3 3 15 2 3 2 2" xfId="21536"/>
    <cellStyle name="Currency 3 3 15 2 3 2 3" xfId="23694"/>
    <cellStyle name="Currency 3 3 15 2 3 3" xfId="20659"/>
    <cellStyle name="Currency 3 3 15 2 3 4" xfId="22801"/>
    <cellStyle name="Currency 3 3 15 2 4" xfId="17928"/>
    <cellStyle name="Currency 3 3 15 2 4 2" xfId="20387"/>
    <cellStyle name="Currency 3 3 15 2 4 3" xfId="22527"/>
    <cellStyle name="Currency 3 3 15 2 5" xfId="18891"/>
    <cellStyle name="Currency 3 3 15 2 5 2" xfId="21043"/>
    <cellStyle name="Currency 3 3 15 2 5 3" xfId="23200"/>
    <cellStyle name="Currency 3 3 15 2 6" xfId="20042"/>
    <cellStyle name="Currency 3 3 15 2 7" xfId="22037"/>
    <cellStyle name="Currency 3 3 15 3" xfId="16597"/>
    <cellStyle name="Currency 3 3 15 3 2" xfId="18619"/>
    <cellStyle name="Currency 3 3 15 3 2 2" xfId="19638"/>
    <cellStyle name="Currency 3 3 15 3 2 2 2" xfId="21648"/>
    <cellStyle name="Currency 3 3 15 3 2 2 3" xfId="23806"/>
    <cellStyle name="Currency 3 3 15 3 2 3" xfId="20772"/>
    <cellStyle name="Currency 3 3 15 3 2 4" xfId="22929"/>
    <cellStyle name="Currency 3 3 15 3 3" xfId="17986"/>
    <cellStyle name="Currency 3 3 15 3 3 2" xfId="20440"/>
    <cellStyle name="Currency 3 3 15 3 3 3" xfId="22580"/>
    <cellStyle name="Currency 3 3 15 3 4" xfId="19105"/>
    <cellStyle name="Currency 3 3 15 3 4 2" xfId="21238"/>
    <cellStyle name="Currency 3 3 15 3 4 3" xfId="23395"/>
    <cellStyle name="Currency 3 3 15 3 5" xfId="20157"/>
    <cellStyle name="Currency 3 3 15 3 6" xfId="22274"/>
    <cellStyle name="Currency 3 3 15 4" xfId="4672"/>
    <cellStyle name="Currency 3 3 15 4 2" xfId="18182"/>
    <cellStyle name="Currency 3 3 15 4 2 2" xfId="19473"/>
    <cellStyle name="Currency 3 3 15 4 2 2 2" xfId="21483"/>
    <cellStyle name="Currency 3 3 15 4 2 2 3" xfId="23641"/>
    <cellStyle name="Currency 3 3 15 4 2 3" xfId="20606"/>
    <cellStyle name="Currency 3 3 15 4 2 4" xfId="22748"/>
    <cellStyle name="Currency 3 3 15 4 3" xfId="19317"/>
    <cellStyle name="Currency 3 3 15 4 3 2" xfId="21356"/>
    <cellStyle name="Currency 3 3 15 4 3 3" xfId="23513"/>
    <cellStyle name="Currency 3 3 15 4 4" xfId="19989"/>
    <cellStyle name="Currency 3 3 15 4 5" xfId="21984"/>
    <cellStyle name="Currency 3 3 15 5" xfId="16728"/>
    <cellStyle name="Currency 3 3 15 5 2" xfId="18732"/>
    <cellStyle name="Currency 3 3 15 5 2 2" xfId="20885"/>
    <cellStyle name="Currency 3 3 15 5 2 3" xfId="23042"/>
    <cellStyle name="Currency 3 3 15 5 3" xfId="19752"/>
    <cellStyle name="Currency 3 3 15 5 3 2" xfId="21762"/>
    <cellStyle name="Currency 3 3 15 5 3 3" xfId="23920"/>
    <cellStyle name="Currency 3 3 15 5 4" xfId="20271"/>
    <cellStyle name="Currency 3 3 15 5 5" xfId="22399"/>
    <cellStyle name="Currency 3 3 15 6" xfId="18048"/>
    <cellStyle name="Currency 3 3 15 6 2" xfId="19367"/>
    <cellStyle name="Currency 3 3 15 6 2 2" xfId="21377"/>
    <cellStyle name="Currency 3 3 15 6 2 3" xfId="23535"/>
    <cellStyle name="Currency 3 3 15 6 3" xfId="20500"/>
    <cellStyle name="Currency 3 3 15 6 4" xfId="22642"/>
    <cellStyle name="Currency 3 3 15 7" xfId="16875"/>
    <cellStyle name="Currency 3 3 15 8" xfId="18838"/>
    <cellStyle name="Currency 3 3 15 8 2" xfId="20990"/>
    <cellStyle name="Currency 3 3 15 8 3" xfId="23147"/>
    <cellStyle name="Currency 3 3 15 9" xfId="19806"/>
    <cellStyle name="Currency 3 3 15 9 2" xfId="21815"/>
    <cellStyle name="Currency 3 3 15 9 3" xfId="23973"/>
    <cellStyle name="Currency 3 3 16" xfId="4575"/>
    <cellStyle name="Currency 3 3 17" xfId="16538"/>
    <cellStyle name="Currency 3 3 17 2" xfId="18565"/>
    <cellStyle name="Currency 3 3 17 2 2" xfId="19584"/>
    <cellStyle name="Currency 3 3 17 2 2 2" xfId="21594"/>
    <cellStyle name="Currency 3 3 17 2 2 3" xfId="23752"/>
    <cellStyle name="Currency 3 3 17 2 3" xfId="20718"/>
    <cellStyle name="Currency 3 3 17 2 4" xfId="22875"/>
    <cellStyle name="Currency 3 3 17 3" xfId="18949"/>
    <cellStyle name="Currency 3 3 17 3 2" xfId="21101"/>
    <cellStyle name="Currency 3 3 17 3 3" xfId="23258"/>
    <cellStyle name="Currency 3 3 17 4" xfId="20103"/>
    <cellStyle name="Currency 3 3 17 5" xfId="22219"/>
    <cellStyle name="Currency 3 3 18" xfId="4523"/>
    <cellStyle name="Currency 3 3 18 2" xfId="18100"/>
    <cellStyle name="Currency 3 3 18 2 2" xfId="19419"/>
    <cellStyle name="Currency 3 3 18 2 2 2" xfId="21429"/>
    <cellStyle name="Currency 3 3 18 2 2 3" xfId="23587"/>
    <cellStyle name="Currency 3 3 18 2 3" xfId="20552"/>
    <cellStyle name="Currency 3 3 18 2 4" xfId="22694"/>
    <cellStyle name="Currency 3 3 18 3" xfId="18962"/>
    <cellStyle name="Currency 3 3 18 3 2" xfId="21114"/>
    <cellStyle name="Currency 3 3 18 3 3" xfId="23271"/>
    <cellStyle name="Currency 3 3 18 4" xfId="19935"/>
    <cellStyle name="Currency 3 3 18 5" xfId="21930"/>
    <cellStyle name="Currency 3 3 19" xfId="16819"/>
    <cellStyle name="Currency 3 3 19 2" xfId="20322"/>
    <cellStyle name="Currency 3 3 19 3" xfId="22462"/>
    <cellStyle name="Currency 3 3 2" xfId="1049"/>
    <cellStyle name="Currency 3 3 2 2" xfId="1050"/>
    <cellStyle name="Currency 3 3 2 2 2" xfId="1051"/>
    <cellStyle name="Currency 3 3 2 2 2 2" xfId="1052"/>
    <cellStyle name="Currency 3 3 2 2 2 2 2" xfId="1053"/>
    <cellStyle name="Currency 3 3 2 2 2 2 3" xfId="1054"/>
    <cellStyle name="Currency 3 3 2 2 2 3" xfId="1055"/>
    <cellStyle name="Currency 3 3 2 2 2 4" xfId="1056"/>
    <cellStyle name="Currency 3 3 2 2 3" xfId="1057"/>
    <cellStyle name="Currency 3 3 2 2 3 2" xfId="1058"/>
    <cellStyle name="Currency 3 3 2 2 3 3" xfId="1059"/>
    <cellStyle name="Currency 3 3 2 2 4" xfId="1060"/>
    <cellStyle name="Currency 3 3 2 2 5" xfId="1061"/>
    <cellStyle name="Currency 3 3 2 2 6" xfId="1062"/>
    <cellStyle name="Currency 3 3 2 3" xfId="1063"/>
    <cellStyle name="Currency 3 3 2 3 2" xfId="1064"/>
    <cellStyle name="Currency 3 3 2 3 2 2" xfId="1065"/>
    <cellStyle name="Currency 3 3 2 3 2 3" xfId="1066"/>
    <cellStyle name="Currency 3 3 2 3 3" xfId="1067"/>
    <cellStyle name="Currency 3 3 2 3 4" xfId="1068"/>
    <cellStyle name="Currency 3 3 2 4" xfId="1069"/>
    <cellStyle name="Currency 3 3 2 4 2" xfId="1070"/>
    <cellStyle name="Currency 3 3 2 4 3" xfId="1071"/>
    <cellStyle name="Currency 3 3 2 5" xfId="1072"/>
    <cellStyle name="Currency 3 3 2 6" xfId="1073"/>
    <cellStyle name="Currency 3 3 2 7" xfId="1074"/>
    <cellStyle name="Currency 3 3 20" xfId="18783"/>
    <cellStyle name="Currency 3 3 20 2" xfId="20936"/>
    <cellStyle name="Currency 3 3 20 3" xfId="23093"/>
    <cellStyle name="Currency 3 3 3" xfId="1075"/>
    <cellStyle name="Currency 3 3 3 2" xfId="1076"/>
    <cellStyle name="Currency 3 3 3 2 2" xfId="1077"/>
    <cellStyle name="Currency 3 3 3 2 2 2" xfId="1078"/>
    <cellStyle name="Currency 3 3 3 2 2 3" xfId="1079"/>
    <cellStyle name="Currency 3 3 3 2 3" xfId="1080"/>
    <cellStyle name="Currency 3 3 3 2 4" xfId="1081"/>
    <cellStyle name="Currency 3 3 3 3" xfId="1082"/>
    <cellStyle name="Currency 3 3 3 3 2" xfId="1083"/>
    <cellStyle name="Currency 3 3 3 3 3" xfId="1084"/>
    <cellStyle name="Currency 3 3 3 4" xfId="1085"/>
    <cellStyle name="Currency 3 3 3 5" xfId="1086"/>
    <cellStyle name="Currency 3 3 3 6" xfId="1087"/>
    <cellStyle name="Currency 3 3 4" xfId="1088"/>
    <cellStyle name="Currency 3 3 4 2" xfId="1089"/>
    <cellStyle name="Currency 3 3 4 2 2" xfId="1090"/>
    <cellStyle name="Currency 3 3 4 2 2 2" xfId="1091"/>
    <cellStyle name="Currency 3 3 4 2 2 3" xfId="1092"/>
    <cellStyle name="Currency 3 3 4 2 3" xfId="1093"/>
    <cellStyle name="Currency 3 3 4 2 4" xfId="1094"/>
    <cellStyle name="Currency 3 3 4 3" xfId="1095"/>
    <cellStyle name="Currency 3 3 4 3 2" xfId="1096"/>
    <cellStyle name="Currency 3 3 4 3 3" xfId="1097"/>
    <cellStyle name="Currency 3 3 4 4" xfId="1098"/>
    <cellStyle name="Currency 3 3 4 5" xfId="1099"/>
    <cellStyle name="Currency 3 3 4 6" xfId="1100"/>
    <cellStyle name="Currency 3 3 5" xfId="1101"/>
    <cellStyle name="Currency 3 3 5 2" xfId="1102"/>
    <cellStyle name="Currency 3 3 5 2 2" xfId="1103"/>
    <cellStyle name="Currency 3 3 5 2 3" xfId="1104"/>
    <cellStyle name="Currency 3 3 5 3" xfId="1105"/>
    <cellStyle name="Currency 3 3 5 4" xfId="1106"/>
    <cellStyle name="Currency 3 3 6" xfId="1107"/>
    <cellStyle name="Currency 3 3 6 2" xfId="1108"/>
    <cellStyle name="Currency 3 3 6 3" xfId="1109"/>
    <cellStyle name="Currency 3 3 7" xfId="1110"/>
    <cellStyle name="Currency 3 3 8" xfId="1111"/>
    <cellStyle name="Currency 3 3 9" xfId="1112"/>
    <cellStyle name="Currency 3 4" xfId="1113"/>
    <cellStyle name="Currency 3 4 2" xfId="1114"/>
    <cellStyle name="Currency 3 4 2 2" xfId="5530"/>
    <cellStyle name="Currency 3 4 2 2 2" xfId="5531"/>
    <cellStyle name="Currency 3 4 2 2 2 2" xfId="5532"/>
    <cellStyle name="Currency 3 4 2 2 3" xfId="5533"/>
    <cellStyle name="Currency 3 4 2 3" xfId="5534"/>
    <cellStyle name="Currency 3 4 2 3 2" xfId="5535"/>
    <cellStyle name="Currency 3 4 2 4" xfId="5536"/>
    <cellStyle name="Currency 3 4 2 5" xfId="5529"/>
    <cellStyle name="Currency 3 4 3" xfId="5537"/>
    <cellStyle name="Currency 3 4 3 2" xfId="5538"/>
    <cellStyle name="Currency 3 4 3 2 2" xfId="5539"/>
    <cellStyle name="Currency 3 4 3 3" xfId="5540"/>
    <cellStyle name="Currency 3 4 4" xfId="5541"/>
    <cellStyle name="Currency 3 4 4 2" xfId="5542"/>
    <cellStyle name="Currency 3 4 5" xfId="5543"/>
    <cellStyle name="Currency 3 4 6" xfId="5528"/>
    <cellStyle name="Currency 3 5" xfId="1115"/>
    <cellStyle name="Currency 3 5 2" xfId="1116"/>
    <cellStyle name="Currency 3 5 2 2" xfId="1117"/>
    <cellStyle name="Currency 3 5 2 2 2" xfId="1118"/>
    <cellStyle name="Currency 3 5 2 2 2 2" xfId="1119"/>
    <cellStyle name="Currency 3 5 2 2 2 3" xfId="1120"/>
    <cellStyle name="Currency 3 5 2 2 3" xfId="1121"/>
    <cellStyle name="Currency 3 5 2 2 4" xfId="1122"/>
    <cellStyle name="Currency 3 5 2 3" xfId="1123"/>
    <cellStyle name="Currency 3 5 2 3 2" xfId="1124"/>
    <cellStyle name="Currency 3 5 2 3 3" xfId="1125"/>
    <cellStyle name="Currency 3 5 2 4" xfId="1126"/>
    <cellStyle name="Currency 3 5 2 5" xfId="1127"/>
    <cellStyle name="Currency 3 5 2 6" xfId="1128"/>
    <cellStyle name="Currency 3 5 3" xfId="1129"/>
    <cellStyle name="Currency 3 5 3 2" xfId="1130"/>
    <cellStyle name="Currency 3 5 3 2 2" xfId="1131"/>
    <cellStyle name="Currency 3 5 3 2 3" xfId="1132"/>
    <cellStyle name="Currency 3 5 3 3" xfId="1133"/>
    <cellStyle name="Currency 3 5 3 4" xfId="1134"/>
    <cellStyle name="Currency 3 5 4" xfId="1135"/>
    <cellStyle name="Currency 3 5 4 2" xfId="1136"/>
    <cellStyle name="Currency 3 5 4 3" xfId="1137"/>
    <cellStyle name="Currency 3 5 5" xfId="1138"/>
    <cellStyle name="Currency 3 5 6" xfId="1139"/>
    <cellStyle name="Currency 3 5 7" xfId="1140"/>
    <cellStyle name="Currency 3 6" xfId="1141"/>
    <cellStyle name="Currency 3 6 2" xfId="1142"/>
    <cellStyle name="Currency 3 6 2 2" xfId="1143"/>
    <cellStyle name="Currency 3 6 2 2 2" xfId="1144"/>
    <cellStyle name="Currency 3 6 2 2 3" xfId="1145"/>
    <cellStyle name="Currency 3 6 2 3" xfId="1146"/>
    <cellStyle name="Currency 3 6 2 4" xfId="1147"/>
    <cellStyle name="Currency 3 6 3" xfId="1148"/>
    <cellStyle name="Currency 3 6 3 2" xfId="1149"/>
    <cellStyle name="Currency 3 6 3 3" xfId="1150"/>
    <cellStyle name="Currency 3 6 4" xfId="1151"/>
    <cellStyle name="Currency 3 6 5" xfId="1152"/>
    <cellStyle name="Currency 3 6 6" xfId="1153"/>
    <cellStyle name="Currency 3 7" xfId="1154"/>
    <cellStyle name="Currency 3 7 2" xfId="1155"/>
    <cellStyle name="Currency 3 7 2 2" xfId="1156"/>
    <cellStyle name="Currency 3 7 2 2 2" xfId="1157"/>
    <cellStyle name="Currency 3 7 2 2 3" xfId="1158"/>
    <cellStyle name="Currency 3 7 2 3" xfId="1159"/>
    <cellStyle name="Currency 3 7 2 4" xfId="1160"/>
    <cellStyle name="Currency 3 7 3" xfId="1161"/>
    <cellStyle name="Currency 3 7 3 2" xfId="1162"/>
    <cellStyle name="Currency 3 7 3 3" xfId="1163"/>
    <cellStyle name="Currency 3 7 4" xfId="1164"/>
    <cellStyle name="Currency 3 7 5" xfId="1165"/>
    <cellStyle name="Currency 3 7 6" xfId="1166"/>
    <cellStyle name="Currency 3 8" xfId="1167"/>
    <cellStyle name="Currency 3 8 2" xfId="1168"/>
    <cellStyle name="Currency 3 8 2 2" xfId="1169"/>
    <cellStyle name="Currency 3 8 2 3" xfId="1170"/>
    <cellStyle name="Currency 3 8 3" xfId="1171"/>
    <cellStyle name="Currency 3 8 4" xfId="1172"/>
    <cellStyle name="Currency 3 9" xfId="1173"/>
    <cellStyle name="Currency 3 9 2" xfId="1174"/>
    <cellStyle name="Currency 3 9 3" xfId="1175"/>
    <cellStyle name="Currency 34" xfId="5544"/>
    <cellStyle name="Currency 34 10" xfId="5545"/>
    <cellStyle name="Currency 34 11" xfId="5546"/>
    <cellStyle name="Currency 34 12" xfId="5547"/>
    <cellStyle name="Currency 34 13" xfId="5548"/>
    <cellStyle name="Currency 34 14" xfId="5549"/>
    <cellStyle name="Currency 34 15" xfId="5550"/>
    <cellStyle name="Currency 34 2" xfId="5551"/>
    <cellStyle name="Currency 34 3" xfId="5552"/>
    <cellStyle name="Currency 34 4" xfId="5553"/>
    <cellStyle name="Currency 34 5" xfId="5554"/>
    <cellStyle name="Currency 34 6" xfId="5555"/>
    <cellStyle name="Currency 34 7" xfId="5556"/>
    <cellStyle name="Currency 34 8" xfId="5557"/>
    <cellStyle name="Currency 34 9" xfId="5558"/>
    <cellStyle name="Currency 35" xfId="5559"/>
    <cellStyle name="Currency 35 10" xfId="5560"/>
    <cellStyle name="Currency 35 11" xfId="5561"/>
    <cellStyle name="Currency 35 12" xfId="5562"/>
    <cellStyle name="Currency 35 13" xfId="5563"/>
    <cellStyle name="Currency 35 14" xfId="5564"/>
    <cellStyle name="Currency 35 15" xfId="5565"/>
    <cellStyle name="Currency 35 2" xfId="5566"/>
    <cellStyle name="Currency 35 3" xfId="5567"/>
    <cellStyle name="Currency 35 4" xfId="5568"/>
    <cellStyle name="Currency 35 5" xfId="5569"/>
    <cellStyle name="Currency 35 6" xfId="5570"/>
    <cellStyle name="Currency 35 7" xfId="5571"/>
    <cellStyle name="Currency 35 8" xfId="5572"/>
    <cellStyle name="Currency 35 9" xfId="5573"/>
    <cellStyle name="Currency 36" xfId="5574"/>
    <cellStyle name="Currency 36 10" xfId="5575"/>
    <cellStyle name="Currency 36 11" xfId="5576"/>
    <cellStyle name="Currency 36 12" xfId="5577"/>
    <cellStyle name="Currency 36 13" xfId="5578"/>
    <cellStyle name="Currency 36 14" xfId="5579"/>
    <cellStyle name="Currency 36 15" xfId="5580"/>
    <cellStyle name="Currency 36 2" xfId="5581"/>
    <cellStyle name="Currency 36 3" xfId="5582"/>
    <cellStyle name="Currency 36 4" xfId="5583"/>
    <cellStyle name="Currency 36 5" xfId="5584"/>
    <cellStyle name="Currency 36 6" xfId="5585"/>
    <cellStyle name="Currency 36 7" xfId="5586"/>
    <cellStyle name="Currency 36 8" xfId="5587"/>
    <cellStyle name="Currency 36 9" xfId="5588"/>
    <cellStyle name="Currency 37" xfId="5589"/>
    <cellStyle name="Currency 37 10" xfId="5590"/>
    <cellStyle name="Currency 37 11" xfId="5591"/>
    <cellStyle name="Currency 37 12" xfId="5592"/>
    <cellStyle name="Currency 37 13" xfId="5593"/>
    <cellStyle name="Currency 37 14" xfId="5594"/>
    <cellStyle name="Currency 37 15" xfId="5595"/>
    <cellStyle name="Currency 37 2" xfId="5596"/>
    <cellStyle name="Currency 37 3" xfId="5597"/>
    <cellStyle name="Currency 37 4" xfId="5598"/>
    <cellStyle name="Currency 37 5" xfId="5599"/>
    <cellStyle name="Currency 37 6" xfId="5600"/>
    <cellStyle name="Currency 37 7" xfId="5601"/>
    <cellStyle name="Currency 37 8" xfId="5602"/>
    <cellStyle name="Currency 37 9" xfId="5603"/>
    <cellStyle name="Currency 38" xfId="5604"/>
    <cellStyle name="Currency 38 10" xfId="5605"/>
    <cellStyle name="Currency 38 11" xfId="5606"/>
    <cellStyle name="Currency 38 12" xfId="5607"/>
    <cellStyle name="Currency 38 13" xfId="5608"/>
    <cellStyle name="Currency 38 14" xfId="5609"/>
    <cellStyle name="Currency 38 15" xfId="5610"/>
    <cellStyle name="Currency 38 2" xfId="5611"/>
    <cellStyle name="Currency 38 3" xfId="5612"/>
    <cellStyle name="Currency 38 4" xfId="5613"/>
    <cellStyle name="Currency 38 5" xfId="5614"/>
    <cellStyle name="Currency 38 6" xfId="5615"/>
    <cellStyle name="Currency 38 7" xfId="5616"/>
    <cellStyle name="Currency 38 8" xfId="5617"/>
    <cellStyle name="Currency 38 9" xfId="5618"/>
    <cellStyle name="Currency 39" xfId="5619"/>
    <cellStyle name="Currency 39 10" xfId="5620"/>
    <cellStyle name="Currency 39 11" xfId="5621"/>
    <cellStyle name="Currency 39 12" xfId="5622"/>
    <cellStyle name="Currency 39 13" xfId="5623"/>
    <cellStyle name="Currency 39 14" xfId="5624"/>
    <cellStyle name="Currency 39 15" xfId="5625"/>
    <cellStyle name="Currency 39 2" xfId="5626"/>
    <cellStyle name="Currency 39 3" xfId="5627"/>
    <cellStyle name="Currency 39 4" xfId="5628"/>
    <cellStyle name="Currency 39 5" xfId="5629"/>
    <cellStyle name="Currency 39 6" xfId="5630"/>
    <cellStyle name="Currency 39 7" xfId="5631"/>
    <cellStyle name="Currency 39 8" xfId="5632"/>
    <cellStyle name="Currency 39 9" xfId="5633"/>
    <cellStyle name="Currency 4" xfId="1176"/>
    <cellStyle name="Currency 4 2" xfId="1177"/>
    <cellStyle name="Currency 4 2 2" xfId="1178"/>
    <cellStyle name="Currency 4 2 2 2" xfId="5635"/>
    <cellStyle name="Currency 4 2 3" xfId="1179"/>
    <cellStyle name="Currency 4 2 3 2" xfId="5636"/>
    <cellStyle name="Currency 4 2 4" xfId="5637"/>
    <cellStyle name="Currency 4 2 5" xfId="5638"/>
    <cellStyle name="Currency 4 2 6" xfId="5634"/>
    <cellStyle name="Currency 4 3" xfId="1180"/>
    <cellStyle name="Currency 4 3 2" xfId="5640"/>
    <cellStyle name="Currency 4 3 3" xfId="5641"/>
    <cellStyle name="Currency 4 3 4" xfId="5642"/>
    <cellStyle name="Currency 4 3 5" xfId="5639"/>
    <cellStyle name="Currency 4 4" xfId="5643"/>
    <cellStyle name="Currency 4 4 2" xfId="5644"/>
    <cellStyle name="Currency 4 4 3" xfId="5645"/>
    <cellStyle name="Currency 4 4 4" xfId="5646"/>
    <cellStyle name="Currency 4 5" xfId="5647"/>
    <cellStyle name="Currency 4 5 2" xfId="5648"/>
    <cellStyle name="Currency 4 5 3" xfId="5649"/>
    <cellStyle name="Currency 4 5 4" xfId="5650"/>
    <cellStyle name="Currency 4 6" xfId="5651"/>
    <cellStyle name="Currency 4 6 2" xfId="5652"/>
    <cellStyle name="Currency 4 6 3" xfId="5653"/>
    <cellStyle name="Currency 4 7" xfId="5654"/>
    <cellStyle name="Currency 4 8" xfId="5655"/>
    <cellStyle name="Currency 4 9" xfId="5656"/>
    <cellStyle name="Currency 40" xfId="5657"/>
    <cellStyle name="Currency 40 10" xfId="5658"/>
    <cellStyle name="Currency 40 11" xfId="5659"/>
    <cellStyle name="Currency 40 12" xfId="5660"/>
    <cellStyle name="Currency 40 13" xfId="5661"/>
    <cellStyle name="Currency 40 14" xfId="5662"/>
    <cellStyle name="Currency 40 15" xfId="5663"/>
    <cellStyle name="Currency 40 2" xfId="5664"/>
    <cellStyle name="Currency 40 3" xfId="5665"/>
    <cellStyle name="Currency 40 4" xfId="5666"/>
    <cellStyle name="Currency 40 5" xfId="5667"/>
    <cellStyle name="Currency 40 6" xfId="5668"/>
    <cellStyle name="Currency 40 7" xfId="5669"/>
    <cellStyle name="Currency 40 8" xfId="5670"/>
    <cellStyle name="Currency 40 9" xfId="5671"/>
    <cellStyle name="Currency 41" xfId="5672"/>
    <cellStyle name="Currency 41 10" xfId="5673"/>
    <cellStyle name="Currency 41 11" xfId="5674"/>
    <cellStyle name="Currency 41 12" xfId="5675"/>
    <cellStyle name="Currency 41 13" xfId="5676"/>
    <cellStyle name="Currency 41 14" xfId="5677"/>
    <cellStyle name="Currency 41 15" xfId="5678"/>
    <cellStyle name="Currency 41 2" xfId="5679"/>
    <cellStyle name="Currency 41 3" xfId="5680"/>
    <cellStyle name="Currency 41 4" xfId="5681"/>
    <cellStyle name="Currency 41 5" xfId="5682"/>
    <cellStyle name="Currency 41 6" xfId="5683"/>
    <cellStyle name="Currency 41 7" xfId="5684"/>
    <cellStyle name="Currency 41 8" xfId="5685"/>
    <cellStyle name="Currency 41 9" xfId="5686"/>
    <cellStyle name="Currency 42 2" xfId="5687"/>
    <cellStyle name="Currency 42 3" xfId="5688"/>
    <cellStyle name="Currency 49 2" xfId="5689"/>
    <cellStyle name="Currency 49 3" xfId="5690"/>
    <cellStyle name="Currency 5" xfId="1181"/>
    <cellStyle name="Currency 5 10" xfId="1182"/>
    <cellStyle name="Currency 5 11" xfId="1183"/>
    <cellStyle name="Currency 5 12" xfId="1184"/>
    <cellStyle name="Currency 5 13" xfId="1185"/>
    <cellStyle name="Currency 5 14" xfId="1186"/>
    <cellStyle name="Currency 5 15" xfId="1187"/>
    <cellStyle name="Currency 5 16" xfId="1188"/>
    <cellStyle name="Currency 5 17" xfId="4465"/>
    <cellStyle name="Currency 5 17 10" xfId="19884"/>
    <cellStyle name="Currency 5 17 11" xfId="21877"/>
    <cellStyle name="Currency 5 17 2" xfId="4773"/>
    <cellStyle name="Currency 5 17 2 2" xfId="16651"/>
    <cellStyle name="Currency 5 17 2 2 2" xfId="18673"/>
    <cellStyle name="Currency 5 17 2 2 2 2" xfId="19692"/>
    <cellStyle name="Currency 5 17 2 2 2 2 2" xfId="21702"/>
    <cellStyle name="Currency 5 17 2 2 2 2 3" xfId="23860"/>
    <cellStyle name="Currency 5 17 2 2 2 3" xfId="20826"/>
    <cellStyle name="Currency 5 17 2 2 2 4" xfId="22983"/>
    <cellStyle name="Currency 5 17 2 2 3" xfId="19160"/>
    <cellStyle name="Currency 5 17 2 2 3 2" xfId="21293"/>
    <cellStyle name="Currency 5 17 2 2 3 3" xfId="23450"/>
    <cellStyle name="Currency 5 17 2 2 4" xfId="20211"/>
    <cellStyle name="Currency 5 17 2 2 5" xfId="22328"/>
    <cellStyle name="Currency 5 17 2 3" xfId="18236"/>
    <cellStyle name="Currency 5 17 2 3 2" xfId="19527"/>
    <cellStyle name="Currency 5 17 2 3 2 2" xfId="21537"/>
    <cellStyle name="Currency 5 17 2 3 2 3" xfId="23695"/>
    <cellStyle name="Currency 5 17 2 3 3" xfId="20660"/>
    <cellStyle name="Currency 5 17 2 3 4" xfId="22802"/>
    <cellStyle name="Currency 5 17 2 4" xfId="17929"/>
    <cellStyle name="Currency 5 17 2 4 2" xfId="20388"/>
    <cellStyle name="Currency 5 17 2 4 3" xfId="22528"/>
    <cellStyle name="Currency 5 17 2 5" xfId="18892"/>
    <cellStyle name="Currency 5 17 2 5 2" xfId="21044"/>
    <cellStyle name="Currency 5 17 2 5 3" xfId="23201"/>
    <cellStyle name="Currency 5 17 2 6" xfId="20043"/>
    <cellStyle name="Currency 5 17 2 7" xfId="22038"/>
    <cellStyle name="Currency 5 17 3" xfId="16598"/>
    <cellStyle name="Currency 5 17 3 2" xfId="18620"/>
    <cellStyle name="Currency 5 17 3 2 2" xfId="19639"/>
    <cellStyle name="Currency 5 17 3 2 2 2" xfId="21649"/>
    <cellStyle name="Currency 5 17 3 2 2 3" xfId="23807"/>
    <cellStyle name="Currency 5 17 3 2 3" xfId="20773"/>
    <cellStyle name="Currency 5 17 3 2 4" xfId="22930"/>
    <cellStyle name="Currency 5 17 3 3" xfId="17987"/>
    <cellStyle name="Currency 5 17 3 3 2" xfId="20441"/>
    <cellStyle name="Currency 5 17 3 3 3" xfId="22581"/>
    <cellStyle name="Currency 5 17 3 4" xfId="19106"/>
    <cellStyle name="Currency 5 17 3 4 2" xfId="21239"/>
    <cellStyle name="Currency 5 17 3 4 3" xfId="23396"/>
    <cellStyle name="Currency 5 17 3 5" xfId="20158"/>
    <cellStyle name="Currency 5 17 3 6" xfId="22275"/>
    <cellStyle name="Currency 5 17 4" xfId="4673"/>
    <cellStyle name="Currency 5 17 4 2" xfId="18183"/>
    <cellStyle name="Currency 5 17 4 2 2" xfId="19474"/>
    <cellStyle name="Currency 5 17 4 2 2 2" xfId="21484"/>
    <cellStyle name="Currency 5 17 4 2 2 3" xfId="23642"/>
    <cellStyle name="Currency 5 17 4 2 3" xfId="20607"/>
    <cellStyle name="Currency 5 17 4 2 4" xfId="22749"/>
    <cellStyle name="Currency 5 17 4 3" xfId="18992"/>
    <cellStyle name="Currency 5 17 4 3 2" xfId="21144"/>
    <cellStyle name="Currency 5 17 4 3 3" xfId="23301"/>
    <cellStyle name="Currency 5 17 4 4" xfId="19990"/>
    <cellStyle name="Currency 5 17 4 5" xfId="21985"/>
    <cellStyle name="Currency 5 17 5" xfId="16729"/>
    <cellStyle name="Currency 5 17 5 2" xfId="18733"/>
    <cellStyle name="Currency 5 17 5 2 2" xfId="20886"/>
    <cellStyle name="Currency 5 17 5 2 3" xfId="23043"/>
    <cellStyle name="Currency 5 17 5 3" xfId="19753"/>
    <cellStyle name="Currency 5 17 5 3 2" xfId="21763"/>
    <cellStyle name="Currency 5 17 5 3 3" xfId="23921"/>
    <cellStyle name="Currency 5 17 5 4" xfId="20272"/>
    <cellStyle name="Currency 5 17 5 5" xfId="22400"/>
    <cellStyle name="Currency 5 17 6" xfId="18049"/>
    <cellStyle name="Currency 5 17 6 2" xfId="19368"/>
    <cellStyle name="Currency 5 17 6 2 2" xfId="21378"/>
    <cellStyle name="Currency 5 17 6 2 3" xfId="23536"/>
    <cellStyle name="Currency 5 17 6 3" xfId="20501"/>
    <cellStyle name="Currency 5 17 6 4" xfId="22643"/>
    <cellStyle name="Currency 5 17 7" xfId="16876"/>
    <cellStyle name="Currency 5 17 8" xfId="18839"/>
    <cellStyle name="Currency 5 17 8 2" xfId="20991"/>
    <cellStyle name="Currency 5 17 8 3" xfId="23148"/>
    <cellStyle name="Currency 5 17 9" xfId="19807"/>
    <cellStyle name="Currency 5 17 9 2" xfId="21816"/>
    <cellStyle name="Currency 5 17 9 3" xfId="23974"/>
    <cellStyle name="Currency 5 18" xfId="4576"/>
    <cellStyle name="Currency 5 19" xfId="5691"/>
    <cellStyle name="Currency 5 2" xfId="1189"/>
    <cellStyle name="Currency 5 2 2" xfId="1190"/>
    <cellStyle name="Currency 5 2 2 2" xfId="1191"/>
    <cellStyle name="Currency 5 2 2 2 2" xfId="1192"/>
    <cellStyle name="Currency 5 2 2 2 2 2" xfId="1193"/>
    <cellStyle name="Currency 5 2 2 2 2 3" xfId="1194"/>
    <cellStyle name="Currency 5 2 2 2 3" xfId="1195"/>
    <cellStyle name="Currency 5 2 2 2 4" xfId="1196"/>
    <cellStyle name="Currency 5 2 2 3" xfId="1197"/>
    <cellStyle name="Currency 5 2 2 3 2" xfId="1198"/>
    <cellStyle name="Currency 5 2 2 3 3" xfId="1199"/>
    <cellStyle name="Currency 5 2 2 4" xfId="1200"/>
    <cellStyle name="Currency 5 2 2 5" xfId="1201"/>
    <cellStyle name="Currency 5 2 2 6" xfId="1202"/>
    <cellStyle name="Currency 5 2 3" xfId="1203"/>
    <cellStyle name="Currency 5 2 3 2" xfId="1204"/>
    <cellStyle name="Currency 5 2 3 2 2" xfId="1205"/>
    <cellStyle name="Currency 5 2 3 2 3" xfId="1206"/>
    <cellStyle name="Currency 5 2 3 3" xfId="1207"/>
    <cellStyle name="Currency 5 2 3 4" xfId="1208"/>
    <cellStyle name="Currency 5 2 4" xfId="1209"/>
    <cellStyle name="Currency 5 2 4 2" xfId="1210"/>
    <cellStyle name="Currency 5 2 4 3" xfId="1211"/>
    <cellStyle name="Currency 5 2 5" xfId="1212"/>
    <cellStyle name="Currency 5 2 6" xfId="1213"/>
    <cellStyle name="Currency 5 2 7" xfId="1214"/>
    <cellStyle name="Currency 5 2 8" xfId="5692"/>
    <cellStyle name="Currency 5 20" xfId="16539"/>
    <cellStyle name="Currency 5 20 2" xfId="18566"/>
    <cellStyle name="Currency 5 20 2 2" xfId="19585"/>
    <cellStyle name="Currency 5 20 2 2 2" xfId="21595"/>
    <cellStyle name="Currency 5 20 2 2 3" xfId="23753"/>
    <cellStyle name="Currency 5 20 2 3" xfId="20719"/>
    <cellStyle name="Currency 5 20 2 4" xfId="22876"/>
    <cellStyle name="Currency 5 20 3" xfId="18950"/>
    <cellStyle name="Currency 5 20 3 2" xfId="21102"/>
    <cellStyle name="Currency 5 20 3 3" xfId="23259"/>
    <cellStyle name="Currency 5 20 4" xfId="20104"/>
    <cellStyle name="Currency 5 20 5" xfId="22220"/>
    <cellStyle name="Currency 5 21" xfId="4524"/>
    <cellStyle name="Currency 5 21 2" xfId="18101"/>
    <cellStyle name="Currency 5 21 2 2" xfId="19420"/>
    <cellStyle name="Currency 5 21 2 2 2" xfId="21430"/>
    <cellStyle name="Currency 5 21 2 2 3" xfId="23588"/>
    <cellStyle name="Currency 5 21 2 3" xfId="20553"/>
    <cellStyle name="Currency 5 21 2 4" xfId="22695"/>
    <cellStyle name="Currency 5 21 3" xfId="18963"/>
    <cellStyle name="Currency 5 21 3 2" xfId="21115"/>
    <cellStyle name="Currency 5 21 3 3" xfId="23272"/>
    <cellStyle name="Currency 5 21 4" xfId="19936"/>
    <cellStyle name="Currency 5 21 5" xfId="21931"/>
    <cellStyle name="Currency 5 22" xfId="16820"/>
    <cellStyle name="Currency 5 22 2" xfId="20323"/>
    <cellStyle name="Currency 5 22 3" xfId="22463"/>
    <cellStyle name="Currency 5 23" xfId="18784"/>
    <cellStyle name="Currency 5 23 2" xfId="20937"/>
    <cellStyle name="Currency 5 23 3" xfId="23094"/>
    <cellStyle name="Currency 5 3" xfId="1215"/>
    <cellStyle name="Currency 5 3 2" xfId="1216"/>
    <cellStyle name="Currency 5 3 2 2" xfId="1217"/>
    <cellStyle name="Currency 5 3 2 2 2" xfId="1218"/>
    <cellStyle name="Currency 5 3 2 2 3" xfId="1219"/>
    <cellStyle name="Currency 5 3 2 3" xfId="1220"/>
    <cellStyle name="Currency 5 3 2 4" xfId="1221"/>
    <cellStyle name="Currency 5 3 3" xfId="1222"/>
    <cellStyle name="Currency 5 3 3 2" xfId="1223"/>
    <cellStyle name="Currency 5 3 3 3" xfId="1224"/>
    <cellStyle name="Currency 5 3 4" xfId="1225"/>
    <cellStyle name="Currency 5 3 5" xfId="1226"/>
    <cellStyle name="Currency 5 3 6" xfId="1227"/>
    <cellStyle name="Currency 5 3 7" xfId="5693"/>
    <cellStyle name="Currency 5 4" xfId="1228"/>
    <cellStyle name="Currency 5 4 2" xfId="1229"/>
    <cellStyle name="Currency 5 4 2 2" xfId="1230"/>
    <cellStyle name="Currency 5 4 2 2 2" xfId="1231"/>
    <cellStyle name="Currency 5 4 2 2 3" xfId="1232"/>
    <cellStyle name="Currency 5 4 2 3" xfId="1233"/>
    <cellStyle name="Currency 5 4 2 4" xfId="1234"/>
    <cellStyle name="Currency 5 4 3" xfId="1235"/>
    <cellStyle name="Currency 5 4 3 2" xfId="1236"/>
    <cellStyle name="Currency 5 4 3 3" xfId="1237"/>
    <cellStyle name="Currency 5 4 4" xfId="1238"/>
    <cellStyle name="Currency 5 4 5" xfId="1239"/>
    <cellStyle name="Currency 5 4 6" xfId="1240"/>
    <cellStyle name="Currency 5 5" xfId="1241"/>
    <cellStyle name="Currency 5 5 2" xfId="1242"/>
    <cellStyle name="Currency 5 5 2 2" xfId="1243"/>
    <cellStyle name="Currency 5 5 2 3" xfId="1244"/>
    <cellStyle name="Currency 5 5 3" xfId="1245"/>
    <cellStyle name="Currency 5 5 4" xfId="1246"/>
    <cellStyle name="Currency 5 6" xfId="1247"/>
    <cellStyle name="Currency 5 6 2" xfId="1248"/>
    <cellStyle name="Currency 5 6 3" xfId="1249"/>
    <cellStyle name="Currency 5 7" xfId="1250"/>
    <cellStyle name="Currency 5 8" xfId="1251"/>
    <cellStyle name="Currency 5 9" xfId="1252"/>
    <cellStyle name="Currency 54" xfId="5694"/>
    <cellStyle name="Currency 54 2" xfId="5695"/>
    <cellStyle name="Currency 54 2 2" xfId="5696"/>
    <cellStyle name="Currency 54 2 2 2" xfId="5697"/>
    <cellStyle name="Currency 54 2 2 2 2" xfId="5698"/>
    <cellStyle name="Currency 54 2 2 2 2 2" xfId="5699"/>
    <cellStyle name="Currency 54 2 2 2 3" xfId="5700"/>
    <cellStyle name="Currency 54 2 2 3" xfId="5701"/>
    <cellStyle name="Currency 54 2 2 3 2" xfId="5702"/>
    <cellStyle name="Currency 54 2 2 4" xfId="5703"/>
    <cellStyle name="Currency 54 2 3" xfId="5704"/>
    <cellStyle name="Currency 54 2 3 2" xfId="5705"/>
    <cellStyle name="Currency 54 2 3 2 2" xfId="5706"/>
    <cellStyle name="Currency 54 2 3 3" xfId="5707"/>
    <cellStyle name="Currency 54 2 4" xfId="5708"/>
    <cellStyle name="Currency 54 2 4 2" xfId="5709"/>
    <cellStyle name="Currency 54 2 5" xfId="5710"/>
    <cellStyle name="Currency 54 3" xfId="5711"/>
    <cellStyle name="Currency 54 3 2" xfId="5712"/>
    <cellStyle name="Currency 54 3 2 2" xfId="5713"/>
    <cellStyle name="Currency 54 3 2 2 2" xfId="5714"/>
    <cellStyle name="Currency 54 3 2 2 2 2" xfId="5715"/>
    <cellStyle name="Currency 54 3 2 2 3" xfId="5716"/>
    <cellStyle name="Currency 54 3 2 3" xfId="5717"/>
    <cellStyle name="Currency 54 3 2 3 2" xfId="5718"/>
    <cellStyle name="Currency 54 3 2 4" xfId="5719"/>
    <cellStyle name="Currency 54 3 3" xfId="5720"/>
    <cellStyle name="Currency 54 3 3 2" xfId="5721"/>
    <cellStyle name="Currency 54 3 3 2 2" xfId="5722"/>
    <cellStyle name="Currency 54 3 3 3" xfId="5723"/>
    <cellStyle name="Currency 54 3 4" xfId="5724"/>
    <cellStyle name="Currency 54 3 4 2" xfId="5725"/>
    <cellStyle name="Currency 54 3 5" xfId="5726"/>
    <cellStyle name="Currency 54 4" xfId="5727"/>
    <cellStyle name="Currency 54 4 2" xfId="5728"/>
    <cellStyle name="Currency 54 4 2 2" xfId="5729"/>
    <cellStyle name="Currency 54 4 2 2 2" xfId="5730"/>
    <cellStyle name="Currency 54 4 2 3" xfId="5731"/>
    <cellStyle name="Currency 54 4 3" xfId="5732"/>
    <cellStyle name="Currency 54 4 3 2" xfId="5733"/>
    <cellStyle name="Currency 54 4 4" xfId="5734"/>
    <cellStyle name="Currency 54 5" xfId="5735"/>
    <cellStyle name="Currency 54 5 2" xfId="5736"/>
    <cellStyle name="Currency 54 5 2 2" xfId="5737"/>
    <cellStyle name="Currency 54 5 3" xfId="5738"/>
    <cellStyle name="Currency 54 6" xfId="5739"/>
    <cellStyle name="Currency 54 6 2" xfId="5740"/>
    <cellStyle name="Currency 54 6 2 2" xfId="5741"/>
    <cellStyle name="Currency 54 6 3" xfId="5742"/>
    <cellStyle name="Currency 54 7" xfId="5743"/>
    <cellStyle name="Currency 54 7 2" xfId="5744"/>
    <cellStyle name="Currency 54 8" xfId="5745"/>
    <cellStyle name="Currency 6" xfId="1253"/>
    <cellStyle name="Currency 6 2" xfId="5746"/>
    <cellStyle name="Currency 6 3" xfId="5747"/>
    <cellStyle name="Currency 6 4" xfId="5748"/>
    <cellStyle name="Currency 6 4 2" xfId="5749"/>
    <cellStyle name="Currency 6 4 2 2" xfId="5750"/>
    <cellStyle name="Currency 6 4 3" xfId="5751"/>
    <cellStyle name="Currency 6 5" xfId="5752"/>
    <cellStyle name="Currency 7" xfId="1254"/>
    <cellStyle name="Currency 7 2" xfId="1255"/>
    <cellStyle name="Currency 7 2 2" xfId="1256"/>
    <cellStyle name="Currency 7 2 2 2" xfId="1257"/>
    <cellStyle name="Currency 7 2 2 2 2" xfId="1258"/>
    <cellStyle name="Currency 7 2 2 2 2 2" xfId="1259"/>
    <cellStyle name="Currency 7 2 2 2 2 3" xfId="1260"/>
    <cellStyle name="Currency 7 2 2 2 3" xfId="1261"/>
    <cellStyle name="Currency 7 2 2 2 4" xfId="1262"/>
    <cellStyle name="Currency 7 2 2 3" xfId="1263"/>
    <cellStyle name="Currency 7 2 2 3 2" xfId="1264"/>
    <cellStyle name="Currency 7 2 2 3 3" xfId="1265"/>
    <cellStyle name="Currency 7 2 2 4" xfId="1266"/>
    <cellStyle name="Currency 7 2 2 5" xfId="1267"/>
    <cellStyle name="Currency 7 2 2 6" xfId="1268"/>
    <cellStyle name="Currency 7 2 3" xfId="1269"/>
    <cellStyle name="Currency 7 2 3 2" xfId="1270"/>
    <cellStyle name="Currency 7 2 3 2 2" xfId="1271"/>
    <cellStyle name="Currency 7 2 3 2 3" xfId="1272"/>
    <cellStyle name="Currency 7 2 3 3" xfId="1273"/>
    <cellStyle name="Currency 7 2 3 4" xfId="1274"/>
    <cellStyle name="Currency 7 2 4" xfId="1275"/>
    <cellStyle name="Currency 7 2 4 2" xfId="1276"/>
    <cellStyle name="Currency 7 2 4 3" xfId="1277"/>
    <cellStyle name="Currency 7 2 5" xfId="1278"/>
    <cellStyle name="Currency 7 2 6" xfId="1279"/>
    <cellStyle name="Currency 7 2 7" xfId="1280"/>
    <cellStyle name="Currency 7 3" xfId="1281"/>
    <cellStyle name="Currency 7 3 2" xfId="1282"/>
    <cellStyle name="Currency 7 3 2 2" xfId="1283"/>
    <cellStyle name="Currency 7 3 2 2 2" xfId="1284"/>
    <cellStyle name="Currency 7 3 2 2 3" xfId="1285"/>
    <cellStyle name="Currency 7 3 2 3" xfId="1286"/>
    <cellStyle name="Currency 7 3 2 4" xfId="1287"/>
    <cellStyle name="Currency 7 3 3" xfId="1288"/>
    <cellStyle name="Currency 7 3 3 2" xfId="1289"/>
    <cellStyle name="Currency 7 3 3 3" xfId="1290"/>
    <cellStyle name="Currency 7 3 4" xfId="1291"/>
    <cellStyle name="Currency 7 3 5" xfId="1292"/>
    <cellStyle name="Currency 7 3 6" xfId="1293"/>
    <cellStyle name="Currency 7 4" xfId="1294"/>
    <cellStyle name="Currency 7 4 2" xfId="1295"/>
    <cellStyle name="Currency 7 4 2 2" xfId="1296"/>
    <cellStyle name="Currency 7 4 2 3" xfId="1297"/>
    <cellStyle name="Currency 7 4 3" xfId="1298"/>
    <cellStyle name="Currency 7 4 4" xfId="1299"/>
    <cellStyle name="Currency 7 5" xfId="1300"/>
    <cellStyle name="Currency 7 5 2" xfId="1301"/>
    <cellStyle name="Currency 7 5 3" xfId="1302"/>
    <cellStyle name="Currency 7 6" xfId="1303"/>
    <cellStyle name="Currency 7 7" xfId="1304"/>
    <cellStyle name="Currency 7 8" xfId="1305"/>
    <cellStyle name="Currency 7 9" xfId="1306"/>
    <cellStyle name="Currency 8" xfId="1307"/>
    <cellStyle name="Currency 8 2" xfId="1308"/>
    <cellStyle name="Currency 8 2 2" xfId="1309"/>
    <cellStyle name="Currency 8 2 2 2" xfId="1310"/>
    <cellStyle name="Currency 8 2 2 2 2" xfId="1311"/>
    <cellStyle name="Currency 8 2 2 2 3" xfId="1312"/>
    <cellStyle name="Currency 8 2 2 3" xfId="1313"/>
    <cellStyle name="Currency 8 2 2 4" xfId="1314"/>
    <cellStyle name="Currency 8 2 3" xfId="1315"/>
    <cellStyle name="Currency 8 2 3 2" xfId="1316"/>
    <cellStyle name="Currency 8 2 3 3" xfId="1317"/>
    <cellStyle name="Currency 8 2 4" xfId="1318"/>
    <cellStyle name="Currency 8 2 5" xfId="1319"/>
    <cellStyle name="Currency 8 2 6" xfId="1320"/>
    <cellStyle name="Currency 8 3" xfId="1321"/>
    <cellStyle name="Currency 8 3 2" xfId="1322"/>
    <cellStyle name="Currency 8 3 2 2" xfId="1323"/>
    <cellStyle name="Currency 8 3 2 3" xfId="1324"/>
    <cellStyle name="Currency 8 3 3" xfId="1325"/>
    <cellStyle name="Currency 8 3 4" xfId="1326"/>
    <cellStyle name="Currency 8 4" xfId="1327"/>
    <cellStyle name="Currency 8 4 2" xfId="1328"/>
    <cellStyle name="Currency 8 4 3" xfId="1329"/>
    <cellStyle name="Currency 8 5" xfId="1330"/>
    <cellStyle name="Currency 8 6" xfId="1331"/>
    <cellStyle name="Currency 8 7" xfId="1332"/>
    <cellStyle name="Currency 8 8" xfId="1333"/>
    <cellStyle name="Currency 9" xfId="1334"/>
    <cellStyle name="Currency0" xfId="1335"/>
    <cellStyle name="Enter Currency (0)" xfId="1336"/>
    <cellStyle name="Enter Currency (0) 2" xfId="5754"/>
    <cellStyle name="Enter Currency (0) 2 2" xfId="5755"/>
    <cellStyle name="Enter Currency (0) 3" xfId="5756"/>
    <cellStyle name="Enter Currency (0) 3 2" xfId="5757"/>
    <cellStyle name="Enter Currency (0) 4" xfId="5758"/>
    <cellStyle name="Enter Currency (0) 4 2" xfId="5759"/>
    <cellStyle name="Enter Currency (0) 4 3" xfId="5760"/>
    <cellStyle name="Enter Currency (0) 5" xfId="5761"/>
    <cellStyle name="Enter Currency (0) 5 2" xfId="5762"/>
    <cellStyle name="Enter Currency (0) 6" xfId="5763"/>
    <cellStyle name="Enter Currency (0) 6 2" xfId="5764"/>
    <cellStyle name="Enter Currency (0) 7" xfId="5765"/>
    <cellStyle name="Enter Currency (0) 8" xfId="5753"/>
    <cellStyle name="Enter Currency (0)_MD Vehicles" xfId="5766"/>
    <cellStyle name="Explanatory Text" xfId="16780" builtinId="53" customBuiltin="1"/>
    <cellStyle name="FRxAmtStyle" xfId="1337"/>
    <cellStyle name="FRxAmtStyle 10" xfId="1338"/>
    <cellStyle name="FRxAmtStyle 10 2" xfId="1339"/>
    <cellStyle name="FRxAmtStyle 10 2 2" xfId="1340"/>
    <cellStyle name="FRxAmtStyle 10 3" xfId="1341"/>
    <cellStyle name="FRxAmtStyle 10_FC with allocations" xfId="24013"/>
    <cellStyle name="FRxAmtStyle 11" xfId="1342"/>
    <cellStyle name="FRxAmtStyle 11 2" xfId="1343"/>
    <cellStyle name="FRxAmtStyle 11 2 2" xfId="1344"/>
    <cellStyle name="FRxAmtStyle 11 3" xfId="1345"/>
    <cellStyle name="FRxAmtStyle 12" xfId="1346"/>
    <cellStyle name="FRxAmtStyle 12 2" xfId="1347"/>
    <cellStyle name="FRxAmtStyle 12 3" xfId="1348"/>
    <cellStyle name="FRxAmtStyle 12 4" xfId="1349"/>
    <cellStyle name="FRxAmtStyle 13" xfId="1350"/>
    <cellStyle name="FRxAmtStyle 13 2" xfId="1351"/>
    <cellStyle name="FRxAmtStyle 13 2 2" xfId="1352"/>
    <cellStyle name="FRxAmtStyle 13 2 3" xfId="1353"/>
    <cellStyle name="FRxAmtStyle 13 3" xfId="1354"/>
    <cellStyle name="FRxAmtStyle 13 3 2" xfId="1355"/>
    <cellStyle name="FRxAmtStyle 13 3 3" xfId="1356"/>
    <cellStyle name="FRxAmtStyle 13 4" xfId="1357"/>
    <cellStyle name="FRxAmtStyle 13 4 2" xfId="1358"/>
    <cellStyle name="FRxAmtStyle 14" xfId="1359"/>
    <cellStyle name="FRxAmtStyle 14 2" xfId="1360"/>
    <cellStyle name="FRxAmtStyle 14 2 2" xfId="1361"/>
    <cellStyle name="FRxAmtStyle 14 2 3" xfId="1362"/>
    <cellStyle name="FRxAmtStyle 14 3" xfId="1363"/>
    <cellStyle name="FRxAmtStyle 14 4" xfId="1364"/>
    <cellStyle name="FRxAmtStyle 14 4 2" xfId="1365"/>
    <cellStyle name="FRxAmtStyle 14 4 3" xfId="1366"/>
    <cellStyle name="FRxAmtStyle 14_FC with allocations" xfId="24014"/>
    <cellStyle name="FRxAmtStyle 15" xfId="1367"/>
    <cellStyle name="FRxAmtStyle 15 2" xfId="1368"/>
    <cellStyle name="FRxAmtStyle 15 3" xfId="1369"/>
    <cellStyle name="FRxAmtStyle 15 4" xfId="1370"/>
    <cellStyle name="FRxAmtStyle 16" xfId="1371"/>
    <cellStyle name="FRxAmtStyle 16 2" xfId="1372"/>
    <cellStyle name="FRxAmtStyle 16 2 2" xfId="1373"/>
    <cellStyle name="FRxAmtStyle 16 3" xfId="1374"/>
    <cellStyle name="FRxAmtStyle 16 3 2" xfId="1375"/>
    <cellStyle name="FRxAmtStyle 16 4" xfId="1376"/>
    <cellStyle name="FRxAmtStyle 16 5" xfId="1377"/>
    <cellStyle name="FRxAmtStyle 16_FC with allocations" xfId="24015"/>
    <cellStyle name="FRxAmtStyle 17" xfId="1378"/>
    <cellStyle name="FRxAmtStyle 17 2" xfId="1379"/>
    <cellStyle name="FRxAmtStyle 17 3" xfId="1380"/>
    <cellStyle name="FRxAmtStyle 18" xfId="1381"/>
    <cellStyle name="FRxAmtStyle 19" xfId="1382"/>
    <cellStyle name="FRxAmtStyle 19 2" xfId="4713"/>
    <cellStyle name="FRxAmtStyle 19 3" xfId="4577"/>
    <cellStyle name="FRxAmtStyle 19 3 2" xfId="18139"/>
    <cellStyle name="FRxAmtStyle 19_FC with allocations" xfId="24016"/>
    <cellStyle name="FRxAmtStyle 2" xfId="1383"/>
    <cellStyle name="FRxAmtStyle 2 2" xfId="1384"/>
    <cellStyle name="FRxAmtStyle 2 3" xfId="1385"/>
    <cellStyle name="FRxAmtStyle 2 4" xfId="1386"/>
    <cellStyle name="FRxAmtStyle 2 5" xfId="1387"/>
    <cellStyle name="FRxAmtStyle 2 6" xfId="5767"/>
    <cellStyle name="FRxAmtStyle 2_Comp Cost Rate of Debt" xfId="1388"/>
    <cellStyle name="FRxAmtStyle 20" xfId="3903"/>
    <cellStyle name="FRxAmtStyle 21" xfId="4410"/>
    <cellStyle name="FRxAmtStyle 22" xfId="3941"/>
    <cellStyle name="FRxAmtStyle 23" xfId="4811"/>
    <cellStyle name="FRxAmtStyle 23 2" xfId="4875"/>
    <cellStyle name="FRxAmtStyle 23 3" xfId="22076"/>
    <cellStyle name="FRxAmtStyle 23_FC with allocations" xfId="24017"/>
    <cellStyle name="FRxAmtStyle 24" xfId="4822"/>
    <cellStyle name="FRxAmtStyle 24 2" xfId="19311"/>
    <cellStyle name="FRxAmtStyle 24 3" xfId="22087"/>
    <cellStyle name="FRxAmtStyle 24_FC with allocations" xfId="24018"/>
    <cellStyle name="FRxAmtStyle 25" xfId="4823"/>
    <cellStyle name="FRxAmtStyle 25 2" xfId="18278"/>
    <cellStyle name="FRxAmtStyle 25 2 2" xfId="19310"/>
    <cellStyle name="FRxAmtStyle 25 2 3" xfId="22844"/>
    <cellStyle name="FRxAmtStyle 25 2_FC with allocations" xfId="24020"/>
    <cellStyle name="FRxAmtStyle 25 3" xfId="18030"/>
    <cellStyle name="FRxAmtStyle 25 3 2" xfId="20483"/>
    <cellStyle name="FRxAmtStyle 25 3 3" xfId="22624"/>
    <cellStyle name="FRxAmtStyle 25 3_FC with allocations" xfId="24021"/>
    <cellStyle name="FRxAmtStyle 25 4" xfId="22088"/>
    <cellStyle name="FRxAmtStyle 25_FC with allocations" xfId="24019"/>
    <cellStyle name="FRxAmtStyle 26" xfId="4825"/>
    <cellStyle name="FRxAmtStyle 26 2" xfId="18280"/>
    <cellStyle name="FRxAmtStyle 26 2 2" xfId="19267"/>
    <cellStyle name="FRxAmtStyle 26 2 3" xfId="22846"/>
    <cellStyle name="FRxAmtStyle 26 2_FC with allocations" xfId="24023"/>
    <cellStyle name="FRxAmtStyle 26 3" xfId="18032"/>
    <cellStyle name="FRxAmtStyle 26 3 2" xfId="22626"/>
    <cellStyle name="FRxAmtStyle 26 3_FC with allocations" xfId="24024"/>
    <cellStyle name="FRxAmtStyle 26 4" xfId="22090"/>
    <cellStyle name="FRxAmtStyle 26_FC with allocations" xfId="24022"/>
    <cellStyle name="FRxAmtStyle 27" xfId="4827"/>
    <cellStyle name="FRxAmtStyle 27 2" xfId="19265"/>
    <cellStyle name="FRxAmtStyle 27 3" xfId="22092"/>
    <cellStyle name="FRxAmtStyle 27_FC with allocations" xfId="24025"/>
    <cellStyle name="FRxAmtStyle 28" xfId="4829"/>
    <cellStyle name="FRxAmtStyle 28 2" xfId="19305"/>
    <cellStyle name="FRxAmtStyle 28 3" xfId="22094"/>
    <cellStyle name="FRxAmtStyle 28_FC with allocations" xfId="24026"/>
    <cellStyle name="FRxAmtStyle 29" xfId="4831"/>
    <cellStyle name="FRxAmtStyle 29 2" xfId="19263"/>
    <cellStyle name="FRxAmtStyle 29 3" xfId="22096"/>
    <cellStyle name="FRxAmtStyle 29_FC with allocations" xfId="24027"/>
    <cellStyle name="FRxAmtStyle 3" xfId="1389"/>
    <cellStyle name="FRxAmtStyle 3 2" xfId="1390"/>
    <cellStyle name="FRxAmtStyle 3 3" xfId="1391"/>
    <cellStyle name="FRxAmtStyle 3_Comp Cost Rate of Debt" xfId="1392"/>
    <cellStyle name="FRxAmtStyle 30" xfId="4833"/>
    <cellStyle name="FRxAmtStyle 30 2" xfId="19307"/>
    <cellStyle name="FRxAmtStyle 30 3" xfId="22098"/>
    <cellStyle name="FRxAmtStyle 30_FC with allocations" xfId="24028"/>
    <cellStyle name="FRxAmtStyle 31" xfId="4835"/>
    <cellStyle name="FRxAmtStyle 31 2" xfId="19306"/>
    <cellStyle name="FRxAmtStyle 31 3" xfId="22100"/>
    <cellStyle name="FRxAmtStyle 31_FC with allocations" xfId="24029"/>
    <cellStyle name="FRxAmtStyle 32" xfId="4837"/>
    <cellStyle name="FRxAmtStyle 32 2" xfId="19223"/>
    <cellStyle name="FRxAmtStyle 32 3" xfId="22102"/>
    <cellStyle name="FRxAmtStyle 32_FC with allocations" xfId="24030"/>
    <cellStyle name="FRxAmtStyle 33" xfId="4839"/>
    <cellStyle name="FRxAmtStyle 33 2" xfId="19326"/>
    <cellStyle name="FRxAmtStyle 33 3" xfId="22104"/>
    <cellStyle name="FRxAmtStyle 33_FC with allocations" xfId="24031"/>
    <cellStyle name="FRxAmtStyle 34" xfId="4841"/>
    <cellStyle name="FRxAmtStyle 34 2" xfId="19022"/>
    <cellStyle name="FRxAmtStyle 34 3" xfId="22106"/>
    <cellStyle name="FRxAmtStyle 34_FC with allocations" xfId="24032"/>
    <cellStyle name="FRxAmtStyle 35" xfId="4843"/>
    <cellStyle name="FRxAmtStyle 35 2" xfId="4930"/>
    <cellStyle name="FRxAmtStyle 35 3" xfId="22108"/>
    <cellStyle name="FRxAmtStyle 35_FC with allocations" xfId="24033"/>
    <cellStyle name="FRxAmtStyle 36" xfId="4845"/>
    <cellStyle name="FRxAmtStyle 36 2" xfId="19021"/>
    <cellStyle name="FRxAmtStyle 36 3" xfId="22110"/>
    <cellStyle name="FRxAmtStyle 36_FC with allocations" xfId="24034"/>
    <cellStyle name="FRxAmtStyle 37" xfId="4847"/>
    <cellStyle name="FRxAmtStyle 37 2" xfId="19303"/>
    <cellStyle name="FRxAmtStyle 37 3" xfId="22112"/>
    <cellStyle name="FRxAmtStyle 37_FC with allocations" xfId="24035"/>
    <cellStyle name="FRxAmtStyle 38" xfId="4849"/>
    <cellStyle name="FRxAmtStyle 38 2" xfId="19257"/>
    <cellStyle name="FRxAmtStyle 38 3" xfId="22114"/>
    <cellStyle name="FRxAmtStyle 38_FC with allocations" xfId="24036"/>
    <cellStyle name="FRxAmtStyle 39" xfId="4851"/>
    <cellStyle name="FRxAmtStyle 39 2" xfId="19301"/>
    <cellStyle name="FRxAmtStyle 39 3" xfId="22116"/>
    <cellStyle name="FRxAmtStyle 39_FC with allocations" xfId="24037"/>
    <cellStyle name="FRxAmtStyle 4" xfId="1393"/>
    <cellStyle name="FRxAmtStyle 4 2" xfId="1394"/>
    <cellStyle name="FRxAmtStyle 4 3" xfId="1395"/>
    <cellStyle name="FRxAmtStyle 4 4" xfId="1396"/>
    <cellStyle name="FRxAmtStyle 4_Comp Cost Rate of Debt" xfId="1397"/>
    <cellStyle name="FRxAmtStyle 40" xfId="4853"/>
    <cellStyle name="FRxAmtStyle 40 2" xfId="19259"/>
    <cellStyle name="FRxAmtStyle 40 3" xfId="22118"/>
    <cellStyle name="FRxAmtStyle 40_FC with allocations" xfId="24038"/>
    <cellStyle name="FRxAmtStyle 41" xfId="4855"/>
    <cellStyle name="FRxAmtStyle 41 2" xfId="19299"/>
    <cellStyle name="FRxAmtStyle 41 3" xfId="22120"/>
    <cellStyle name="FRxAmtStyle 41_FC with allocations" xfId="24039"/>
    <cellStyle name="FRxAmtStyle 42" xfId="4857"/>
    <cellStyle name="FRxAmtStyle 42 2" xfId="19256"/>
    <cellStyle name="FRxAmtStyle 42 3" xfId="22122"/>
    <cellStyle name="FRxAmtStyle 42_FC with allocations" xfId="24040"/>
    <cellStyle name="FRxAmtStyle 43" xfId="4859"/>
    <cellStyle name="FRxAmtStyle 43 2" xfId="19254"/>
    <cellStyle name="FRxAmtStyle 43 3" xfId="22124"/>
    <cellStyle name="FRxAmtStyle 43_FC with allocations" xfId="24041"/>
    <cellStyle name="FRxAmtStyle 44" xfId="4861"/>
    <cellStyle name="FRxAmtStyle 44 2" xfId="19297"/>
    <cellStyle name="FRxAmtStyle 44 3" xfId="22126"/>
    <cellStyle name="FRxAmtStyle 44_FC with allocations" xfId="24042"/>
    <cellStyle name="FRxAmtStyle 45" xfId="4863"/>
    <cellStyle name="FRxAmtStyle 45 2" xfId="19039"/>
    <cellStyle name="FRxAmtStyle 45 3" xfId="22128"/>
    <cellStyle name="FRxAmtStyle 45_FC with allocations" xfId="24043"/>
    <cellStyle name="FRxAmtStyle 46" xfId="4865"/>
    <cellStyle name="FRxAmtStyle 46 2" xfId="19252"/>
    <cellStyle name="FRxAmtStyle 46 3" xfId="22130"/>
    <cellStyle name="FRxAmtStyle 46_FC with allocations" xfId="24044"/>
    <cellStyle name="FRxAmtStyle 47" xfId="4867"/>
    <cellStyle name="FRxAmtStyle 47 2" xfId="19250"/>
    <cellStyle name="FRxAmtStyle 47 3" xfId="22132"/>
    <cellStyle name="FRxAmtStyle 47_FC with allocations" xfId="24045"/>
    <cellStyle name="FRxAmtStyle 48" xfId="4869"/>
    <cellStyle name="FRxAmtStyle 48 2" xfId="19290"/>
    <cellStyle name="FRxAmtStyle 48 3" xfId="22134"/>
    <cellStyle name="FRxAmtStyle 48_FC with allocations" xfId="24046"/>
    <cellStyle name="FRxAmtStyle 49" xfId="4872"/>
    <cellStyle name="FRxAmtStyle 49 2" xfId="19248"/>
    <cellStyle name="FRxAmtStyle 49 3" xfId="22137"/>
    <cellStyle name="FRxAmtStyle 49_FC with allocations" xfId="24047"/>
    <cellStyle name="FRxAmtStyle 5" xfId="1398"/>
    <cellStyle name="FRxAmtStyle 5 2" xfId="1399"/>
    <cellStyle name="FRxAmtStyle 5 2 2" xfId="1400"/>
    <cellStyle name="FRxAmtStyle 5 3" xfId="1401"/>
    <cellStyle name="FRxAmtStyle 50" xfId="4876"/>
    <cellStyle name="FRxAmtStyle 50 2" xfId="19249"/>
    <cellStyle name="FRxAmtStyle 50 3" xfId="22140"/>
    <cellStyle name="FRxAmtStyle 50_FC with allocations" xfId="24048"/>
    <cellStyle name="FRxAmtStyle 51" xfId="4878"/>
    <cellStyle name="FRxAmtStyle 51 2" xfId="19293"/>
    <cellStyle name="FRxAmtStyle 51 3" xfId="22142"/>
    <cellStyle name="FRxAmtStyle 51_FC with allocations" xfId="24049"/>
    <cellStyle name="FRxAmtStyle 52" xfId="4880"/>
    <cellStyle name="FRxAmtStyle 52 2" xfId="19247"/>
    <cellStyle name="FRxAmtStyle 52 3" xfId="22144"/>
    <cellStyle name="FRxAmtStyle 52_FC with allocations" xfId="24050"/>
    <cellStyle name="FRxAmtStyle 53" xfId="4882"/>
    <cellStyle name="FRxAmtStyle 53 2" xfId="19245"/>
    <cellStyle name="FRxAmtStyle 53 3" xfId="22146"/>
    <cellStyle name="FRxAmtStyle 53_FC with allocations" xfId="24051"/>
    <cellStyle name="FRxAmtStyle 54" xfId="4884"/>
    <cellStyle name="FRxAmtStyle 54 2" xfId="19244"/>
    <cellStyle name="FRxAmtStyle 54 3" xfId="22148"/>
    <cellStyle name="FRxAmtStyle 54_FC with allocations" xfId="24052"/>
    <cellStyle name="FRxAmtStyle 55" xfId="4886"/>
    <cellStyle name="FRxAmtStyle 55 2" xfId="19220"/>
    <cellStyle name="FRxAmtStyle 55 3" xfId="22150"/>
    <cellStyle name="FRxAmtStyle 55_FC with allocations" xfId="24053"/>
    <cellStyle name="FRxAmtStyle 56" xfId="4888"/>
    <cellStyle name="FRxAmtStyle 56 2" xfId="19325"/>
    <cellStyle name="FRxAmtStyle 56 3" xfId="22152"/>
    <cellStyle name="FRxAmtStyle 56_FC with allocations" xfId="24054"/>
    <cellStyle name="FRxAmtStyle 57" xfId="4890"/>
    <cellStyle name="FRxAmtStyle 57 2" xfId="19018"/>
    <cellStyle name="FRxAmtStyle 57 3" xfId="22154"/>
    <cellStyle name="FRxAmtStyle 57_FC with allocations" xfId="24055"/>
    <cellStyle name="FRxAmtStyle 58" xfId="4892"/>
    <cellStyle name="FRxAmtStyle 58 2" xfId="19017"/>
    <cellStyle name="FRxAmtStyle 58 3" xfId="22156"/>
    <cellStyle name="FRxAmtStyle 58_FC with allocations" xfId="24056"/>
    <cellStyle name="FRxAmtStyle 59" xfId="4894"/>
    <cellStyle name="FRxAmtStyle 59 2" xfId="19016"/>
    <cellStyle name="FRxAmtStyle 59 3" xfId="22158"/>
    <cellStyle name="FRxAmtStyle 59_FC with allocations" xfId="24057"/>
    <cellStyle name="FRxAmtStyle 6" xfId="1402"/>
    <cellStyle name="FRxAmtStyle 6 2" xfId="1403"/>
    <cellStyle name="FRxAmtStyle 6 3" xfId="1404"/>
    <cellStyle name="FRxAmtStyle 6 4" xfId="1405"/>
    <cellStyle name="FRxAmtStyle 60" xfId="4896"/>
    <cellStyle name="FRxAmtStyle 60 2" xfId="19240"/>
    <cellStyle name="FRxAmtStyle 60 3" xfId="22160"/>
    <cellStyle name="FRxAmtStyle 60_FC with allocations" xfId="24058"/>
    <cellStyle name="FRxAmtStyle 61" xfId="4898"/>
    <cellStyle name="FRxAmtStyle 61 2" xfId="19287"/>
    <cellStyle name="FRxAmtStyle 61 3" xfId="22162"/>
    <cellStyle name="FRxAmtStyle 61_FC with allocations" xfId="24059"/>
    <cellStyle name="FRxAmtStyle 62" xfId="4900"/>
    <cellStyle name="FRxAmtStyle 62 2" xfId="19242"/>
    <cellStyle name="FRxAmtStyle 62 3" xfId="22164"/>
    <cellStyle name="FRxAmtStyle 62_FC with allocations" xfId="24060"/>
    <cellStyle name="FRxAmtStyle 63" xfId="4902"/>
    <cellStyle name="FRxAmtStyle 63 2" xfId="19068"/>
    <cellStyle name="FRxAmtStyle 63 3" xfId="22166"/>
    <cellStyle name="FRxAmtStyle 63_FC with allocations" xfId="24061"/>
    <cellStyle name="FRxAmtStyle 64" xfId="4904"/>
    <cellStyle name="FRxAmtStyle 64 2" xfId="19238"/>
    <cellStyle name="FRxAmtStyle 64 3" xfId="22168"/>
    <cellStyle name="FRxAmtStyle 64_FC with allocations" xfId="24062"/>
    <cellStyle name="FRxAmtStyle 65" xfId="4906"/>
    <cellStyle name="FRxAmtStyle 65 2" xfId="19236"/>
    <cellStyle name="FRxAmtStyle 65 3" xfId="22170"/>
    <cellStyle name="FRxAmtStyle 65_FC with allocations" xfId="24063"/>
    <cellStyle name="FRxAmtStyle 66" xfId="4908"/>
    <cellStyle name="FRxAmtStyle 66 2" xfId="19284"/>
    <cellStyle name="FRxAmtStyle 66 3" xfId="22172"/>
    <cellStyle name="FRxAmtStyle 66_FC with allocations" xfId="24064"/>
    <cellStyle name="FRxAmtStyle 67" xfId="4910"/>
    <cellStyle name="FRxAmtStyle 67 2" xfId="19067"/>
    <cellStyle name="FRxAmtStyle 67 3" xfId="22174"/>
    <cellStyle name="FRxAmtStyle 67_FC with allocations" xfId="24065"/>
    <cellStyle name="FRxAmtStyle 68" xfId="4912"/>
    <cellStyle name="FRxAmtStyle 68 2" xfId="19234"/>
    <cellStyle name="FRxAmtStyle 68 3" xfId="22176"/>
    <cellStyle name="FRxAmtStyle 68_FC with allocations" xfId="24066"/>
    <cellStyle name="FRxAmtStyle 69" xfId="4914"/>
    <cellStyle name="FRxAmtStyle 69 2" xfId="19232"/>
    <cellStyle name="FRxAmtStyle 69 3" xfId="22178"/>
    <cellStyle name="FRxAmtStyle 69_FC with allocations" xfId="24067"/>
    <cellStyle name="FRxAmtStyle 7" xfId="1406"/>
    <cellStyle name="FRxAmtStyle 7 2" xfId="1407"/>
    <cellStyle name="FRxAmtStyle 7 3" xfId="1408"/>
    <cellStyle name="FRxAmtStyle 70" xfId="4916"/>
    <cellStyle name="FRxAmtStyle 70 2" xfId="19281"/>
    <cellStyle name="FRxAmtStyle 70 3" xfId="22180"/>
    <cellStyle name="FRxAmtStyle 70_FC with allocations" xfId="24068"/>
    <cellStyle name="FRxAmtStyle 71" xfId="4918"/>
    <cellStyle name="FRxAmtStyle 71 2" xfId="19089"/>
    <cellStyle name="FRxAmtStyle 71 3" xfId="22182"/>
    <cellStyle name="FRxAmtStyle 71_FC with allocations" xfId="24069"/>
    <cellStyle name="FRxAmtStyle 72" xfId="4920"/>
    <cellStyle name="FRxAmtStyle 72 2" xfId="19230"/>
    <cellStyle name="FRxAmtStyle 72 3" xfId="22184"/>
    <cellStyle name="FRxAmtStyle 72_FC with allocations" xfId="24070"/>
    <cellStyle name="FRxAmtStyle 73" xfId="4922"/>
    <cellStyle name="FRxAmtStyle 73 2" xfId="19228"/>
    <cellStyle name="FRxAmtStyle 73 3" xfId="22186"/>
    <cellStyle name="FRxAmtStyle 73_FC with allocations" xfId="24071"/>
    <cellStyle name="FRxAmtStyle 74" xfId="4924"/>
    <cellStyle name="FRxAmtStyle 74 2" xfId="19277"/>
    <cellStyle name="FRxAmtStyle 74 3" xfId="22188"/>
    <cellStyle name="FRxAmtStyle 74_FC with allocations" xfId="24072"/>
    <cellStyle name="FRxAmtStyle 75" xfId="4926"/>
    <cellStyle name="FRxAmtStyle 75 2" xfId="19226"/>
    <cellStyle name="FRxAmtStyle 75 3" xfId="22190"/>
    <cellStyle name="FRxAmtStyle 75_FC with allocations" xfId="24073"/>
    <cellStyle name="FRxAmtStyle 76" xfId="4928"/>
    <cellStyle name="FRxAmtStyle 76 2" xfId="19088"/>
    <cellStyle name="FRxAmtStyle 76 3" xfId="22192"/>
    <cellStyle name="FRxAmtStyle 76_FC with allocations" xfId="24074"/>
    <cellStyle name="FRxAmtStyle 77" xfId="16516"/>
    <cellStyle name="FRxAmtStyle 77 2" xfId="19331"/>
    <cellStyle name="FRxAmtStyle 77 3" xfId="22199"/>
    <cellStyle name="FRxAmtStyle 77_FC with allocations" xfId="24075"/>
    <cellStyle name="FRxAmtStyle 78" xfId="16540"/>
    <cellStyle name="FRxAmtStyle 79" xfId="16518"/>
    <cellStyle name="FRxAmtStyle 79 2" xfId="19333"/>
    <cellStyle name="FRxAmtStyle 79 3" xfId="22201"/>
    <cellStyle name="FRxAmtStyle 79_FC with allocations" xfId="24076"/>
    <cellStyle name="FRxAmtStyle 8" xfId="1409"/>
    <cellStyle name="FRxAmtStyle 8 2" xfId="1410"/>
    <cellStyle name="FRxAmtStyle 80" xfId="16691"/>
    <cellStyle name="FRxAmtStyle 80 2" xfId="19339"/>
    <cellStyle name="FRxAmtStyle 80 3" xfId="22368"/>
    <cellStyle name="FRxAmtStyle 80_FC with allocations" xfId="24077"/>
    <cellStyle name="FRxAmtStyle 81" xfId="4525"/>
    <cellStyle name="FRxAmtStyle 82" xfId="4506"/>
    <cellStyle name="FRxAmtStyle 82 2" xfId="19338"/>
    <cellStyle name="FRxAmtStyle 82 3" xfId="21915"/>
    <cellStyle name="FRxAmtStyle 82_FC with allocations" xfId="24078"/>
    <cellStyle name="FRxAmtStyle 83" xfId="16711"/>
    <cellStyle name="FRxAmtStyle 83 2" xfId="19736"/>
    <cellStyle name="FRxAmtStyle 83 2 2" xfId="21746"/>
    <cellStyle name="FRxAmtStyle 83 2 3" xfId="23904"/>
    <cellStyle name="FRxAmtStyle 83 2_FC with allocations" xfId="24080"/>
    <cellStyle name="FRxAmtStyle 83 3" xfId="19070"/>
    <cellStyle name="FRxAmtStyle 83 4" xfId="20255"/>
    <cellStyle name="FRxAmtStyle 83 5" xfId="22383"/>
    <cellStyle name="FRxAmtStyle 83_FC with allocations" xfId="24079"/>
    <cellStyle name="FRxAmtStyle 84" xfId="19862"/>
    <cellStyle name="FRxAmtStyle 85" xfId="19859"/>
    <cellStyle name="FRxAmtStyle 86" xfId="19863"/>
    <cellStyle name="FRxAmtStyle 87" xfId="19846"/>
    <cellStyle name="FRxAmtStyle 9" xfId="1411"/>
    <cellStyle name="FRxAmtStyle 9 2" xfId="1412"/>
    <cellStyle name="FRxAmtStyle 9_FC with allocations" xfId="24081"/>
    <cellStyle name="FRxAmtStyle_BS_GL" xfId="1413"/>
    <cellStyle name="FRxCurrStyle" xfId="1414"/>
    <cellStyle name="FRxCurrStyle 10" xfId="1415"/>
    <cellStyle name="FRxCurrStyle 11" xfId="1416"/>
    <cellStyle name="FRxCurrStyle 11 2" xfId="1417"/>
    <cellStyle name="FRxCurrStyle 11 3" xfId="1418"/>
    <cellStyle name="FRxCurrStyle 11_FC with allocations" xfId="24082"/>
    <cellStyle name="FRxCurrStyle 12" xfId="1419"/>
    <cellStyle name="FRxCurrStyle 12 2" xfId="1420"/>
    <cellStyle name="FRxCurrStyle 12 3" xfId="1421"/>
    <cellStyle name="FRxCurrStyle 12_FC with allocations" xfId="24083"/>
    <cellStyle name="FRxCurrStyle 13" xfId="1422"/>
    <cellStyle name="FRxCurrStyle 13 2" xfId="1423"/>
    <cellStyle name="FRxCurrStyle 13 3" xfId="1424"/>
    <cellStyle name="FRxCurrStyle 13_FC with allocations" xfId="24084"/>
    <cellStyle name="FRxCurrStyle 14" xfId="1425"/>
    <cellStyle name="FRxCurrStyle 14 2" xfId="1426"/>
    <cellStyle name="FRxCurrStyle 14 3" xfId="1427"/>
    <cellStyle name="FRxCurrStyle 14_FC with allocations" xfId="24085"/>
    <cellStyle name="FRxCurrStyle 15" xfId="1428"/>
    <cellStyle name="FRxCurrStyle 15 2" xfId="1429"/>
    <cellStyle name="FRxCurrStyle 15_FC with allocations" xfId="24086"/>
    <cellStyle name="FRxCurrStyle 16" xfId="1430"/>
    <cellStyle name="FRxCurrStyle 16 2" xfId="1431"/>
    <cellStyle name="FRxCurrStyle 16_FC with allocations" xfId="24087"/>
    <cellStyle name="FRxCurrStyle 17" xfId="1432"/>
    <cellStyle name="FRxCurrStyle 17 2" xfId="4714"/>
    <cellStyle name="FRxCurrStyle 17 3" xfId="4578"/>
    <cellStyle name="FRxCurrStyle 17 3 2" xfId="18140"/>
    <cellStyle name="FRxCurrStyle 17 3_FC with allocations" xfId="24089"/>
    <cellStyle name="FRxCurrStyle 17_FC with allocations" xfId="24088"/>
    <cellStyle name="FRxCurrStyle 18" xfId="3904"/>
    <cellStyle name="FRxCurrStyle 19" xfId="4812"/>
    <cellStyle name="FRxCurrStyle 19 2" xfId="19274"/>
    <cellStyle name="FRxCurrStyle 19 3" xfId="22077"/>
    <cellStyle name="FRxCurrStyle 19_FC with allocations" xfId="24090"/>
    <cellStyle name="FRxCurrStyle 2" xfId="1433"/>
    <cellStyle name="FRxCurrStyle 2 2" xfId="1434"/>
    <cellStyle name="FRxCurrStyle 2 3" xfId="1435"/>
    <cellStyle name="FRxCurrStyle 2 4" xfId="1436"/>
    <cellStyle name="FRxCurrStyle 2 5" xfId="5768"/>
    <cellStyle name="FRxCurrStyle 2_Comp Cost Rate of Debt" xfId="1437"/>
    <cellStyle name="FRxCurrStyle 20" xfId="16692"/>
    <cellStyle name="FRxCurrStyle 20 2" xfId="19340"/>
    <cellStyle name="FRxCurrStyle 20 3" xfId="22369"/>
    <cellStyle name="FRxCurrStyle 20_FC with allocations" xfId="24091"/>
    <cellStyle name="FRxCurrStyle 3" xfId="1438"/>
    <cellStyle name="FRxCurrStyle 3 2" xfId="1439"/>
    <cellStyle name="FRxCurrStyle 3 3" xfId="1440"/>
    <cellStyle name="FRxCurrStyle 3_Comp Cost Rate of Debt" xfId="1441"/>
    <cellStyle name="FRxCurrStyle 4" xfId="1442"/>
    <cellStyle name="FRxCurrStyle 4 2" xfId="1443"/>
    <cellStyle name="FRxCurrStyle 4 3" xfId="1444"/>
    <cellStyle name="FRxCurrStyle 4 4" xfId="1445"/>
    <cellStyle name="FRxCurrStyle 4_Comp Cost Rate of Debt" xfId="1446"/>
    <cellStyle name="FRxCurrStyle 5" xfId="1447"/>
    <cellStyle name="FRxCurrStyle 5 2" xfId="1448"/>
    <cellStyle name="FRxCurrStyle 5 2 2" xfId="1449"/>
    <cellStyle name="FRxCurrStyle 5 2_FC with allocations" xfId="24093"/>
    <cellStyle name="FRxCurrStyle 5 3" xfId="1450"/>
    <cellStyle name="FRxCurrStyle 5_FC with allocations" xfId="24092"/>
    <cellStyle name="FRxCurrStyle 6" xfId="1451"/>
    <cellStyle name="FRxCurrStyle 6 2" xfId="1452"/>
    <cellStyle name="FRxCurrStyle 6 3" xfId="1453"/>
    <cellStyle name="FRxCurrStyle 6_FC with allocations" xfId="24094"/>
    <cellStyle name="FRxCurrStyle 7" xfId="1454"/>
    <cellStyle name="FRxCurrStyle 7 2" xfId="1455"/>
    <cellStyle name="FRxCurrStyle 7 2 2" xfId="1456"/>
    <cellStyle name="FRxCurrStyle 7 2 3" xfId="1457"/>
    <cellStyle name="FRxCurrStyle 7 2_FC with allocations" xfId="24096"/>
    <cellStyle name="FRxCurrStyle 7 3" xfId="1458"/>
    <cellStyle name="FRxCurrStyle 7 4" xfId="1459"/>
    <cellStyle name="FRxCurrStyle 7_FC with allocations" xfId="24095"/>
    <cellStyle name="FRxCurrStyle 8" xfId="1460"/>
    <cellStyle name="FRxCurrStyle 8 2" xfId="1461"/>
    <cellStyle name="FRxCurrStyle 8 2 2" xfId="1462"/>
    <cellStyle name="FRxCurrStyle 8 2_FC with allocations" xfId="24098"/>
    <cellStyle name="FRxCurrStyle 8 3" xfId="1463"/>
    <cellStyle name="FRxCurrStyle 8_FC with allocations" xfId="24097"/>
    <cellStyle name="FRxCurrStyle 9" xfId="1464"/>
    <cellStyle name="FRxCurrStyle 9 2" xfId="1465"/>
    <cellStyle name="FRxCurrStyle 9 2 2" xfId="1466"/>
    <cellStyle name="FRxCurrStyle 9 2_FC with allocations" xfId="24100"/>
    <cellStyle name="FRxCurrStyle 9 3" xfId="1467"/>
    <cellStyle name="FRxCurrStyle 9_FC with allocations" xfId="24099"/>
    <cellStyle name="FRxCurrStyle_CF-GM12" xfId="1468"/>
    <cellStyle name="FRxPcntStyle" xfId="1469"/>
    <cellStyle name="FRxPcntStyle 10" xfId="1470"/>
    <cellStyle name="FRxPcntStyle 11" xfId="1471"/>
    <cellStyle name="FRxPcntStyle 11 2" xfId="1472"/>
    <cellStyle name="FRxPcntStyle 11 3" xfId="1473"/>
    <cellStyle name="FRxPcntStyle 11_FC with allocations" xfId="24101"/>
    <cellStyle name="FRxPcntStyle 12" xfId="1474"/>
    <cellStyle name="FRxPcntStyle 12 2" xfId="1475"/>
    <cellStyle name="FRxPcntStyle 12 3" xfId="1476"/>
    <cellStyle name="FRxPcntStyle 12 3 2" xfId="1477"/>
    <cellStyle name="FRxPcntStyle 12 3 3" xfId="1478"/>
    <cellStyle name="FRxPcntStyle 12 3_FC with allocations" xfId="24103"/>
    <cellStyle name="FRxPcntStyle 12 4" xfId="1479"/>
    <cellStyle name="FRxPcntStyle 12 4 2" xfId="1480"/>
    <cellStyle name="FRxPcntStyle 12 4_FC with allocations" xfId="24104"/>
    <cellStyle name="FRxPcntStyle 12_FC with allocations" xfId="24102"/>
    <cellStyle name="FRxPcntStyle 13" xfId="1481"/>
    <cellStyle name="FRxPcntStyle 13 2" xfId="1482"/>
    <cellStyle name="FRxPcntStyle 13 3" xfId="1483"/>
    <cellStyle name="FRxPcntStyle 13 4" xfId="1484"/>
    <cellStyle name="FRxPcntStyle 13_FC with allocations" xfId="24105"/>
    <cellStyle name="FRxPcntStyle 14" xfId="1485"/>
    <cellStyle name="FRxPcntStyle 14 2" xfId="1486"/>
    <cellStyle name="FRxPcntStyle 14_FC with allocations" xfId="24106"/>
    <cellStyle name="FRxPcntStyle 15" xfId="1487"/>
    <cellStyle name="FRxPcntStyle 15 2" xfId="4715"/>
    <cellStyle name="FRxPcntStyle 15 3" xfId="4579"/>
    <cellStyle name="FRxPcntStyle 15 3 2" xfId="18141"/>
    <cellStyle name="FRxPcntStyle 15 3_FC with allocations" xfId="24108"/>
    <cellStyle name="FRxPcntStyle 15_FC with allocations" xfId="24107"/>
    <cellStyle name="FRxPcntStyle 16" xfId="3905"/>
    <cellStyle name="FRxPcntStyle 17" xfId="4813"/>
    <cellStyle name="FRxPcntStyle 17 2" xfId="19314"/>
    <cellStyle name="FRxPcntStyle 17 3" xfId="22078"/>
    <cellStyle name="FRxPcntStyle 17_FC with allocations" xfId="24109"/>
    <cellStyle name="FRxPcntStyle 2" xfId="1488"/>
    <cellStyle name="FRxPcntStyle 2 2" xfId="1489"/>
    <cellStyle name="FRxPcntStyle 2 3" xfId="1490"/>
    <cellStyle name="FRxPcntStyle 2 4" xfId="5769"/>
    <cellStyle name="FRxPcntStyle 2_Comp Cost Rate of Debt" xfId="1491"/>
    <cellStyle name="FRxPcntStyle 3" xfId="1492"/>
    <cellStyle name="FRxPcntStyle 3 2" xfId="1493"/>
    <cellStyle name="FRxPcntStyle 3 3" xfId="1494"/>
    <cellStyle name="FRxPcntStyle 3_Comp Cost Rate of Debt" xfId="1495"/>
    <cellStyle name="FRxPcntStyle 4" xfId="1496"/>
    <cellStyle name="FRxPcntStyle 4 2" xfId="1497"/>
    <cellStyle name="FRxPcntStyle 4 3" xfId="1498"/>
    <cellStyle name="FRxPcntStyle 4_Comp Cost Rate of Debt" xfId="1499"/>
    <cellStyle name="FRxPcntStyle 5" xfId="1500"/>
    <cellStyle name="FRxPcntStyle 5 2" xfId="1501"/>
    <cellStyle name="FRxPcntStyle 5 2 2" xfId="1502"/>
    <cellStyle name="FRxPcntStyle 5 2_FC with allocations" xfId="24111"/>
    <cellStyle name="FRxPcntStyle 5_FC with allocations" xfId="24110"/>
    <cellStyle name="FRxPcntStyle 6" xfId="1503"/>
    <cellStyle name="FRxPcntStyle 7" xfId="1504"/>
    <cellStyle name="FRxPcntStyle 7 2" xfId="1505"/>
    <cellStyle name="FRxPcntStyle 7 2 2" xfId="1506"/>
    <cellStyle name="FRxPcntStyle 7 2 3" xfId="1507"/>
    <cellStyle name="FRxPcntStyle 7 2_FC with allocations" xfId="24113"/>
    <cellStyle name="FRxPcntStyle 7 3" xfId="1508"/>
    <cellStyle name="FRxPcntStyle 7 4" xfId="1509"/>
    <cellStyle name="FRxPcntStyle 7_FC with allocations" xfId="24112"/>
    <cellStyle name="FRxPcntStyle 8" xfId="1510"/>
    <cellStyle name="FRxPcntStyle 8 2" xfId="1511"/>
    <cellStyle name="FRxPcntStyle 8 2 2" xfId="1512"/>
    <cellStyle name="FRxPcntStyle 8 2_FC with allocations" xfId="24115"/>
    <cellStyle name="FRxPcntStyle 8 3" xfId="1513"/>
    <cellStyle name="FRxPcntStyle 8_FC with allocations" xfId="24114"/>
    <cellStyle name="FRxPcntStyle 9" xfId="1514"/>
    <cellStyle name="FRxPcntStyle 9 2" xfId="1515"/>
    <cellStyle name="FRxPcntStyle 9 2 2" xfId="1516"/>
    <cellStyle name="FRxPcntStyle 9 2_FC with allocations" xfId="24117"/>
    <cellStyle name="FRxPcntStyle 9 3" xfId="1517"/>
    <cellStyle name="FRxPcntStyle 9_FC with allocations" xfId="24116"/>
    <cellStyle name="FRxPcntStyle_CF-GM12" xfId="1518"/>
    <cellStyle name="Good" xfId="16771" builtinId="26" customBuiltin="1"/>
    <cellStyle name="Grey" xfId="1519"/>
    <cellStyle name="Header1" xfId="1520"/>
    <cellStyle name="Header2" xfId="1521"/>
    <cellStyle name="Header2 2" xfId="5770"/>
    <cellStyle name="Header2 2 2" xfId="5771"/>
    <cellStyle name="Header2 2 3" xfId="5772"/>
    <cellStyle name="Header2 2 4" xfId="5773"/>
    <cellStyle name="Header2 2 5" xfId="5774"/>
    <cellStyle name="Header2 2_FC with allocations" xfId="24119"/>
    <cellStyle name="Header2 3" xfId="5775"/>
    <cellStyle name="Header2 3 2" xfId="5776"/>
    <cellStyle name="Header2 3 3" xfId="5777"/>
    <cellStyle name="Header2 3 4" xfId="5778"/>
    <cellStyle name="Header2 3 5" xfId="5779"/>
    <cellStyle name="Header2 3_FC with allocations" xfId="24120"/>
    <cellStyle name="Header2 4" xfId="5780"/>
    <cellStyle name="Header2 4 2" xfId="5781"/>
    <cellStyle name="Header2 4 3" xfId="5782"/>
    <cellStyle name="Header2 4 4" xfId="5783"/>
    <cellStyle name="Header2 4 5" xfId="5784"/>
    <cellStyle name="Header2 4_FC with allocations" xfId="24121"/>
    <cellStyle name="Header2 5" xfId="5785"/>
    <cellStyle name="Header2 5 2" xfId="5786"/>
    <cellStyle name="Header2 5 3" xfId="5787"/>
    <cellStyle name="Header2 5 4" xfId="5788"/>
    <cellStyle name="Header2 5 5" xfId="5789"/>
    <cellStyle name="Header2 5_FC with allocations" xfId="24122"/>
    <cellStyle name="Header2_FC with allocations" xfId="24118"/>
    <cellStyle name="Heading 1" xfId="16767" builtinId="16" customBuiltin="1"/>
    <cellStyle name="Heading 2" xfId="16768" builtinId="17" customBuiltin="1"/>
    <cellStyle name="Heading 3" xfId="16769" builtinId="18" customBuiltin="1"/>
    <cellStyle name="Heading 4" xfId="16770" builtinId="19" customBuiltin="1"/>
    <cellStyle name="Input" xfId="16774" builtinId="20" customBuiltin="1"/>
    <cellStyle name="Input [yellow]" xfId="1522"/>
    <cellStyle name="Input [yellow] 2" xfId="5790"/>
    <cellStyle name="Input [yellow] 2 2" xfId="5791"/>
    <cellStyle name="Input [yellow] 2 3" xfId="5792"/>
    <cellStyle name="Input [yellow] 2 4" xfId="5793"/>
    <cellStyle name="Input [yellow] 2 5" xfId="5794"/>
    <cellStyle name="Input [yellow] 2_FC with allocations" xfId="24124"/>
    <cellStyle name="Input [yellow] 3" xfId="5795"/>
    <cellStyle name="Input [yellow] 3 2" xfId="5796"/>
    <cellStyle name="Input [yellow] 3 3" xfId="5797"/>
    <cellStyle name="Input [yellow] 3 4" xfId="5798"/>
    <cellStyle name="Input [yellow] 3 5" xfId="5799"/>
    <cellStyle name="Input [yellow] 3_FC with allocations" xfId="24125"/>
    <cellStyle name="Input [yellow] 4" xfId="5800"/>
    <cellStyle name="Input [yellow]_FC with allocations" xfId="24123"/>
    <cellStyle name="Inst. Sections" xfId="1523"/>
    <cellStyle name="Inst. Subheading" xfId="1524"/>
    <cellStyle name="Link Currency (0)" xfId="1525"/>
    <cellStyle name="Link Currency (0) 2" xfId="5802"/>
    <cellStyle name="Link Currency (0) 2 2" xfId="5803"/>
    <cellStyle name="Link Currency (0) 2_FC with allocations" xfId="24127"/>
    <cellStyle name="Link Currency (0) 3" xfId="5804"/>
    <cellStyle name="Link Currency (0) 3 2" xfId="5805"/>
    <cellStyle name="Link Currency (0) 3_FC with allocations" xfId="24128"/>
    <cellStyle name="Link Currency (0) 4" xfId="5806"/>
    <cellStyle name="Link Currency (0) 4 2" xfId="5807"/>
    <cellStyle name="Link Currency (0) 4 3" xfId="5808"/>
    <cellStyle name="Link Currency (0) 4_FC with allocations" xfId="24129"/>
    <cellStyle name="Link Currency (0) 5" xfId="5809"/>
    <cellStyle name="Link Currency (0) 5 2" xfId="5810"/>
    <cellStyle name="Link Currency (0) 5_FC with allocations" xfId="24130"/>
    <cellStyle name="Link Currency (0) 6" xfId="5811"/>
    <cellStyle name="Link Currency (0) 6 2" xfId="5812"/>
    <cellStyle name="Link Currency (0) 6_FC with allocations" xfId="24131"/>
    <cellStyle name="Link Currency (0) 7" xfId="5813"/>
    <cellStyle name="Link Currency (0) 8" xfId="5801"/>
    <cellStyle name="Link Currency (0)_FC with allocations" xfId="24126"/>
    <cellStyle name="Linked Cell" xfId="16777" builtinId="24" customBuiltin="1"/>
    <cellStyle name="Neutral" xfId="16773" builtinId="28" customBuiltin="1"/>
    <cellStyle name="Normal" xfId="0" builtinId="0"/>
    <cellStyle name="Normal - Style1" xfId="1526"/>
    <cellStyle name="Normal - Style1 2" xfId="5815"/>
    <cellStyle name="Normal - Style1 2 2" xfId="5816"/>
    <cellStyle name="Normal - Style1 2_FC with allocations" xfId="24133"/>
    <cellStyle name="Normal - Style1 3" xfId="5817"/>
    <cellStyle name="Normal - Style1 3 2" xfId="5818"/>
    <cellStyle name="Normal - Style1 3_FC with allocations" xfId="24134"/>
    <cellStyle name="Normal - Style1 4" xfId="5819"/>
    <cellStyle name="Normal - Style1 4 2" xfId="5820"/>
    <cellStyle name="Normal - Style1 4 3" xfId="5821"/>
    <cellStyle name="Normal - Style1 4_FC with allocations" xfId="24135"/>
    <cellStyle name="Normal - Style1 5" xfId="5822"/>
    <cellStyle name="Normal - Style1 5 2" xfId="5823"/>
    <cellStyle name="Normal - Style1 5_FC with allocations" xfId="24136"/>
    <cellStyle name="Normal - Style1 6" xfId="5824"/>
    <cellStyle name="Normal - Style1 6 2" xfId="5825"/>
    <cellStyle name="Normal - Style1 6_FC with allocations" xfId="24137"/>
    <cellStyle name="Normal - Style1 7" xfId="5826"/>
    <cellStyle name="Normal - Style1 8" xfId="5814"/>
    <cellStyle name="Normal - Style1_FC with allocations" xfId="24132"/>
    <cellStyle name="Normal 10" xfId="1527"/>
    <cellStyle name="Normal 10 10" xfId="5828"/>
    <cellStyle name="Normal 10 11" xfId="5829"/>
    <cellStyle name="Normal 10 12" xfId="5830"/>
    <cellStyle name="Normal 10 13" xfId="5827"/>
    <cellStyle name="Normal 10 2" xfId="1528"/>
    <cellStyle name="Normal 10 2 2" xfId="1529"/>
    <cellStyle name="Normal 10 2 2 2" xfId="1530"/>
    <cellStyle name="Normal 10 2 2 2 2" xfId="1531"/>
    <cellStyle name="Normal 10 2 2 2 2 2" xfId="3908"/>
    <cellStyle name="Normal 10 2 2 2 2 3" xfId="17404"/>
    <cellStyle name="Normal 10 2 2 2 2 4" xfId="16879"/>
    <cellStyle name="Normal 10 2 2 2 2_FC with allocations" xfId="24142"/>
    <cellStyle name="Normal 10 2 2 2 3" xfId="3907"/>
    <cellStyle name="Normal 10 2 2 2 4" xfId="17403"/>
    <cellStyle name="Normal 10 2 2 2 5" xfId="16878"/>
    <cellStyle name="Normal 10 2 2 2_FC with allocations" xfId="24141"/>
    <cellStyle name="Normal 10 2 2 3" xfId="1532"/>
    <cellStyle name="Normal 10 2 2 3 2" xfId="3909"/>
    <cellStyle name="Normal 10 2 2 3 3" xfId="17405"/>
    <cellStyle name="Normal 10 2 2 3 4" xfId="16880"/>
    <cellStyle name="Normal 10 2 2 3_FC with allocations" xfId="24143"/>
    <cellStyle name="Normal 10 2 2 4" xfId="3906"/>
    <cellStyle name="Normal 10 2 2 5" xfId="5832"/>
    <cellStyle name="Normal 10 2 2 5 2" xfId="18293"/>
    <cellStyle name="Normal 10 2 2 5 3" xfId="17402"/>
    <cellStyle name="Normal 10 2 2 5_FC with allocations" xfId="24144"/>
    <cellStyle name="Normal 10 2 2 6" xfId="16877"/>
    <cellStyle name="Normal 10 2 2_FC with allocations" xfId="24140"/>
    <cellStyle name="Normal 10 2 3" xfId="1533"/>
    <cellStyle name="Normal 10 2 3 2" xfId="1534"/>
    <cellStyle name="Normal 10 2 3 2 2" xfId="3911"/>
    <cellStyle name="Normal 10 2 3 2 3" xfId="17407"/>
    <cellStyle name="Normal 10 2 3 2 4" xfId="16882"/>
    <cellStyle name="Normal 10 2 3 2_FC with allocations" xfId="24146"/>
    <cellStyle name="Normal 10 2 3 3" xfId="3910"/>
    <cellStyle name="Normal 10 2 3 4" xfId="5833"/>
    <cellStyle name="Normal 10 2 3 4 2" xfId="18294"/>
    <cellStyle name="Normal 10 2 3 4 3" xfId="17406"/>
    <cellStyle name="Normal 10 2 3 4_FC with allocations" xfId="24147"/>
    <cellStyle name="Normal 10 2 3 5" xfId="16881"/>
    <cellStyle name="Normal 10 2 3_FC with allocations" xfId="24145"/>
    <cellStyle name="Normal 10 2 4" xfId="1535"/>
    <cellStyle name="Normal 10 2 4 2" xfId="3912"/>
    <cellStyle name="Normal 10 2 4 3" xfId="17408"/>
    <cellStyle name="Normal 10 2 4 4" xfId="16883"/>
    <cellStyle name="Normal 10 2 4_FC with allocations" xfId="24148"/>
    <cellStyle name="Normal 10 2 5" xfId="1536"/>
    <cellStyle name="Normal 10 2 5 2" xfId="3913"/>
    <cellStyle name="Normal 10 2 5 3" xfId="17409"/>
    <cellStyle name="Normal 10 2 5 4" xfId="16884"/>
    <cellStyle name="Normal 10 2 5_FC with allocations" xfId="24149"/>
    <cellStyle name="Normal 10 2 6" xfId="5831"/>
    <cellStyle name="Normal 10 2_FC with allocations" xfId="24139"/>
    <cellStyle name="Normal 10 3" xfId="1537"/>
    <cellStyle name="Normal 10 3 2" xfId="1538"/>
    <cellStyle name="Normal 10 3 2 2" xfId="1539"/>
    <cellStyle name="Normal 10 3 2 2 2" xfId="3914"/>
    <cellStyle name="Normal 10 3 2 2 3" xfId="17410"/>
    <cellStyle name="Normal 10 3 2 2 4" xfId="16885"/>
    <cellStyle name="Normal 10 3 2 2_FC with allocations" xfId="24152"/>
    <cellStyle name="Normal 10 3 2 3" xfId="1540"/>
    <cellStyle name="Normal 10 3 2 4" xfId="1541"/>
    <cellStyle name="Normal 10 3 2 4 2" xfId="3915"/>
    <cellStyle name="Normal 10 3 2 4 3" xfId="17411"/>
    <cellStyle name="Normal 10 3 2 4 4" xfId="16886"/>
    <cellStyle name="Normal 10 3 2 4_FC with allocations" xfId="24153"/>
    <cellStyle name="Normal 10 3 2 5" xfId="5835"/>
    <cellStyle name="Normal 10 3 2_FC with allocations" xfId="24151"/>
    <cellStyle name="Normal 10 3 3" xfId="1542"/>
    <cellStyle name="Normal 10 3 3 2" xfId="3916"/>
    <cellStyle name="Normal 10 3 3 3" xfId="5836"/>
    <cellStyle name="Normal 10 3 3 3 2" xfId="18295"/>
    <cellStyle name="Normal 10 3 3 3 3" xfId="17412"/>
    <cellStyle name="Normal 10 3 3 3_FC with allocations" xfId="24155"/>
    <cellStyle name="Normal 10 3 3 4" xfId="16887"/>
    <cellStyle name="Normal 10 3 3_FC with allocations" xfId="24154"/>
    <cellStyle name="Normal 10 3 4" xfId="1543"/>
    <cellStyle name="Normal 10 3 4 2" xfId="3917"/>
    <cellStyle name="Normal 10 3 4 3" xfId="17413"/>
    <cellStyle name="Normal 10 3 4 4" xfId="16888"/>
    <cellStyle name="Normal 10 3 4_FC with allocations" xfId="24156"/>
    <cellStyle name="Normal 10 3 5" xfId="5834"/>
    <cellStyle name="Normal 10 3_FC with allocations" xfId="24150"/>
    <cellStyle name="Normal 10 4" xfId="1544"/>
    <cellStyle name="Normal 10 4 10" xfId="16821"/>
    <cellStyle name="Normal 10 4 10 2" xfId="20324"/>
    <cellStyle name="Normal 10 4 10 3" xfId="22464"/>
    <cellStyle name="Normal 10 4 10_FC with allocations" xfId="24158"/>
    <cellStyle name="Normal 10 4 11" xfId="18785"/>
    <cellStyle name="Normal 10 4 11 2" xfId="20938"/>
    <cellStyle name="Normal 10 4 11 3" xfId="23095"/>
    <cellStyle name="Normal 10 4 11_FC with allocations" xfId="24159"/>
    <cellStyle name="Normal 10 4 2" xfId="1545"/>
    <cellStyle name="Normal 10 4 2 2" xfId="1546"/>
    <cellStyle name="Normal 10 4 2 2 2" xfId="3919"/>
    <cellStyle name="Normal 10 4 2 2 3" xfId="17415"/>
    <cellStyle name="Normal 10 4 2 2 4" xfId="16891"/>
    <cellStyle name="Normal 10 4 2 2_FC with allocations" xfId="24161"/>
    <cellStyle name="Normal 10 4 2 3" xfId="3918"/>
    <cellStyle name="Normal 10 4 2 4" xfId="5838"/>
    <cellStyle name="Normal 10 4 2 4 2" xfId="18296"/>
    <cellStyle name="Normal 10 4 2 4 3" xfId="17414"/>
    <cellStyle name="Normal 10 4 2 4_FC with allocations" xfId="24162"/>
    <cellStyle name="Normal 10 4 2 5" xfId="16890"/>
    <cellStyle name="Normal 10 4 2_FC with allocations" xfId="24160"/>
    <cellStyle name="Normal 10 4 3" xfId="1547"/>
    <cellStyle name="Normal 10 4 3 2" xfId="3920"/>
    <cellStyle name="Normal 10 4 3 3" xfId="5839"/>
    <cellStyle name="Normal 10 4 3 3 2" xfId="18297"/>
    <cellStyle name="Normal 10 4 3 3 3" xfId="17416"/>
    <cellStyle name="Normal 10 4 3 3_FC with allocations" xfId="24164"/>
    <cellStyle name="Normal 10 4 3 4" xfId="16892"/>
    <cellStyle name="Normal 10 4 3_FC with allocations" xfId="24163"/>
    <cellStyle name="Normal 10 4 4" xfId="1548"/>
    <cellStyle name="Normal 10 4 4 2" xfId="3921"/>
    <cellStyle name="Normal 10 4 4_FC with allocations" xfId="24165"/>
    <cellStyle name="Normal 10 4 5" xfId="4466"/>
    <cellStyle name="Normal 10 4 5 10" xfId="19885"/>
    <cellStyle name="Normal 10 4 5 11" xfId="21878"/>
    <cellStyle name="Normal 10 4 5 2" xfId="4774"/>
    <cellStyle name="Normal 10 4 5 2 2" xfId="16652"/>
    <cellStyle name="Normal 10 4 5 2 2 2" xfId="18674"/>
    <cellStyle name="Normal 10 4 5 2 2 2 2" xfId="19693"/>
    <cellStyle name="Normal 10 4 5 2 2 2 2 2" xfId="21703"/>
    <cellStyle name="Normal 10 4 5 2 2 2 2 3" xfId="23861"/>
    <cellStyle name="Normal 10 4 5 2 2 2 2_FC with allocations" xfId="24170"/>
    <cellStyle name="Normal 10 4 5 2 2 2 3" xfId="20827"/>
    <cellStyle name="Normal 10 4 5 2 2 2 4" xfId="22984"/>
    <cellStyle name="Normal 10 4 5 2 2 2_FC with allocations" xfId="24169"/>
    <cellStyle name="Normal 10 4 5 2 2 3" xfId="19161"/>
    <cellStyle name="Normal 10 4 5 2 2 3 2" xfId="21294"/>
    <cellStyle name="Normal 10 4 5 2 2 3 3" xfId="23451"/>
    <cellStyle name="Normal 10 4 5 2 2 3_FC with allocations" xfId="24171"/>
    <cellStyle name="Normal 10 4 5 2 2 4" xfId="20212"/>
    <cellStyle name="Normal 10 4 5 2 2 5" xfId="22329"/>
    <cellStyle name="Normal 10 4 5 2 2_FC with allocations" xfId="24168"/>
    <cellStyle name="Normal 10 4 5 2 3" xfId="18237"/>
    <cellStyle name="Normal 10 4 5 2 3 2" xfId="19528"/>
    <cellStyle name="Normal 10 4 5 2 3 2 2" xfId="21538"/>
    <cellStyle name="Normal 10 4 5 2 3 2 3" xfId="23696"/>
    <cellStyle name="Normal 10 4 5 2 3 2_FC with allocations" xfId="24173"/>
    <cellStyle name="Normal 10 4 5 2 3 3" xfId="20661"/>
    <cellStyle name="Normal 10 4 5 2 3 4" xfId="22803"/>
    <cellStyle name="Normal 10 4 5 2 3_FC with allocations" xfId="24172"/>
    <cellStyle name="Normal 10 4 5 2 4" xfId="17930"/>
    <cellStyle name="Normal 10 4 5 2 4 2" xfId="20389"/>
    <cellStyle name="Normal 10 4 5 2 4 3" xfId="22529"/>
    <cellStyle name="Normal 10 4 5 2 4_FC with allocations" xfId="24174"/>
    <cellStyle name="Normal 10 4 5 2 5" xfId="18893"/>
    <cellStyle name="Normal 10 4 5 2 5 2" xfId="21045"/>
    <cellStyle name="Normal 10 4 5 2 5 3" xfId="23202"/>
    <cellStyle name="Normal 10 4 5 2 5_FC with allocations" xfId="24175"/>
    <cellStyle name="Normal 10 4 5 2 6" xfId="20044"/>
    <cellStyle name="Normal 10 4 5 2 7" xfId="22039"/>
    <cellStyle name="Normal 10 4 5 2_FC with allocations" xfId="24167"/>
    <cellStyle name="Normal 10 4 5 3" xfId="16599"/>
    <cellStyle name="Normal 10 4 5 3 2" xfId="18621"/>
    <cellStyle name="Normal 10 4 5 3 2 2" xfId="19640"/>
    <cellStyle name="Normal 10 4 5 3 2 2 2" xfId="21650"/>
    <cellStyle name="Normal 10 4 5 3 2 2 3" xfId="23808"/>
    <cellStyle name="Normal 10 4 5 3 2 2_FC with allocations" xfId="24178"/>
    <cellStyle name="Normal 10 4 5 3 2 3" xfId="20774"/>
    <cellStyle name="Normal 10 4 5 3 2 4" xfId="22931"/>
    <cellStyle name="Normal 10 4 5 3 2_FC with allocations" xfId="24177"/>
    <cellStyle name="Normal 10 4 5 3 3" xfId="17988"/>
    <cellStyle name="Normal 10 4 5 3 3 2" xfId="20442"/>
    <cellStyle name="Normal 10 4 5 3 3 3" xfId="22582"/>
    <cellStyle name="Normal 10 4 5 3 3_FC with allocations" xfId="24179"/>
    <cellStyle name="Normal 10 4 5 3 4" xfId="19107"/>
    <cellStyle name="Normal 10 4 5 3 4 2" xfId="21240"/>
    <cellStyle name="Normal 10 4 5 3 4 3" xfId="23397"/>
    <cellStyle name="Normal 10 4 5 3 4_FC with allocations" xfId="24180"/>
    <cellStyle name="Normal 10 4 5 3 5" xfId="20159"/>
    <cellStyle name="Normal 10 4 5 3 6" xfId="22276"/>
    <cellStyle name="Normal 10 4 5 3_FC with allocations" xfId="24176"/>
    <cellStyle name="Normal 10 4 5 4" xfId="4674"/>
    <cellStyle name="Normal 10 4 5 4 2" xfId="18184"/>
    <cellStyle name="Normal 10 4 5 4 2 2" xfId="19475"/>
    <cellStyle name="Normal 10 4 5 4 2 2 2" xfId="21485"/>
    <cellStyle name="Normal 10 4 5 4 2 2 3" xfId="23643"/>
    <cellStyle name="Normal 10 4 5 4 2 2_FC with allocations" xfId="24183"/>
    <cellStyle name="Normal 10 4 5 4 2 3" xfId="20608"/>
    <cellStyle name="Normal 10 4 5 4 2 4" xfId="22750"/>
    <cellStyle name="Normal 10 4 5 4 2_FC with allocations" xfId="24182"/>
    <cellStyle name="Normal 10 4 5 4 3" xfId="18988"/>
    <cellStyle name="Normal 10 4 5 4 3 2" xfId="21140"/>
    <cellStyle name="Normal 10 4 5 4 3 3" xfId="23297"/>
    <cellStyle name="Normal 10 4 5 4 3_FC with allocations" xfId="24184"/>
    <cellStyle name="Normal 10 4 5 4 4" xfId="19991"/>
    <cellStyle name="Normal 10 4 5 4 5" xfId="21986"/>
    <cellStyle name="Normal 10 4 5 4_FC with allocations" xfId="24181"/>
    <cellStyle name="Normal 10 4 5 5" xfId="16730"/>
    <cellStyle name="Normal 10 4 5 5 2" xfId="18734"/>
    <cellStyle name="Normal 10 4 5 5 2 2" xfId="20887"/>
    <cellStyle name="Normal 10 4 5 5 2 3" xfId="23044"/>
    <cellStyle name="Normal 10 4 5 5 2_FC with allocations" xfId="24186"/>
    <cellStyle name="Normal 10 4 5 5 3" xfId="19754"/>
    <cellStyle name="Normal 10 4 5 5 3 2" xfId="21764"/>
    <cellStyle name="Normal 10 4 5 5 3 3" xfId="23922"/>
    <cellStyle name="Normal 10 4 5 5 3_FC with allocations" xfId="24187"/>
    <cellStyle name="Normal 10 4 5 5 4" xfId="20273"/>
    <cellStyle name="Normal 10 4 5 5 5" xfId="22401"/>
    <cellStyle name="Normal 10 4 5 5_FC with allocations" xfId="24185"/>
    <cellStyle name="Normal 10 4 5 6" xfId="18050"/>
    <cellStyle name="Normal 10 4 5 6 2" xfId="19369"/>
    <cellStyle name="Normal 10 4 5 6 2 2" xfId="21379"/>
    <cellStyle name="Normal 10 4 5 6 2 3" xfId="23537"/>
    <cellStyle name="Normal 10 4 5 6 2_FC with allocations" xfId="24189"/>
    <cellStyle name="Normal 10 4 5 6 3" xfId="20502"/>
    <cellStyle name="Normal 10 4 5 6 4" xfId="22644"/>
    <cellStyle name="Normal 10 4 5 6_FC with allocations" xfId="24188"/>
    <cellStyle name="Normal 10 4 5 7" xfId="16889"/>
    <cellStyle name="Normal 10 4 5 8" xfId="18840"/>
    <cellStyle name="Normal 10 4 5 8 2" xfId="20992"/>
    <cellStyle name="Normal 10 4 5 8 3" xfId="23149"/>
    <cellStyle name="Normal 10 4 5 8_FC with allocations" xfId="24190"/>
    <cellStyle name="Normal 10 4 5 9" xfId="19808"/>
    <cellStyle name="Normal 10 4 5 9 2" xfId="21817"/>
    <cellStyle name="Normal 10 4 5 9 3" xfId="23975"/>
    <cellStyle name="Normal 10 4 5 9_FC with allocations" xfId="24191"/>
    <cellStyle name="Normal 10 4 5_FC with allocations" xfId="24166"/>
    <cellStyle name="Normal 10 4 6" xfId="4580"/>
    <cellStyle name="Normal 10 4 7" xfId="5837"/>
    <cellStyle name="Normal 10 4 8" xfId="16541"/>
    <cellStyle name="Normal 10 4 8 2" xfId="18567"/>
    <cellStyle name="Normal 10 4 8 2 2" xfId="19586"/>
    <cellStyle name="Normal 10 4 8 2 2 2" xfId="21596"/>
    <cellStyle name="Normal 10 4 8 2 2 3" xfId="23754"/>
    <cellStyle name="Normal 10 4 8 2 2_FC with allocations" xfId="24194"/>
    <cellStyle name="Normal 10 4 8 2 3" xfId="20720"/>
    <cellStyle name="Normal 10 4 8 2 4" xfId="22877"/>
    <cellStyle name="Normal 10 4 8 2_FC with allocations" xfId="24193"/>
    <cellStyle name="Normal 10 4 8 3" xfId="18990"/>
    <cellStyle name="Normal 10 4 8 3 2" xfId="21142"/>
    <cellStyle name="Normal 10 4 8 3 3" xfId="23299"/>
    <cellStyle name="Normal 10 4 8 3_FC with allocations" xfId="24195"/>
    <cellStyle name="Normal 10 4 8 4" xfId="20105"/>
    <cellStyle name="Normal 10 4 8 5" xfId="22221"/>
    <cellStyle name="Normal 10 4 8_FC with allocations" xfId="24192"/>
    <cellStyle name="Normal 10 4 9" xfId="4526"/>
    <cellStyle name="Normal 10 4 9 2" xfId="18102"/>
    <cellStyle name="Normal 10 4 9 2 2" xfId="19421"/>
    <cellStyle name="Normal 10 4 9 2 2 2" xfId="21431"/>
    <cellStyle name="Normal 10 4 9 2 2 3" xfId="23589"/>
    <cellStyle name="Normal 10 4 9 2 2_FC with allocations" xfId="24198"/>
    <cellStyle name="Normal 10 4 9 2 3" xfId="20554"/>
    <cellStyle name="Normal 10 4 9 2 4" xfId="22696"/>
    <cellStyle name="Normal 10 4 9 2_FC with allocations" xfId="24197"/>
    <cellStyle name="Normal 10 4 9 3" xfId="18964"/>
    <cellStyle name="Normal 10 4 9 3 2" xfId="21116"/>
    <cellStyle name="Normal 10 4 9 3 3" xfId="23273"/>
    <cellStyle name="Normal 10 4 9 3_FC with allocations" xfId="24199"/>
    <cellStyle name="Normal 10 4 9 4" xfId="19937"/>
    <cellStyle name="Normal 10 4 9 5" xfId="21932"/>
    <cellStyle name="Normal 10 4 9_FC with allocations" xfId="24196"/>
    <cellStyle name="Normal 10 4_FC with allocations" xfId="24157"/>
    <cellStyle name="Normal 10 5" xfId="1549"/>
    <cellStyle name="Normal 10 5 2" xfId="1550"/>
    <cellStyle name="Normal 10 5 2 2" xfId="3923"/>
    <cellStyle name="Normal 10 5 2 3" xfId="5841"/>
    <cellStyle name="Normal 10 5 2 3 2" xfId="18299"/>
    <cellStyle name="Normal 10 5 2 3 3" xfId="17418"/>
    <cellStyle name="Normal 10 5 2 3_FC with allocations" xfId="24202"/>
    <cellStyle name="Normal 10 5 2 4" xfId="16894"/>
    <cellStyle name="Normal 10 5 2_FC with allocations" xfId="24201"/>
    <cellStyle name="Normal 10 5 3" xfId="3922"/>
    <cellStyle name="Normal 10 5 3 2" xfId="5842"/>
    <cellStyle name="Normal 10 5 3_FC with allocations" xfId="24203"/>
    <cellStyle name="Normal 10 5 4" xfId="5840"/>
    <cellStyle name="Normal 10 5 4 2" xfId="18298"/>
    <cellStyle name="Normal 10 5 4 3" xfId="17417"/>
    <cellStyle name="Normal 10 5 4_FC with allocations" xfId="24204"/>
    <cellStyle name="Normal 10 5 5" xfId="16893"/>
    <cellStyle name="Normal 10 5_FC with allocations" xfId="24200"/>
    <cellStyle name="Normal 10 6" xfId="1551"/>
    <cellStyle name="Normal 10 6 2" xfId="3924"/>
    <cellStyle name="Normal 10 6 2 2" xfId="5844"/>
    <cellStyle name="Normal 10 6 2_FC with allocations" xfId="24206"/>
    <cellStyle name="Normal 10 6 3" xfId="5845"/>
    <cellStyle name="Normal 10 6 3 2" xfId="18300"/>
    <cellStyle name="Normal 10 6 3 3" xfId="17419"/>
    <cellStyle name="Normal 10 6 3_FC with allocations" xfId="24207"/>
    <cellStyle name="Normal 10 6 4" xfId="5843"/>
    <cellStyle name="Normal 10 6 5" xfId="16895"/>
    <cellStyle name="Normal 10 6_FC with allocations" xfId="24205"/>
    <cellStyle name="Normal 10 7" xfId="5846"/>
    <cellStyle name="Normal 10 7 2" xfId="5847"/>
    <cellStyle name="Normal 10 7 3" xfId="5848"/>
    <cellStyle name="Normal 10 7_FC with allocations" xfId="24208"/>
    <cellStyle name="Normal 10 8" xfId="5849"/>
    <cellStyle name="Normal 10 8 2" xfId="5850"/>
    <cellStyle name="Normal 10 8 3" xfId="5851"/>
    <cellStyle name="Normal 10 8_FC with allocations" xfId="24209"/>
    <cellStyle name="Normal 10 9" xfId="5852"/>
    <cellStyle name="Normal 10 9 2" xfId="5853"/>
    <cellStyle name="Normal 10 9 3" xfId="5854"/>
    <cellStyle name="Normal 10 9_FC with allocations" xfId="24210"/>
    <cellStyle name="Normal 10_FC with allocations" xfId="24138"/>
    <cellStyle name="Normal 100" xfId="1552"/>
    <cellStyle name="Normal 100 2" xfId="5856"/>
    <cellStyle name="Normal 100 2 2" xfId="5857"/>
    <cellStyle name="Normal 100 2_FC with allocations" xfId="24212"/>
    <cellStyle name="Normal 100 3" xfId="5858"/>
    <cellStyle name="Normal 100 4" xfId="5855"/>
    <cellStyle name="Normal 100_FC with allocations" xfId="24211"/>
    <cellStyle name="Normal 101" xfId="1553"/>
    <cellStyle name="Normal 102" xfId="1554"/>
    <cellStyle name="Normal 103" xfId="1555"/>
    <cellStyle name="Normal 104" xfId="1556"/>
    <cellStyle name="Normal 105" xfId="1557"/>
    <cellStyle name="Normal 106" xfId="1558"/>
    <cellStyle name="Normal 107" xfId="1559"/>
    <cellStyle name="Normal 108" xfId="1560"/>
    <cellStyle name="Normal 109" xfId="1561"/>
    <cellStyle name="Normal 11" xfId="1562"/>
    <cellStyle name="Normal 11 10" xfId="5859"/>
    <cellStyle name="Normal 11 11" xfId="5860"/>
    <cellStyle name="Normal 11 12" xfId="5861"/>
    <cellStyle name="Normal 11 2" xfId="1563"/>
    <cellStyle name="Normal 11 2 2" xfId="1564"/>
    <cellStyle name="Normal 11 2 2 2" xfId="5862"/>
    <cellStyle name="Normal 11 2 2_FC with allocations" xfId="24215"/>
    <cellStyle name="Normal 11 2 3" xfId="1565"/>
    <cellStyle name="Normal 11 2_FC with allocations" xfId="24214"/>
    <cellStyle name="Normal 11 3" xfId="1566"/>
    <cellStyle name="Normal 11 3 2" xfId="5863"/>
    <cellStyle name="Normal 11 3 3" xfId="5864"/>
    <cellStyle name="Normal 11 3_FC with allocations" xfId="24216"/>
    <cellStyle name="Normal 11 4" xfId="5865"/>
    <cellStyle name="Normal 11 4 2" xfId="5866"/>
    <cellStyle name="Normal 11 4 3" xfId="5867"/>
    <cellStyle name="Normal 11 4_FC with allocations" xfId="24217"/>
    <cellStyle name="Normal 11 5" xfId="5868"/>
    <cellStyle name="Normal 11 5 2" xfId="5869"/>
    <cellStyle name="Normal 11 5 3" xfId="5870"/>
    <cellStyle name="Normal 11 5_FC with allocations" xfId="24218"/>
    <cellStyle name="Normal 11 6" xfId="5871"/>
    <cellStyle name="Normal 11 6 2" xfId="5872"/>
    <cellStyle name="Normal 11 6 3" xfId="5873"/>
    <cellStyle name="Normal 11 6_FC with allocations" xfId="24219"/>
    <cellStyle name="Normal 11 7" xfId="5874"/>
    <cellStyle name="Normal 11 7 2" xfId="5875"/>
    <cellStyle name="Normal 11 7 3" xfId="5876"/>
    <cellStyle name="Normal 11 7_FC with allocations" xfId="24220"/>
    <cellStyle name="Normal 11 8" xfId="5877"/>
    <cellStyle name="Normal 11 8 2" xfId="5878"/>
    <cellStyle name="Normal 11 8 3" xfId="5879"/>
    <cellStyle name="Normal 11 8_FC with allocations" xfId="24221"/>
    <cellStyle name="Normal 11 9" xfId="5880"/>
    <cellStyle name="Normal 11 9 2" xfId="5881"/>
    <cellStyle name="Normal 11 9 3" xfId="5882"/>
    <cellStyle name="Normal 11 9_FC with allocations" xfId="24222"/>
    <cellStyle name="Normal 11_FC with allocations" xfId="24213"/>
    <cellStyle name="Normal 110" xfId="1567"/>
    <cellStyle name="Normal 111" xfId="1568"/>
    <cellStyle name="Normal 112" xfId="1569"/>
    <cellStyle name="Normal 113" xfId="1570"/>
    <cellStyle name="Normal 114" xfId="1571"/>
    <cellStyle name="Normal 115" xfId="1572"/>
    <cellStyle name="Normal 116" xfId="1573"/>
    <cellStyle name="Normal 117" xfId="1574"/>
    <cellStyle name="Normal 118" xfId="1575"/>
    <cellStyle name="Normal 119" xfId="1576"/>
    <cellStyle name="Normal 12" xfId="1577"/>
    <cellStyle name="Normal 12 10" xfId="5883"/>
    <cellStyle name="Normal 12 10 2" xfId="5884"/>
    <cellStyle name="Normal 12 10 3" xfId="5885"/>
    <cellStyle name="Normal 12 10 3 2" xfId="5886"/>
    <cellStyle name="Normal 12 10 3_FC with allocations" xfId="24225"/>
    <cellStyle name="Normal 12 10 4" xfId="5887"/>
    <cellStyle name="Normal 12 10_FC with allocations" xfId="24224"/>
    <cellStyle name="Normal 12 11" xfId="5888"/>
    <cellStyle name="Normal 12 12" xfId="5889"/>
    <cellStyle name="Normal 12 2" xfId="1578"/>
    <cellStyle name="Normal 12 2 2" xfId="1579"/>
    <cellStyle name="Normal 12 2 2 2" xfId="5890"/>
    <cellStyle name="Normal 12 2 2_FC with allocations" xfId="24227"/>
    <cellStyle name="Normal 12 2 3" xfId="1580"/>
    <cellStyle name="Normal 12 2_FC with allocations" xfId="24226"/>
    <cellStyle name="Normal 12 3" xfId="1581"/>
    <cellStyle name="Normal 12 3 2" xfId="5891"/>
    <cellStyle name="Normal 12 3 3" xfId="5892"/>
    <cellStyle name="Normal 12 3_FC with allocations" xfId="24228"/>
    <cellStyle name="Normal 12 4" xfId="1582"/>
    <cellStyle name="Normal 12 4 2" xfId="5894"/>
    <cellStyle name="Normal 12 4 3" xfId="5895"/>
    <cellStyle name="Normal 12 4 4" xfId="5893"/>
    <cellStyle name="Normal 12 4_FC with allocations" xfId="24229"/>
    <cellStyle name="Normal 12 5" xfId="5896"/>
    <cellStyle name="Normal 12 5 2" xfId="5897"/>
    <cellStyle name="Normal 12 5 3" xfId="5898"/>
    <cellStyle name="Normal 12 5_FC with allocations" xfId="24230"/>
    <cellStyle name="Normal 12 6" xfId="5899"/>
    <cellStyle name="Normal 12 6 2" xfId="5900"/>
    <cellStyle name="Normal 12 6 3" xfId="5901"/>
    <cellStyle name="Normal 12 6_FC with allocations" xfId="24231"/>
    <cellStyle name="Normal 12 7" xfId="5902"/>
    <cellStyle name="Normal 12 7 2" xfId="5903"/>
    <cellStyle name="Normal 12 7 3" xfId="5904"/>
    <cellStyle name="Normal 12 7_FC with allocations" xfId="24232"/>
    <cellStyle name="Normal 12 8" xfId="5905"/>
    <cellStyle name="Normal 12 8 2" xfId="5906"/>
    <cellStyle name="Normal 12 8 3" xfId="5907"/>
    <cellStyle name="Normal 12 8_FC with allocations" xfId="24233"/>
    <cellStyle name="Normal 12 9" xfId="5908"/>
    <cellStyle name="Normal 12 9 2" xfId="5909"/>
    <cellStyle name="Normal 12 9 3" xfId="5910"/>
    <cellStyle name="Normal 12 9_FC with allocations" xfId="24234"/>
    <cellStyle name="Normal 12_FC with allocations" xfId="24223"/>
    <cellStyle name="Normal 120" xfId="1583"/>
    <cellStyle name="Normal 121" xfId="1584"/>
    <cellStyle name="Normal 122" xfId="1585"/>
    <cellStyle name="Normal 123" xfId="1586"/>
    <cellStyle name="Normal 124" xfId="1587"/>
    <cellStyle name="Normal 125" xfId="1588"/>
    <cellStyle name="Normal 126" xfId="1589"/>
    <cellStyle name="Normal 127" xfId="1590"/>
    <cellStyle name="Normal 128" xfId="1591"/>
    <cellStyle name="Normal 129" xfId="1592"/>
    <cellStyle name="Normal 13" xfId="1593"/>
    <cellStyle name="Normal 13 10" xfId="5911"/>
    <cellStyle name="Normal 13 11" xfId="5912"/>
    <cellStyle name="Normal 13 12" xfId="5913"/>
    <cellStyle name="Normal 13 13" xfId="16542"/>
    <cellStyle name="Normal 13 13 2" xfId="18568"/>
    <cellStyle name="Normal 13 13 2 2" xfId="19587"/>
    <cellStyle name="Normal 13 13 2 2 2" xfId="21597"/>
    <cellStyle name="Normal 13 13 2 2 3" xfId="23755"/>
    <cellStyle name="Normal 13 13 2 2_FC with allocations" xfId="24238"/>
    <cellStyle name="Normal 13 13 2 3" xfId="20721"/>
    <cellStyle name="Normal 13 13 2 4" xfId="22878"/>
    <cellStyle name="Normal 13 13 2_FC with allocations" xfId="24237"/>
    <cellStyle name="Normal 13 13 3" xfId="18993"/>
    <cellStyle name="Normal 13 13 3 2" xfId="21145"/>
    <cellStyle name="Normal 13 13 3 3" xfId="23302"/>
    <cellStyle name="Normal 13 13 3_FC with allocations" xfId="24239"/>
    <cellStyle name="Normal 13 13 4" xfId="20106"/>
    <cellStyle name="Normal 13 13 5" xfId="22222"/>
    <cellStyle name="Normal 13 13_FC with allocations" xfId="24236"/>
    <cellStyle name="Normal 13 14" xfId="4527"/>
    <cellStyle name="Normal 13 14 2" xfId="18103"/>
    <cellStyle name="Normal 13 14 2 2" xfId="19422"/>
    <cellStyle name="Normal 13 14 2 2 2" xfId="21432"/>
    <cellStyle name="Normal 13 14 2 2 3" xfId="23590"/>
    <cellStyle name="Normal 13 14 2 2_FC with allocations" xfId="24242"/>
    <cellStyle name="Normal 13 14 2 3" xfId="20555"/>
    <cellStyle name="Normal 13 14 2 4" xfId="22697"/>
    <cellStyle name="Normal 13 14 2_FC with allocations" xfId="24241"/>
    <cellStyle name="Normal 13 14 3" xfId="19044"/>
    <cellStyle name="Normal 13 14 3 2" xfId="21185"/>
    <cellStyle name="Normal 13 14 3 3" xfId="23342"/>
    <cellStyle name="Normal 13 14 3_FC with allocations" xfId="24243"/>
    <cellStyle name="Normal 13 14 4" xfId="19938"/>
    <cellStyle name="Normal 13 14 5" xfId="21933"/>
    <cellStyle name="Normal 13 14_FC with allocations" xfId="24240"/>
    <cellStyle name="Normal 13 15" xfId="16822"/>
    <cellStyle name="Normal 13 15 2" xfId="20325"/>
    <cellStyle name="Normal 13 15 3" xfId="22465"/>
    <cellStyle name="Normal 13 15_FC with allocations" xfId="24244"/>
    <cellStyle name="Normal 13 16" xfId="18786"/>
    <cellStyle name="Normal 13 16 2" xfId="20939"/>
    <cellStyle name="Normal 13 16 3" xfId="23096"/>
    <cellStyle name="Normal 13 16_FC with allocations" xfId="24245"/>
    <cellStyle name="Normal 13 2" xfId="1594"/>
    <cellStyle name="Normal 13 2 2" xfId="1595"/>
    <cellStyle name="Normal 13 2 2 2" xfId="1596"/>
    <cellStyle name="Normal 13 2 2 2 2" xfId="1597"/>
    <cellStyle name="Normal 13 2 2 2 2 2" xfId="3927"/>
    <cellStyle name="Normal 13 2 2 2 2 3" xfId="17422"/>
    <cellStyle name="Normal 13 2 2 2 2 4" xfId="16899"/>
    <cellStyle name="Normal 13 2 2 2 2_FC with allocations" xfId="24249"/>
    <cellStyle name="Normal 13 2 2 2 3" xfId="3926"/>
    <cellStyle name="Normal 13 2 2 2 4" xfId="17421"/>
    <cellStyle name="Normal 13 2 2 2 5" xfId="16898"/>
    <cellStyle name="Normal 13 2 2 2_FC with allocations" xfId="24248"/>
    <cellStyle name="Normal 13 2 2 3" xfId="1598"/>
    <cellStyle name="Normal 13 2 2 3 2" xfId="3928"/>
    <cellStyle name="Normal 13 2 2 3 3" xfId="17423"/>
    <cellStyle name="Normal 13 2 2 3 4" xfId="16900"/>
    <cellStyle name="Normal 13 2 2 3_FC with allocations" xfId="24250"/>
    <cellStyle name="Normal 13 2 2 4" xfId="3925"/>
    <cellStyle name="Normal 13 2 2 5" xfId="5914"/>
    <cellStyle name="Normal 13 2 2 5 2" xfId="18301"/>
    <cellStyle name="Normal 13 2 2 5 3" xfId="17420"/>
    <cellStyle name="Normal 13 2 2 5_FC with allocations" xfId="24251"/>
    <cellStyle name="Normal 13 2 2 6" xfId="16897"/>
    <cellStyle name="Normal 13 2 2_FC with allocations" xfId="24247"/>
    <cellStyle name="Normal 13 2 3" xfId="1599"/>
    <cellStyle name="Normal 13 2 3 2" xfId="1600"/>
    <cellStyle name="Normal 13 2 3 2 2" xfId="3930"/>
    <cellStyle name="Normal 13 2 3 2 3" xfId="17425"/>
    <cellStyle name="Normal 13 2 3 2 4" xfId="16902"/>
    <cellStyle name="Normal 13 2 3 2_FC with allocations" xfId="24253"/>
    <cellStyle name="Normal 13 2 3 3" xfId="3929"/>
    <cellStyle name="Normal 13 2 3 4" xfId="5915"/>
    <cellStyle name="Normal 13 2 3 4 2" xfId="18302"/>
    <cellStyle name="Normal 13 2 3 4 3" xfId="17424"/>
    <cellStyle name="Normal 13 2 3 4_FC with allocations" xfId="24254"/>
    <cellStyle name="Normal 13 2 3 5" xfId="16901"/>
    <cellStyle name="Normal 13 2 3_FC with allocations" xfId="24252"/>
    <cellStyle name="Normal 13 2 4" xfId="1601"/>
    <cellStyle name="Normal 13 2 4 2" xfId="3931"/>
    <cellStyle name="Normal 13 2 4 3" xfId="17426"/>
    <cellStyle name="Normal 13 2 4 4" xfId="16903"/>
    <cellStyle name="Normal 13 2 4_FC with allocations" xfId="24255"/>
    <cellStyle name="Normal 13 2 5" xfId="1602"/>
    <cellStyle name="Normal 13 2 6" xfId="1603"/>
    <cellStyle name="Normal 13 2 6 2" xfId="3932"/>
    <cellStyle name="Normal 13 2 6 3" xfId="17427"/>
    <cellStyle name="Normal 13 2 6 4" xfId="16904"/>
    <cellStyle name="Normal 13 2 6_FC with allocations" xfId="24256"/>
    <cellStyle name="Normal 13 2_FC with allocations" xfId="24246"/>
    <cellStyle name="Normal 13 3" xfId="1604"/>
    <cellStyle name="Normal 13 3 2" xfId="1605"/>
    <cellStyle name="Normal 13 3 2 2" xfId="1606"/>
    <cellStyle name="Normal 13 3 2 2 2" xfId="3933"/>
    <cellStyle name="Normal 13 3 2 2 3" xfId="17428"/>
    <cellStyle name="Normal 13 3 2 2 4" xfId="16905"/>
    <cellStyle name="Normal 13 3 2 2_FC with allocations" xfId="24259"/>
    <cellStyle name="Normal 13 3 2 3" xfId="1607"/>
    <cellStyle name="Normal 13 3 2 3 2" xfId="3934"/>
    <cellStyle name="Normal 13 3 2 3 3" xfId="17429"/>
    <cellStyle name="Normal 13 3 2 3 4" xfId="16906"/>
    <cellStyle name="Normal 13 3 2 3_FC with allocations" xfId="24260"/>
    <cellStyle name="Normal 13 3 2_FC with allocations" xfId="24258"/>
    <cellStyle name="Normal 13 3 3" xfId="1608"/>
    <cellStyle name="Normal 13 3 3 2" xfId="1609"/>
    <cellStyle name="Normal 13 3 3 2 2" xfId="3935"/>
    <cellStyle name="Normal 13 3 3 2 3" xfId="17430"/>
    <cellStyle name="Normal 13 3 3 2 4" xfId="16907"/>
    <cellStyle name="Normal 13 3 3 2_FC with allocations" xfId="24262"/>
    <cellStyle name="Normal 13 3 3 3" xfId="5916"/>
    <cellStyle name="Normal 13 3 3_FC with allocations" xfId="24261"/>
    <cellStyle name="Normal 13 3 4" xfId="1610"/>
    <cellStyle name="Normal 13 3 5" xfId="1611"/>
    <cellStyle name="Normal 13 3 5 2" xfId="3936"/>
    <cellStyle name="Normal 13 3 5 3" xfId="17431"/>
    <cellStyle name="Normal 13 3 5 4" xfId="16908"/>
    <cellStyle name="Normal 13 3 5_FC with allocations" xfId="24263"/>
    <cellStyle name="Normal 13 3_FC with allocations" xfId="24257"/>
    <cellStyle name="Normal 13 4" xfId="1612"/>
    <cellStyle name="Normal 13 4 2" xfId="1613"/>
    <cellStyle name="Normal 13 4 2 2" xfId="1614"/>
    <cellStyle name="Normal 13 4 2 2 2" xfId="3937"/>
    <cellStyle name="Normal 13 4 2 2 3" xfId="17432"/>
    <cellStyle name="Normal 13 4 2 2 4" xfId="16909"/>
    <cellStyle name="Normal 13 4 2 2_FC with allocations" xfId="24266"/>
    <cellStyle name="Normal 13 4 2_FC with allocations" xfId="24265"/>
    <cellStyle name="Normal 13 4 3" xfId="1615"/>
    <cellStyle name="Normal 13 4 4" xfId="1616"/>
    <cellStyle name="Normal 13 4 4 2" xfId="3938"/>
    <cellStyle name="Normal 13 4 4 3" xfId="17433"/>
    <cellStyle name="Normal 13 4 4 4" xfId="16910"/>
    <cellStyle name="Normal 13 4 4_FC with allocations" xfId="24267"/>
    <cellStyle name="Normal 13 4_FC with allocations" xfId="24264"/>
    <cellStyle name="Normal 13 5" xfId="1617"/>
    <cellStyle name="Normal 13 5 2" xfId="1618"/>
    <cellStyle name="Normal 13 5 2 2" xfId="3939"/>
    <cellStyle name="Normal 13 5 2 3" xfId="5918"/>
    <cellStyle name="Normal 13 5 2_FC with allocations" xfId="24269"/>
    <cellStyle name="Normal 13 5 3" xfId="4467"/>
    <cellStyle name="Normal 13 5 3 10" xfId="19809"/>
    <cellStyle name="Normal 13 5 3 10 2" xfId="21818"/>
    <cellStyle name="Normal 13 5 3 10 3" xfId="23976"/>
    <cellStyle name="Normal 13 5 3 10_FC with allocations" xfId="24271"/>
    <cellStyle name="Normal 13 5 3 11" xfId="19886"/>
    <cellStyle name="Normal 13 5 3 12" xfId="21879"/>
    <cellStyle name="Normal 13 5 3 2" xfId="4775"/>
    <cellStyle name="Normal 13 5 3 2 2" xfId="16653"/>
    <cellStyle name="Normal 13 5 3 2 2 2" xfId="18675"/>
    <cellStyle name="Normal 13 5 3 2 2 2 2" xfId="19694"/>
    <cellStyle name="Normal 13 5 3 2 2 2 2 2" xfId="21704"/>
    <cellStyle name="Normal 13 5 3 2 2 2 2 3" xfId="23862"/>
    <cellStyle name="Normal 13 5 3 2 2 2 2_FC with allocations" xfId="24275"/>
    <cellStyle name="Normal 13 5 3 2 2 2 3" xfId="20828"/>
    <cellStyle name="Normal 13 5 3 2 2 2 4" xfId="22985"/>
    <cellStyle name="Normal 13 5 3 2 2 2_FC with allocations" xfId="24274"/>
    <cellStyle name="Normal 13 5 3 2 2 3" xfId="19162"/>
    <cellStyle name="Normal 13 5 3 2 2 3 2" xfId="21295"/>
    <cellStyle name="Normal 13 5 3 2 2 3 3" xfId="23452"/>
    <cellStyle name="Normal 13 5 3 2 2 3_FC with allocations" xfId="24276"/>
    <cellStyle name="Normal 13 5 3 2 2 4" xfId="20213"/>
    <cellStyle name="Normal 13 5 3 2 2 5" xfId="22330"/>
    <cellStyle name="Normal 13 5 3 2 2_FC with allocations" xfId="24273"/>
    <cellStyle name="Normal 13 5 3 2 3" xfId="18238"/>
    <cellStyle name="Normal 13 5 3 2 3 2" xfId="19529"/>
    <cellStyle name="Normal 13 5 3 2 3 2 2" xfId="21539"/>
    <cellStyle name="Normal 13 5 3 2 3 2 3" xfId="23697"/>
    <cellStyle name="Normal 13 5 3 2 3 2_FC with allocations" xfId="24278"/>
    <cellStyle name="Normal 13 5 3 2 3 3" xfId="20662"/>
    <cellStyle name="Normal 13 5 3 2 3 4" xfId="22804"/>
    <cellStyle name="Normal 13 5 3 2 3_FC with allocations" xfId="24277"/>
    <cellStyle name="Normal 13 5 3 2 4" xfId="17931"/>
    <cellStyle name="Normal 13 5 3 2 4 2" xfId="20390"/>
    <cellStyle name="Normal 13 5 3 2 4 3" xfId="22530"/>
    <cellStyle name="Normal 13 5 3 2 4_FC with allocations" xfId="24279"/>
    <cellStyle name="Normal 13 5 3 2 5" xfId="18894"/>
    <cellStyle name="Normal 13 5 3 2 5 2" xfId="21046"/>
    <cellStyle name="Normal 13 5 3 2 5 3" xfId="23203"/>
    <cellStyle name="Normal 13 5 3 2 5_FC with allocations" xfId="24280"/>
    <cellStyle name="Normal 13 5 3 2 6" xfId="20045"/>
    <cellStyle name="Normal 13 5 3 2 7" xfId="22040"/>
    <cellStyle name="Normal 13 5 3 2_FC with allocations" xfId="24272"/>
    <cellStyle name="Normal 13 5 3 3" xfId="5919"/>
    <cellStyle name="Normal 13 5 3 3 2" xfId="18303"/>
    <cellStyle name="Normal 13 5 3 3 3" xfId="17989"/>
    <cellStyle name="Normal 13 5 3 3 3 2" xfId="20443"/>
    <cellStyle name="Normal 13 5 3 3 3 3" xfId="22583"/>
    <cellStyle name="Normal 13 5 3 3 3_FC with allocations" xfId="24282"/>
    <cellStyle name="Normal 13 5 3 3_FC with allocations" xfId="24281"/>
    <cellStyle name="Normal 13 5 3 4" xfId="16600"/>
    <cellStyle name="Normal 13 5 3 4 2" xfId="18622"/>
    <cellStyle name="Normal 13 5 3 4 2 2" xfId="19641"/>
    <cellStyle name="Normal 13 5 3 4 2 2 2" xfId="21651"/>
    <cellStyle name="Normal 13 5 3 4 2 2 3" xfId="23809"/>
    <cellStyle name="Normal 13 5 3 4 2 2_FC with allocations" xfId="24285"/>
    <cellStyle name="Normal 13 5 3 4 2 3" xfId="20775"/>
    <cellStyle name="Normal 13 5 3 4 2 4" xfId="22932"/>
    <cellStyle name="Normal 13 5 3 4 2_FC with allocations" xfId="24284"/>
    <cellStyle name="Normal 13 5 3 4 3" xfId="19108"/>
    <cellStyle name="Normal 13 5 3 4 3 2" xfId="21241"/>
    <cellStyle name="Normal 13 5 3 4 3 3" xfId="23398"/>
    <cellStyle name="Normal 13 5 3 4 3_FC with allocations" xfId="24286"/>
    <cellStyle name="Normal 13 5 3 4 4" xfId="20160"/>
    <cellStyle name="Normal 13 5 3 4 5" xfId="22277"/>
    <cellStyle name="Normal 13 5 3 4_FC with allocations" xfId="24283"/>
    <cellStyle name="Normal 13 5 3 5" xfId="4675"/>
    <cellStyle name="Normal 13 5 3 5 2" xfId="18185"/>
    <cellStyle name="Normal 13 5 3 5 2 2" xfId="19476"/>
    <cellStyle name="Normal 13 5 3 5 2 2 2" xfId="21486"/>
    <cellStyle name="Normal 13 5 3 5 2 2 3" xfId="23644"/>
    <cellStyle name="Normal 13 5 3 5 2 2_FC with allocations" xfId="24289"/>
    <cellStyle name="Normal 13 5 3 5 2 3" xfId="20609"/>
    <cellStyle name="Normal 13 5 3 5 2 4" xfId="22751"/>
    <cellStyle name="Normal 13 5 3 5 2_FC with allocations" xfId="24288"/>
    <cellStyle name="Normal 13 5 3 5 3" xfId="18989"/>
    <cellStyle name="Normal 13 5 3 5 3 2" xfId="21141"/>
    <cellStyle name="Normal 13 5 3 5 3 3" xfId="23298"/>
    <cellStyle name="Normal 13 5 3 5 3_FC with allocations" xfId="24290"/>
    <cellStyle name="Normal 13 5 3 5 4" xfId="19992"/>
    <cellStyle name="Normal 13 5 3 5 5" xfId="21987"/>
    <cellStyle name="Normal 13 5 3 5_FC with allocations" xfId="24287"/>
    <cellStyle name="Normal 13 5 3 6" xfId="16731"/>
    <cellStyle name="Normal 13 5 3 6 2" xfId="18735"/>
    <cellStyle name="Normal 13 5 3 6 2 2" xfId="20888"/>
    <cellStyle name="Normal 13 5 3 6 2 3" xfId="23045"/>
    <cellStyle name="Normal 13 5 3 6 2_FC with allocations" xfId="24292"/>
    <cellStyle name="Normal 13 5 3 6 3" xfId="19755"/>
    <cellStyle name="Normal 13 5 3 6 3 2" xfId="21765"/>
    <cellStyle name="Normal 13 5 3 6 3 3" xfId="23923"/>
    <cellStyle name="Normal 13 5 3 6 3_FC with allocations" xfId="24293"/>
    <cellStyle name="Normal 13 5 3 6 4" xfId="20274"/>
    <cellStyle name="Normal 13 5 3 6 5" xfId="22402"/>
    <cellStyle name="Normal 13 5 3 6_FC with allocations" xfId="24291"/>
    <cellStyle name="Normal 13 5 3 7" xfId="18051"/>
    <cellStyle name="Normal 13 5 3 7 2" xfId="19370"/>
    <cellStyle name="Normal 13 5 3 7 2 2" xfId="21380"/>
    <cellStyle name="Normal 13 5 3 7 2 3" xfId="23538"/>
    <cellStyle name="Normal 13 5 3 7 2_FC with allocations" xfId="24295"/>
    <cellStyle name="Normal 13 5 3 7 3" xfId="20503"/>
    <cellStyle name="Normal 13 5 3 7 4" xfId="22645"/>
    <cellStyle name="Normal 13 5 3 7_FC with allocations" xfId="24294"/>
    <cellStyle name="Normal 13 5 3 8" xfId="16911"/>
    <cellStyle name="Normal 13 5 3 9" xfId="18841"/>
    <cellStyle name="Normal 13 5 3 9 2" xfId="20993"/>
    <cellStyle name="Normal 13 5 3 9 3" xfId="23150"/>
    <cellStyle name="Normal 13 5 3 9_FC with allocations" xfId="24296"/>
    <cellStyle name="Normal 13 5 3_FC with allocations" xfId="24270"/>
    <cellStyle name="Normal 13 5 4" xfId="4581"/>
    <cellStyle name="Normal 13 5 5" xfId="5917"/>
    <cellStyle name="Normal 13 5 6" xfId="16543"/>
    <cellStyle name="Normal 13 5 6 2" xfId="18569"/>
    <cellStyle name="Normal 13 5 6 2 2" xfId="19588"/>
    <cellStyle name="Normal 13 5 6 2 2 2" xfId="21598"/>
    <cellStyle name="Normal 13 5 6 2 2 3" xfId="23756"/>
    <cellStyle name="Normal 13 5 6 2 2_FC with allocations" xfId="24299"/>
    <cellStyle name="Normal 13 5 6 2 3" xfId="20722"/>
    <cellStyle name="Normal 13 5 6 2 4" xfId="22879"/>
    <cellStyle name="Normal 13 5 6 2_FC with allocations" xfId="24298"/>
    <cellStyle name="Normal 13 5 6 3" xfId="18994"/>
    <cellStyle name="Normal 13 5 6 3 2" xfId="21146"/>
    <cellStyle name="Normal 13 5 6 3 3" xfId="23303"/>
    <cellStyle name="Normal 13 5 6 3_FC with allocations" xfId="24300"/>
    <cellStyle name="Normal 13 5 6 4" xfId="20107"/>
    <cellStyle name="Normal 13 5 6 5" xfId="22223"/>
    <cellStyle name="Normal 13 5 6_FC with allocations" xfId="24297"/>
    <cellStyle name="Normal 13 5 7" xfId="4528"/>
    <cellStyle name="Normal 13 5 7 2" xfId="18104"/>
    <cellStyle name="Normal 13 5 7 2 2" xfId="19423"/>
    <cellStyle name="Normal 13 5 7 2 2 2" xfId="21433"/>
    <cellStyle name="Normal 13 5 7 2 2 3" xfId="23591"/>
    <cellStyle name="Normal 13 5 7 2 2_FC with allocations" xfId="24303"/>
    <cellStyle name="Normal 13 5 7 2 3" xfId="20556"/>
    <cellStyle name="Normal 13 5 7 2 4" xfId="22698"/>
    <cellStyle name="Normal 13 5 7 2_FC with allocations" xfId="24302"/>
    <cellStyle name="Normal 13 5 7 3" xfId="18965"/>
    <cellStyle name="Normal 13 5 7 3 2" xfId="21117"/>
    <cellStyle name="Normal 13 5 7 3 3" xfId="23274"/>
    <cellStyle name="Normal 13 5 7 3_FC with allocations" xfId="24304"/>
    <cellStyle name="Normal 13 5 7 4" xfId="19939"/>
    <cellStyle name="Normal 13 5 7 5" xfId="21934"/>
    <cellStyle name="Normal 13 5 7_FC with allocations" xfId="24301"/>
    <cellStyle name="Normal 13 5 8" xfId="16823"/>
    <cellStyle name="Normal 13 5 8 2" xfId="20326"/>
    <cellStyle name="Normal 13 5 8 3" xfId="22466"/>
    <cellStyle name="Normal 13 5 8_FC with allocations" xfId="24305"/>
    <cellStyle name="Normal 13 5 9" xfId="18787"/>
    <cellStyle name="Normal 13 5 9 2" xfId="20940"/>
    <cellStyle name="Normal 13 5 9 3" xfId="23097"/>
    <cellStyle name="Normal 13 5 9_FC with allocations" xfId="24306"/>
    <cellStyle name="Normal 13 5_FC with allocations" xfId="24268"/>
    <cellStyle name="Normal 13 6" xfId="1619"/>
    <cellStyle name="Normal 13 6 2" xfId="5920"/>
    <cellStyle name="Normal 13 6 3" xfId="5921"/>
    <cellStyle name="Normal 13 6_FC with allocations" xfId="24307"/>
    <cellStyle name="Normal 13 7" xfId="1620"/>
    <cellStyle name="Normal 13 7 2" xfId="3940"/>
    <cellStyle name="Normal 13 7 2 2" xfId="5923"/>
    <cellStyle name="Normal 13 7 2_FC with allocations" xfId="24309"/>
    <cellStyle name="Normal 13 7 3" xfId="5924"/>
    <cellStyle name="Normal 13 7 4" xfId="5922"/>
    <cellStyle name="Normal 13 7_FC with allocations" xfId="24308"/>
    <cellStyle name="Normal 13 8" xfId="5925"/>
    <cellStyle name="Normal 13 8 2" xfId="5926"/>
    <cellStyle name="Normal 13 8 3" xfId="5927"/>
    <cellStyle name="Normal 13 8 4" xfId="18304"/>
    <cellStyle name="Normal 13 8 5" xfId="16896"/>
    <cellStyle name="Normal 13 8_FC with allocations" xfId="24310"/>
    <cellStyle name="Normal 13 9" xfId="5928"/>
    <cellStyle name="Normal 13 9 2" xfId="5929"/>
    <cellStyle name="Normal 13 9 3" xfId="5930"/>
    <cellStyle name="Normal 13 9_FC with allocations" xfId="24311"/>
    <cellStyle name="Normal 13_FC with allocations" xfId="24235"/>
    <cellStyle name="Normal 130" xfId="1621"/>
    <cellStyle name="Normal 131" xfId="1622"/>
    <cellStyle name="Normal 132" xfId="1623"/>
    <cellStyle name="Normal 133" xfId="1624"/>
    <cellStyle name="Normal 134" xfId="1625"/>
    <cellStyle name="Normal 135" xfId="1626"/>
    <cellStyle name="Normal 136" xfId="1627"/>
    <cellStyle name="Normal 136 2" xfId="1628"/>
    <cellStyle name="Normal 136_FC with allocations" xfId="24312"/>
    <cellStyle name="Normal 137" xfId="1629"/>
    <cellStyle name="Normal 137 2" xfId="1630"/>
    <cellStyle name="Normal 137_FC with allocations" xfId="24313"/>
    <cellStyle name="Normal 138" xfId="1631"/>
    <cellStyle name="Normal 138 2" xfId="1632"/>
    <cellStyle name="Normal 138_FC with allocations" xfId="24314"/>
    <cellStyle name="Normal 139" xfId="1633"/>
    <cellStyle name="Normal 139 2" xfId="1634"/>
    <cellStyle name="Normal 139_FC with allocations" xfId="24315"/>
    <cellStyle name="Normal 14" xfId="1635"/>
    <cellStyle name="Normal 14 10" xfId="5932"/>
    <cellStyle name="Normal 14 11" xfId="5933"/>
    <cellStyle name="Normal 14 12" xfId="5934"/>
    <cellStyle name="Normal 14 13" xfId="5931"/>
    <cellStyle name="Normal 14 2" xfId="1636"/>
    <cellStyle name="Normal 14 2 2" xfId="1637"/>
    <cellStyle name="Normal 14 2 2 2" xfId="1638"/>
    <cellStyle name="Normal 14 2 2 2 2" xfId="1639"/>
    <cellStyle name="Normal 14 2 2 2 2 2" xfId="3944"/>
    <cellStyle name="Normal 14 2 2 2 2 3" xfId="17436"/>
    <cellStyle name="Normal 14 2 2 2 2 4" xfId="16914"/>
    <cellStyle name="Normal 14 2 2 2 2_FC with allocations" xfId="24320"/>
    <cellStyle name="Normal 14 2 2 2 3" xfId="3943"/>
    <cellStyle name="Normal 14 2 2 2 4" xfId="17435"/>
    <cellStyle name="Normal 14 2 2 2 5" xfId="16913"/>
    <cellStyle name="Normal 14 2 2 2_FC with allocations" xfId="24319"/>
    <cellStyle name="Normal 14 2 2 3" xfId="1640"/>
    <cellStyle name="Normal 14 2 2 3 2" xfId="3945"/>
    <cellStyle name="Normal 14 2 2 3 3" xfId="17437"/>
    <cellStyle name="Normal 14 2 2 3 4" xfId="16915"/>
    <cellStyle name="Normal 14 2 2 3_FC with allocations" xfId="24321"/>
    <cellStyle name="Normal 14 2 2 4" xfId="3942"/>
    <cellStyle name="Normal 14 2 2 5" xfId="5936"/>
    <cellStyle name="Normal 14 2 2 5 2" xfId="18305"/>
    <cellStyle name="Normal 14 2 2 5 3" xfId="17434"/>
    <cellStyle name="Normal 14 2 2 5_FC with allocations" xfId="24322"/>
    <cellStyle name="Normal 14 2 2 6" xfId="16912"/>
    <cellStyle name="Normal 14 2 2_FC with allocations" xfId="24318"/>
    <cellStyle name="Normal 14 2 3" xfId="1641"/>
    <cellStyle name="Normal 14 2 3 2" xfId="1642"/>
    <cellStyle name="Normal 14 2 3 2 2" xfId="3947"/>
    <cellStyle name="Normal 14 2 3 2 3" xfId="17439"/>
    <cellStyle name="Normal 14 2 3 2 4" xfId="16917"/>
    <cellStyle name="Normal 14 2 3 2_FC with allocations" xfId="24324"/>
    <cellStyle name="Normal 14 2 3 3" xfId="3946"/>
    <cellStyle name="Normal 14 2 3 4" xfId="5937"/>
    <cellStyle name="Normal 14 2 3 4 2" xfId="18306"/>
    <cellStyle name="Normal 14 2 3 4 3" xfId="17438"/>
    <cellStyle name="Normal 14 2 3 4_FC with allocations" xfId="24325"/>
    <cellStyle name="Normal 14 2 3 5" xfId="16916"/>
    <cellStyle name="Normal 14 2 3_FC with allocations" xfId="24323"/>
    <cellStyle name="Normal 14 2 4" xfId="1643"/>
    <cellStyle name="Normal 14 2 4 2" xfId="3948"/>
    <cellStyle name="Normal 14 2 4 3" xfId="17440"/>
    <cellStyle name="Normal 14 2 4 4" xfId="16918"/>
    <cellStyle name="Normal 14 2 4_FC with allocations" xfId="24326"/>
    <cellStyle name="Normal 14 2 5" xfId="1644"/>
    <cellStyle name="Normal 14 2 6" xfId="1645"/>
    <cellStyle name="Normal 14 2 6 2" xfId="3949"/>
    <cellStyle name="Normal 14 2 6 3" xfId="17441"/>
    <cellStyle name="Normal 14 2 6 4" xfId="16919"/>
    <cellStyle name="Normal 14 2 6_FC with allocations" xfId="24327"/>
    <cellStyle name="Normal 14 2 7" xfId="5935"/>
    <cellStyle name="Normal 14 2_FC with allocations" xfId="24317"/>
    <cellStyle name="Normal 14 3" xfId="1646"/>
    <cellStyle name="Normal 14 3 2" xfId="1647"/>
    <cellStyle name="Normal 14 3 2 2" xfId="1648"/>
    <cellStyle name="Normal 14 3 2 2 2" xfId="3951"/>
    <cellStyle name="Normal 14 3 2 2 3" xfId="17443"/>
    <cellStyle name="Normal 14 3 2 2 4" xfId="16921"/>
    <cellStyle name="Normal 14 3 2 2_FC with allocations" xfId="24330"/>
    <cellStyle name="Normal 14 3 2 3" xfId="3950"/>
    <cellStyle name="Normal 14 3 2 4" xfId="5939"/>
    <cellStyle name="Normal 14 3 2 4 2" xfId="18307"/>
    <cellStyle name="Normal 14 3 2 4 3" xfId="17442"/>
    <cellStyle name="Normal 14 3 2 4_FC with allocations" xfId="24331"/>
    <cellStyle name="Normal 14 3 2 5" xfId="16920"/>
    <cellStyle name="Normal 14 3 2_FC with allocations" xfId="24329"/>
    <cellStyle name="Normal 14 3 3" xfId="1649"/>
    <cellStyle name="Normal 14 3 3 2" xfId="3952"/>
    <cellStyle name="Normal 14 3 3 3" xfId="5940"/>
    <cellStyle name="Normal 14 3 3 3 2" xfId="18308"/>
    <cellStyle name="Normal 14 3 3 3 3" xfId="17444"/>
    <cellStyle name="Normal 14 3 3 3_FC with allocations" xfId="24333"/>
    <cellStyle name="Normal 14 3 3 4" xfId="16922"/>
    <cellStyle name="Normal 14 3 3_FC with allocations" xfId="24332"/>
    <cellStyle name="Normal 14 3 4" xfId="1650"/>
    <cellStyle name="Normal 14 3 5" xfId="1651"/>
    <cellStyle name="Normal 14 3 5 2" xfId="3953"/>
    <cellStyle name="Normal 14 3 5 3" xfId="17445"/>
    <cellStyle name="Normal 14 3 5 4" xfId="16923"/>
    <cellStyle name="Normal 14 3 5_FC with allocations" xfId="24334"/>
    <cellStyle name="Normal 14 3 6" xfId="5938"/>
    <cellStyle name="Normal 14 3_FC with allocations" xfId="24328"/>
    <cellStyle name="Normal 14 4" xfId="1652"/>
    <cellStyle name="Normal 14 4 2" xfId="1653"/>
    <cellStyle name="Normal 14 4 2 2" xfId="3955"/>
    <cellStyle name="Normal 14 4 2 3" xfId="5942"/>
    <cellStyle name="Normal 14 4 2 3 2" xfId="18310"/>
    <cellStyle name="Normal 14 4 2 3 3" xfId="17447"/>
    <cellStyle name="Normal 14 4 2 3_FC with allocations" xfId="24337"/>
    <cellStyle name="Normal 14 4 2 4" xfId="16925"/>
    <cellStyle name="Normal 14 4 2_FC with allocations" xfId="24336"/>
    <cellStyle name="Normal 14 4 3" xfId="3954"/>
    <cellStyle name="Normal 14 4 3 2" xfId="5943"/>
    <cellStyle name="Normal 14 4 3_FC with allocations" xfId="24338"/>
    <cellStyle name="Normal 14 4 4" xfId="5941"/>
    <cellStyle name="Normal 14 4 4 2" xfId="18309"/>
    <cellStyle name="Normal 14 4 4 3" xfId="17446"/>
    <cellStyle name="Normal 14 4 4_FC with allocations" xfId="24339"/>
    <cellStyle name="Normal 14 4 5" xfId="16924"/>
    <cellStyle name="Normal 14 4_FC with allocations" xfId="24335"/>
    <cellStyle name="Normal 14 5" xfId="1654"/>
    <cellStyle name="Normal 14 5 2" xfId="3956"/>
    <cellStyle name="Normal 14 5 2 2" xfId="5945"/>
    <cellStyle name="Normal 14 5 2_FC with allocations" xfId="24341"/>
    <cellStyle name="Normal 14 5 3" xfId="5946"/>
    <cellStyle name="Normal 14 5 3 2" xfId="18311"/>
    <cellStyle name="Normal 14 5 3 3" xfId="17448"/>
    <cellStyle name="Normal 14 5 3_FC with allocations" xfId="24342"/>
    <cellStyle name="Normal 14 5 4" xfId="5944"/>
    <cellStyle name="Normal 14 5 5" xfId="16926"/>
    <cellStyle name="Normal 14 5_FC with allocations" xfId="24340"/>
    <cellStyle name="Normal 14 6" xfId="1655"/>
    <cellStyle name="Normal 14 6 2" xfId="3957"/>
    <cellStyle name="Normal 14 6 2 2" xfId="5948"/>
    <cellStyle name="Normal 14 6 2_FC with allocations" xfId="24344"/>
    <cellStyle name="Normal 14 6 3" xfId="5949"/>
    <cellStyle name="Normal 14 6 3 2" xfId="18312"/>
    <cellStyle name="Normal 14 6 3 3" xfId="17449"/>
    <cellStyle name="Normal 14 6 3_FC with allocations" xfId="24345"/>
    <cellStyle name="Normal 14 6 4" xfId="5947"/>
    <cellStyle name="Normal 14 6 5" xfId="16927"/>
    <cellStyle name="Normal 14 6_FC with allocations" xfId="24343"/>
    <cellStyle name="Normal 14 7" xfId="5950"/>
    <cellStyle name="Normal 14 7 2" xfId="5951"/>
    <cellStyle name="Normal 14 7 3" xfId="5952"/>
    <cellStyle name="Normal 14 7_FC with allocations" xfId="24346"/>
    <cellStyle name="Normal 14 8" xfId="5953"/>
    <cellStyle name="Normal 14 8 2" xfId="5954"/>
    <cellStyle name="Normal 14 8 3" xfId="5955"/>
    <cellStyle name="Normal 14 8_FC with allocations" xfId="24347"/>
    <cellStyle name="Normal 14 9" xfId="5956"/>
    <cellStyle name="Normal 14 9 2" xfId="5957"/>
    <cellStyle name="Normal 14 9 3" xfId="5958"/>
    <cellStyle name="Normal 14 9_FC with allocations" xfId="24348"/>
    <cellStyle name="Normal 14_FC with allocations" xfId="24316"/>
    <cellStyle name="Normal 140" xfId="1656"/>
    <cellStyle name="Normal 140 2" xfId="1657"/>
    <cellStyle name="Normal 140_FC with allocations" xfId="24349"/>
    <cellStyle name="Normal 141" xfId="1658"/>
    <cellStyle name="Normal 141 2" xfId="1659"/>
    <cellStyle name="Normal 141_FC with allocations" xfId="24350"/>
    <cellStyle name="Normal 142" xfId="1660"/>
    <cellStyle name="Normal 142 2" xfId="1661"/>
    <cellStyle name="Normal 142_FC with allocations" xfId="24351"/>
    <cellStyle name="Normal 143" xfId="1662"/>
    <cellStyle name="Normal 143 2" xfId="1663"/>
    <cellStyle name="Normal 143_FC with allocations" xfId="24352"/>
    <cellStyle name="Normal 144" xfId="1664"/>
    <cellStyle name="Normal 144 2" xfId="1665"/>
    <cellStyle name="Normal 144_FC with allocations" xfId="24353"/>
    <cellStyle name="Normal 145" xfId="1666"/>
    <cellStyle name="Normal 145 2" xfId="1667"/>
    <cellStyle name="Normal 145_FC with allocations" xfId="24354"/>
    <cellStyle name="Normal 146" xfId="1668"/>
    <cellStyle name="Normal 146 2" xfId="1669"/>
    <cellStyle name="Normal 146_FC with allocations" xfId="24355"/>
    <cellStyle name="Normal 147" xfId="1670"/>
    <cellStyle name="Normal 147 2" xfId="1671"/>
    <cellStyle name="Normal 147_FC with allocations" xfId="24356"/>
    <cellStyle name="Normal 148" xfId="1672"/>
    <cellStyle name="Normal 149" xfId="1673"/>
    <cellStyle name="Normal 15" xfId="1674"/>
    <cellStyle name="Normal 15 10" xfId="5959"/>
    <cellStyle name="Normal 15 11" xfId="5960"/>
    <cellStyle name="Normal 15 12" xfId="5961"/>
    <cellStyle name="Normal 15 2" xfId="1675"/>
    <cellStyle name="Normal 15 2 2" xfId="1676"/>
    <cellStyle name="Normal 15 2 3" xfId="1677"/>
    <cellStyle name="Normal 15 2 3 2" xfId="5962"/>
    <cellStyle name="Normal 15 2 3_FC with allocations" xfId="24359"/>
    <cellStyle name="Normal 15 2_FC with allocations" xfId="24358"/>
    <cellStyle name="Normal 15 3" xfId="1678"/>
    <cellStyle name="Normal 15 3 2" xfId="1679"/>
    <cellStyle name="Normal 15 3 2 2" xfId="1680"/>
    <cellStyle name="Normal 15 3 2 3" xfId="1681"/>
    <cellStyle name="Normal 15 3 2_FC with allocations" xfId="24361"/>
    <cellStyle name="Normal 15 3 3" xfId="1682"/>
    <cellStyle name="Normal 15 3 4" xfId="1683"/>
    <cellStyle name="Normal 15 3_FC with allocations" xfId="24360"/>
    <cellStyle name="Normal 15 4" xfId="1684"/>
    <cellStyle name="Normal 15 4 2" xfId="1685"/>
    <cellStyle name="Normal 15 4 2 2" xfId="5964"/>
    <cellStyle name="Normal 15 4 2_FC with allocations" xfId="24363"/>
    <cellStyle name="Normal 15 4 3" xfId="5965"/>
    <cellStyle name="Normal 15 4 4" xfId="5963"/>
    <cellStyle name="Normal 15 4_FC with allocations" xfId="24362"/>
    <cellStyle name="Normal 15 5" xfId="1686"/>
    <cellStyle name="Normal 15 5 2" xfId="5966"/>
    <cellStyle name="Normal 15 5 3" xfId="5967"/>
    <cellStyle name="Normal 15 5_FC with allocations" xfId="24364"/>
    <cellStyle name="Normal 15 6" xfId="1687"/>
    <cellStyle name="Normal 15 6 2" xfId="5969"/>
    <cellStyle name="Normal 15 6 3" xfId="5970"/>
    <cellStyle name="Normal 15 6 4" xfId="5968"/>
    <cellStyle name="Normal 15 6_FC with allocations" xfId="24365"/>
    <cellStyle name="Normal 15 7" xfId="5971"/>
    <cellStyle name="Normal 15 7 2" xfId="5972"/>
    <cellStyle name="Normal 15 7 3" xfId="5973"/>
    <cellStyle name="Normal 15 7_FC with allocations" xfId="24366"/>
    <cellStyle name="Normal 15 8" xfId="5974"/>
    <cellStyle name="Normal 15 8 2" xfId="5975"/>
    <cellStyle name="Normal 15 8 3" xfId="5976"/>
    <cellStyle name="Normal 15 8_FC with allocations" xfId="24367"/>
    <cellStyle name="Normal 15 9" xfId="5977"/>
    <cellStyle name="Normal 15 9 2" xfId="5978"/>
    <cellStyle name="Normal 15 9 3" xfId="5979"/>
    <cellStyle name="Normal 15 9_FC with allocations" xfId="24368"/>
    <cellStyle name="Normal 15_FC with allocations" xfId="24357"/>
    <cellStyle name="Normal 150" xfId="1688"/>
    <cellStyle name="Normal 151" xfId="1689"/>
    <cellStyle name="Normal 152" xfId="1690"/>
    <cellStyle name="Normal 153" xfId="1691"/>
    <cellStyle name="Normal 154" xfId="1692"/>
    <cellStyle name="Normal 155" xfId="1693"/>
    <cellStyle name="Normal 156" xfId="1694"/>
    <cellStyle name="Normal 157" xfId="1695"/>
    <cellStyle name="Normal 158" xfId="1696"/>
    <cellStyle name="Normal 159" xfId="1697"/>
    <cellStyle name="Normal 16" xfId="1698"/>
    <cellStyle name="Normal 16 10" xfId="5980"/>
    <cellStyle name="Normal 16 10 2" xfId="5981"/>
    <cellStyle name="Normal 16 10_FC with allocations" xfId="24370"/>
    <cellStyle name="Normal 16 11" xfId="5982"/>
    <cellStyle name="Normal 16 12" xfId="5983"/>
    <cellStyle name="Normal 16 2" xfId="1699"/>
    <cellStyle name="Normal 16 2 2" xfId="1700"/>
    <cellStyle name="Normal 16 2 2 2" xfId="5984"/>
    <cellStyle name="Normal 16 2 2_FC with allocations" xfId="24372"/>
    <cellStyle name="Normal 16 2 3" xfId="5985"/>
    <cellStyle name="Normal 16 2_FC with allocations" xfId="24371"/>
    <cellStyle name="Normal 16 3" xfId="1701"/>
    <cellStyle name="Normal 16 3 2" xfId="5986"/>
    <cellStyle name="Normal 16 3 3" xfId="5987"/>
    <cellStyle name="Normal 16 3_FC with allocations" xfId="24373"/>
    <cellStyle name="Normal 16 4" xfId="1702"/>
    <cellStyle name="Normal 16 4 2" xfId="5989"/>
    <cellStyle name="Normal 16 4 3" xfId="5990"/>
    <cellStyle name="Normal 16 4 4" xfId="5988"/>
    <cellStyle name="Normal 16 4_FC with allocations" xfId="24374"/>
    <cellStyle name="Normal 16 5" xfId="1703"/>
    <cellStyle name="Normal 16 5 2" xfId="5991"/>
    <cellStyle name="Normal 16 5 3" xfId="5992"/>
    <cellStyle name="Normal 16 5_FC with allocations" xfId="24375"/>
    <cellStyle name="Normal 16 6" xfId="5993"/>
    <cellStyle name="Normal 16 6 2" xfId="5994"/>
    <cellStyle name="Normal 16 6 3" xfId="5995"/>
    <cellStyle name="Normal 16 6_FC with allocations" xfId="24376"/>
    <cellStyle name="Normal 16 7" xfId="5996"/>
    <cellStyle name="Normal 16 7 2" xfId="5997"/>
    <cellStyle name="Normal 16 7 3" xfId="5998"/>
    <cellStyle name="Normal 16 7_FC with allocations" xfId="24377"/>
    <cellStyle name="Normal 16 8" xfId="5999"/>
    <cellStyle name="Normal 16 8 2" xfId="6000"/>
    <cellStyle name="Normal 16 8 3" xfId="6001"/>
    <cellStyle name="Normal 16 8_FC with allocations" xfId="24378"/>
    <cellStyle name="Normal 16 9" xfId="6002"/>
    <cellStyle name="Normal 16 9 2" xfId="6003"/>
    <cellStyle name="Normal 16 9 3" xfId="6004"/>
    <cellStyle name="Normal 16 9_FC with allocations" xfId="24379"/>
    <cellStyle name="Normal 16_FC with allocations" xfId="24369"/>
    <cellStyle name="Normal 160" xfId="1704"/>
    <cellStyle name="Normal 161" xfId="1705"/>
    <cellStyle name="Normal 162" xfId="1706"/>
    <cellStyle name="Normal 163" xfId="1707"/>
    <cellStyle name="Normal 164" xfId="1708"/>
    <cellStyle name="Normal 165" xfId="1709"/>
    <cellStyle name="Normal 166" xfId="1710"/>
    <cellStyle name="Normal 167" xfId="1711"/>
    <cellStyle name="Normal 168" xfId="1712"/>
    <cellStyle name="Normal 169" xfId="1713"/>
    <cellStyle name="Normal 17" xfId="1714"/>
    <cellStyle name="Normal 17 10" xfId="6005"/>
    <cellStyle name="Normal 17 10 2" xfId="6006"/>
    <cellStyle name="Normal 17 10 3" xfId="6007"/>
    <cellStyle name="Normal 17 10 3 2" xfId="6008"/>
    <cellStyle name="Normal 17 10 3_FC with allocations" xfId="24382"/>
    <cellStyle name="Normal 17 10 4" xfId="6009"/>
    <cellStyle name="Normal 17 10_FC with allocations" xfId="24381"/>
    <cellStyle name="Normal 17 11" xfId="6010"/>
    <cellStyle name="Normal 17 12" xfId="6011"/>
    <cellStyle name="Normal 17 2" xfId="1715"/>
    <cellStyle name="Normal 17 2 2" xfId="1716"/>
    <cellStyle name="Normal 17 2 2 2" xfId="6013"/>
    <cellStyle name="Normal 17 2 2 2 2" xfId="6014"/>
    <cellStyle name="Normal 17 2 2 2 2 2" xfId="6015"/>
    <cellStyle name="Normal 17 2 2 2 2 2 2" xfId="6016"/>
    <cellStyle name="Normal 17 2 2 2 2 2_FC with allocations" xfId="24387"/>
    <cellStyle name="Normal 17 2 2 2 2 3" xfId="6017"/>
    <cellStyle name="Normal 17 2 2 2 2_FC with allocations" xfId="24386"/>
    <cellStyle name="Normal 17 2 2 2 3" xfId="6018"/>
    <cellStyle name="Normal 17 2 2 2 3 2" xfId="6019"/>
    <cellStyle name="Normal 17 2 2 2 3_FC with allocations" xfId="24388"/>
    <cellStyle name="Normal 17 2 2 2 4" xfId="6020"/>
    <cellStyle name="Normal 17 2 2 2_FC with allocations" xfId="24385"/>
    <cellStyle name="Normal 17 2 2 3" xfId="6021"/>
    <cellStyle name="Normal 17 2 2 3 2" xfId="6022"/>
    <cellStyle name="Normal 17 2 2 3 2 2" xfId="6023"/>
    <cellStyle name="Normal 17 2 2 3 2_FC with allocations" xfId="24390"/>
    <cellStyle name="Normal 17 2 2 3 3" xfId="6024"/>
    <cellStyle name="Normal 17 2 2 3_FC with allocations" xfId="24389"/>
    <cellStyle name="Normal 17 2 2 4" xfId="6025"/>
    <cellStyle name="Normal 17 2 2 5" xfId="6026"/>
    <cellStyle name="Normal 17 2 2 5 2" xfId="6027"/>
    <cellStyle name="Normal 17 2 2 5_FC with allocations" xfId="24391"/>
    <cellStyle name="Normal 17 2 2 6" xfId="6028"/>
    <cellStyle name="Normal 17 2 2 7" xfId="6012"/>
    <cellStyle name="Normal 17 2 2_FC with allocations" xfId="24384"/>
    <cellStyle name="Normal 17 2 3" xfId="6029"/>
    <cellStyle name="Normal 17 2 3 2" xfId="6030"/>
    <cellStyle name="Normal 17 2 3 2 2" xfId="6031"/>
    <cellStyle name="Normal 17 2 3 2 2 2" xfId="6032"/>
    <cellStyle name="Normal 17 2 3 2 2_FC with allocations" xfId="24394"/>
    <cellStyle name="Normal 17 2 3 2 3" xfId="6033"/>
    <cellStyle name="Normal 17 2 3 2_FC with allocations" xfId="24393"/>
    <cellStyle name="Normal 17 2 3 3" xfId="6034"/>
    <cellStyle name="Normal 17 2 3 4" xfId="6035"/>
    <cellStyle name="Normal 17 2 3 4 2" xfId="6036"/>
    <cellStyle name="Normal 17 2 3 4_FC with allocations" xfId="24395"/>
    <cellStyle name="Normal 17 2 3 5" xfId="6037"/>
    <cellStyle name="Normal 17 2 3_FC with allocations" xfId="24392"/>
    <cellStyle name="Normal 17 2 4" xfId="6038"/>
    <cellStyle name="Normal 17 2 4 2" xfId="6039"/>
    <cellStyle name="Normal 17 2 4 2 2" xfId="6040"/>
    <cellStyle name="Normal 17 2 4 2_FC with allocations" xfId="24397"/>
    <cellStyle name="Normal 17 2 4 3" xfId="6041"/>
    <cellStyle name="Normal 17 2 4_FC with allocations" xfId="24396"/>
    <cellStyle name="Normal 17 2 5" xfId="6042"/>
    <cellStyle name="Normal 17 2 5 2" xfId="6043"/>
    <cellStyle name="Normal 17 2 5 2 2" xfId="6044"/>
    <cellStyle name="Normal 17 2 5 2_FC with allocations" xfId="24399"/>
    <cellStyle name="Normal 17 2 5 3" xfId="6045"/>
    <cellStyle name="Normal 17 2 5_FC with allocations" xfId="24398"/>
    <cellStyle name="Normal 17 2_FC with allocations" xfId="24383"/>
    <cellStyle name="Normal 17 3" xfId="1717"/>
    <cellStyle name="Normal 17 3 2" xfId="6046"/>
    <cellStyle name="Normal 17 3 2 2" xfId="6047"/>
    <cellStyle name="Normal 17 3 2 2 2" xfId="6048"/>
    <cellStyle name="Normal 17 3 2 2 2 2" xfId="6049"/>
    <cellStyle name="Normal 17 3 2 2 2_FC with allocations" xfId="24403"/>
    <cellStyle name="Normal 17 3 2 2 3" xfId="6050"/>
    <cellStyle name="Normal 17 3 2 2_FC with allocations" xfId="24402"/>
    <cellStyle name="Normal 17 3 2 3" xfId="6051"/>
    <cellStyle name="Normal 17 3 2 4" xfId="6052"/>
    <cellStyle name="Normal 17 3 2 4 2" xfId="6053"/>
    <cellStyle name="Normal 17 3 2 4_FC with allocations" xfId="24404"/>
    <cellStyle name="Normal 17 3 2 5" xfId="6054"/>
    <cellStyle name="Normal 17 3 2_FC with allocations" xfId="24401"/>
    <cellStyle name="Normal 17 3 3" xfId="6055"/>
    <cellStyle name="Normal 17 3 3 2" xfId="6056"/>
    <cellStyle name="Normal 17 3 3 3" xfId="6057"/>
    <cellStyle name="Normal 17 3 3 3 2" xfId="6058"/>
    <cellStyle name="Normal 17 3 3 3_FC with allocations" xfId="24406"/>
    <cellStyle name="Normal 17 3 3 4" xfId="6059"/>
    <cellStyle name="Normal 17 3 3_FC with allocations" xfId="24405"/>
    <cellStyle name="Normal 17 3 4" xfId="6060"/>
    <cellStyle name="Normal 17 3 4 2" xfId="6061"/>
    <cellStyle name="Normal 17 3 4 2 2" xfId="6062"/>
    <cellStyle name="Normal 17 3 4 2_FC with allocations" xfId="24408"/>
    <cellStyle name="Normal 17 3 4 3" xfId="6063"/>
    <cellStyle name="Normal 17 3 4_FC with allocations" xfId="24407"/>
    <cellStyle name="Normal 17 3_FC with allocations" xfId="24400"/>
    <cellStyle name="Normal 17 4" xfId="1718"/>
    <cellStyle name="Normal 17 4 2" xfId="6065"/>
    <cellStyle name="Normal 17 4 2 2" xfId="6066"/>
    <cellStyle name="Normal 17 4 2 3" xfId="6067"/>
    <cellStyle name="Normal 17 4 2 3 2" xfId="6068"/>
    <cellStyle name="Normal 17 4 2 3_FC with allocations" xfId="24411"/>
    <cellStyle name="Normal 17 4 2 4" xfId="6069"/>
    <cellStyle name="Normal 17 4 2_FC with allocations" xfId="24410"/>
    <cellStyle name="Normal 17 4 3" xfId="6070"/>
    <cellStyle name="Normal 17 4 3 2" xfId="6071"/>
    <cellStyle name="Normal 17 4 3 3" xfId="6072"/>
    <cellStyle name="Normal 17 4 3 3 2" xfId="6073"/>
    <cellStyle name="Normal 17 4 3 3_FC with allocations" xfId="24413"/>
    <cellStyle name="Normal 17 4 3 4" xfId="6074"/>
    <cellStyle name="Normal 17 4 3_FC with allocations" xfId="24412"/>
    <cellStyle name="Normal 17 4 4" xfId="6064"/>
    <cellStyle name="Normal 17 4_FC with allocations" xfId="24409"/>
    <cellStyle name="Normal 17 5" xfId="1719"/>
    <cellStyle name="Normal 17 5 2" xfId="6075"/>
    <cellStyle name="Normal 17 5 2 2" xfId="6076"/>
    <cellStyle name="Normal 17 5 2 3" xfId="6077"/>
    <cellStyle name="Normal 17 5 2 3 2" xfId="6078"/>
    <cellStyle name="Normal 17 5 2 3_FC with allocations" xfId="24416"/>
    <cellStyle name="Normal 17 5 2 4" xfId="6079"/>
    <cellStyle name="Normal 17 5 2_FC with allocations" xfId="24415"/>
    <cellStyle name="Normal 17 5 3" xfId="6080"/>
    <cellStyle name="Normal 17 5_FC with allocations" xfId="24414"/>
    <cellStyle name="Normal 17 6" xfId="6081"/>
    <cellStyle name="Normal 17 6 2" xfId="6082"/>
    <cellStyle name="Normal 17 6 3" xfId="6083"/>
    <cellStyle name="Normal 17 6_FC with allocations" xfId="24417"/>
    <cellStyle name="Normal 17 7" xfId="6084"/>
    <cellStyle name="Normal 17 7 2" xfId="6085"/>
    <cellStyle name="Normal 17 7 3" xfId="6086"/>
    <cellStyle name="Normal 17 7_FC with allocations" xfId="24418"/>
    <cellStyle name="Normal 17 8" xfId="6087"/>
    <cellStyle name="Normal 17 8 2" xfId="6088"/>
    <cellStyle name="Normal 17 8 3" xfId="6089"/>
    <cellStyle name="Normal 17 8_FC with allocations" xfId="24419"/>
    <cellStyle name="Normal 17 9" xfId="6090"/>
    <cellStyle name="Normal 17 9 2" xfId="6091"/>
    <cellStyle name="Normal 17 9 3" xfId="6092"/>
    <cellStyle name="Normal 17 9_FC with allocations" xfId="24420"/>
    <cellStyle name="Normal 17_FC with allocations" xfId="24380"/>
    <cellStyle name="Normal 170" xfId="1720"/>
    <cellStyle name="Normal 170 2" xfId="1721"/>
    <cellStyle name="Normal 170_FC with allocations" xfId="24421"/>
    <cellStyle name="Normal 171" xfId="1722"/>
    <cellStyle name="Normal 171 2" xfId="1723"/>
    <cellStyle name="Normal 171_FC with allocations" xfId="24422"/>
    <cellStyle name="Normal 172" xfId="1724"/>
    <cellStyle name="Normal 172 2" xfId="1725"/>
    <cellStyle name="Normal 172_FC with allocations" xfId="24423"/>
    <cellStyle name="Normal 173" xfId="1726"/>
    <cellStyle name="Normal 173 2" xfId="1727"/>
    <cellStyle name="Normal 173_FC with allocations" xfId="24424"/>
    <cellStyle name="Normal 174" xfId="1728"/>
    <cellStyle name="Normal 175" xfId="1729"/>
    <cellStyle name="Normal 176" xfId="1730"/>
    <cellStyle name="Normal 177" xfId="1731"/>
    <cellStyle name="Normal 178" xfId="1732"/>
    <cellStyle name="Normal 179" xfId="1733"/>
    <cellStyle name="Normal 18" xfId="1734"/>
    <cellStyle name="Normal 18 10" xfId="6094"/>
    <cellStyle name="Normal 18 10 2" xfId="6095"/>
    <cellStyle name="Normal 18 10 3" xfId="6096"/>
    <cellStyle name="Normal 18 10 3 2" xfId="6097"/>
    <cellStyle name="Normal 18 10 3_FC with allocations" xfId="24427"/>
    <cellStyle name="Normal 18 10 4" xfId="6098"/>
    <cellStyle name="Normal 18 10_FC with allocations" xfId="24426"/>
    <cellStyle name="Normal 18 11" xfId="6099"/>
    <cellStyle name="Normal 18 12" xfId="6100"/>
    <cellStyle name="Normal 18 13" xfId="6093"/>
    <cellStyle name="Normal 18 2" xfId="1735"/>
    <cellStyle name="Normal 18 2 2" xfId="6102"/>
    <cellStyle name="Normal 18 2 2 2" xfId="6103"/>
    <cellStyle name="Normal 18 2 2 2 2" xfId="6104"/>
    <cellStyle name="Normal 18 2 2 2 2 2" xfId="6105"/>
    <cellStyle name="Normal 18 2 2 2 2_FC with allocations" xfId="24431"/>
    <cellStyle name="Normal 18 2 2 2 3" xfId="6106"/>
    <cellStyle name="Normal 18 2 2 2_FC with allocations" xfId="24430"/>
    <cellStyle name="Normal 18 2 2 3" xfId="6107"/>
    <cellStyle name="Normal 18 2 2 4" xfId="6108"/>
    <cellStyle name="Normal 18 2 2 4 2" xfId="6109"/>
    <cellStyle name="Normal 18 2 2 4_FC with allocations" xfId="24432"/>
    <cellStyle name="Normal 18 2 2 5" xfId="6110"/>
    <cellStyle name="Normal 18 2 2_FC with allocations" xfId="24429"/>
    <cellStyle name="Normal 18 2 3" xfId="6111"/>
    <cellStyle name="Normal 18 2 3 2" xfId="6112"/>
    <cellStyle name="Normal 18 2 3 3" xfId="6113"/>
    <cellStyle name="Normal 18 2 3 3 2" xfId="6114"/>
    <cellStyle name="Normal 18 2 3 3_FC with allocations" xfId="24434"/>
    <cellStyle name="Normal 18 2 3 4" xfId="6115"/>
    <cellStyle name="Normal 18 2 3_FC with allocations" xfId="24433"/>
    <cellStyle name="Normal 18 2 4" xfId="6116"/>
    <cellStyle name="Normal 18 2 4 2" xfId="6117"/>
    <cellStyle name="Normal 18 2 4 2 2" xfId="6118"/>
    <cellStyle name="Normal 18 2 4 2_FC with allocations" xfId="24436"/>
    <cellStyle name="Normal 18 2 4 3" xfId="6119"/>
    <cellStyle name="Normal 18 2 4_FC with allocations" xfId="24435"/>
    <cellStyle name="Normal 18 2 5" xfId="6101"/>
    <cellStyle name="Normal 18 2_FC with allocations" xfId="24428"/>
    <cellStyle name="Normal 18 3" xfId="6120"/>
    <cellStyle name="Normal 18 3 2" xfId="6121"/>
    <cellStyle name="Normal 18 3 2 2" xfId="6122"/>
    <cellStyle name="Normal 18 3 2 3" xfId="6123"/>
    <cellStyle name="Normal 18 3 2 3 2" xfId="6124"/>
    <cellStyle name="Normal 18 3 2 3_FC with allocations" xfId="24439"/>
    <cellStyle name="Normal 18 3 2 4" xfId="6125"/>
    <cellStyle name="Normal 18 3 2_FC with allocations" xfId="24438"/>
    <cellStyle name="Normal 18 3 3" xfId="6126"/>
    <cellStyle name="Normal 18 3 3 2" xfId="6127"/>
    <cellStyle name="Normal 18 3 3 3" xfId="6128"/>
    <cellStyle name="Normal 18 3 3 3 2" xfId="6129"/>
    <cellStyle name="Normal 18 3 3 3_FC with allocations" xfId="24441"/>
    <cellStyle name="Normal 18 3 3 4" xfId="6130"/>
    <cellStyle name="Normal 18 3 3_FC with allocations" xfId="24440"/>
    <cellStyle name="Normal 18 3_FC with allocations" xfId="24437"/>
    <cellStyle name="Normal 18 4" xfId="6131"/>
    <cellStyle name="Normal 18 4 2" xfId="6132"/>
    <cellStyle name="Normal 18 4 2 2" xfId="6133"/>
    <cellStyle name="Normal 18 4 2 3" xfId="6134"/>
    <cellStyle name="Normal 18 4 2 3 2" xfId="6135"/>
    <cellStyle name="Normal 18 4 2 3_FC with allocations" xfId="24444"/>
    <cellStyle name="Normal 18 4 2 4" xfId="6136"/>
    <cellStyle name="Normal 18 4 2_FC with allocations" xfId="24443"/>
    <cellStyle name="Normal 18 4 3" xfId="6137"/>
    <cellStyle name="Normal 18 4_FC with allocations" xfId="24442"/>
    <cellStyle name="Normal 18 5" xfId="6138"/>
    <cellStyle name="Normal 18 5 2" xfId="6139"/>
    <cellStyle name="Normal 18 5 3" xfId="6140"/>
    <cellStyle name="Normal 18 5_FC with allocations" xfId="24445"/>
    <cellStyle name="Normal 18 6" xfId="6141"/>
    <cellStyle name="Normal 18 6 2" xfId="6142"/>
    <cellStyle name="Normal 18 6 3" xfId="6143"/>
    <cellStyle name="Normal 18 6_FC with allocations" xfId="24446"/>
    <cellStyle name="Normal 18 7" xfId="6144"/>
    <cellStyle name="Normal 18 7 2" xfId="6145"/>
    <cellStyle name="Normal 18 7 3" xfId="6146"/>
    <cellStyle name="Normal 18 7_FC with allocations" xfId="24447"/>
    <cellStyle name="Normal 18 8" xfId="6147"/>
    <cellStyle name="Normal 18 8 2" xfId="6148"/>
    <cellStyle name="Normal 18 8 3" xfId="6149"/>
    <cellStyle name="Normal 18 8_FC with allocations" xfId="24448"/>
    <cellStyle name="Normal 18 9" xfId="6150"/>
    <cellStyle name="Normal 18 9 2" xfId="6151"/>
    <cellStyle name="Normal 18 9 3" xfId="6152"/>
    <cellStyle name="Normal 18 9_FC with allocations" xfId="24449"/>
    <cellStyle name="Normal 18_FC with allocations" xfId="24425"/>
    <cellStyle name="Normal 180" xfId="1736"/>
    <cellStyle name="Normal 181" xfId="1737"/>
    <cellStyle name="Normal 182" xfId="1738"/>
    <cellStyle name="Normal 183" xfId="1739"/>
    <cellStyle name="Normal 184" xfId="1740"/>
    <cellStyle name="Normal 185" xfId="1741"/>
    <cellStyle name="Normal 186" xfId="1742"/>
    <cellStyle name="Normal 187" xfId="1743"/>
    <cellStyle name="Normal 188" xfId="1744"/>
    <cellStyle name="Normal 189" xfId="1745"/>
    <cellStyle name="Normal 189 2" xfId="1746"/>
    <cellStyle name="Normal 189_FC with allocations" xfId="24450"/>
    <cellStyle name="Normal 19" xfId="1747"/>
    <cellStyle name="Normal 19 10" xfId="6154"/>
    <cellStyle name="Normal 19 11" xfId="6155"/>
    <cellStyle name="Normal 19 12" xfId="6156"/>
    <cellStyle name="Normal 19 13" xfId="6157"/>
    <cellStyle name="Normal 19 13 2" xfId="6158"/>
    <cellStyle name="Normal 19 13_FC with allocations" xfId="24452"/>
    <cellStyle name="Normal 19 14" xfId="6159"/>
    <cellStyle name="Normal 19 15" xfId="6153"/>
    <cellStyle name="Normal 19 2" xfId="1748"/>
    <cellStyle name="Normal 19 2 2" xfId="6161"/>
    <cellStyle name="Normal 19 2 2 2" xfId="6162"/>
    <cellStyle name="Normal 19 2 2 2 2" xfId="6163"/>
    <cellStyle name="Normal 19 2 2 2 2 2" xfId="6164"/>
    <cellStyle name="Normal 19 2 2 2 2_FC with allocations" xfId="24456"/>
    <cellStyle name="Normal 19 2 2 2 3" xfId="6165"/>
    <cellStyle name="Normal 19 2 2 2_FC with allocations" xfId="24455"/>
    <cellStyle name="Normal 19 2 2 3" xfId="6166"/>
    <cellStyle name="Normal 19 2 2 4" xfId="6167"/>
    <cellStyle name="Normal 19 2 2 4 2" xfId="6168"/>
    <cellStyle name="Normal 19 2 2 4_FC with allocations" xfId="24457"/>
    <cellStyle name="Normal 19 2 2 5" xfId="6169"/>
    <cellStyle name="Normal 19 2 2_FC with allocations" xfId="24454"/>
    <cellStyle name="Normal 19 2 3" xfId="6170"/>
    <cellStyle name="Normal 19 2 3 2" xfId="6171"/>
    <cellStyle name="Normal 19 2 3 3" xfId="6172"/>
    <cellStyle name="Normal 19 2 3 3 2" xfId="6173"/>
    <cellStyle name="Normal 19 2 3 3_FC with allocations" xfId="24459"/>
    <cellStyle name="Normal 19 2 3 4" xfId="6174"/>
    <cellStyle name="Normal 19 2 3_FC with allocations" xfId="24458"/>
    <cellStyle name="Normal 19 2 4" xfId="6175"/>
    <cellStyle name="Normal 19 2 4 2" xfId="6176"/>
    <cellStyle name="Normal 19 2 4 2 2" xfId="6177"/>
    <cellStyle name="Normal 19 2 4 2_FC with allocations" xfId="24461"/>
    <cellStyle name="Normal 19 2 4 3" xfId="6178"/>
    <cellStyle name="Normal 19 2 4_FC with allocations" xfId="24460"/>
    <cellStyle name="Normal 19 2 5" xfId="6160"/>
    <cellStyle name="Normal 19 2_FC with allocations" xfId="24453"/>
    <cellStyle name="Normal 19 3" xfId="6179"/>
    <cellStyle name="Normal 19 3 2" xfId="6180"/>
    <cellStyle name="Normal 19 3 2 2" xfId="6181"/>
    <cellStyle name="Normal 19 3 2 3" xfId="6182"/>
    <cellStyle name="Normal 19 3 2 3 2" xfId="6183"/>
    <cellStyle name="Normal 19 3 2 3_FC with allocations" xfId="24464"/>
    <cellStyle name="Normal 19 3 2 4" xfId="6184"/>
    <cellStyle name="Normal 19 3 2_FC with allocations" xfId="24463"/>
    <cellStyle name="Normal 19 3 3" xfId="6185"/>
    <cellStyle name="Normal 19 3 3 2" xfId="6186"/>
    <cellStyle name="Normal 19 3 3 3" xfId="6187"/>
    <cellStyle name="Normal 19 3 3 3 2" xfId="6188"/>
    <cellStyle name="Normal 19 3 3 3_FC with allocations" xfId="24466"/>
    <cellStyle name="Normal 19 3 3 4" xfId="6189"/>
    <cellStyle name="Normal 19 3 3_FC with allocations" xfId="24465"/>
    <cellStyle name="Normal 19 3_FC with allocations" xfId="24462"/>
    <cellStyle name="Normal 19 4" xfId="6190"/>
    <cellStyle name="Normal 19 4 2" xfId="6191"/>
    <cellStyle name="Normal 19 4 2 2" xfId="6192"/>
    <cellStyle name="Normal 19 4 2 3" xfId="6193"/>
    <cellStyle name="Normal 19 4 2 3 2" xfId="6194"/>
    <cellStyle name="Normal 19 4 2 3_FC with allocations" xfId="24469"/>
    <cellStyle name="Normal 19 4 2 4" xfId="6195"/>
    <cellStyle name="Normal 19 4 2_FC with allocations" xfId="24468"/>
    <cellStyle name="Normal 19 4 3" xfId="6196"/>
    <cellStyle name="Normal 19 4_FC with allocations" xfId="24467"/>
    <cellStyle name="Normal 19 5" xfId="6197"/>
    <cellStyle name="Normal 19 5 2" xfId="6198"/>
    <cellStyle name="Normal 19 5 3" xfId="6199"/>
    <cellStyle name="Normal 19 5_FC with allocations" xfId="24470"/>
    <cellStyle name="Normal 19 6" xfId="6200"/>
    <cellStyle name="Normal 19 6 2" xfId="6201"/>
    <cellStyle name="Normal 19 6 3" xfId="6202"/>
    <cellStyle name="Normal 19 6_FC with allocations" xfId="24471"/>
    <cellStyle name="Normal 19 7" xfId="6203"/>
    <cellStyle name="Normal 19 7 2" xfId="6204"/>
    <cellStyle name="Normal 19 7 3" xfId="6205"/>
    <cellStyle name="Normal 19 7_FC with allocations" xfId="24472"/>
    <cellStyle name="Normal 19 8" xfId="6206"/>
    <cellStyle name="Normal 19 8 2" xfId="6207"/>
    <cellStyle name="Normal 19 8 3" xfId="6208"/>
    <cellStyle name="Normal 19 8_FC with allocations" xfId="24473"/>
    <cellStyle name="Normal 19 9" xfId="6209"/>
    <cellStyle name="Normal 19 9 2" xfId="6210"/>
    <cellStyle name="Normal 19 9 3" xfId="6211"/>
    <cellStyle name="Normal 19 9_FC with allocations" xfId="24474"/>
    <cellStyle name="Normal 19_FC with allocations" xfId="24451"/>
    <cellStyle name="Normal 190" xfId="1749"/>
    <cellStyle name="Normal 191" xfId="1750"/>
    <cellStyle name="Normal 192" xfId="1751"/>
    <cellStyle name="Normal 193" xfId="1752"/>
    <cellStyle name="Normal 194" xfId="1753"/>
    <cellStyle name="Normal 195" xfId="1754"/>
    <cellStyle name="Normal 196" xfId="1755"/>
    <cellStyle name="Normal 197" xfId="1756"/>
    <cellStyle name="Normal 198" xfId="1757"/>
    <cellStyle name="Normal 199" xfId="1758"/>
    <cellStyle name="Normal 2" xfId="1759"/>
    <cellStyle name="Normal 2 10" xfId="1760"/>
    <cellStyle name="Normal 2 10 2" xfId="1761"/>
    <cellStyle name="Normal 2 10 2 2" xfId="3958"/>
    <cellStyle name="Normal 2 10 2_FC with allocations" xfId="24476"/>
    <cellStyle name="Normal 2 10 3" xfId="17450"/>
    <cellStyle name="Normal 2 10 4" xfId="16928"/>
    <cellStyle name="Normal 2 10_FC with allocations" xfId="24475"/>
    <cellStyle name="Normal 2 11" xfId="1762"/>
    <cellStyle name="Normal 2 12" xfId="6212"/>
    <cellStyle name="Normal 2 2" xfId="1763"/>
    <cellStyle name="Normal 2 2 10" xfId="6213"/>
    <cellStyle name="Normal 2 2 2" xfId="1764"/>
    <cellStyle name="Normal 2 2 2 10" xfId="1765"/>
    <cellStyle name="Normal 2 2 2 10 2" xfId="3959"/>
    <cellStyle name="Normal 2 2 2 10_FC with allocations" xfId="24478"/>
    <cellStyle name="Normal 2 2 2 11" xfId="4468"/>
    <cellStyle name="Normal 2 2 2 11 10" xfId="19887"/>
    <cellStyle name="Normal 2 2 2 11 11" xfId="21880"/>
    <cellStyle name="Normal 2 2 2 11 2" xfId="4776"/>
    <cellStyle name="Normal 2 2 2 11 2 2" xfId="16654"/>
    <cellStyle name="Normal 2 2 2 11 2 2 2" xfId="18676"/>
    <cellStyle name="Normal 2 2 2 11 2 2 2 2" xfId="19695"/>
    <cellStyle name="Normal 2 2 2 11 2 2 2 2 2" xfId="21705"/>
    <cellStyle name="Normal 2 2 2 11 2 2 2 2 3" xfId="23863"/>
    <cellStyle name="Normal 2 2 2 11 2 2 2 2_FC with allocations" xfId="24483"/>
    <cellStyle name="Normal 2 2 2 11 2 2 2 3" xfId="20829"/>
    <cellStyle name="Normal 2 2 2 11 2 2 2 4" xfId="22986"/>
    <cellStyle name="Normal 2 2 2 11 2 2 2_FC with allocations" xfId="24482"/>
    <cellStyle name="Normal 2 2 2 11 2 2 3" xfId="19163"/>
    <cellStyle name="Normal 2 2 2 11 2 2 3 2" xfId="21296"/>
    <cellStyle name="Normal 2 2 2 11 2 2 3 3" xfId="23453"/>
    <cellStyle name="Normal 2 2 2 11 2 2 3_FC with allocations" xfId="24484"/>
    <cellStyle name="Normal 2 2 2 11 2 2 4" xfId="20214"/>
    <cellStyle name="Normal 2 2 2 11 2 2 5" xfId="22331"/>
    <cellStyle name="Normal 2 2 2 11 2 2_FC with allocations" xfId="24481"/>
    <cellStyle name="Normal 2 2 2 11 2 3" xfId="18239"/>
    <cellStyle name="Normal 2 2 2 11 2 3 2" xfId="19530"/>
    <cellStyle name="Normal 2 2 2 11 2 3 2 2" xfId="21540"/>
    <cellStyle name="Normal 2 2 2 11 2 3 2 3" xfId="23698"/>
    <cellStyle name="Normal 2 2 2 11 2 3 2_FC with allocations" xfId="24486"/>
    <cellStyle name="Normal 2 2 2 11 2 3 3" xfId="20663"/>
    <cellStyle name="Normal 2 2 2 11 2 3 4" xfId="22805"/>
    <cellStyle name="Normal 2 2 2 11 2 3_FC with allocations" xfId="24485"/>
    <cellStyle name="Normal 2 2 2 11 2 4" xfId="17932"/>
    <cellStyle name="Normal 2 2 2 11 2 4 2" xfId="20391"/>
    <cellStyle name="Normal 2 2 2 11 2 4 3" xfId="22531"/>
    <cellStyle name="Normal 2 2 2 11 2 4_FC with allocations" xfId="24487"/>
    <cellStyle name="Normal 2 2 2 11 2 5" xfId="18895"/>
    <cellStyle name="Normal 2 2 2 11 2 5 2" xfId="21047"/>
    <cellStyle name="Normal 2 2 2 11 2 5 3" xfId="23204"/>
    <cellStyle name="Normal 2 2 2 11 2 5_FC with allocations" xfId="24488"/>
    <cellStyle name="Normal 2 2 2 11 2 6" xfId="20046"/>
    <cellStyle name="Normal 2 2 2 11 2 7" xfId="22041"/>
    <cellStyle name="Normal 2 2 2 11 2_FC with allocations" xfId="24480"/>
    <cellStyle name="Normal 2 2 2 11 3" xfId="16601"/>
    <cellStyle name="Normal 2 2 2 11 3 2" xfId="18623"/>
    <cellStyle name="Normal 2 2 2 11 3 2 2" xfId="19642"/>
    <cellStyle name="Normal 2 2 2 11 3 2 2 2" xfId="21652"/>
    <cellStyle name="Normal 2 2 2 11 3 2 2 3" xfId="23810"/>
    <cellStyle name="Normal 2 2 2 11 3 2 2_FC with allocations" xfId="24491"/>
    <cellStyle name="Normal 2 2 2 11 3 2 3" xfId="20776"/>
    <cellStyle name="Normal 2 2 2 11 3 2 4" xfId="22933"/>
    <cellStyle name="Normal 2 2 2 11 3 2_FC with allocations" xfId="24490"/>
    <cellStyle name="Normal 2 2 2 11 3 3" xfId="17990"/>
    <cellStyle name="Normal 2 2 2 11 3 3 2" xfId="20444"/>
    <cellStyle name="Normal 2 2 2 11 3 3 3" xfId="22584"/>
    <cellStyle name="Normal 2 2 2 11 3 3_FC with allocations" xfId="24492"/>
    <cellStyle name="Normal 2 2 2 11 3 4" xfId="19109"/>
    <cellStyle name="Normal 2 2 2 11 3 4 2" xfId="21242"/>
    <cellStyle name="Normal 2 2 2 11 3 4 3" xfId="23399"/>
    <cellStyle name="Normal 2 2 2 11 3 4_FC with allocations" xfId="24493"/>
    <cellStyle name="Normal 2 2 2 11 3 5" xfId="20161"/>
    <cellStyle name="Normal 2 2 2 11 3 6" xfId="22278"/>
    <cellStyle name="Normal 2 2 2 11 3_FC with allocations" xfId="24489"/>
    <cellStyle name="Normal 2 2 2 11 4" xfId="4676"/>
    <cellStyle name="Normal 2 2 2 11 4 2" xfId="18186"/>
    <cellStyle name="Normal 2 2 2 11 4 2 2" xfId="19477"/>
    <cellStyle name="Normal 2 2 2 11 4 2 2 2" xfId="21487"/>
    <cellStyle name="Normal 2 2 2 11 4 2 2 3" xfId="23645"/>
    <cellStyle name="Normal 2 2 2 11 4 2 2_FC with allocations" xfId="24496"/>
    <cellStyle name="Normal 2 2 2 11 4 2 3" xfId="20610"/>
    <cellStyle name="Normal 2 2 2 11 4 2 4" xfId="22752"/>
    <cellStyle name="Normal 2 2 2 11 4 2_FC with allocations" xfId="24495"/>
    <cellStyle name="Normal 2 2 2 11 4 3" xfId="19053"/>
    <cellStyle name="Normal 2 2 2 11 4 3 2" xfId="21194"/>
    <cellStyle name="Normal 2 2 2 11 4 3 3" xfId="23351"/>
    <cellStyle name="Normal 2 2 2 11 4 3_FC with allocations" xfId="24497"/>
    <cellStyle name="Normal 2 2 2 11 4 4" xfId="19993"/>
    <cellStyle name="Normal 2 2 2 11 4 5" xfId="21988"/>
    <cellStyle name="Normal 2 2 2 11 4_FC with allocations" xfId="24494"/>
    <cellStyle name="Normal 2 2 2 11 5" xfId="16732"/>
    <cellStyle name="Normal 2 2 2 11 5 2" xfId="18736"/>
    <cellStyle name="Normal 2 2 2 11 5 2 2" xfId="20889"/>
    <cellStyle name="Normal 2 2 2 11 5 2 3" xfId="23046"/>
    <cellStyle name="Normal 2 2 2 11 5 2_FC with allocations" xfId="24499"/>
    <cellStyle name="Normal 2 2 2 11 5 3" xfId="19756"/>
    <cellStyle name="Normal 2 2 2 11 5 3 2" xfId="21766"/>
    <cellStyle name="Normal 2 2 2 11 5 3 3" xfId="23924"/>
    <cellStyle name="Normal 2 2 2 11 5 3_FC with allocations" xfId="24500"/>
    <cellStyle name="Normal 2 2 2 11 5 4" xfId="20275"/>
    <cellStyle name="Normal 2 2 2 11 5 5" xfId="22403"/>
    <cellStyle name="Normal 2 2 2 11 5_FC with allocations" xfId="24498"/>
    <cellStyle name="Normal 2 2 2 11 6" xfId="18052"/>
    <cellStyle name="Normal 2 2 2 11 6 2" xfId="19371"/>
    <cellStyle name="Normal 2 2 2 11 6 2 2" xfId="21381"/>
    <cellStyle name="Normal 2 2 2 11 6 2 3" xfId="23539"/>
    <cellStyle name="Normal 2 2 2 11 6 2_FC with allocations" xfId="24502"/>
    <cellStyle name="Normal 2 2 2 11 6 3" xfId="20504"/>
    <cellStyle name="Normal 2 2 2 11 6 4" xfId="22646"/>
    <cellStyle name="Normal 2 2 2 11 6_FC with allocations" xfId="24501"/>
    <cellStyle name="Normal 2 2 2 11 7" xfId="16929"/>
    <cellStyle name="Normal 2 2 2 11 8" xfId="18842"/>
    <cellStyle name="Normal 2 2 2 11 8 2" xfId="20994"/>
    <cellStyle name="Normal 2 2 2 11 8 3" xfId="23151"/>
    <cellStyle name="Normal 2 2 2 11 8_FC with allocations" xfId="24503"/>
    <cellStyle name="Normal 2 2 2 11 9" xfId="19810"/>
    <cellStyle name="Normal 2 2 2 11 9 2" xfId="21819"/>
    <cellStyle name="Normal 2 2 2 11 9 3" xfId="23977"/>
    <cellStyle name="Normal 2 2 2 11 9_FC with allocations" xfId="24504"/>
    <cellStyle name="Normal 2 2 2 11_FC with allocations" xfId="24479"/>
    <cellStyle name="Normal 2 2 2 12" xfId="4582"/>
    <cellStyle name="Normal 2 2 2 13" xfId="6214"/>
    <cellStyle name="Normal 2 2 2 14" xfId="16544"/>
    <cellStyle name="Normal 2 2 2 14 2" xfId="18570"/>
    <cellStyle name="Normal 2 2 2 14 2 2" xfId="19589"/>
    <cellStyle name="Normal 2 2 2 14 2 2 2" xfId="21599"/>
    <cellStyle name="Normal 2 2 2 14 2 2 3" xfId="23757"/>
    <cellStyle name="Normal 2 2 2 14 2 2_FC with allocations" xfId="24507"/>
    <cellStyle name="Normal 2 2 2 14 2 3" xfId="20723"/>
    <cellStyle name="Normal 2 2 2 14 2 4" xfId="22880"/>
    <cellStyle name="Normal 2 2 2 14 2_FC with allocations" xfId="24506"/>
    <cellStyle name="Normal 2 2 2 14 3" xfId="18995"/>
    <cellStyle name="Normal 2 2 2 14 3 2" xfId="21147"/>
    <cellStyle name="Normal 2 2 2 14 3 3" xfId="23304"/>
    <cellStyle name="Normal 2 2 2 14 3_FC with allocations" xfId="24508"/>
    <cellStyle name="Normal 2 2 2 14 4" xfId="20108"/>
    <cellStyle name="Normal 2 2 2 14 5" xfId="22224"/>
    <cellStyle name="Normal 2 2 2 14_FC with allocations" xfId="24505"/>
    <cellStyle name="Normal 2 2 2 15" xfId="4529"/>
    <cellStyle name="Normal 2 2 2 15 2" xfId="18105"/>
    <cellStyle name="Normal 2 2 2 15 2 2" xfId="19424"/>
    <cellStyle name="Normal 2 2 2 15 2 2 2" xfId="21434"/>
    <cellStyle name="Normal 2 2 2 15 2 2 3" xfId="23592"/>
    <cellStyle name="Normal 2 2 2 15 2 2_FC with allocations" xfId="24511"/>
    <cellStyle name="Normal 2 2 2 15 2 3" xfId="20557"/>
    <cellStyle name="Normal 2 2 2 15 2 4" xfId="22699"/>
    <cellStyle name="Normal 2 2 2 15 2_FC with allocations" xfId="24510"/>
    <cellStyle name="Normal 2 2 2 15 3" xfId="18966"/>
    <cellStyle name="Normal 2 2 2 15 3 2" xfId="21118"/>
    <cellStyle name="Normal 2 2 2 15 3 3" xfId="23275"/>
    <cellStyle name="Normal 2 2 2 15 3_FC with allocations" xfId="24512"/>
    <cellStyle name="Normal 2 2 2 15 4" xfId="19940"/>
    <cellStyle name="Normal 2 2 2 15 5" xfId="21935"/>
    <cellStyle name="Normal 2 2 2 15_FC with allocations" xfId="24509"/>
    <cellStyle name="Normal 2 2 2 16" xfId="16824"/>
    <cellStyle name="Normal 2 2 2 16 2" xfId="20327"/>
    <cellStyle name="Normal 2 2 2 16 3" xfId="22467"/>
    <cellStyle name="Normal 2 2 2 16_FC with allocations" xfId="24513"/>
    <cellStyle name="Normal 2 2 2 17" xfId="18788"/>
    <cellStyle name="Normal 2 2 2 17 2" xfId="20941"/>
    <cellStyle name="Normal 2 2 2 17 3" xfId="23098"/>
    <cellStyle name="Normal 2 2 2 17_FC with allocations" xfId="24514"/>
    <cellStyle name="Normal 2 2 2 2" xfId="1766"/>
    <cellStyle name="Normal 2 2 2 2 10" xfId="4583"/>
    <cellStyle name="Normal 2 2 2 2 11" xfId="6215"/>
    <cellStyle name="Normal 2 2 2 2 12" xfId="16545"/>
    <cellStyle name="Normal 2 2 2 2 12 2" xfId="18571"/>
    <cellStyle name="Normal 2 2 2 2 12 2 2" xfId="19590"/>
    <cellStyle name="Normal 2 2 2 2 12 2 2 2" xfId="21600"/>
    <cellStyle name="Normal 2 2 2 2 12 2 2 3" xfId="23758"/>
    <cellStyle name="Normal 2 2 2 2 12 2 2_FC with allocations" xfId="24518"/>
    <cellStyle name="Normal 2 2 2 2 12 2 3" xfId="20724"/>
    <cellStyle name="Normal 2 2 2 2 12 2 4" xfId="22881"/>
    <cellStyle name="Normal 2 2 2 2 12 2_FC with allocations" xfId="24517"/>
    <cellStyle name="Normal 2 2 2 2 12 3" xfId="18996"/>
    <cellStyle name="Normal 2 2 2 2 12 3 2" xfId="21148"/>
    <cellStyle name="Normal 2 2 2 2 12 3 3" xfId="23305"/>
    <cellStyle name="Normal 2 2 2 2 12 3_FC with allocations" xfId="24519"/>
    <cellStyle name="Normal 2 2 2 2 12 4" xfId="20109"/>
    <cellStyle name="Normal 2 2 2 2 12 5" xfId="22225"/>
    <cellStyle name="Normal 2 2 2 2 12_FC with allocations" xfId="24516"/>
    <cellStyle name="Normal 2 2 2 2 13" xfId="4530"/>
    <cellStyle name="Normal 2 2 2 2 13 2" xfId="18106"/>
    <cellStyle name="Normal 2 2 2 2 13 2 2" xfId="19425"/>
    <cellStyle name="Normal 2 2 2 2 13 2 2 2" xfId="21435"/>
    <cellStyle name="Normal 2 2 2 2 13 2 2 3" xfId="23593"/>
    <cellStyle name="Normal 2 2 2 2 13 2 2_FC with allocations" xfId="24522"/>
    <cellStyle name="Normal 2 2 2 2 13 2 3" xfId="20558"/>
    <cellStyle name="Normal 2 2 2 2 13 2 4" xfId="22700"/>
    <cellStyle name="Normal 2 2 2 2 13 2_FC with allocations" xfId="24521"/>
    <cellStyle name="Normal 2 2 2 2 13 3" xfId="18967"/>
    <cellStyle name="Normal 2 2 2 2 13 3 2" xfId="21119"/>
    <cellStyle name="Normal 2 2 2 2 13 3 3" xfId="23276"/>
    <cellStyle name="Normal 2 2 2 2 13 3_FC with allocations" xfId="24523"/>
    <cellStyle name="Normal 2 2 2 2 13 4" xfId="19941"/>
    <cellStyle name="Normal 2 2 2 2 13 5" xfId="21936"/>
    <cellStyle name="Normal 2 2 2 2 13_FC with allocations" xfId="24520"/>
    <cellStyle name="Normal 2 2 2 2 14" xfId="16825"/>
    <cellStyle name="Normal 2 2 2 2 14 2" xfId="20328"/>
    <cellStyle name="Normal 2 2 2 2 14 3" xfId="22468"/>
    <cellStyle name="Normal 2 2 2 2 14_FC with allocations" xfId="24524"/>
    <cellStyle name="Normal 2 2 2 2 15" xfId="18789"/>
    <cellStyle name="Normal 2 2 2 2 15 2" xfId="20942"/>
    <cellStyle name="Normal 2 2 2 2 15 3" xfId="23099"/>
    <cellStyle name="Normal 2 2 2 2 15_FC with allocations" xfId="24525"/>
    <cellStyle name="Normal 2 2 2 2 2" xfId="1767"/>
    <cellStyle name="Normal 2 2 2 2 2 10" xfId="16546"/>
    <cellStyle name="Normal 2 2 2 2 2 10 2" xfId="18572"/>
    <cellStyle name="Normal 2 2 2 2 2 10 2 2" xfId="19591"/>
    <cellStyle name="Normal 2 2 2 2 2 10 2 2 2" xfId="21601"/>
    <cellStyle name="Normal 2 2 2 2 2 10 2 2 3" xfId="23759"/>
    <cellStyle name="Normal 2 2 2 2 2 10 2 2_FC with allocations" xfId="24529"/>
    <cellStyle name="Normal 2 2 2 2 2 10 2 3" xfId="20725"/>
    <cellStyle name="Normal 2 2 2 2 2 10 2 4" xfId="22882"/>
    <cellStyle name="Normal 2 2 2 2 2 10 2_FC with allocations" xfId="24528"/>
    <cellStyle name="Normal 2 2 2 2 2 10 3" xfId="18997"/>
    <cellStyle name="Normal 2 2 2 2 2 10 3 2" xfId="21149"/>
    <cellStyle name="Normal 2 2 2 2 2 10 3 3" xfId="23306"/>
    <cellStyle name="Normal 2 2 2 2 2 10 3_FC with allocations" xfId="24530"/>
    <cellStyle name="Normal 2 2 2 2 2 10 4" xfId="20110"/>
    <cellStyle name="Normal 2 2 2 2 2 10 5" xfId="22226"/>
    <cellStyle name="Normal 2 2 2 2 2 10_FC with allocations" xfId="24527"/>
    <cellStyle name="Normal 2 2 2 2 2 11" xfId="4531"/>
    <cellStyle name="Normal 2 2 2 2 2 11 2" xfId="18107"/>
    <cellStyle name="Normal 2 2 2 2 2 11 2 2" xfId="19426"/>
    <cellStyle name="Normal 2 2 2 2 2 11 2 2 2" xfId="21436"/>
    <cellStyle name="Normal 2 2 2 2 2 11 2 2 3" xfId="23594"/>
    <cellStyle name="Normal 2 2 2 2 2 11 2 2_FC with allocations" xfId="24533"/>
    <cellStyle name="Normal 2 2 2 2 2 11 2 3" xfId="20559"/>
    <cellStyle name="Normal 2 2 2 2 2 11 2 4" xfId="22701"/>
    <cellStyle name="Normal 2 2 2 2 2 11 2_FC with allocations" xfId="24532"/>
    <cellStyle name="Normal 2 2 2 2 2 11 3" xfId="19045"/>
    <cellStyle name="Normal 2 2 2 2 2 11 3 2" xfId="21186"/>
    <cellStyle name="Normal 2 2 2 2 2 11 3 3" xfId="23343"/>
    <cellStyle name="Normal 2 2 2 2 2 11 3_FC with allocations" xfId="24534"/>
    <cellStyle name="Normal 2 2 2 2 2 11 4" xfId="19942"/>
    <cellStyle name="Normal 2 2 2 2 2 11 5" xfId="21937"/>
    <cellStyle name="Normal 2 2 2 2 2 11_FC with allocations" xfId="24531"/>
    <cellStyle name="Normal 2 2 2 2 2 12" xfId="16826"/>
    <cellStyle name="Normal 2 2 2 2 2 12 2" xfId="20329"/>
    <cellStyle name="Normal 2 2 2 2 2 12 3" xfId="22469"/>
    <cellStyle name="Normal 2 2 2 2 2 12_FC with allocations" xfId="24535"/>
    <cellStyle name="Normal 2 2 2 2 2 13" xfId="18790"/>
    <cellStyle name="Normal 2 2 2 2 2 13 2" xfId="20943"/>
    <cellStyle name="Normal 2 2 2 2 2 13 3" xfId="23100"/>
    <cellStyle name="Normal 2 2 2 2 2 13_FC with allocations" xfId="24536"/>
    <cellStyle name="Normal 2 2 2 2 2 2" xfId="1768"/>
    <cellStyle name="Normal 2 2 2 2 2 2 2" xfId="1769"/>
    <cellStyle name="Normal 2 2 2 2 2 2 2 2" xfId="1770"/>
    <cellStyle name="Normal 2 2 2 2 2 2 2 2 2" xfId="1771"/>
    <cellStyle name="Normal 2 2 2 2 2 2 2 2 2 2" xfId="3963"/>
    <cellStyle name="Normal 2 2 2 2 2 2 2 2 2 3" xfId="17454"/>
    <cellStyle name="Normal 2 2 2 2 2 2 2 2 2 4" xfId="16935"/>
    <cellStyle name="Normal 2 2 2 2 2 2 2 2 2_FC with allocations" xfId="24540"/>
    <cellStyle name="Normal 2 2 2 2 2 2 2 2 3" xfId="3962"/>
    <cellStyle name="Normal 2 2 2 2 2 2 2 2 4" xfId="17453"/>
    <cellStyle name="Normal 2 2 2 2 2 2 2 2 5" xfId="16934"/>
    <cellStyle name="Normal 2 2 2 2 2 2 2 2_FC with allocations" xfId="24539"/>
    <cellStyle name="Normal 2 2 2 2 2 2 2 3" xfId="1772"/>
    <cellStyle name="Normal 2 2 2 2 2 2 2 3 2" xfId="3964"/>
    <cellStyle name="Normal 2 2 2 2 2 2 2 3 3" xfId="17455"/>
    <cellStyle name="Normal 2 2 2 2 2 2 2 3 4" xfId="16936"/>
    <cellStyle name="Normal 2 2 2 2 2 2 2 3_FC with allocations" xfId="24541"/>
    <cellStyle name="Normal 2 2 2 2 2 2 2 4" xfId="3961"/>
    <cellStyle name="Normal 2 2 2 2 2 2 2 5" xfId="17452"/>
    <cellStyle name="Normal 2 2 2 2 2 2 2 6" xfId="16933"/>
    <cellStyle name="Normal 2 2 2 2 2 2 2_FC with allocations" xfId="24538"/>
    <cellStyle name="Normal 2 2 2 2 2 2 3" xfId="1773"/>
    <cellStyle name="Normal 2 2 2 2 2 2 3 2" xfId="1774"/>
    <cellStyle name="Normal 2 2 2 2 2 2 3 2 2" xfId="3966"/>
    <cellStyle name="Normal 2 2 2 2 2 2 3 2 3" xfId="17457"/>
    <cellStyle name="Normal 2 2 2 2 2 2 3 2 4" xfId="16938"/>
    <cellStyle name="Normal 2 2 2 2 2 2 3 2_FC with allocations" xfId="24543"/>
    <cellStyle name="Normal 2 2 2 2 2 2 3 3" xfId="3965"/>
    <cellStyle name="Normal 2 2 2 2 2 2 3 4" xfId="17456"/>
    <cellStyle name="Normal 2 2 2 2 2 2 3 5" xfId="16937"/>
    <cellStyle name="Normal 2 2 2 2 2 2 3_FC with allocations" xfId="24542"/>
    <cellStyle name="Normal 2 2 2 2 2 2 4" xfId="1775"/>
    <cellStyle name="Normal 2 2 2 2 2 2 4 2" xfId="3967"/>
    <cellStyle name="Normal 2 2 2 2 2 2 4 3" xfId="17458"/>
    <cellStyle name="Normal 2 2 2 2 2 2 4 4" xfId="16939"/>
    <cellStyle name="Normal 2 2 2 2 2 2 4_FC with allocations" xfId="24544"/>
    <cellStyle name="Normal 2 2 2 2 2 2 5" xfId="3960"/>
    <cellStyle name="Normal 2 2 2 2 2 2 6" xfId="17451"/>
    <cellStyle name="Normal 2 2 2 2 2 2 7" xfId="16932"/>
    <cellStyle name="Normal 2 2 2 2 2 2_FC with allocations" xfId="24537"/>
    <cellStyle name="Normal 2 2 2 2 2 3" xfId="1776"/>
    <cellStyle name="Normal 2 2 2 2 2 3 2" xfId="1777"/>
    <cellStyle name="Normal 2 2 2 2 2 3 2 2" xfId="1778"/>
    <cellStyle name="Normal 2 2 2 2 2 3 2 2 2" xfId="3970"/>
    <cellStyle name="Normal 2 2 2 2 2 3 2 2 3" xfId="17461"/>
    <cellStyle name="Normal 2 2 2 2 2 3 2 2 4" xfId="16942"/>
    <cellStyle name="Normal 2 2 2 2 2 3 2 2_FC with allocations" xfId="24547"/>
    <cellStyle name="Normal 2 2 2 2 2 3 2 3" xfId="3969"/>
    <cellStyle name="Normal 2 2 2 2 2 3 2 4" xfId="17460"/>
    <cellStyle name="Normal 2 2 2 2 2 3 2 5" xfId="16941"/>
    <cellStyle name="Normal 2 2 2 2 2 3 2_FC with allocations" xfId="24546"/>
    <cellStyle name="Normal 2 2 2 2 2 3 3" xfId="1779"/>
    <cellStyle name="Normal 2 2 2 2 2 3 3 2" xfId="3971"/>
    <cellStyle name="Normal 2 2 2 2 2 3 3 3" xfId="17462"/>
    <cellStyle name="Normal 2 2 2 2 2 3 3 4" xfId="16943"/>
    <cellStyle name="Normal 2 2 2 2 2 3 3_FC with allocations" xfId="24548"/>
    <cellStyle name="Normal 2 2 2 2 2 3 4" xfId="3968"/>
    <cellStyle name="Normal 2 2 2 2 2 3 5" xfId="17459"/>
    <cellStyle name="Normal 2 2 2 2 2 3 6" xfId="16940"/>
    <cellStyle name="Normal 2 2 2 2 2 3_FC with allocations" xfId="24545"/>
    <cellStyle name="Normal 2 2 2 2 2 4" xfId="1780"/>
    <cellStyle name="Normal 2 2 2 2 2 4 2" xfId="1781"/>
    <cellStyle name="Normal 2 2 2 2 2 4 2 2" xfId="1782"/>
    <cellStyle name="Normal 2 2 2 2 2 4 2 2 2" xfId="3974"/>
    <cellStyle name="Normal 2 2 2 2 2 4 2 2 3" xfId="17465"/>
    <cellStyle name="Normal 2 2 2 2 2 4 2 2 4" xfId="16946"/>
    <cellStyle name="Normal 2 2 2 2 2 4 2 2_FC with allocations" xfId="24551"/>
    <cellStyle name="Normal 2 2 2 2 2 4 2 3" xfId="3973"/>
    <cellStyle name="Normal 2 2 2 2 2 4 2 4" xfId="17464"/>
    <cellStyle name="Normal 2 2 2 2 2 4 2 5" xfId="16945"/>
    <cellStyle name="Normal 2 2 2 2 2 4 2_FC with allocations" xfId="24550"/>
    <cellStyle name="Normal 2 2 2 2 2 4 3" xfId="1783"/>
    <cellStyle name="Normal 2 2 2 2 2 4 3 2" xfId="3975"/>
    <cellStyle name="Normal 2 2 2 2 2 4 3 3" xfId="17466"/>
    <cellStyle name="Normal 2 2 2 2 2 4 3 4" xfId="16947"/>
    <cellStyle name="Normal 2 2 2 2 2 4 3_FC with allocations" xfId="24552"/>
    <cellStyle name="Normal 2 2 2 2 2 4 4" xfId="3972"/>
    <cellStyle name="Normal 2 2 2 2 2 4 5" xfId="17463"/>
    <cellStyle name="Normal 2 2 2 2 2 4 6" xfId="16944"/>
    <cellStyle name="Normal 2 2 2 2 2 4_FC with allocations" xfId="24549"/>
    <cellStyle name="Normal 2 2 2 2 2 5" xfId="1784"/>
    <cellStyle name="Normal 2 2 2 2 2 5 2" xfId="1785"/>
    <cellStyle name="Normal 2 2 2 2 2 5 2 2" xfId="3977"/>
    <cellStyle name="Normal 2 2 2 2 2 5 2 3" xfId="17468"/>
    <cellStyle name="Normal 2 2 2 2 2 5 2 4" xfId="16949"/>
    <cellStyle name="Normal 2 2 2 2 2 5 2_FC with allocations" xfId="24554"/>
    <cellStyle name="Normal 2 2 2 2 2 5 3" xfId="3976"/>
    <cellStyle name="Normal 2 2 2 2 2 5 4" xfId="17467"/>
    <cellStyle name="Normal 2 2 2 2 2 5 5" xfId="16948"/>
    <cellStyle name="Normal 2 2 2 2 2 5_FC with allocations" xfId="24553"/>
    <cellStyle name="Normal 2 2 2 2 2 6" xfId="1786"/>
    <cellStyle name="Normal 2 2 2 2 2 6 2" xfId="3978"/>
    <cellStyle name="Normal 2 2 2 2 2 6 3" xfId="17469"/>
    <cellStyle name="Normal 2 2 2 2 2 6 4" xfId="16950"/>
    <cellStyle name="Normal 2 2 2 2 2 6_FC with allocations" xfId="24555"/>
    <cellStyle name="Normal 2 2 2 2 2 7" xfId="1787"/>
    <cellStyle name="Normal 2 2 2 2 2 7 2" xfId="3979"/>
    <cellStyle name="Normal 2 2 2 2 2 7_FC with allocations" xfId="24556"/>
    <cellStyle name="Normal 2 2 2 2 2 8" xfId="4470"/>
    <cellStyle name="Normal 2 2 2 2 2 8 10" xfId="19889"/>
    <cellStyle name="Normal 2 2 2 2 2 8 11" xfId="21882"/>
    <cellStyle name="Normal 2 2 2 2 2 8 2" xfId="4778"/>
    <cellStyle name="Normal 2 2 2 2 2 8 2 2" xfId="16656"/>
    <cellStyle name="Normal 2 2 2 2 2 8 2 2 2" xfId="18678"/>
    <cellStyle name="Normal 2 2 2 2 2 8 2 2 2 2" xfId="19697"/>
    <cellStyle name="Normal 2 2 2 2 2 8 2 2 2 2 2" xfId="21707"/>
    <cellStyle name="Normal 2 2 2 2 2 8 2 2 2 2 3" xfId="23865"/>
    <cellStyle name="Normal 2 2 2 2 2 8 2 2 2 2_FC with allocations" xfId="24561"/>
    <cellStyle name="Normal 2 2 2 2 2 8 2 2 2 3" xfId="20831"/>
    <cellStyle name="Normal 2 2 2 2 2 8 2 2 2 4" xfId="22988"/>
    <cellStyle name="Normal 2 2 2 2 2 8 2 2 2_FC with allocations" xfId="24560"/>
    <cellStyle name="Normal 2 2 2 2 2 8 2 2 3" xfId="19165"/>
    <cellStyle name="Normal 2 2 2 2 2 8 2 2 3 2" xfId="21298"/>
    <cellStyle name="Normal 2 2 2 2 2 8 2 2 3 3" xfId="23455"/>
    <cellStyle name="Normal 2 2 2 2 2 8 2 2 3_FC with allocations" xfId="24562"/>
    <cellStyle name="Normal 2 2 2 2 2 8 2 2 4" xfId="20216"/>
    <cellStyle name="Normal 2 2 2 2 2 8 2 2 5" xfId="22333"/>
    <cellStyle name="Normal 2 2 2 2 2 8 2 2_FC with allocations" xfId="24559"/>
    <cellStyle name="Normal 2 2 2 2 2 8 2 3" xfId="18241"/>
    <cellStyle name="Normal 2 2 2 2 2 8 2 3 2" xfId="19532"/>
    <cellStyle name="Normal 2 2 2 2 2 8 2 3 2 2" xfId="21542"/>
    <cellStyle name="Normal 2 2 2 2 2 8 2 3 2 3" xfId="23700"/>
    <cellStyle name="Normal 2 2 2 2 2 8 2 3 2_FC with allocations" xfId="24564"/>
    <cellStyle name="Normal 2 2 2 2 2 8 2 3 3" xfId="20665"/>
    <cellStyle name="Normal 2 2 2 2 2 8 2 3 4" xfId="22807"/>
    <cellStyle name="Normal 2 2 2 2 2 8 2 3_FC with allocations" xfId="24563"/>
    <cellStyle name="Normal 2 2 2 2 2 8 2 4" xfId="17934"/>
    <cellStyle name="Normal 2 2 2 2 2 8 2 4 2" xfId="20393"/>
    <cellStyle name="Normal 2 2 2 2 2 8 2 4 3" xfId="22533"/>
    <cellStyle name="Normal 2 2 2 2 2 8 2 4_FC with allocations" xfId="24565"/>
    <cellStyle name="Normal 2 2 2 2 2 8 2 5" xfId="18897"/>
    <cellStyle name="Normal 2 2 2 2 2 8 2 5 2" xfId="21049"/>
    <cellStyle name="Normal 2 2 2 2 2 8 2 5 3" xfId="23206"/>
    <cellStyle name="Normal 2 2 2 2 2 8 2 5_FC with allocations" xfId="24566"/>
    <cellStyle name="Normal 2 2 2 2 2 8 2 6" xfId="20048"/>
    <cellStyle name="Normal 2 2 2 2 2 8 2 7" xfId="22043"/>
    <cellStyle name="Normal 2 2 2 2 2 8 2_FC with allocations" xfId="24558"/>
    <cellStyle name="Normal 2 2 2 2 2 8 3" xfId="16603"/>
    <cellStyle name="Normal 2 2 2 2 2 8 3 2" xfId="18625"/>
    <cellStyle name="Normal 2 2 2 2 2 8 3 2 2" xfId="19644"/>
    <cellStyle name="Normal 2 2 2 2 2 8 3 2 2 2" xfId="21654"/>
    <cellStyle name="Normal 2 2 2 2 2 8 3 2 2 3" xfId="23812"/>
    <cellStyle name="Normal 2 2 2 2 2 8 3 2 2_FC with allocations" xfId="24569"/>
    <cellStyle name="Normal 2 2 2 2 2 8 3 2 3" xfId="20778"/>
    <cellStyle name="Normal 2 2 2 2 2 8 3 2 4" xfId="22935"/>
    <cellStyle name="Normal 2 2 2 2 2 8 3 2_FC with allocations" xfId="24568"/>
    <cellStyle name="Normal 2 2 2 2 2 8 3 3" xfId="17992"/>
    <cellStyle name="Normal 2 2 2 2 2 8 3 3 2" xfId="20446"/>
    <cellStyle name="Normal 2 2 2 2 2 8 3 3 3" xfId="22586"/>
    <cellStyle name="Normal 2 2 2 2 2 8 3 3_FC with allocations" xfId="24570"/>
    <cellStyle name="Normal 2 2 2 2 2 8 3 4" xfId="19111"/>
    <cellStyle name="Normal 2 2 2 2 2 8 3 4 2" xfId="21244"/>
    <cellStyle name="Normal 2 2 2 2 2 8 3 4 3" xfId="23401"/>
    <cellStyle name="Normal 2 2 2 2 2 8 3 4_FC with allocations" xfId="24571"/>
    <cellStyle name="Normal 2 2 2 2 2 8 3 5" xfId="20163"/>
    <cellStyle name="Normal 2 2 2 2 2 8 3 6" xfId="22280"/>
    <cellStyle name="Normal 2 2 2 2 2 8 3_FC with allocations" xfId="24567"/>
    <cellStyle name="Normal 2 2 2 2 2 8 4" xfId="4678"/>
    <cellStyle name="Normal 2 2 2 2 2 8 4 2" xfId="18188"/>
    <cellStyle name="Normal 2 2 2 2 2 8 4 2 2" xfId="19479"/>
    <cellStyle name="Normal 2 2 2 2 2 8 4 2 2 2" xfId="21489"/>
    <cellStyle name="Normal 2 2 2 2 2 8 4 2 2 3" xfId="23647"/>
    <cellStyle name="Normal 2 2 2 2 2 8 4 2 2_FC with allocations" xfId="24574"/>
    <cellStyle name="Normal 2 2 2 2 2 8 4 2 3" xfId="20612"/>
    <cellStyle name="Normal 2 2 2 2 2 8 4 2 4" xfId="22754"/>
    <cellStyle name="Normal 2 2 2 2 2 8 4 2_FC with allocations" xfId="24573"/>
    <cellStyle name="Normal 2 2 2 2 2 8 4 3" xfId="19054"/>
    <cellStyle name="Normal 2 2 2 2 2 8 4 3 2" xfId="21195"/>
    <cellStyle name="Normal 2 2 2 2 2 8 4 3 3" xfId="23352"/>
    <cellStyle name="Normal 2 2 2 2 2 8 4 3_FC with allocations" xfId="24575"/>
    <cellStyle name="Normal 2 2 2 2 2 8 4 4" xfId="19995"/>
    <cellStyle name="Normal 2 2 2 2 2 8 4 5" xfId="21990"/>
    <cellStyle name="Normal 2 2 2 2 2 8 4_FC with allocations" xfId="24572"/>
    <cellStyle name="Normal 2 2 2 2 2 8 5" xfId="16734"/>
    <cellStyle name="Normal 2 2 2 2 2 8 5 2" xfId="18738"/>
    <cellStyle name="Normal 2 2 2 2 2 8 5 2 2" xfId="20891"/>
    <cellStyle name="Normal 2 2 2 2 2 8 5 2 3" xfId="23048"/>
    <cellStyle name="Normal 2 2 2 2 2 8 5 2_FC with allocations" xfId="24577"/>
    <cellStyle name="Normal 2 2 2 2 2 8 5 3" xfId="19758"/>
    <cellStyle name="Normal 2 2 2 2 2 8 5 3 2" xfId="21768"/>
    <cellStyle name="Normal 2 2 2 2 2 8 5 3 3" xfId="23926"/>
    <cellStyle name="Normal 2 2 2 2 2 8 5 3_FC with allocations" xfId="24578"/>
    <cellStyle name="Normal 2 2 2 2 2 8 5 4" xfId="20277"/>
    <cellStyle name="Normal 2 2 2 2 2 8 5 5" xfId="22405"/>
    <cellStyle name="Normal 2 2 2 2 2 8 5_FC with allocations" xfId="24576"/>
    <cellStyle name="Normal 2 2 2 2 2 8 6" xfId="18054"/>
    <cellStyle name="Normal 2 2 2 2 2 8 6 2" xfId="19373"/>
    <cellStyle name="Normal 2 2 2 2 2 8 6 2 2" xfId="21383"/>
    <cellStyle name="Normal 2 2 2 2 2 8 6 2 3" xfId="23541"/>
    <cellStyle name="Normal 2 2 2 2 2 8 6 2_FC with allocations" xfId="24580"/>
    <cellStyle name="Normal 2 2 2 2 2 8 6 3" xfId="20506"/>
    <cellStyle name="Normal 2 2 2 2 2 8 6 4" xfId="22648"/>
    <cellStyle name="Normal 2 2 2 2 2 8 6_FC with allocations" xfId="24579"/>
    <cellStyle name="Normal 2 2 2 2 2 8 7" xfId="16931"/>
    <cellStyle name="Normal 2 2 2 2 2 8 8" xfId="18844"/>
    <cellStyle name="Normal 2 2 2 2 2 8 8 2" xfId="20996"/>
    <cellStyle name="Normal 2 2 2 2 2 8 8 3" xfId="23153"/>
    <cellStyle name="Normal 2 2 2 2 2 8 8_FC with allocations" xfId="24581"/>
    <cellStyle name="Normal 2 2 2 2 2 8 9" xfId="19812"/>
    <cellStyle name="Normal 2 2 2 2 2 8 9 2" xfId="21821"/>
    <cellStyle name="Normal 2 2 2 2 2 8 9 3" xfId="23979"/>
    <cellStyle name="Normal 2 2 2 2 2 8 9_FC with allocations" xfId="24582"/>
    <cellStyle name="Normal 2 2 2 2 2 8_FC with allocations" xfId="24557"/>
    <cellStyle name="Normal 2 2 2 2 2 9" xfId="4584"/>
    <cellStyle name="Normal 2 2 2 2 2_FC with allocations" xfId="24526"/>
    <cellStyle name="Normal 2 2 2 2 3" xfId="1788"/>
    <cellStyle name="Normal 2 2 2 2 3 2" xfId="1789"/>
    <cellStyle name="Normal 2 2 2 2 3 2 2" xfId="1790"/>
    <cellStyle name="Normal 2 2 2 2 3 2 2 2" xfId="1791"/>
    <cellStyle name="Normal 2 2 2 2 3 2 2 2 2" xfId="3983"/>
    <cellStyle name="Normal 2 2 2 2 3 2 2 2 3" xfId="17473"/>
    <cellStyle name="Normal 2 2 2 2 3 2 2 2 4" xfId="16954"/>
    <cellStyle name="Normal 2 2 2 2 3 2 2 2_FC with allocations" xfId="24586"/>
    <cellStyle name="Normal 2 2 2 2 3 2 2 3" xfId="3982"/>
    <cellStyle name="Normal 2 2 2 2 3 2 2 4" xfId="17472"/>
    <cellStyle name="Normal 2 2 2 2 3 2 2 5" xfId="16953"/>
    <cellStyle name="Normal 2 2 2 2 3 2 2_FC with allocations" xfId="24585"/>
    <cellStyle name="Normal 2 2 2 2 3 2 3" xfId="1792"/>
    <cellStyle name="Normal 2 2 2 2 3 2 3 2" xfId="3984"/>
    <cellStyle name="Normal 2 2 2 2 3 2 3 3" xfId="17474"/>
    <cellStyle name="Normal 2 2 2 2 3 2 3 4" xfId="16955"/>
    <cellStyle name="Normal 2 2 2 2 3 2 3_FC with allocations" xfId="24587"/>
    <cellStyle name="Normal 2 2 2 2 3 2 4" xfId="3981"/>
    <cellStyle name="Normal 2 2 2 2 3 2 5" xfId="17471"/>
    <cellStyle name="Normal 2 2 2 2 3 2 6" xfId="16952"/>
    <cellStyle name="Normal 2 2 2 2 3 2_FC with allocations" xfId="24584"/>
    <cellStyle name="Normal 2 2 2 2 3 3" xfId="1793"/>
    <cellStyle name="Normal 2 2 2 2 3 3 2" xfId="1794"/>
    <cellStyle name="Normal 2 2 2 2 3 3 2 2" xfId="3986"/>
    <cellStyle name="Normal 2 2 2 2 3 3 2 3" xfId="17476"/>
    <cellStyle name="Normal 2 2 2 2 3 3 2 4" xfId="16957"/>
    <cellStyle name="Normal 2 2 2 2 3 3 2_FC with allocations" xfId="24589"/>
    <cellStyle name="Normal 2 2 2 2 3 3 3" xfId="3985"/>
    <cellStyle name="Normal 2 2 2 2 3 3 4" xfId="17475"/>
    <cellStyle name="Normal 2 2 2 2 3 3 5" xfId="16956"/>
    <cellStyle name="Normal 2 2 2 2 3 3_FC with allocations" xfId="24588"/>
    <cellStyle name="Normal 2 2 2 2 3 4" xfId="1795"/>
    <cellStyle name="Normal 2 2 2 2 3 4 2" xfId="3987"/>
    <cellStyle name="Normal 2 2 2 2 3 4 3" xfId="17477"/>
    <cellStyle name="Normal 2 2 2 2 3 4 4" xfId="16958"/>
    <cellStyle name="Normal 2 2 2 2 3 4_FC with allocations" xfId="24590"/>
    <cellStyle name="Normal 2 2 2 2 3 5" xfId="3980"/>
    <cellStyle name="Normal 2 2 2 2 3 6" xfId="17470"/>
    <cellStyle name="Normal 2 2 2 2 3 7" xfId="16951"/>
    <cellStyle name="Normal 2 2 2 2 3_FC with allocations" xfId="24583"/>
    <cellStyle name="Normal 2 2 2 2 4" xfId="1796"/>
    <cellStyle name="Normal 2 2 2 2 4 2" xfId="1797"/>
    <cellStyle name="Normal 2 2 2 2 4 2 2" xfId="1798"/>
    <cellStyle name="Normal 2 2 2 2 4 2 2 2" xfId="3990"/>
    <cellStyle name="Normal 2 2 2 2 4 2 2 3" xfId="17480"/>
    <cellStyle name="Normal 2 2 2 2 4 2 2 4" xfId="16961"/>
    <cellStyle name="Normal 2 2 2 2 4 2 2_FC with allocations" xfId="24593"/>
    <cellStyle name="Normal 2 2 2 2 4 2 3" xfId="3989"/>
    <cellStyle name="Normal 2 2 2 2 4 2 4" xfId="17479"/>
    <cellStyle name="Normal 2 2 2 2 4 2 5" xfId="16960"/>
    <cellStyle name="Normal 2 2 2 2 4 2_FC with allocations" xfId="24592"/>
    <cellStyle name="Normal 2 2 2 2 4 3" xfId="1799"/>
    <cellStyle name="Normal 2 2 2 2 4 3 2" xfId="3991"/>
    <cellStyle name="Normal 2 2 2 2 4 3 3" xfId="17481"/>
    <cellStyle name="Normal 2 2 2 2 4 3 4" xfId="16962"/>
    <cellStyle name="Normal 2 2 2 2 4 3_FC with allocations" xfId="24594"/>
    <cellStyle name="Normal 2 2 2 2 4 4" xfId="3988"/>
    <cellStyle name="Normal 2 2 2 2 4 5" xfId="17478"/>
    <cellStyle name="Normal 2 2 2 2 4 6" xfId="16959"/>
    <cellStyle name="Normal 2 2 2 2 4_FC with allocations" xfId="24591"/>
    <cellStyle name="Normal 2 2 2 2 5" xfId="1800"/>
    <cellStyle name="Normal 2 2 2 2 5 2" xfId="1801"/>
    <cellStyle name="Normal 2 2 2 2 5 2 2" xfId="1802"/>
    <cellStyle name="Normal 2 2 2 2 5 2 2 2" xfId="3994"/>
    <cellStyle name="Normal 2 2 2 2 5 2 2 3" xfId="17484"/>
    <cellStyle name="Normal 2 2 2 2 5 2 2 4" xfId="16965"/>
    <cellStyle name="Normal 2 2 2 2 5 2 2_FC with allocations" xfId="24597"/>
    <cellStyle name="Normal 2 2 2 2 5 2 3" xfId="3993"/>
    <cellStyle name="Normal 2 2 2 2 5 2 4" xfId="17483"/>
    <cellStyle name="Normal 2 2 2 2 5 2 5" xfId="16964"/>
    <cellStyle name="Normal 2 2 2 2 5 2_FC with allocations" xfId="24596"/>
    <cellStyle name="Normal 2 2 2 2 5 3" xfId="1803"/>
    <cellStyle name="Normal 2 2 2 2 5 3 2" xfId="3995"/>
    <cellStyle name="Normal 2 2 2 2 5 3 3" xfId="17485"/>
    <cellStyle name="Normal 2 2 2 2 5 3 4" xfId="16966"/>
    <cellStyle name="Normal 2 2 2 2 5 3_FC with allocations" xfId="24598"/>
    <cellStyle name="Normal 2 2 2 2 5 4" xfId="3992"/>
    <cellStyle name="Normal 2 2 2 2 5 5" xfId="17482"/>
    <cellStyle name="Normal 2 2 2 2 5 6" xfId="16963"/>
    <cellStyle name="Normal 2 2 2 2 5_FC with allocations" xfId="24595"/>
    <cellStyle name="Normal 2 2 2 2 6" xfId="1804"/>
    <cellStyle name="Normal 2 2 2 2 6 2" xfId="1805"/>
    <cellStyle name="Normal 2 2 2 2 6 2 2" xfId="3997"/>
    <cellStyle name="Normal 2 2 2 2 6 2 3" xfId="17487"/>
    <cellStyle name="Normal 2 2 2 2 6 2 4" xfId="16968"/>
    <cellStyle name="Normal 2 2 2 2 6 2_FC with allocations" xfId="24600"/>
    <cellStyle name="Normal 2 2 2 2 6 3" xfId="3996"/>
    <cellStyle name="Normal 2 2 2 2 6 4" xfId="17486"/>
    <cellStyle name="Normal 2 2 2 2 6 5" xfId="16967"/>
    <cellStyle name="Normal 2 2 2 2 6_FC with allocations" xfId="24599"/>
    <cellStyle name="Normal 2 2 2 2 7" xfId="1806"/>
    <cellStyle name="Normal 2 2 2 2 7 2" xfId="3998"/>
    <cellStyle name="Normal 2 2 2 2 7 3" xfId="17488"/>
    <cellStyle name="Normal 2 2 2 2 7 4" xfId="16969"/>
    <cellStyle name="Normal 2 2 2 2 7_FC with allocations" xfId="24601"/>
    <cellStyle name="Normal 2 2 2 2 8" xfId="1807"/>
    <cellStyle name="Normal 2 2 2 2 8 2" xfId="3999"/>
    <cellStyle name="Normal 2 2 2 2 8_FC with allocations" xfId="24602"/>
    <cellStyle name="Normal 2 2 2 2 9" xfId="4469"/>
    <cellStyle name="Normal 2 2 2 2 9 10" xfId="19888"/>
    <cellStyle name="Normal 2 2 2 2 9 11" xfId="21881"/>
    <cellStyle name="Normal 2 2 2 2 9 2" xfId="4777"/>
    <cellStyle name="Normal 2 2 2 2 9 2 2" xfId="16655"/>
    <cellStyle name="Normal 2 2 2 2 9 2 2 2" xfId="18677"/>
    <cellStyle name="Normal 2 2 2 2 9 2 2 2 2" xfId="19696"/>
    <cellStyle name="Normal 2 2 2 2 9 2 2 2 2 2" xfId="21706"/>
    <cellStyle name="Normal 2 2 2 2 9 2 2 2 2 3" xfId="23864"/>
    <cellStyle name="Normal 2 2 2 2 9 2 2 2 2_FC with allocations" xfId="24607"/>
    <cellStyle name="Normal 2 2 2 2 9 2 2 2 3" xfId="20830"/>
    <cellStyle name="Normal 2 2 2 2 9 2 2 2 4" xfId="22987"/>
    <cellStyle name="Normal 2 2 2 2 9 2 2 2_FC with allocations" xfId="24606"/>
    <cellStyle name="Normal 2 2 2 2 9 2 2 3" xfId="19164"/>
    <cellStyle name="Normal 2 2 2 2 9 2 2 3 2" xfId="21297"/>
    <cellStyle name="Normal 2 2 2 2 9 2 2 3 3" xfId="23454"/>
    <cellStyle name="Normal 2 2 2 2 9 2 2 3_FC with allocations" xfId="24608"/>
    <cellStyle name="Normal 2 2 2 2 9 2 2 4" xfId="20215"/>
    <cellStyle name="Normal 2 2 2 2 9 2 2 5" xfId="22332"/>
    <cellStyle name="Normal 2 2 2 2 9 2 2_FC with allocations" xfId="24605"/>
    <cellStyle name="Normal 2 2 2 2 9 2 3" xfId="18240"/>
    <cellStyle name="Normal 2 2 2 2 9 2 3 2" xfId="19531"/>
    <cellStyle name="Normal 2 2 2 2 9 2 3 2 2" xfId="21541"/>
    <cellStyle name="Normal 2 2 2 2 9 2 3 2 3" xfId="23699"/>
    <cellStyle name="Normal 2 2 2 2 9 2 3 2_FC with allocations" xfId="24610"/>
    <cellStyle name="Normal 2 2 2 2 9 2 3 3" xfId="20664"/>
    <cellStyle name="Normal 2 2 2 2 9 2 3 4" xfId="22806"/>
    <cellStyle name="Normal 2 2 2 2 9 2 3_FC with allocations" xfId="24609"/>
    <cellStyle name="Normal 2 2 2 2 9 2 4" xfId="17933"/>
    <cellStyle name="Normal 2 2 2 2 9 2 4 2" xfId="20392"/>
    <cellStyle name="Normal 2 2 2 2 9 2 4 3" xfId="22532"/>
    <cellStyle name="Normal 2 2 2 2 9 2 4_FC with allocations" xfId="24611"/>
    <cellStyle name="Normal 2 2 2 2 9 2 5" xfId="18896"/>
    <cellStyle name="Normal 2 2 2 2 9 2 5 2" xfId="21048"/>
    <cellStyle name="Normal 2 2 2 2 9 2 5 3" xfId="23205"/>
    <cellStyle name="Normal 2 2 2 2 9 2 5_FC with allocations" xfId="24612"/>
    <cellStyle name="Normal 2 2 2 2 9 2 6" xfId="20047"/>
    <cellStyle name="Normal 2 2 2 2 9 2 7" xfId="22042"/>
    <cellStyle name="Normal 2 2 2 2 9 2_FC with allocations" xfId="24604"/>
    <cellStyle name="Normal 2 2 2 2 9 3" xfId="16602"/>
    <cellStyle name="Normal 2 2 2 2 9 3 2" xfId="18624"/>
    <cellStyle name="Normal 2 2 2 2 9 3 2 2" xfId="19643"/>
    <cellStyle name="Normal 2 2 2 2 9 3 2 2 2" xfId="21653"/>
    <cellStyle name="Normal 2 2 2 2 9 3 2 2 3" xfId="23811"/>
    <cellStyle name="Normal 2 2 2 2 9 3 2 2_FC with allocations" xfId="24615"/>
    <cellStyle name="Normal 2 2 2 2 9 3 2 3" xfId="20777"/>
    <cellStyle name="Normal 2 2 2 2 9 3 2 4" xfId="22934"/>
    <cellStyle name="Normal 2 2 2 2 9 3 2_FC with allocations" xfId="24614"/>
    <cellStyle name="Normal 2 2 2 2 9 3 3" xfId="17991"/>
    <cellStyle name="Normal 2 2 2 2 9 3 3 2" xfId="20445"/>
    <cellStyle name="Normal 2 2 2 2 9 3 3 3" xfId="22585"/>
    <cellStyle name="Normal 2 2 2 2 9 3 3_FC with allocations" xfId="24616"/>
    <cellStyle name="Normal 2 2 2 2 9 3 4" xfId="19110"/>
    <cellStyle name="Normal 2 2 2 2 9 3 4 2" xfId="21243"/>
    <cellStyle name="Normal 2 2 2 2 9 3 4 3" xfId="23400"/>
    <cellStyle name="Normal 2 2 2 2 9 3 4_FC with allocations" xfId="24617"/>
    <cellStyle name="Normal 2 2 2 2 9 3 5" xfId="20162"/>
    <cellStyle name="Normal 2 2 2 2 9 3 6" xfId="22279"/>
    <cellStyle name="Normal 2 2 2 2 9 3_FC with allocations" xfId="24613"/>
    <cellStyle name="Normal 2 2 2 2 9 4" xfId="4677"/>
    <cellStyle name="Normal 2 2 2 2 9 4 2" xfId="18187"/>
    <cellStyle name="Normal 2 2 2 2 9 4 2 2" xfId="19478"/>
    <cellStyle name="Normal 2 2 2 2 9 4 2 2 2" xfId="21488"/>
    <cellStyle name="Normal 2 2 2 2 9 4 2 2 3" xfId="23646"/>
    <cellStyle name="Normal 2 2 2 2 9 4 2 2_FC with allocations" xfId="24620"/>
    <cellStyle name="Normal 2 2 2 2 9 4 2 3" xfId="20611"/>
    <cellStyle name="Normal 2 2 2 2 9 4 2 4" xfId="22753"/>
    <cellStyle name="Normal 2 2 2 2 9 4 2_FC with allocations" xfId="24619"/>
    <cellStyle name="Normal 2 2 2 2 9 4 3" xfId="19077"/>
    <cellStyle name="Normal 2 2 2 2 9 4 3 2" xfId="21212"/>
    <cellStyle name="Normal 2 2 2 2 9 4 3 3" xfId="23369"/>
    <cellStyle name="Normal 2 2 2 2 9 4 3_FC with allocations" xfId="24621"/>
    <cellStyle name="Normal 2 2 2 2 9 4 4" xfId="19994"/>
    <cellStyle name="Normal 2 2 2 2 9 4 5" xfId="21989"/>
    <cellStyle name="Normal 2 2 2 2 9 4_FC with allocations" xfId="24618"/>
    <cellStyle name="Normal 2 2 2 2 9 5" xfId="16733"/>
    <cellStyle name="Normal 2 2 2 2 9 5 2" xfId="18737"/>
    <cellStyle name="Normal 2 2 2 2 9 5 2 2" xfId="20890"/>
    <cellStyle name="Normal 2 2 2 2 9 5 2 3" xfId="23047"/>
    <cellStyle name="Normal 2 2 2 2 9 5 2_FC with allocations" xfId="24623"/>
    <cellStyle name="Normal 2 2 2 2 9 5 3" xfId="19757"/>
    <cellStyle name="Normal 2 2 2 2 9 5 3 2" xfId="21767"/>
    <cellStyle name="Normal 2 2 2 2 9 5 3 3" xfId="23925"/>
    <cellStyle name="Normal 2 2 2 2 9 5 3_FC with allocations" xfId="24624"/>
    <cellStyle name="Normal 2 2 2 2 9 5 4" xfId="20276"/>
    <cellStyle name="Normal 2 2 2 2 9 5 5" xfId="22404"/>
    <cellStyle name="Normal 2 2 2 2 9 5_FC with allocations" xfId="24622"/>
    <cellStyle name="Normal 2 2 2 2 9 6" xfId="18053"/>
    <cellStyle name="Normal 2 2 2 2 9 6 2" xfId="19372"/>
    <cellStyle name="Normal 2 2 2 2 9 6 2 2" xfId="21382"/>
    <cellStyle name="Normal 2 2 2 2 9 6 2 3" xfId="23540"/>
    <cellStyle name="Normal 2 2 2 2 9 6 2_FC with allocations" xfId="24626"/>
    <cellStyle name="Normal 2 2 2 2 9 6 3" xfId="20505"/>
    <cellStyle name="Normal 2 2 2 2 9 6 4" xfId="22647"/>
    <cellStyle name="Normal 2 2 2 2 9 6_FC with allocations" xfId="24625"/>
    <cellStyle name="Normal 2 2 2 2 9 7" xfId="16930"/>
    <cellStyle name="Normal 2 2 2 2 9 8" xfId="18843"/>
    <cellStyle name="Normal 2 2 2 2 9 8 2" xfId="20995"/>
    <cellStyle name="Normal 2 2 2 2 9 8 3" xfId="23152"/>
    <cellStyle name="Normal 2 2 2 2 9 8_FC with allocations" xfId="24627"/>
    <cellStyle name="Normal 2 2 2 2 9 9" xfId="19811"/>
    <cellStyle name="Normal 2 2 2 2 9 9 2" xfId="21820"/>
    <cellStyle name="Normal 2 2 2 2 9 9 3" xfId="23978"/>
    <cellStyle name="Normal 2 2 2 2 9 9_FC with allocations" xfId="24628"/>
    <cellStyle name="Normal 2 2 2 2 9_FC with allocations" xfId="24603"/>
    <cellStyle name="Normal 2 2 2 2_FC with allocations" xfId="24515"/>
    <cellStyle name="Normal 2 2 2 3" xfId="1808"/>
    <cellStyle name="Normal 2 2 2 3 10" xfId="6216"/>
    <cellStyle name="Normal 2 2 2 3 11" xfId="16547"/>
    <cellStyle name="Normal 2 2 2 3 11 2" xfId="18573"/>
    <cellStyle name="Normal 2 2 2 3 11 2 2" xfId="19592"/>
    <cellStyle name="Normal 2 2 2 3 11 2 2 2" xfId="21602"/>
    <cellStyle name="Normal 2 2 2 3 11 2 2 3" xfId="23760"/>
    <cellStyle name="Normal 2 2 2 3 11 2 2_FC with allocations" xfId="24632"/>
    <cellStyle name="Normal 2 2 2 3 11 2 3" xfId="20726"/>
    <cellStyle name="Normal 2 2 2 3 11 2 4" xfId="22883"/>
    <cellStyle name="Normal 2 2 2 3 11 2_FC with allocations" xfId="24631"/>
    <cellStyle name="Normal 2 2 2 3 11 3" xfId="18998"/>
    <cellStyle name="Normal 2 2 2 3 11 3 2" xfId="21150"/>
    <cellStyle name="Normal 2 2 2 3 11 3 3" xfId="23307"/>
    <cellStyle name="Normal 2 2 2 3 11 3_FC with allocations" xfId="24633"/>
    <cellStyle name="Normal 2 2 2 3 11 4" xfId="20111"/>
    <cellStyle name="Normal 2 2 2 3 11 5" xfId="22227"/>
    <cellStyle name="Normal 2 2 2 3 11_FC with allocations" xfId="24630"/>
    <cellStyle name="Normal 2 2 2 3 12" xfId="4532"/>
    <cellStyle name="Normal 2 2 2 3 12 2" xfId="18108"/>
    <cellStyle name="Normal 2 2 2 3 12 2 2" xfId="19427"/>
    <cellStyle name="Normal 2 2 2 3 12 2 2 2" xfId="21437"/>
    <cellStyle name="Normal 2 2 2 3 12 2 2 3" xfId="23595"/>
    <cellStyle name="Normal 2 2 2 3 12 2 2_FC with allocations" xfId="24636"/>
    <cellStyle name="Normal 2 2 2 3 12 2 3" xfId="20560"/>
    <cellStyle name="Normal 2 2 2 3 12 2 4" xfId="22702"/>
    <cellStyle name="Normal 2 2 2 3 12 2_FC with allocations" xfId="24635"/>
    <cellStyle name="Normal 2 2 2 3 12 3" xfId="19046"/>
    <cellStyle name="Normal 2 2 2 3 12 3 2" xfId="21187"/>
    <cellStyle name="Normal 2 2 2 3 12 3 3" xfId="23344"/>
    <cellStyle name="Normal 2 2 2 3 12 3_FC with allocations" xfId="24637"/>
    <cellStyle name="Normal 2 2 2 3 12 4" xfId="19943"/>
    <cellStyle name="Normal 2 2 2 3 12 5" xfId="21938"/>
    <cellStyle name="Normal 2 2 2 3 12_FC with allocations" xfId="24634"/>
    <cellStyle name="Normal 2 2 2 3 13" xfId="16827"/>
    <cellStyle name="Normal 2 2 2 3 13 2" xfId="20330"/>
    <cellStyle name="Normal 2 2 2 3 13 3" xfId="22470"/>
    <cellStyle name="Normal 2 2 2 3 13_FC with allocations" xfId="24638"/>
    <cellStyle name="Normal 2 2 2 3 14" xfId="18791"/>
    <cellStyle name="Normal 2 2 2 3 14 2" xfId="20944"/>
    <cellStyle name="Normal 2 2 2 3 14 3" xfId="23101"/>
    <cellStyle name="Normal 2 2 2 3 14_FC with allocations" xfId="24639"/>
    <cellStyle name="Normal 2 2 2 3 2" xfId="1809"/>
    <cellStyle name="Normal 2 2 2 3 2 2" xfId="1810"/>
    <cellStyle name="Normal 2 2 2 3 2 2 2" xfId="1811"/>
    <cellStyle name="Normal 2 2 2 3 2 2 2 2" xfId="1812"/>
    <cellStyle name="Normal 2 2 2 3 2 2 2 2 2" xfId="4003"/>
    <cellStyle name="Normal 2 2 2 3 2 2 2 2 3" xfId="17492"/>
    <cellStyle name="Normal 2 2 2 3 2 2 2 2 4" xfId="16974"/>
    <cellStyle name="Normal 2 2 2 3 2 2 2 2_FC with allocations" xfId="24643"/>
    <cellStyle name="Normal 2 2 2 3 2 2 2 3" xfId="4002"/>
    <cellStyle name="Normal 2 2 2 3 2 2 2 4" xfId="17491"/>
    <cellStyle name="Normal 2 2 2 3 2 2 2 5" xfId="16973"/>
    <cellStyle name="Normal 2 2 2 3 2 2 2_FC with allocations" xfId="24642"/>
    <cellStyle name="Normal 2 2 2 3 2 2 3" xfId="1813"/>
    <cellStyle name="Normal 2 2 2 3 2 2 3 2" xfId="4004"/>
    <cellStyle name="Normal 2 2 2 3 2 2 3 3" xfId="17493"/>
    <cellStyle name="Normal 2 2 2 3 2 2 3 4" xfId="16975"/>
    <cellStyle name="Normal 2 2 2 3 2 2 3_FC with allocations" xfId="24644"/>
    <cellStyle name="Normal 2 2 2 3 2 2 4" xfId="4001"/>
    <cellStyle name="Normal 2 2 2 3 2 2 5" xfId="17490"/>
    <cellStyle name="Normal 2 2 2 3 2 2 6" xfId="16972"/>
    <cellStyle name="Normal 2 2 2 3 2 2_FC with allocations" xfId="24641"/>
    <cellStyle name="Normal 2 2 2 3 2 3" xfId="1814"/>
    <cellStyle name="Normal 2 2 2 3 2 3 2" xfId="1815"/>
    <cellStyle name="Normal 2 2 2 3 2 3 2 2" xfId="4006"/>
    <cellStyle name="Normal 2 2 2 3 2 3 2 3" xfId="17495"/>
    <cellStyle name="Normal 2 2 2 3 2 3 2 4" xfId="16977"/>
    <cellStyle name="Normal 2 2 2 3 2 3 2_FC with allocations" xfId="24646"/>
    <cellStyle name="Normal 2 2 2 3 2 3 3" xfId="4005"/>
    <cellStyle name="Normal 2 2 2 3 2 3 4" xfId="17494"/>
    <cellStyle name="Normal 2 2 2 3 2 3 5" xfId="16976"/>
    <cellStyle name="Normal 2 2 2 3 2 3_FC with allocations" xfId="24645"/>
    <cellStyle name="Normal 2 2 2 3 2 4" xfId="1816"/>
    <cellStyle name="Normal 2 2 2 3 2 4 2" xfId="4007"/>
    <cellStyle name="Normal 2 2 2 3 2 4 3" xfId="17496"/>
    <cellStyle name="Normal 2 2 2 3 2 4 4" xfId="16978"/>
    <cellStyle name="Normal 2 2 2 3 2 4_FC with allocations" xfId="24647"/>
    <cellStyle name="Normal 2 2 2 3 2 5" xfId="4000"/>
    <cellStyle name="Normal 2 2 2 3 2 6" xfId="17489"/>
    <cellStyle name="Normal 2 2 2 3 2 7" xfId="16971"/>
    <cellStyle name="Normal 2 2 2 3 2_FC with allocations" xfId="24640"/>
    <cellStyle name="Normal 2 2 2 3 3" xfId="1817"/>
    <cellStyle name="Normal 2 2 2 3 3 2" xfId="1818"/>
    <cellStyle name="Normal 2 2 2 3 3 2 2" xfId="1819"/>
    <cellStyle name="Normal 2 2 2 3 3 2 2 2" xfId="4010"/>
    <cellStyle name="Normal 2 2 2 3 3 2 2 3" xfId="17499"/>
    <cellStyle name="Normal 2 2 2 3 3 2 2 4" xfId="16981"/>
    <cellStyle name="Normal 2 2 2 3 3 2 2_FC with allocations" xfId="24650"/>
    <cellStyle name="Normal 2 2 2 3 3 2 3" xfId="4009"/>
    <cellStyle name="Normal 2 2 2 3 3 2 4" xfId="17498"/>
    <cellStyle name="Normal 2 2 2 3 3 2 5" xfId="16980"/>
    <cellStyle name="Normal 2 2 2 3 3 2_FC with allocations" xfId="24649"/>
    <cellStyle name="Normal 2 2 2 3 3 3" xfId="1820"/>
    <cellStyle name="Normal 2 2 2 3 3 3 2" xfId="4011"/>
    <cellStyle name="Normal 2 2 2 3 3 3 3" xfId="17500"/>
    <cellStyle name="Normal 2 2 2 3 3 3 4" xfId="16982"/>
    <cellStyle name="Normal 2 2 2 3 3 3_FC with allocations" xfId="24651"/>
    <cellStyle name="Normal 2 2 2 3 3 4" xfId="4008"/>
    <cellStyle name="Normal 2 2 2 3 3 5" xfId="17497"/>
    <cellStyle name="Normal 2 2 2 3 3 6" xfId="16979"/>
    <cellStyle name="Normal 2 2 2 3 3_FC with allocations" xfId="24648"/>
    <cellStyle name="Normal 2 2 2 3 4" xfId="1821"/>
    <cellStyle name="Normal 2 2 2 3 4 2" xfId="1822"/>
    <cellStyle name="Normal 2 2 2 3 4 2 2" xfId="1823"/>
    <cellStyle name="Normal 2 2 2 3 4 2 2 2" xfId="4014"/>
    <cellStyle name="Normal 2 2 2 3 4 2 2 3" xfId="17503"/>
    <cellStyle name="Normal 2 2 2 3 4 2 2 4" xfId="16985"/>
    <cellStyle name="Normal 2 2 2 3 4 2 2_FC with allocations" xfId="24654"/>
    <cellStyle name="Normal 2 2 2 3 4 2 3" xfId="4013"/>
    <cellStyle name="Normal 2 2 2 3 4 2 4" xfId="17502"/>
    <cellStyle name="Normal 2 2 2 3 4 2 5" xfId="16984"/>
    <cellStyle name="Normal 2 2 2 3 4 2_FC with allocations" xfId="24653"/>
    <cellStyle name="Normal 2 2 2 3 4 3" xfId="1824"/>
    <cellStyle name="Normal 2 2 2 3 4 3 2" xfId="4015"/>
    <cellStyle name="Normal 2 2 2 3 4 3 3" xfId="17504"/>
    <cellStyle name="Normal 2 2 2 3 4 3 4" xfId="16986"/>
    <cellStyle name="Normal 2 2 2 3 4 3_FC with allocations" xfId="24655"/>
    <cellStyle name="Normal 2 2 2 3 4 4" xfId="4012"/>
    <cellStyle name="Normal 2 2 2 3 4 5" xfId="17501"/>
    <cellStyle name="Normal 2 2 2 3 4 6" xfId="16983"/>
    <cellStyle name="Normal 2 2 2 3 4_FC with allocations" xfId="24652"/>
    <cellStyle name="Normal 2 2 2 3 5" xfId="1825"/>
    <cellStyle name="Normal 2 2 2 3 5 2" xfId="1826"/>
    <cellStyle name="Normal 2 2 2 3 5 2 2" xfId="4017"/>
    <cellStyle name="Normal 2 2 2 3 5 2 3" xfId="17506"/>
    <cellStyle name="Normal 2 2 2 3 5 2 4" xfId="16988"/>
    <cellStyle name="Normal 2 2 2 3 5 2_FC with allocations" xfId="24657"/>
    <cellStyle name="Normal 2 2 2 3 5 3" xfId="4016"/>
    <cellStyle name="Normal 2 2 2 3 5 4" xfId="17505"/>
    <cellStyle name="Normal 2 2 2 3 5 5" xfId="16987"/>
    <cellStyle name="Normal 2 2 2 3 5_FC with allocations" xfId="24656"/>
    <cellStyle name="Normal 2 2 2 3 6" xfId="1827"/>
    <cellStyle name="Normal 2 2 2 3 6 2" xfId="4018"/>
    <cellStyle name="Normal 2 2 2 3 6 3" xfId="17507"/>
    <cellStyle name="Normal 2 2 2 3 6 4" xfId="16989"/>
    <cellStyle name="Normal 2 2 2 3 6_FC with allocations" xfId="24658"/>
    <cellStyle name="Normal 2 2 2 3 7" xfId="1828"/>
    <cellStyle name="Normal 2 2 2 3 7 2" xfId="4019"/>
    <cellStyle name="Normal 2 2 2 3 7_FC with allocations" xfId="24659"/>
    <cellStyle name="Normal 2 2 2 3 8" xfId="4471"/>
    <cellStyle name="Normal 2 2 2 3 8 10" xfId="19890"/>
    <cellStyle name="Normal 2 2 2 3 8 11" xfId="21883"/>
    <cellStyle name="Normal 2 2 2 3 8 2" xfId="4779"/>
    <cellStyle name="Normal 2 2 2 3 8 2 2" xfId="16657"/>
    <cellStyle name="Normal 2 2 2 3 8 2 2 2" xfId="18679"/>
    <cellStyle name="Normal 2 2 2 3 8 2 2 2 2" xfId="19698"/>
    <cellStyle name="Normal 2 2 2 3 8 2 2 2 2 2" xfId="21708"/>
    <cellStyle name="Normal 2 2 2 3 8 2 2 2 2 3" xfId="23866"/>
    <cellStyle name="Normal 2 2 2 3 8 2 2 2 2_FC with allocations" xfId="24664"/>
    <cellStyle name="Normal 2 2 2 3 8 2 2 2 3" xfId="20832"/>
    <cellStyle name="Normal 2 2 2 3 8 2 2 2 4" xfId="22989"/>
    <cellStyle name="Normal 2 2 2 3 8 2 2 2_FC with allocations" xfId="24663"/>
    <cellStyle name="Normal 2 2 2 3 8 2 2 3" xfId="19166"/>
    <cellStyle name="Normal 2 2 2 3 8 2 2 3 2" xfId="21299"/>
    <cellStyle name="Normal 2 2 2 3 8 2 2 3 3" xfId="23456"/>
    <cellStyle name="Normal 2 2 2 3 8 2 2 3_FC with allocations" xfId="24665"/>
    <cellStyle name="Normal 2 2 2 3 8 2 2 4" xfId="20217"/>
    <cellStyle name="Normal 2 2 2 3 8 2 2 5" xfId="22334"/>
    <cellStyle name="Normal 2 2 2 3 8 2 2_FC with allocations" xfId="24662"/>
    <cellStyle name="Normal 2 2 2 3 8 2 3" xfId="18242"/>
    <cellStyle name="Normal 2 2 2 3 8 2 3 2" xfId="19533"/>
    <cellStyle name="Normal 2 2 2 3 8 2 3 2 2" xfId="21543"/>
    <cellStyle name="Normal 2 2 2 3 8 2 3 2 3" xfId="23701"/>
    <cellStyle name="Normal 2 2 2 3 8 2 3 2_FC with allocations" xfId="24667"/>
    <cellStyle name="Normal 2 2 2 3 8 2 3 3" xfId="20666"/>
    <cellStyle name="Normal 2 2 2 3 8 2 3 4" xfId="22808"/>
    <cellStyle name="Normal 2 2 2 3 8 2 3_FC with allocations" xfId="24666"/>
    <cellStyle name="Normal 2 2 2 3 8 2 4" xfId="17935"/>
    <cellStyle name="Normal 2 2 2 3 8 2 4 2" xfId="20394"/>
    <cellStyle name="Normal 2 2 2 3 8 2 4 3" xfId="22534"/>
    <cellStyle name="Normal 2 2 2 3 8 2 4_FC with allocations" xfId="24668"/>
    <cellStyle name="Normal 2 2 2 3 8 2 5" xfId="18898"/>
    <cellStyle name="Normal 2 2 2 3 8 2 5 2" xfId="21050"/>
    <cellStyle name="Normal 2 2 2 3 8 2 5 3" xfId="23207"/>
    <cellStyle name="Normal 2 2 2 3 8 2 5_FC with allocations" xfId="24669"/>
    <cellStyle name="Normal 2 2 2 3 8 2 6" xfId="20049"/>
    <cellStyle name="Normal 2 2 2 3 8 2 7" xfId="22044"/>
    <cellStyle name="Normal 2 2 2 3 8 2_FC with allocations" xfId="24661"/>
    <cellStyle name="Normal 2 2 2 3 8 3" xfId="16604"/>
    <cellStyle name="Normal 2 2 2 3 8 3 2" xfId="18626"/>
    <cellStyle name="Normal 2 2 2 3 8 3 2 2" xfId="19645"/>
    <cellStyle name="Normal 2 2 2 3 8 3 2 2 2" xfId="21655"/>
    <cellStyle name="Normal 2 2 2 3 8 3 2 2 3" xfId="23813"/>
    <cellStyle name="Normal 2 2 2 3 8 3 2 2_FC with allocations" xfId="24672"/>
    <cellStyle name="Normal 2 2 2 3 8 3 2 3" xfId="20779"/>
    <cellStyle name="Normal 2 2 2 3 8 3 2 4" xfId="22936"/>
    <cellStyle name="Normal 2 2 2 3 8 3 2_FC with allocations" xfId="24671"/>
    <cellStyle name="Normal 2 2 2 3 8 3 3" xfId="17993"/>
    <cellStyle name="Normal 2 2 2 3 8 3 3 2" xfId="20447"/>
    <cellStyle name="Normal 2 2 2 3 8 3 3 3" xfId="22587"/>
    <cellStyle name="Normal 2 2 2 3 8 3 3_FC with allocations" xfId="24673"/>
    <cellStyle name="Normal 2 2 2 3 8 3 4" xfId="19112"/>
    <cellStyle name="Normal 2 2 2 3 8 3 4 2" xfId="21245"/>
    <cellStyle name="Normal 2 2 2 3 8 3 4 3" xfId="23402"/>
    <cellStyle name="Normal 2 2 2 3 8 3 4_FC with allocations" xfId="24674"/>
    <cellStyle name="Normal 2 2 2 3 8 3 5" xfId="20164"/>
    <cellStyle name="Normal 2 2 2 3 8 3 6" xfId="22281"/>
    <cellStyle name="Normal 2 2 2 3 8 3_FC with allocations" xfId="24670"/>
    <cellStyle name="Normal 2 2 2 3 8 4" xfId="4679"/>
    <cellStyle name="Normal 2 2 2 3 8 4 2" xfId="18189"/>
    <cellStyle name="Normal 2 2 2 3 8 4 2 2" xfId="19480"/>
    <cellStyle name="Normal 2 2 2 3 8 4 2 2 2" xfId="21490"/>
    <cellStyle name="Normal 2 2 2 3 8 4 2 2 3" xfId="23648"/>
    <cellStyle name="Normal 2 2 2 3 8 4 2 2_FC with allocations" xfId="24677"/>
    <cellStyle name="Normal 2 2 2 3 8 4 2 3" xfId="20613"/>
    <cellStyle name="Normal 2 2 2 3 8 4 2 4" xfId="22755"/>
    <cellStyle name="Normal 2 2 2 3 8 4 2_FC with allocations" xfId="24676"/>
    <cellStyle name="Normal 2 2 2 3 8 4 3" xfId="18991"/>
    <cellStyle name="Normal 2 2 2 3 8 4 3 2" xfId="21143"/>
    <cellStyle name="Normal 2 2 2 3 8 4 3 3" xfId="23300"/>
    <cellStyle name="Normal 2 2 2 3 8 4 3_FC with allocations" xfId="24678"/>
    <cellStyle name="Normal 2 2 2 3 8 4 4" xfId="19996"/>
    <cellStyle name="Normal 2 2 2 3 8 4 5" xfId="21991"/>
    <cellStyle name="Normal 2 2 2 3 8 4_FC with allocations" xfId="24675"/>
    <cellStyle name="Normal 2 2 2 3 8 5" xfId="16735"/>
    <cellStyle name="Normal 2 2 2 3 8 5 2" xfId="18739"/>
    <cellStyle name="Normal 2 2 2 3 8 5 2 2" xfId="20892"/>
    <cellStyle name="Normal 2 2 2 3 8 5 2 3" xfId="23049"/>
    <cellStyle name="Normal 2 2 2 3 8 5 2_FC with allocations" xfId="24680"/>
    <cellStyle name="Normal 2 2 2 3 8 5 3" xfId="19759"/>
    <cellStyle name="Normal 2 2 2 3 8 5 3 2" xfId="21769"/>
    <cellStyle name="Normal 2 2 2 3 8 5 3 3" xfId="23927"/>
    <cellStyle name="Normal 2 2 2 3 8 5 3_FC with allocations" xfId="24681"/>
    <cellStyle name="Normal 2 2 2 3 8 5 4" xfId="20278"/>
    <cellStyle name="Normal 2 2 2 3 8 5 5" xfId="22406"/>
    <cellStyle name="Normal 2 2 2 3 8 5_FC with allocations" xfId="24679"/>
    <cellStyle name="Normal 2 2 2 3 8 6" xfId="18055"/>
    <cellStyle name="Normal 2 2 2 3 8 6 2" xfId="19374"/>
    <cellStyle name="Normal 2 2 2 3 8 6 2 2" xfId="21384"/>
    <cellStyle name="Normal 2 2 2 3 8 6 2 3" xfId="23542"/>
    <cellStyle name="Normal 2 2 2 3 8 6 2_FC with allocations" xfId="24683"/>
    <cellStyle name="Normal 2 2 2 3 8 6 3" xfId="20507"/>
    <cellStyle name="Normal 2 2 2 3 8 6 4" xfId="22649"/>
    <cellStyle name="Normal 2 2 2 3 8 6_FC with allocations" xfId="24682"/>
    <cellStyle name="Normal 2 2 2 3 8 7" xfId="16970"/>
    <cellStyle name="Normal 2 2 2 3 8 8" xfId="18845"/>
    <cellStyle name="Normal 2 2 2 3 8 8 2" xfId="20997"/>
    <cellStyle name="Normal 2 2 2 3 8 8 3" xfId="23154"/>
    <cellStyle name="Normal 2 2 2 3 8 8_FC with allocations" xfId="24684"/>
    <cellStyle name="Normal 2 2 2 3 8 9" xfId="19813"/>
    <cellStyle name="Normal 2 2 2 3 8 9 2" xfId="21822"/>
    <cellStyle name="Normal 2 2 2 3 8 9 3" xfId="23980"/>
    <cellStyle name="Normal 2 2 2 3 8 9_FC with allocations" xfId="24685"/>
    <cellStyle name="Normal 2 2 2 3 8_FC with allocations" xfId="24660"/>
    <cellStyle name="Normal 2 2 2 3 9" xfId="4585"/>
    <cellStyle name="Normal 2 2 2 3_FC with allocations" xfId="24629"/>
    <cellStyle name="Normal 2 2 2 4" xfId="1829"/>
    <cellStyle name="Normal 2 2 2 5" xfId="1830"/>
    <cellStyle name="Normal 2 2 2 5 2" xfId="1831"/>
    <cellStyle name="Normal 2 2 2 5 2 2" xfId="1832"/>
    <cellStyle name="Normal 2 2 2 5 2 2 2" xfId="1833"/>
    <cellStyle name="Normal 2 2 2 5 2 2 2 2" xfId="4023"/>
    <cellStyle name="Normal 2 2 2 5 2 2 2 3" xfId="17511"/>
    <cellStyle name="Normal 2 2 2 5 2 2 2 4" xfId="16993"/>
    <cellStyle name="Normal 2 2 2 5 2 2 2_FC with allocations" xfId="24689"/>
    <cellStyle name="Normal 2 2 2 5 2 2 3" xfId="4022"/>
    <cellStyle name="Normal 2 2 2 5 2 2 4" xfId="17510"/>
    <cellStyle name="Normal 2 2 2 5 2 2 5" xfId="16992"/>
    <cellStyle name="Normal 2 2 2 5 2 2_FC with allocations" xfId="24688"/>
    <cellStyle name="Normal 2 2 2 5 2 3" xfId="1834"/>
    <cellStyle name="Normal 2 2 2 5 2 3 2" xfId="4024"/>
    <cellStyle name="Normal 2 2 2 5 2 3 3" xfId="17512"/>
    <cellStyle name="Normal 2 2 2 5 2 3 4" xfId="16994"/>
    <cellStyle name="Normal 2 2 2 5 2 3_FC with allocations" xfId="24690"/>
    <cellStyle name="Normal 2 2 2 5 2 4" xfId="4021"/>
    <cellStyle name="Normal 2 2 2 5 2 5" xfId="17509"/>
    <cellStyle name="Normal 2 2 2 5 2 6" xfId="16991"/>
    <cellStyle name="Normal 2 2 2 5 2_FC with allocations" xfId="24687"/>
    <cellStyle name="Normal 2 2 2 5 3" xfId="1835"/>
    <cellStyle name="Normal 2 2 2 5 3 2" xfId="1836"/>
    <cellStyle name="Normal 2 2 2 5 3 2 2" xfId="4026"/>
    <cellStyle name="Normal 2 2 2 5 3 2 3" xfId="17514"/>
    <cellStyle name="Normal 2 2 2 5 3 2 4" xfId="16996"/>
    <cellStyle name="Normal 2 2 2 5 3 2_FC with allocations" xfId="24692"/>
    <cellStyle name="Normal 2 2 2 5 3 3" xfId="4025"/>
    <cellStyle name="Normal 2 2 2 5 3 4" xfId="17513"/>
    <cellStyle name="Normal 2 2 2 5 3 5" xfId="16995"/>
    <cellStyle name="Normal 2 2 2 5 3_FC with allocations" xfId="24691"/>
    <cellStyle name="Normal 2 2 2 5 4" xfId="1837"/>
    <cellStyle name="Normal 2 2 2 5 4 2" xfId="4027"/>
    <cellStyle name="Normal 2 2 2 5 4 3" xfId="17515"/>
    <cellStyle name="Normal 2 2 2 5 4 4" xfId="16997"/>
    <cellStyle name="Normal 2 2 2 5 4_FC with allocations" xfId="24693"/>
    <cellStyle name="Normal 2 2 2 5 5" xfId="4020"/>
    <cellStyle name="Normal 2 2 2 5 6" xfId="17508"/>
    <cellStyle name="Normal 2 2 2 5 7" xfId="16990"/>
    <cellStyle name="Normal 2 2 2 5_FC with allocations" xfId="24686"/>
    <cellStyle name="Normal 2 2 2 6" xfId="1838"/>
    <cellStyle name="Normal 2 2 2 6 2" xfId="1839"/>
    <cellStyle name="Normal 2 2 2 6 2 2" xfId="1840"/>
    <cellStyle name="Normal 2 2 2 6 2 2 2" xfId="4030"/>
    <cellStyle name="Normal 2 2 2 6 2 2 3" xfId="17518"/>
    <cellStyle name="Normal 2 2 2 6 2 2 4" xfId="17000"/>
    <cellStyle name="Normal 2 2 2 6 2 2_FC with allocations" xfId="24696"/>
    <cellStyle name="Normal 2 2 2 6 2 3" xfId="4029"/>
    <cellStyle name="Normal 2 2 2 6 2 4" xfId="17517"/>
    <cellStyle name="Normal 2 2 2 6 2 5" xfId="16999"/>
    <cellStyle name="Normal 2 2 2 6 2_FC with allocations" xfId="24695"/>
    <cellStyle name="Normal 2 2 2 6 3" xfId="1841"/>
    <cellStyle name="Normal 2 2 2 6 3 2" xfId="4031"/>
    <cellStyle name="Normal 2 2 2 6 3 3" xfId="17519"/>
    <cellStyle name="Normal 2 2 2 6 3 4" xfId="17001"/>
    <cellStyle name="Normal 2 2 2 6 3_FC with allocations" xfId="24697"/>
    <cellStyle name="Normal 2 2 2 6 4" xfId="4028"/>
    <cellStyle name="Normal 2 2 2 6 5" xfId="17516"/>
    <cellStyle name="Normal 2 2 2 6 6" xfId="16998"/>
    <cellStyle name="Normal 2 2 2 6_FC with allocations" xfId="24694"/>
    <cellStyle name="Normal 2 2 2 7" xfId="1842"/>
    <cellStyle name="Normal 2 2 2 7 2" xfId="1843"/>
    <cellStyle name="Normal 2 2 2 7 2 2" xfId="1844"/>
    <cellStyle name="Normal 2 2 2 7 2 2 2" xfId="4034"/>
    <cellStyle name="Normal 2 2 2 7 2 2 3" xfId="17522"/>
    <cellStyle name="Normal 2 2 2 7 2 2 4" xfId="17004"/>
    <cellStyle name="Normal 2 2 2 7 2 2_FC with allocations" xfId="24700"/>
    <cellStyle name="Normal 2 2 2 7 2 3" xfId="4033"/>
    <cellStyle name="Normal 2 2 2 7 2 4" xfId="17521"/>
    <cellStyle name="Normal 2 2 2 7 2 5" xfId="17003"/>
    <cellStyle name="Normal 2 2 2 7 2_FC with allocations" xfId="24699"/>
    <cellStyle name="Normal 2 2 2 7 3" xfId="1845"/>
    <cellStyle name="Normal 2 2 2 7 3 2" xfId="4035"/>
    <cellStyle name="Normal 2 2 2 7 3 3" xfId="17523"/>
    <cellStyle name="Normal 2 2 2 7 3 4" xfId="17005"/>
    <cellStyle name="Normal 2 2 2 7 3_FC with allocations" xfId="24701"/>
    <cellStyle name="Normal 2 2 2 7 4" xfId="4032"/>
    <cellStyle name="Normal 2 2 2 7 5" xfId="17520"/>
    <cellStyle name="Normal 2 2 2 7 6" xfId="17002"/>
    <cellStyle name="Normal 2 2 2 7_FC with allocations" xfId="24698"/>
    <cellStyle name="Normal 2 2 2 8" xfId="1846"/>
    <cellStyle name="Normal 2 2 2 8 2" xfId="1847"/>
    <cellStyle name="Normal 2 2 2 8 2 2" xfId="4037"/>
    <cellStyle name="Normal 2 2 2 8 2 3" xfId="17525"/>
    <cellStyle name="Normal 2 2 2 8 2 4" xfId="17007"/>
    <cellStyle name="Normal 2 2 2 8 2_FC with allocations" xfId="24703"/>
    <cellStyle name="Normal 2 2 2 8 3" xfId="4036"/>
    <cellStyle name="Normal 2 2 2 8 4" xfId="17524"/>
    <cellStyle name="Normal 2 2 2 8 5" xfId="17006"/>
    <cellStyle name="Normal 2 2 2 8_FC with allocations" xfId="24702"/>
    <cellStyle name="Normal 2 2 2 9" xfId="1848"/>
    <cellStyle name="Normal 2 2 2 9 2" xfId="4038"/>
    <cellStyle name="Normal 2 2 2 9 3" xfId="17526"/>
    <cellStyle name="Normal 2 2 2 9 4" xfId="17008"/>
    <cellStyle name="Normal 2 2 2 9_FC with allocations" xfId="24704"/>
    <cellStyle name="Normal 2 2 2_FC with allocations" xfId="24477"/>
    <cellStyle name="Normal 2 2 3" xfId="1849"/>
    <cellStyle name="Normal 2 2 3 10" xfId="6217"/>
    <cellStyle name="Normal 2 2 3 11" xfId="16548"/>
    <cellStyle name="Normal 2 2 3 11 2" xfId="18574"/>
    <cellStyle name="Normal 2 2 3 11 2 2" xfId="19593"/>
    <cellStyle name="Normal 2 2 3 11 2 2 2" xfId="21603"/>
    <cellStyle name="Normal 2 2 3 11 2 2 3" xfId="23761"/>
    <cellStyle name="Normal 2 2 3 11 2 2_FC with allocations" xfId="24708"/>
    <cellStyle name="Normal 2 2 3 11 2 3" xfId="20727"/>
    <cellStyle name="Normal 2 2 3 11 2 4" xfId="22884"/>
    <cellStyle name="Normal 2 2 3 11 2_FC with allocations" xfId="24707"/>
    <cellStyle name="Normal 2 2 3 11 3" xfId="18999"/>
    <cellStyle name="Normal 2 2 3 11 3 2" xfId="21151"/>
    <cellStyle name="Normal 2 2 3 11 3 3" xfId="23308"/>
    <cellStyle name="Normal 2 2 3 11 3_FC with allocations" xfId="24709"/>
    <cellStyle name="Normal 2 2 3 11 4" xfId="20112"/>
    <cellStyle name="Normal 2 2 3 11 5" xfId="22228"/>
    <cellStyle name="Normal 2 2 3 11_FC with allocations" xfId="24706"/>
    <cellStyle name="Normal 2 2 3 12" xfId="4533"/>
    <cellStyle name="Normal 2 2 3 12 2" xfId="18109"/>
    <cellStyle name="Normal 2 2 3 12 2 2" xfId="19428"/>
    <cellStyle name="Normal 2 2 3 12 2 2 2" xfId="21438"/>
    <cellStyle name="Normal 2 2 3 12 2 2 3" xfId="23596"/>
    <cellStyle name="Normal 2 2 3 12 2 2_FC with allocations" xfId="24712"/>
    <cellStyle name="Normal 2 2 3 12 2 3" xfId="20561"/>
    <cellStyle name="Normal 2 2 3 12 2 4" xfId="22703"/>
    <cellStyle name="Normal 2 2 3 12 2_FC with allocations" xfId="24711"/>
    <cellStyle name="Normal 2 2 3 12 3" xfId="18968"/>
    <cellStyle name="Normal 2 2 3 12 3 2" xfId="21120"/>
    <cellStyle name="Normal 2 2 3 12 3 3" xfId="23277"/>
    <cellStyle name="Normal 2 2 3 12 3_FC with allocations" xfId="24713"/>
    <cellStyle name="Normal 2 2 3 12 4" xfId="19944"/>
    <cellStyle name="Normal 2 2 3 12 5" xfId="21939"/>
    <cellStyle name="Normal 2 2 3 12_FC with allocations" xfId="24710"/>
    <cellStyle name="Normal 2 2 3 13" xfId="16828"/>
    <cellStyle name="Normal 2 2 3 13 2" xfId="20331"/>
    <cellStyle name="Normal 2 2 3 13 3" xfId="22471"/>
    <cellStyle name="Normal 2 2 3 13_FC with allocations" xfId="24714"/>
    <cellStyle name="Normal 2 2 3 14" xfId="18792"/>
    <cellStyle name="Normal 2 2 3 14 2" xfId="20945"/>
    <cellStyle name="Normal 2 2 3 14 3" xfId="23102"/>
    <cellStyle name="Normal 2 2 3 14_FC with allocations" xfId="24715"/>
    <cellStyle name="Normal 2 2 3 2" xfId="1850"/>
    <cellStyle name="Normal 2 2 3 2 2" xfId="1851"/>
    <cellStyle name="Normal 2 2 3 2 2 2" xfId="1852"/>
    <cellStyle name="Normal 2 2 3 2 2 2 2" xfId="1853"/>
    <cellStyle name="Normal 2 2 3 2 2 2 2 2" xfId="4042"/>
    <cellStyle name="Normal 2 2 3 2 2 2 2 3" xfId="17530"/>
    <cellStyle name="Normal 2 2 3 2 2 2 2 4" xfId="17013"/>
    <cellStyle name="Normal 2 2 3 2 2 2 2_FC with allocations" xfId="24719"/>
    <cellStyle name="Normal 2 2 3 2 2 2 3" xfId="4041"/>
    <cellStyle name="Normal 2 2 3 2 2 2 4" xfId="17529"/>
    <cellStyle name="Normal 2 2 3 2 2 2 5" xfId="17012"/>
    <cellStyle name="Normal 2 2 3 2 2 2_FC with allocations" xfId="24718"/>
    <cellStyle name="Normal 2 2 3 2 2 3" xfId="1854"/>
    <cellStyle name="Normal 2 2 3 2 2 3 2" xfId="4043"/>
    <cellStyle name="Normal 2 2 3 2 2 3 3" xfId="17531"/>
    <cellStyle name="Normal 2 2 3 2 2 3 4" xfId="17014"/>
    <cellStyle name="Normal 2 2 3 2 2 3_FC with allocations" xfId="24720"/>
    <cellStyle name="Normal 2 2 3 2 2 4" xfId="4040"/>
    <cellStyle name="Normal 2 2 3 2 2 5" xfId="17528"/>
    <cellStyle name="Normal 2 2 3 2 2 6" xfId="17011"/>
    <cellStyle name="Normal 2 2 3 2 2_FC with allocations" xfId="24717"/>
    <cellStyle name="Normal 2 2 3 2 3" xfId="1855"/>
    <cellStyle name="Normal 2 2 3 2 3 2" xfId="1856"/>
    <cellStyle name="Normal 2 2 3 2 3 2 2" xfId="4045"/>
    <cellStyle name="Normal 2 2 3 2 3 2 3" xfId="17533"/>
    <cellStyle name="Normal 2 2 3 2 3 2 4" xfId="17016"/>
    <cellStyle name="Normal 2 2 3 2 3 2_FC with allocations" xfId="24722"/>
    <cellStyle name="Normal 2 2 3 2 3 3" xfId="4044"/>
    <cellStyle name="Normal 2 2 3 2 3 4" xfId="17532"/>
    <cellStyle name="Normal 2 2 3 2 3 5" xfId="17015"/>
    <cellStyle name="Normal 2 2 3 2 3_FC with allocations" xfId="24721"/>
    <cellStyle name="Normal 2 2 3 2 4" xfId="1857"/>
    <cellStyle name="Normal 2 2 3 2 4 2" xfId="4046"/>
    <cellStyle name="Normal 2 2 3 2 4 3" xfId="17534"/>
    <cellStyle name="Normal 2 2 3 2 4 4" xfId="17017"/>
    <cellStyle name="Normal 2 2 3 2 4_FC with allocations" xfId="24723"/>
    <cellStyle name="Normal 2 2 3 2 5" xfId="4039"/>
    <cellStyle name="Normal 2 2 3 2 6" xfId="17527"/>
    <cellStyle name="Normal 2 2 3 2 7" xfId="17010"/>
    <cellStyle name="Normal 2 2 3 2_FC with allocations" xfId="24716"/>
    <cellStyle name="Normal 2 2 3 3" xfId="1858"/>
    <cellStyle name="Normal 2 2 3 3 2" xfId="1859"/>
    <cellStyle name="Normal 2 2 3 3 2 2" xfId="1860"/>
    <cellStyle name="Normal 2 2 3 3 2 2 2" xfId="4049"/>
    <cellStyle name="Normal 2 2 3 3 2 2 3" xfId="17537"/>
    <cellStyle name="Normal 2 2 3 3 2 2 4" xfId="17020"/>
    <cellStyle name="Normal 2 2 3 3 2 2_FC with allocations" xfId="24726"/>
    <cellStyle name="Normal 2 2 3 3 2 3" xfId="4048"/>
    <cellStyle name="Normal 2 2 3 3 2 4" xfId="17536"/>
    <cellStyle name="Normal 2 2 3 3 2 5" xfId="17019"/>
    <cellStyle name="Normal 2 2 3 3 2_FC with allocations" xfId="24725"/>
    <cellStyle name="Normal 2 2 3 3 3" xfId="1861"/>
    <cellStyle name="Normal 2 2 3 3 3 2" xfId="4050"/>
    <cellStyle name="Normal 2 2 3 3 3 3" xfId="17538"/>
    <cellStyle name="Normal 2 2 3 3 3 4" xfId="17021"/>
    <cellStyle name="Normal 2 2 3 3 3_FC with allocations" xfId="24727"/>
    <cellStyle name="Normal 2 2 3 3 4" xfId="4047"/>
    <cellStyle name="Normal 2 2 3 3 5" xfId="17535"/>
    <cellStyle name="Normal 2 2 3 3 6" xfId="17018"/>
    <cellStyle name="Normal 2 2 3 3_FC with allocations" xfId="24724"/>
    <cellStyle name="Normal 2 2 3 4" xfId="1862"/>
    <cellStyle name="Normal 2 2 3 4 2" xfId="1863"/>
    <cellStyle name="Normal 2 2 3 4 2 2" xfId="1864"/>
    <cellStyle name="Normal 2 2 3 4 2 2 2" xfId="4053"/>
    <cellStyle name="Normal 2 2 3 4 2 2 3" xfId="17541"/>
    <cellStyle name="Normal 2 2 3 4 2 2 4" xfId="17024"/>
    <cellStyle name="Normal 2 2 3 4 2 2_FC with allocations" xfId="24730"/>
    <cellStyle name="Normal 2 2 3 4 2 3" xfId="4052"/>
    <cellStyle name="Normal 2 2 3 4 2 4" xfId="17540"/>
    <cellStyle name="Normal 2 2 3 4 2 5" xfId="17023"/>
    <cellStyle name="Normal 2 2 3 4 2_FC with allocations" xfId="24729"/>
    <cellStyle name="Normal 2 2 3 4 3" xfId="1865"/>
    <cellStyle name="Normal 2 2 3 4 3 2" xfId="4054"/>
    <cellStyle name="Normal 2 2 3 4 3 3" xfId="17542"/>
    <cellStyle name="Normal 2 2 3 4 3 4" xfId="17025"/>
    <cellStyle name="Normal 2 2 3 4 3_FC with allocations" xfId="24731"/>
    <cellStyle name="Normal 2 2 3 4 4" xfId="4051"/>
    <cellStyle name="Normal 2 2 3 4 5" xfId="17539"/>
    <cellStyle name="Normal 2 2 3 4 6" xfId="17022"/>
    <cellStyle name="Normal 2 2 3 4_FC with allocations" xfId="24728"/>
    <cellStyle name="Normal 2 2 3 5" xfId="1866"/>
    <cellStyle name="Normal 2 2 3 5 2" xfId="1867"/>
    <cellStyle name="Normal 2 2 3 5 2 2" xfId="4056"/>
    <cellStyle name="Normal 2 2 3 5 2 3" xfId="17544"/>
    <cellStyle name="Normal 2 2 3 5 2 4" xfId="17027"/>
    <cellStyle name="Normal 2 2 3 5 2_FC with allocations" xfId="24733"/>
    <cellStyle name="Normal 2 2 3 5 3" xfId="4055"/>
    <cellStyle name="Normal 2 2 3 5 4" xfId="17543"/>
    <cellStyle name="Normal 2 2 3 5 5" xfId="17026"/>
    <cellStyle name="Normal 2 2 3 5_FC with allocations" xfId="24732"/>
    <cellStyle name="Normal 2 2 3 6" xfId="1868"/>
    <cellStyle name="Normal 2 2 3 6 2" xfId="4057"/>
    <cellStyle name="Normal 2 2 3 6 3" xfId="17545"/>
    <cellStyle name="Normal 2 2 3 6 4" xfId="17028"/>
    <cellStyle name="Normal 2 2 3 6_FC with allocations" xfId="24734"/>
    <cellStyle name="Normal 2 2 3 7" xfId="1869"/>
    <cellStyle name="Normal 2 2 3 7 2" xfId="4058"/>
    <cellStyle name="Normal 2 2 3 7_FC with allocations" xfId="24735"/>
    <cellStyle name="Normal 2 2 3 8" xfId="4472"/>
    <cellStyle name="Normal 2 2 3 8 10" xfId="19891"/>
    <cellStyle name="Normal 2 2 3 8 11" xfId="21884"/>
    <cellStyle name="Normal 2 2 3 8 2" xfId="4780"/>
    <cellStyle name="Normal 2 2 3 8 2 2" xfId="16658"/>
    <cellStyle name="Normal 2 2 3 8 2 2 2" xfId="18680"/>
    <cellStyle name="Normal 2 2 3 8 2 2 2 2" xfId="19699"/>
    <cellStyle name="Normal 2 2 3 8 2 2 2 2 2" xfId="21709"/>
    <cellStyle name="Normal 2 2 3 8 2 2 2 2 3" xfId="23867"/>
    <cellStyle name="Normal 2 2 3 8 2 2 2 2_FC with allocations" xfId="24740"/>
    <cellStyle name="Normal 2 2 3 8 2 2 2 3" xfId="20833"/>
    <cellStyle name="Normal 2 2 3 8 2 2 2 4" xfId="22990"/>
    <cellStyle name="Normal 2 2 3 8 2 2 2_FC with allocations" xfId="24739"/>
    <cellStyle name="Normal 2 2 3 8 2 2 3" xfId="19167"/>
    <cellStyle name="Normal 2 2 3 8 2 2 3 2" xfId="21300"/>
    <cellStyle name="Normal 2 2 3 8 2 2 3 3" xfId="23457"/>
    <cellStyle name="Normal 2 2 3 8 2 2 3_FC with allocations" xfId="24741"/>
    <cellStyle name="Normal 2 2 3 8 2 2 4" xfId="20218"/>
    <cellStyle name="Normal 2 2 3 8 2 2 5" xfId="22335"/>
    <cellStyle name="Normal 2 2 3 8 2 2_FC with allocations" xfId="24738"/>
    <cellStyle name="Normal 2 2 3 8 2 3" xfId="18243"/>
    <cellStyle name="Normal 2 2 3 8 2 3 2" xfId="19534"/>
    <cellStyle name="Normal 2 2 3 8 2 3 2 2" xfId="21544"/>
    <cellStyle name="Normal 2 2 3 8 2 3 2 3" xfId="23702"/>
    <cellStyle name="Normal 2 2 3 8 2 3 2_FC with allocations" xfId="24743"/>
    <cellStyle name="Normal 2 2 3 8 2 3 3" xfId="20667"/>
    <cellStyle name="Normal 2 2 3 8 2 3 4" xfId="22809"/>
    <cellStyle name="Normal 2 2 3 8 2 3_FC with allocations" xfId="24742"/>
    <cellStyle name="Normal 2 2 3 8 2 4" xfId="17936"/>
    <cellStyle name="Normal 2 2 3 8 2 4 2" xfId="20395"/>
    <cellStyle name="Normal 2 2 3 8 2 4 3" xfId="22535"/>
    <cellStyle name="Normal 2 2 3 8 2 4_FC with allocations" xfId="24744"/>
    <cellStyle name="Normal 2 2 3 8 2 5" xfId="18899"/>
    <cellStyle name="Normal 2 2 3 8 2 5 2" xfId="21051"/>
    <cellStyle name="Normal 2 2 3 8 2 5 3" xfId="23208"/>
    <cellStyle name="Normal 2 2 3 8 2 5_FC with allocations" xfId="24745"/>
    <cellStyle name="Normal 2 2 3 8 2 6" xfId="20050"/>
    <cellStyle name="Normal 2 2 3 8 2 7" xfId="22045"/>
    <cellStyle name="Normal 2 2 3 8 2_FC with allocations" xfId="24737"/>
    <cellStyle name="Normal 2 2 3 8 3" xfId="16605"/>
    <cellStyle name="Normal 2 2 3 8 3 2" xfId="18627"/>
    <cellStyle name="Normal 2 2 3 8 3 2 2" xfId="19646"/>
    <cellStyle name="Normal 2 2 3 8 3 2 2 2" xfId="21656"/>
    <cellStyle name="Normal 2 2 3 8 3 2 2 3" xfId="23814"/>
    <cellStyle name="Normal 2 2 3 8 3 2 2_FC with allocations" xfId="24748"/>
    <cellStyle name="Normal 2 2 3 8 3 2 3" xfId="20780"/>
    <cellStyle name="Normal 2 2 3 8 3 2 4" xfId="22937"/>
    <cellStyle name="Normal 2 2 3 8 3 2_FC with allocations" xfId="24747"/>
    <cellStyle name="Normal 2 2 3 8 3 3" xfId="17994"/>
    <cellStyle name="Normal 2 2 3 8 3 3 2" xfId="20448"/>
    <cellStyle name="Normal 2 2 3 8 3 3 3" xfId="22588"/>
    <cellStyle name="Normal 2 2 3 8 3 3_FC with allocations" xfId="24749"/>
    <cellStyle name="Normal 2 2 3 8 3 4" xfId="19113"/>
    <cellStyle name="Normal 2 2 3 8 3 4 2" xfId="21246"/>
    <cellStyle name="Normal 2 2 3 8 3 4 3" xfId="23403"/>
    <cellStyle name="Normal 2 2 3 8 3 4_FC with allocations" xfId="24750"/>
    <cellStyle name="Normal 2 2 3 8 3 5" xfId="20165"/>
    <cellStyle name="Normal 2 2 3 8 3 6" xfId="22282"/>
    <cellStyle name="Normal 2 2 3 8 3_FC with allocations" xfId="24746"/>
    <cellStyle name="Normal 2 2 3 8 4" xfId="4680"/>
    <cellStyle name="Normal 2 2 3 8 4 2" xfId="18190"/>
    <cellStyle name="Normal 2 2 3 8 4 2 2" xfId="19481"/>
    <cellStyle name="Normal 2 2 3 8 4 2 2 2" xfId="21491"/>
    <cellStyle name="Normal 2 2 3 8 4 2 2 3" xfId="23649"/>
    <cellStyle name="Normal 2 2 3 8 4 2 2_FC with allocations" xfId="24753"/>
    <cellStyle name="Normal 2 2 3 8 4 2 3" xfId="20614"/>
    <cellStyle name="Normal 2 2 3 8 4 2 4" xfId="22756"/>
    <cellStyle name="Normal 2 2 3 8 4 2_FC with allocations" xfId="24752"/>
    <cellStyle name="Normal 2 2 3 8 4 3" xfId="19055"/>
    <cellStyle name="Normal 2 2 3 8 4 3 2" xfId="21196"/>
    <cellStyle name="Normal 2 2 3 8 4 3 3" xfId="23353"/>
    <cellStyle name="Normal 2 2 3 8 4 3_FC with allocations" xfId="24754"/>
    <cellStyle name="Normal 2 2 3 8 4 4" xfId="19997"/>
    <cellStyle name="Normal 2 2 3 8 4 5" xfId="21992"/>
    <cellStyle name="Normal 2 2 3 8 4_FC with allocations" xfId="24751"/>
    <cellStyle name="Normal 2 2 3 8 5" xfId="16736"/>
    <cellStyle name="Normal 2 2 3 8 5 2" xfId="18740"/>
    <cellStyle name="Normal 2 2 3 8 5 2 2" xfId="20893"/>
    <cellStyle name="Normal 2 2 3 8 5 2 3" xfId="23050"/>
    <cellStyle name="Normal 2 2 3 8 5 2_FC with allocations" xfId="24756"/>
    <cellStyle name="Normal 2 2 3 8 5 3" xfId="19760"/>
    <cellStyle name="Normal 2 2 3 8 5 3 2" xfId="21770"/>
    <cellStyle name="Normal 2 2 3 8 5 3 3" xfId="23928"/>
    <cellStyle name="Normal 2 2 3 8 5 3_FC with allocations" xfId="24757"/>
    <cellStyle name="Normal 2 2 3 8 5 4" xfId="20279"/>
    <cellStyle name="Normal 2 2 3 8 5 5" xfId="22407"/>
    <cellStyle name="Normal 2 2 3 8 5_FC with allocations" xfId="24755"/>
    <cellStyle name="Normal 2 2 3 8 6" xfId="18056"/>
    <cellStyle name="Normal 2 2 3 8 6 2" xfId="19375"/>
    <cellStyle name="Normal 2 2 3 8 6 2 2" xfId="21385"/>
    <cellStyle name="Normal 2 2 3 8 6 2 3" xfId="23543"/>
    <cellStyle name="Normal 2 2 3 8 6 2_FC with allocations" xfId="24759"/>
    <cellStyle name="Normal 2 2 3 8 6 3" xfId="20508"/>
    <cellStyle name="Normal 2 2 3 8 6 4" xfId="22650"/>
    <cellStyle name="Normal 2 2 3 8 6_FC with allocations" xfId="24758"/>
    <cellStyle name="Normal 2 2 3 8 7" xfId="17009"/>
    <cellStyle name="Normal 2 2 3 8 8" xfId="18846"/>
    <cellStyle name="Normal 2 2 3 8 8 2" xfId="20998"/>
    <cellStyle name="Normal 2 2 3 8 8 3" xfId="23155"/>
    <cellStyle name="Normal 2 2 3 8 8_FC with allocations" xfId="24760"/>
    <cellStyle name="Normal 2 2 3 8 9" xfId="19814"/>
    <cellStyle name="Normal 2 2 3 8 9 2" xfId="21823"/>
    <cellStyle name="Normal 2 2 3 8 9 3" xfId="23981"/>
    <cellStyle name="Normal 2 2 3 8 9_FC with allocations" xfId="24761"/>
    <cellStyle name="Normal 2 2 3 8_FC with allocations" xfId="24736"/>
    <cellStyle name="Normal 2 2 3 9" xfId="4586"/>
    <cellStyle name="Normal 2 2 3_FC with allocations" xfId="24705"/>
    <cellStyle name="Normal 2 2 4" xfId="1870"/>
    <cellStyle name="Normal 2 2 4 2" xfId="6218"/>
    <cellStyle name="Normal 2 2 4_FC with allocations" xfId="24762"/>
    <cellStyle name="Normal 2 2 5" xfId="1871"/>
    <cellStyle name="Normal 2 2 5 2" xfId="1872"/>
    <cellStyle name="Normal 2 2 5 2 2" xfId="1873"/>
    <cellStyle name="Normal 2 2 5 2 2 2" xfId="1874"/>
    <cellStyle name="Normal 2 2 5 2 2 2 2" xfId="4062"/>
    <cellStyle name="Normal 2 2 5 2 2 2 3" xfId="17549"/>
    <cellStyle name="Normal 2 2 5 2 2 2 4" xfId="17032"/>
    <cellStyle name="Normal 2 2 5 2 2 2_FC with allocations" xfId="24766"/>
    <cellStyle name="Normal 2 2 5 2 2 3" xfId="4061"/>
    <cellStyle name="Normal 2 2 5 2 2 4" xfId="17548"/>
    <cellStyle name="Normal 2 2 5 2 2 5" xfId="17031"/>
    <cellStyle name="Normal 2 2 5 2 2_FC with allocations" xfId="24765"/>
    <cellStyle name="Normal 2 2 5 2 3" xfId="1875"/>
    <cellStyle name="Normal 2 2 5 2 3 2" xfId="4063"/>
    <cellStyle name="Normal 2 2 5 2 3 3" xfId="17550"/>
    <cellStyle name="Normal 2 2 5 2 3 4" xfId="17033"/>
    <cellStyle name="Normal 2 2 5 2 3_FC with allocations" xfId="24767"/>
    <cellStyle name="Normal 2 2 5 2 4" xfId="4060"/>
    <cellStyle name="Normal 2 2 5 2 5" xfId="17547"/>
    <cellStyle name="Normal 2 2 5 2 6" xfId="17030"/>
    <cellStyle name="Normal 2 2 5 2_FC with allocations" xfId="24764"/>
    <cellStyle name="Normal 2 2 5 3" xfId="1876"/>
    <cellStyle name="Normal 2 2 5 3 2" xfId="1877"/>
    <cellStyle name="Normal 2 2 5 3 2 2" xfId="4065"/>
    <cellStyle name="Normal 2 2 5 3 2 3" xfId="17552"/>
    <cellStyle name="Normal 2 2 5 3 2 4" xfId="17035"/>
    <cellStyle name="Normal 2 2 5 3 2_FC with allocations" xfId="24769"/>
    <cellStyle name="Normal 2 2 5 3 3" xfId="4064"/>
    <cellStyle name="Normal 2 2 5 3 4" xfId="17551"/>
    <cellStyle name="Normal 2 2 5 3 5" xfId="17034"/>
    <cellStyle name="Normal 2 2 5 3_FC with allocations" xfId="24768"/>
    <cellStyle name="Normal 2 2 5 4" xfId="1878"/>
    <cellStyle name="Normal 2 2 5 4 2" xfId="4066"/>
    <cellStyle name="Normal 2 2 5 4 3" xfId="17553"/>
    <cellStyle name="Normal 2 2 5 4 4" xfId="17036"/>
    <cellStyle name="Normal 2 2 5 4_FC with allocations" xfId="24770"/>
    <cellStyle name="Normal 2 2 5 5" xfId="4059"/>
    <cellStyle name="Normal 2 2 5 6" xfId="17546"/>
    <cellStyle name="Normal 2 2 5 7" xfId="17029"/>
    <cellStyle name="Normal 2 2 5_FC with allocations" xfId="24763"/>
    <cellStyle name="Normal 2 2 6" xfId="1879"/>
    <cellStyle name="Normal 2 2 6 2" xfId="1880"/>
    <cellStyle name="Normal 2 2 6 2 2" xfId="1881"/>
    <cellStyle name="Normal 2 2 6 2 2 2" xfId="4069"/>
    <cellStyle name="Normal 2 2 6 2 2 3" xfId="17556"/>
    <cellStyle name="Normal 2 2 6 2 2 4" xfId="17039"/>
    <cellStyle name="Normal 2 2 6 2 2_FC with allocations" xfId="24773"/>
    <cellStyle name="Normal 2 2 6 2 3" xfId="4068"/>
    <cellStyle name="Normal 2 2 6 2 4" xfId="17555"/>
    <cellStyle name="Normal 2 2 6 2 5" xfId="17038"/>
    <cellStyle name="Normal 2 2 6 2_FC with allocations" xfId="24772"/>
    <cellStyle name="Normal 2 2 6 3" xfId="1882"/>
    <cellStyle name="Normal 2 2 6 3 2" xfId="4070"/>
    <cellStyle name="Normal 2 2 6 3 3" xfId="17557"/>
    <cellStyle name="Normal 2 2 6 3 4" xfId="17040"/>
    <cellStyle name="Normal 2 2 6 3_FC with allocations" xfId="24774"/>
    <cellStyle name="Normal 2 2 6 4" xfId="4067"/>
    <cellStyle name="Normal 2 2 6 5" xfId="17554"/>
    <cellStyle name="Normal 2 2 6 6" xfId="17037"/>
    <cellStyle name="Normal 2 2 6_FC with allocations" xfId="24771"/>
    <cellStyle name="Normal 2 2 7" xfId="1883"/>
    <cellStyle name="Normal 2 2 7 2" xfId="1884"/>
    <cellStyle name="Normal 2 2 7 2 2" xfId="1885"/>
    <cellStyle name="Normal 2 2 7 2 2 2" xfId="4073"/>
    <cellStyle name="Normal 2 2 7 2 2 3" xfId="17560"/>
    <cellStyle name="Normal 2 2 7 2 2 4" xfId="17043"/>
    <cellStyle name="Normal 2 2 7 2 2_FC with allocations" xfId="24777"/>
    <cellStyle name="Normal 2 2 7 2 3" xfId="4072"/>
    <cellStyle name="Normal 2 2 7 2 4" xfId="17559"/>
    <cellStyle name="Normal 2 2 7 2 5" xfId="17042"/>
    <cellStyle name="Normal 2 2 7 2_FC with allocations" xfId="24776"/>
    <cellStyle name="Normal 2 2 7 3" xfId="1886"/>
    <cellStyle name="Normal 2 2 7 3 2" xfId="4074"/>
    <cellStyle name="Normal 2 2 7 3 3" xfId="17561"/>
    <cellStyle name="Normal 2 2 7 3 4" xfId="17044"/>
    <cellStyle name="Normal 2 2 7 3_FC with allocations" xfId="24778"/>
    <cellStyle name="Normal 2 2 7 4" xfId="4071"/>
    <cellStyle name="Normal 2 2 7 5" xfId="17558"/>
    <cellStyle name="Normal 2 2 7 6" xfId="17041"/>
    <cellStyle name="Normal 2 2 7_FC with allocations" xfId="24775"/>
    <cellStyle name="Normal 2 2 8" xfId="1887"/>
    <cellStyle name="Normal 2 2 8 2" xfId="1888"/>
    <cellStyle name="Normal 2 2 8 2 2" xfId="4076"/>
    <cellStyle name="Normal 2 2 8 2 3" xfId="17563"/>
    <cellStyle name="Normal 2 2 8 2 4" xfId="17046"/>
    <cellStyle name="Normal 2 2 8 2_FC with allocations" xfId="24780"/>
    <cellStyle name="Normal 2 2 8 3" xfId="4075"/>
    <cellStyle name="Normal 2 2 8 4" xfId="17562"/>
    <cellStyle name="Normal 2 2 8 5" xfId="17045"/>
    <cellStyle name="Normal 2 2 8_FC with allocations" xfId="24779"/>
    <cellStyle name="Normal 2 2 9" xfId="1889"/>
    <cellStyle name="Normal 2 2 9 2" xfId="4077"/>
    <cellStyle name="Normal 2 2 9 3" xfId="17564"/>
    <cellStyle name="Normal 2 2 9 4" xfId="17047"/>
    <cellStyle name="Normal 2 2 9_FC with allocations" xfId="24781"/>
    <cellStyle name="Normal 2 2_Customers" xfId="1890"/>
    <cellStyle name="Normal 2 3" xfId="1891"/>
    <cellStyle name="Normal 2 3 10" xfId="16511"/>
    <cellStyle name="Normal 2 3 2" xfId="1892"/>
    <cellStyle name="Normal 2 3 2 10" xfId="6220"/>
    <cellStyle name="Normal 2 3 2 11" xfId="16549"/>
    <cellStyle name="Normal 2 3 2 11 2" xfId="18575"/>
    <cellStyle name="Normal 2 3 2 11 2 2" xfId="19594"/>
    <cellStyle name="Normal 2 3 2 11 2 2 2" xfId="21604"/>
    <cellStyle name="Normal 2 3 2 11 2 2 3" xfId="23762"/>
    <cellStyle name="Normal 2 3 2 11 2 2_FC with allocations" xfId="24785"/>
    <cellStyle name="Normal 2 3 2 11 2 3" xfId="20728"/>
    <cellStyle name="Normal 2 3 2 11 2 4" xfId="22885"/>
    <cellStyle name="Normal 2 3 2 11 2_FC with allocations" xfId="24784"/>
    <cellStyle name="Normal 2 3 2 11 3" xfId="19000"/>
    <cellStyle name="Normal 2 3 2 11 3 2" xfId="21152"/>
    <cellStyle name="Normal 2 3 2 11 3 3" xfId="23309"/>
    <cellStyle name="Normal 2 3 2 11 3_FC with allocations" xfId="24786"/>
    <cellStyle name="Normal 2 3 2 11 4" xfId="20113"/>
    <cellStyle name="Normal 2 3 2 11 5" xfId="22229"/>
    <cellStyle name="Normal 2 3 2 11_FC with allocations" xfId="24783"/>
    <cellStyle name="Normal 2 3 2 12" xfId="4534"/>
    <cellStyle name="Normal 2 3 2 12 2" xfId="18110"/>
    <cellStyle name="Normal 2 3 2 12 2 2" xfId="19429"/>
    <cellStyle name="Normal 2 3 2 12 2 2 2" xfId="21439"/>
    <cellStyle name="Normal 2 3 2 12 2 2 3" xfId="23597"/>
    <cellStyle name="Normal 2 3 2 12 2 2_FC with allocations" xfId="24789"/>
    <cellStyle name="Normal 2 3 2 12 2 3" xfId="20562"/>
    <cellStyle name="Normal 2 3 2 12 2 4" xfId="22704"/>
    <cellStyle name="Normal 2 3 2 12 2_FC with allocations" xfId="24788"/>
    <cellStyle name="Normal 2 3 2 12 3" xfId="19047"/>
    <cellStyle name="Normal 2 3 2 12 3 2" xfId="21188"/>
    <cellStyle name="Normal 2 3 2 12 3 3" xfId="23345"/>
    <cellStyle name="Normal 2 3 2 12 3_FC with allocations" xfId="24790"/>
    <cellStyle name="Normal 2 3 2 12 4" xfId="19945"/>
    <cellStyle name="Normal 2 3 2 12 5" xfId="21940"/>
    <cellStyle name="Normal 2 3 2 12_FC with allocations" xfId="24787"/>
    <cellStyle name="Normal 2 3 2 13" xfId="16829"/>
    <cellStyle name="Normal 2 3 2 13 2" xfId="20332"/>
    <cellStyle name="Normal 2 3 2 13 3" xfId="22472"/>
    <cellStyle name="Normal 2 3 2 13_FC with allocations" xfId="24791"/>
    <cellStyle name="Normal 2 3 2 14" xfId="18793"/>
    <cellStyle name="Normal 2 3 2 14 2" xfId="20946"/>
    <cellStyle name="Normal 2 3 2 14 3" xfId="23103"/>
    <cellStyle name="Normal 2 3 2 14_FC with allocations" xfId="24792"/>
    <cellStyle name="Normal 2 3 2 2" xfId="1893"/>
    <cellStyle name="Normal 2 3 2 2 2" xfId="1894"/>
    <cellStyle name="Normal 2 3 2 2 2 2" xfId="1895"/>
    <cellStyle name="Normal 2 3 2 2 2 2 2" xfId="1896"/>
    <cellStyle name="Normal 2 3 2 2 2 2 2 2" xfId="4081"/>
    <cellStyle name="Normal 2 3 2 2 2 2 2 3" xfId="17568"/>
    <cellStyle name="Normal 2 3 2 2 2 2 2 4" xfId="17052"/>
    <cellStyle name="Normal 2 3 2 2 2 2 2_FC with allocations" xfId="24796"/>
    <cellStyle name="Normal 2 3 2 2 2 2 3" xfId="4080"/>
    <cellStyle name="Normal 2 3 2 2 2 2 4" xfId="17567"/>
    <cellStyle name="Normal 2 3 2 2 2 2 5" xfId="17051"/>
    <cellStyle name="Normal 2 3 2 2 2 2_FC with allocations" xfId="24795"/>
    <cellStyle name="Normal 2 3 2 2 2 3" xfId="1897"/>
    <cellStyle name="Normal 2 3 2 2 2 3 2" xfId="4082"/>
    <cellStyle name="Normal 2 3 2 2 2 3 3" xfId="17569"/>
    <cellStyle name="Normal 2 3 2 2 2 3 4" xfId="17053"/>
    <cellStyle name="Normal 2 3 2 2 2 3_FC with allocations" xfId="24797"/>
    <cellStyle name="Normal 2 3 2 2 2 4" xfId="4079"/>
    <cellStyle name="Normal 2 3 2 2 2 5" xfId="6222"/>
    <cellStyle name="Normal 2 3 2 2 2 5 2" xfId="18314"/>
    <cellStyle name="Normal 2 3 2 2 2 5 3" xfId="17566"/>
    <cellStyle name="Normal 2 3 2 2 2 5_FC with allocations" xfId="24798"/>
    <cellStyle name="Normal 2 3 2 2 2 6" xfId="17050"/>
    <cellStyle name="Normal 2 3 2 2 2_FC with allocations" xfId="24794"/>
    <cellStyle name="Normal 2 3 2 2 3" xfId="1898"/>
    <cellStyle name="Normal 2 3 2 2 3 2" xfId="1899"/>
    <cellStyle name="Normal 2 3 2 2 3 2 2" xfId="4084"/>
    <cellStyle name="Normal 2 3 2 2 3 2 3" xfId="17571"/>
    <cellStyle name="Normal 2 3 2 2 3 2 4" xfId="17055"/>
    <cellStyle name="Normal 2 3 2 2 3 2_FC with allocations" xfId="24800"/>
    <cellStyle name="Normal 2 3 2 2 3 3" xfId="4083"/>
    <cellStyle name="Normal 2 3 2 2 3 4" xfId="17570"/>
    <cellStyle name="Normal 2 3 2 2 3 5" xfId="17054"/>
    <cellStyle name="Normal 2 3 2 2 3_FC with allocations" xfId="24799"/>
    <cellStyle name="Normal 2 3 2 2 4" xfId="1900"/>
    <cellStyle name="Normal 2 3 2 2 4 2" xfId="4085"/>
    <cellStyle name="Normal 2 3 2 2 4 3" xfId="17572"/>
    <cellStyle name="Normal 2 3 2 2 4 4" xfId="17056"/>
    <cellStyle name="Normal 2 3 2 2 4_FC with allocations" xfId="24801"/>
    <cellStyle name="Normal 2 3 2 2 5" xfId="4078"/>
    <cellStyle name="Normal 2 3 2 2 6" xfId="6221"/>
    <cellStyle name="Normal 2 3 2 2 6 2" xfId="18313"/>
    <cellStyle name="Normal 2 3 2 2 6 3" xfId="17565"/>
    <cellStyle name="Normal 2 3 2 2 6_FC with allocations" xfId="24802"/>
    <cellStyle name="Normal 2 3 2 2 7" xfId="17049"/>
    <cellStyle name="Normal 2 3 2 2_FC with allocations" xfId="24793"/>
    <cellStyle name="Normal 2 3 2 3" xfId="1901"/>
    <cellStyle name="Normal 2 3 2 3 2" xfId="1902"/>
    <cellStyle name="Normal 2 3 2 3 2 2" xfId="1903"/>
    <cellStyle name="Normal 2 3 2 3 2 2 2" xfId="4088"/>
    <cellStyle name="Normal 2 3 2 3 2 2 3" xfId="17575"/>
    <cellStyle name="Normal 2 3 2 3 2 2 4" xfId="17059"/>
    <cellStyle name="Normal 2 3 2 3 2 2_FC with allocations" xfId="24805"/>
    <cellStyle name="Normal 2 3 2 3 2 3" xfId="4087"/>
    <cellStyle name="Normal 2 3 2 3 2 4" xfId="17574"/>
    <cellStyle name="Normal 2 3 2 3 2 5" xfId="17058"/>
    <cellStyle name="Normal 2 3 2 3 2_FC with allocations" xfId="24804"/>
    <cellStyle name="Normal 2 3 2 3 3" xfId="1904"/>
    <cellStyle name="Normal 2 3 2 3 3 2" xfId="4089"/>
    <cellStyle name="Normal 2 3 2 3 3 3" xfId="17576"/>
    <cellStyle name="Normal 2 3 2 3 3 4" xfId="17060"/>
    <cellStyle name="Normal 2 3 2 3 3_FC with allocations" xfId="24806"/>
    <cellStyle name="Normal 2 3 2 3 4" xfId="4086"/>
    <cellStyle name="Normal 2 3 2 3 5" xfId="6223"/>
    <cellStyle name="Normal 2 3 2 3 5 2" xfId="18315"/>
    <cellStyle name="Normal 2 3 2 3 5 3" xfId="17573"/>
    <cellStyle name="Normal 2 3 2 3 5_FC with allocations" xfId="24807"/>
    <cellStyle name="Normal 2 3 2 3 6" xfId="17057"/>
    <cellStyle name="Normal 2 3 2 3_FC with allocations" xfId="24803"/>
    <cellStyle name="Normal 2 3 2 4" xfId="1905"/>
    <cellStyle name="Normal 2 3 2 4 2" xfId="1906"/>
    <cellStyle name="Normal 2 3 2 4 2 2" xfId="1907"/>
    <cellStyle name="Normal 2 3 2 4 2 2 2" xfId="4092"/>
    <cellStyle name="Normal 2 3 2 4 2 2 3" xfId="17579"/>
    <cellStyle name="Normal 2 3 2 4 2 2 4" xfId="17063"/>
    <cellStyle name="Normal 2 3 2 4 2 2_FC with allocations" xfId="24810"/>
    <cellStyle name="Normal 2 3 2 4 2 3" xfId="4091"/>
    <cellStyle name="Normal 2 3 2 4 2 4" xfId="17578"/>
    <cellStyle name="Normal 2 3 2 4 2 5" xfId="17062"/>
    <cellStyle name="Normal 2 3 2 4 2_FC with allocations" xfId="24809"/>
    <cellStyle name="Normal 2 3 2 4 3" xfId="1908"/>
    <cellStyle name="Normal 2 3 2 4 3 2" xfId="4093"/>
    <cellStyle name="Normal 2 3 2 4 3 3" xfId="17580"/>
    <cellStyle name="Normal 2 3 2 4 3 4" xfId="17064"/>
    <cellStyle name="Normal 2 3 2 4 3_FC with allocations" xfId="24811"/>
    <cellStyle name="Normal 2 3 2 4 4" xfId="4090"/>
    <cellStyle name="Normal 2 3 2 4 5" xfId="17577"/>
    <cellStyle name="Normal 2 3 2 4 6" xfId="17061"/>
    <cellStyle name="Normal 2 3 2 4_FC with allocations" xfId="24808"/>
    <cellStyle name="Normal 2 3 2 5" xfId="1909"/>
    <cellStyle name="Normal 2 3 2 5 2" xfId="1910"/>
    <cellStyle name="Normal 2 3 2 5 2 2" xfId="4095"/>
    <cellStyle name="Normal 2 3 2 5 2 3" xfId="17582"/>
    <cellStyle name="Normal 2 3 2 5 2 4" xfId="17066"/>
    <cellStyle name="Normal 2 3 2 5 2_FC with allocations" xfId="24813"/>
    <cellStyle name="Normal 2 3 2 5 3" xfId="4094"/>
    <cellStyle name="Normal 2 3 2 5 4" xfId="17581"/>
    <cellStyle name="Normal 2 3 2 5 5" xfId="17065"/>
    <cellStyle name="Normal 2 3 2 5_FC with allocations" xfId="24812"/>
    <cellStyle name="Normal 2 3 2 6" xfId="1911"/>
    <cellStyle name="Normal 2 3 2 6 2" xfId="4096"/>
    <cellStyle name="Normal 2 3 2 6 3" xfId="17583"/>
    <cellStyle name="Normal 2 3 2 6 4" xfId="17067"/>
    <cellStyle name="Normal 2 3 2 6_FC with allocations" xfId="24814"/>
    <cellStyle name="Normal 2 3 2 7" xfId="1912"/>
    <cellStyle name="Normal 2 3 2 7 2" xfId="4097"/>
    <cellStyle name="Normal 2 3 2 7_FC with allocations" xfId="24815"/>
    <cellStyle name="Normal 2 3 2 8" xfId="4473"/>
    <cellStyle name="Normal 2 3 2 8 10" xfId="19892"/>
    <cellStyle name="Normal 2 3 2 8 11" xfId="21885"/>
    <cellStyle name="Normal 2 3 2 8 2" xfId="4781"/>
    <cellStyle name="Normal 2 3 2 8 2 2" xfId="16659"/>
    <cellStyle name="Normal 2 3 2 8 2 2 2" xfId="18681"/>
    <cellStyle name="Normal 2 3 2 8 2 2 2 2" xfId="19700"/>
    <cellStyle name="Normal 2 3 2 8 2 2 2 2 2" xfId="21710"/>
    <cellStyle name="Normal 2 3 2 8 2 2 2 2 3" xfId="23868"/>
    <cellStyle name="Normal 2 3 2 8 2 2 2 2_FC with allocations" xfId="24820"/>
    <cellStyle name="Normal 2 3 2 8 2 2 2 3" xfId="20834"/>
    <cellStyle name="Normal 2 3 2 8 2 2 2 4" xfId="22991"/>
    <cellStyle name="Normal 2 3 2 8 2 2 2_FC with allocations" xfId="24819"/>
    <cellStyle name="Normal 2 3 2 8 2 2 3" xfId="19168"/>
    <cellStyle name="Normal 2 3 2 8 2 2 3 2" xfId="21301"/>
    <cellStyle name="Normal 2 3 2 8 2 2 3 3" xfId="23458"/>
    <cellStyle name="Normal 2 3 2 8 2 2 3_FC with allocations" xfId="24821"/>
    <cellStyle name="Normal 2 3 2 8 2 2 4" xfId="20219"/>
    <cellStyle name="Normal 2 3 2 8 2 2 5" xfId="22336"/>
    <cellStyle name="Normal 2 3 2 8 2 2_FC with allocations" xfId="24818"/>
    <cellStyle name="Normal 2 3 2 8 2 3" xfId="18244"/>
    <cellStyle name="Normal 2 3 2 8 2 3 2" xfId="19535"/>
    <cellStyle name="Normal 2 3 2 8 2 3 2 2" xfId="21545"/>
    <cellStyle name="Normal 2 3 2 8 2 3 2 3" xfId="23703"/>
    <cellStyle name="Normal 2 3 2 8 2 3 2_FC with allocations" xfId="24823"/>
    <cellStyle name="Normal 2 3 2 8 2 3 3" xfId="20668"/>
    <cellStyle name="Normal 2 3 2 8 2 3 4" xfId="22810"/>
    <cellStyle name="Normal 2 3 2 8 2 3_FC with allocations" xfId="24822"/>
    <cellStyle name="Normal 2 3 2 8 2 4" xfId="17937"/>
    <cellStyle name="Normal 2 3 2 8 2 4 2" xfId="20396"/>
    <cellStyle name="Normal 2 3 2 8 2 4 3" xfId="22536"/>
    <cellStyle name="Normal 2 3 2 8 2 4_FC with allocations" xfId="24824"/>
    <cellStyle name="Normal 2 3 2 8 2 5" xfId="18900"/>
    <cellStyle name="Normal 2 3 2 8 2 5 2" xfId="21052"/>
    <cellStyle name="Normal 2 3 2 8 2 5 3" xfId="23209"/>
    <cellStyle name="Normal 2 3 2 8 2 5_FC with allocations" xfId="24825"/>
    <cellStyle name="Normal 2 3 2 8 2 6" xfId="20051"/>
    <cellStyle name="Normal 2 3 2 8 2 7" xfId="22046"/>
    <cellStyle name="Normal 2 3 2 8 2_FC with allocations" xfId="24817"/>
    <cellStyle name="Normal 2 3 2 8 3" xfId="16606"/>
    <cellStyle name="Normal 2 3 2 8 3 2" xfId="18628"/>
    <cellStyle name="Normal 2 3 2 8 3 2 2" xfId="19647"/>
    <cellStyle name="Normal 2 3 2 8 3 2 2 2" xfId="21657"/>
    <cellStyle name="Normal 2 3 2 8 3 2 2 3" xfId="23815"/>
    <cellStyle name="Normal 2 3 2 8 3 2 2_FC with allocations" xfId="24828"/>
    <cellStyle name="Normal 2 3 2 8 3 2 3" xfId="20781"/>
    <cellStyle name="Normal 2 3 2 8 3 2 4" xfId="22938"/>
    <cellStyle name="Normal 2 3 2 8 3 2_FC with allocations" xfId="24827"/>
    <cellStyle name="Normal 2 3 2 8 3 3" xfId="17995"/>
    <cellStyle name="Normal 2 3 2 8 3 3 2" xfId="20449"/>
    <cellStyle name="Normal 2 3 2 8 3 3 3" xfId="22589"/>
    <cellStyle name="Normal 2 3 2 8 3 3_FC with allocations" xfId="24829"/>
    <cellStyle name="Normal 2 3 2 8 3 4" xfId="19114"/>
    <cellStyle name="Normal 2 3 2 8 3 4 2" xfId="21247"/>
    <cellStyle name="Normal 2 3 2 8 3 4 3" xfId="23404"/>
    <cellStyle name="Normal 2 3 2 8 3 4_FC with allocations" xfId="24830"/>
    <cellStyle name="Normal 2 3 2 8 3 5" xfId="20166"/>
    <cellStyle name="Normal 2 3 2 8 3 6" xfId="22283"/>
    <cellStyle name="Normal 2 3 2 8 3_FC with allocations" xfId="24826"/>
    <cellStyle name="Normal 2 3 2 8 4" xfId="4681"/>
    <cellStyle name="Normal 2 3 2 8 4 2" xfId="18191"/>
    <cellStyle name="Normal 2 3 2 8 4 2 2" xfId="19482"/>
    <cellStyle name="Normal 2 3 2 8 4 2 2 2" xfId="21492"/>
    <cellStyle name="Normal 2 3 2 8 4 2 2 3" xfId="23650"/>
    <cellStyle name="Normal 2 3 2 8 4 2 2_FC with allocations" xfId="24833"/>
    <cellStyle name="Normal 2 3 2 8 4 2 3" xfId="20615"/>
    <cellStyle name="Normal 2 3 2 8 4 2 4" xfId="22757"/>
    <cellStyle name="Normal 2 3 2 8 4 2_FC with allocations" xfId="24832"/>
    <cellStyle name="Normal 2 3 2 8 4 3" xfId="19078"/>
    <cellStyle name="Normal 2 3 2 8 4 3 2" xfId="21213"/>
    <cellStyle name="Normal 2 3 2 8 4 3 3" xfId="23370"/>
    <cellStyle name="Normal 2 3 2 8 4 3_FC with allocations" xfId="24834"/>
    <cellStyle name="Normal 2 3 2 8 4 4" xfId="19998"/>
    <cellStyle name="Normal 2 3 2 8 4 5" xfId="21993"/>
    <cellStyle name="Normal 2 3 2 8 4_FC with allocations" xfId="24831"/>
    <cellStyle name="Normal 2 3 2 8 5" xfId="16737"/>
    <cellStyle name="Normal 2 3 2 8 5 2" xfId="18741"/>
    <cellStyle name="Normal 2 3 2 8 5 2 2" xfId="20894"/>
    <cellStyle name="Normal 2 3 2 8 5 2 3" xfId="23051"/>
    <cellStyle name="Normal 2 3 2 8 5 2_FC with allocations" xfId="24836"/>
    <cellStyle name="Normal 2 3 2 8 5 3" xfId="19761"/>
    <cellStyle name="Normal 2 3 2 8 5 3 2" xfId="21771"/>
    <cellStyle name="Normal 2 3 2 8 5 3 3" xfId="23929"/>
    <cellStyle name="Normal 2 3 2 8 5 3_FC with allocations" xfId="24837"/>
    <cellStyle name="Normal 2 3 2 8 5 4" xfId="20280"/>
    <cellStyle name="Normal 2 3 2 8 5 5" xfId="22408"/>
    <cellStyle name="Normal 2 3 2 8 5_FC with allocations" xfId="24835"/>
    <cellStyle name="Normal 2 3 2 8 6" xfId="18057"/>
    <cellStyle name="Normal 2 3 2 8 6 2" xfId="19376"/>
    <cellStyle name="Normal 2 3 2 8 6 2 2" xfId="21386"/>
    <cellStyle name="Normal 2 3 2 8 6 2 3" xfId="23544"/>
    <cellStyle name="Normal 2 3 2 8 6 2_FC with allocations" xfId="24839"/>
    <cellStyle name="Normal 2 3 2 8 6 3" xfId="20509"/>
    <cellStyle name="Normal 2 3 2 8 6 4" xfId="22651"/>
    <cellStyle name="Normal 2 3 2 8 6_FC with allocations" xfId="24838"/>
    <cellStyle name="Normal 2 3 2 8 7" xfId="17048"/>
    <cellStyle name="Normal 2 3 2 8 8" xfId="18847"/>
    <cellStyle name="Normal 2 3 2 8 8 2" xfId="20999"/>
    <cellStyle name="Normal 2 3 2 8 8 3" xfId="23156"/>
    <cellStyle name="Normal 2 3 2 8 8_FC with allocations" xfId="24840"/>
    <cellStyle name="Normal 2 3 2 8 9" xfId="19815"/>
    <cellStyle name="Normal 2 3 2 8 9 2" xfId="21824"/>
    <cellStyle name="Normal 2 3 2 8 9 3" xfId="23982"/>
    <cellStyle name="Normal 2 3 2 8 9_FC with allocations" xfId="24841"/>
    <cellStyle name="Normal 2 3 2 8_FC with allocations" xfId="24816"/>
    <cellStyle name="Normal 2 3 2 9" xfId="4587"/>
    <cellStyle name="Normal 2 3 2_FC with allocations" xfId="24782"/>
    <cellStyle name="Normal 2 3 3" xfId="1913"/>
    <cellStyle name="Normal 2 3 3 2" xfId="1914"/>
    <cellStyle name="Normal 2 3 3 2 2" xfId="1915"/>
    <cellStyle name="Normal 2 3 3 2 2 2" xfId="1916"/>
    <cellStyle name="Normal 2 3 3 2 2 2 2" xfId="4101"/>
    <cellStyle name="Normal 2 3 3 2 2 2 3" xfId="17587"/>
    <cellStyle name="Normal 2 3 3 2 2 2 4" xfId="17071"/>
    <cellStyle name="Normal 2 3 3 2 2 2_FC with allocations" xfId="24845"/>
    <cellStyle name="Normal 2 3 3 2 2 3" xfId="4100"/>
    <cellStyle name="Normal 2 3 3 2 2 4" xfId="6226"/>
    <cellStyle name="Normal 2 3 3 2 2 4 2" xfId="18318"/>
    <cellStyle name="Normal 2 3 3 2 2 4 3" xfId="17586"/>
    <cellStyle name="Normal 2 3 3 2 2 4_FC with allocations" xfId="24846"/>
    <cellStyle name="Normal 2 3 3 2 2 5" xfId="17070"/>
    <cellStyle name="Normal 2 3 3 2 2_FC with allocations" xfId="24844"/>
    <cellStyle name="Normal 2 3 3 2 3" xfId="1917"/>
    <cellStyle name="Normal 2 3 3 2 3 2" xfId="4102"/>
    <cellStyle name="Normal 2 3 3 2 3 3" xfId="17588"/>
    <cellStyle name="Normal 2 3 3 2 3 4" xfId="17072"/>
    <cellStyle name="Normal 2 3 3 2 3_FC with allocations" xfId="24847"/>
    <cellStyle name="Normal 2 3 3 2 4" xfId="4099"/>
    <cellStyle name="Normal 2 3 3 2 5" xfId="6225"/>
    <cellStyle name="Normal 2 3 3 2 5 2" xfId="18317"/>
    <cellStyle name="Normal 2 3 3 2 5 3" xfId="17585"/>
    <cellStyle name="Normal 2 3 3 2 5_FC with allocations" xfId="24848"/>
    <cellStyle name="Normal 2 3 3 2 6" xfId="17069"/>
    <cellStyle name="Normal 2 3 3 2_FC with allocations" xfId="24843"/>
    <cellStyle name="Normal 2 3 3 3" xfId="1918"/>
    <cellStyle name="Normal 2 3 3 3 2" xfId="1919"/>
    <cellStyle name="Normal 2 3 3 3 2 2" xfId="4104"/>
    <cellStyle name="Normal 2 3 3 3 2 3" xfId="17590"/>
    <cellStyle name="Normal 2 3 3 3 2 4" xfId="17074"/>
    <cellStyle name="Normal 2 3 3 3 2_FC with allocations" xfId="24850"/>
    <cellStyle name="Normal 2 3 3 3 3" xfId="4103"/>
    <cellStyle name="Normal 2 3 3 3 4" xfId="6227"/>
    <cellStyle name="Normal 2 3 3 3 4 2" xfId="18319"/>
    <cellStyle name="Normal 2 3 3 3 4 3" xfId="17589"/>
    <cellStyle name="Normal 2 3 3 3 4_FC with allocations" xfId="24851"/>
    <cellStyle name="Normal 2 3 3 3 5" xfId="17073"/>
    <cellStyle name="Normal 2 3 3 3_FC with allocations" xfId="24849"/>
    <cellStyle name="Normal 2 3 3 4" xfId="1920"/>
    <cellStyle name="Normal 2 3 3 4 2" xfId="4105"/>
    <cellStyle name="Normal 2 3 3 4 3" xfId="17591"/>
    <cellStyle name="Normal 2 3 3 4 4" xfId="17075"/>
    <cellStyle name="Normal 2 3 3 4_FC with allocations" xfId="24852"/>
    <cellStyle name="Normal 2 3 3 5" xfId="4098"/>
    <cellStyle name="Normal 2 3 3 6" xfId="6224"/>
    <cellStyle name="Normal 2 3 3 6 2" xfId="18316"/>
    <cellStyle name="Normal 2 3 3 6 3" xfId="17584"/>
    <cellStyle name="Normal 2 3 3 6_FC with allocations" xfId="24853"/>
    <cellStyle name="Normal 2 3 3 7" xfId="17068"/>
    <cellStyle name="Normal 2 3 3_FC with allocations" xfId="24842"/>
    <cellStyle name="Normal 2 3 4" xfId="1921"/>
    <cellStyle name="Normal 2 3 4 2" xfId="1922"/>
    <cellStyle name="Normal 2 3 4 2 2" xfId="1923"/>
    <cellStyle name="Normal 2 3 4 2 2 2" xfId="4108"/>
    <cellStyle name="Normal 2 3 4 2 2 3" xfId="17594"/>
    <cellStyle name="Normal 2 3 4 2 2 4" xfId="17078"/>
    <cellStyle name="Normal 2 3 4 2 2_FC with allocations" xfId="24856"/>
    <cellStyle name="Normal 2 3 4 2 3" xfId="4107"/>
    <cellStyle name="Normal 2 3 4 2 4" xfId="17593"/>
    <cellStyle name="Normal 2 3 4 2 5" xfId="17077"/>
    <cellStyle name="Normal 2 3 4 2_FC with allocations" xfId="24855"/>
    <cellStyle name="Normal 2 3 4 3" xfId="1924"/>
    <cellStyle name="Normal 2 3 4 3 2" xfId="4109"/>
    <cellStyle name="Normal 2 3 4 3 3" xfId="17595"/>
    <cellStyle name="Normal 2 3 4 3 4" xfId="17079"/>
    <cellStyle name="Normal 2 3 4 3_FC with allocations" xfId="24857"/>
    <cellStyle name="Normal 2 3 4 4" xfId="4106"/>
    <cellStyle name="Normal 2 3 4 5" xfId="17592"/>
    <cellStyle name="Normal 2 3 4 6" xfId="17076"/>
    <cellStyle name="Normal 2 3 4_FC with allocations" xfId="24854"/>
    <cellStyle name="Normal 2 3 5" xfId="1925"/>
    <cellStyle name="Normal 2 3 5 2" xfId="1926"/>
    <cellStyle name="Normal 2 3 5 2 2" xfId="1927"/>
    <cellStyle name="Normal 2 3 5 2 2 2" xfId="4112"/>
    <cellStyle name="Normal 2 3 5 2 2 3" xfId="17598"/>
    <cellStyle name="Normal 2 3 5 2 2 4" xfId="17082"/>
    <cellStyle name="Normal 2 3 5 2 2_FC with allocations" xfId="24860"/>
    <cellStyle name="Normal 2 3 5 2 3" xfId="4111"/>
    <cellStyle name="Normal 2 3 5 2 4" xfId="17597"/>
    <cellStyle name="Normal 2 3 5 2 5" xfId="17081"/>
    <cellStyle name="Normal 2 3 5 2_FC with allocations" xfId="24859"/>
    <cellStyle name="Normal 2 3 5 3" xfId="1928"/>
    <cellStyle name="Normal 2 3 5 3 2" xfId="4113"/>
    <cellStyle name="Normal 2 3 5 3 3" xfId="17599"/>
    <cellStyle name="Normal 2 3 5 3 4" xfId="17083"/>
    <cellStyle name="Normal 2 3 5 3_FC with allocations" xfId="24861"/>
    <cellStyle name="Normal 2 3 5 4" xfId="4110"/>
    <cellStyle name="Normal 2 3 5 5" xfId="17596"/>
    <cellStyle name="Normal 2 3 5 6" xfId="17080"/>
    <cellStyle name="Normal 2 3 5_FC with allocations" xfId="24858"/>
    <cellStyle name="Normal 2 3 6" xfId="1929"/>
    <cellStyle name="Normal 2 3 6 2" xfId="1930"/>
    <cellStyle name="Normal 2 3 6 2 2" xfId="4115"/>
    <cellStyle name="Normal 2 3 6 2 3" xfId="17601"/>
    <cellStyle name="Normal 2 3 6 2 4" xfId="17085"/>
    <cellStyle name="Normal 2 3 6 2_FC with allocations" xfId="24863"/>
    <cellStyle name="Normal 2 3 6 3" xfId="4114"/>
    <cellStyle name="Normal 2 3 6 4" xfId="17600"/>
    <cellStyle name="Normal 2 3 6 5" xfId="17084"/>
    <cellStyle name="Normal 2 3 6_FC with allocations" xfId="24862"/>
    <cellStyle name="Normal 2 3 7" xfId="1931"/>
    <cellStyle name="Normal 2 3 7 2" xfId="4116"/>
    <cellStyle name="Normal 2 3 7 3" xfId="17602"/>
    <cellStyle name="Normal 2 3 7 4" xfId="17086"/>
    <cellStyle name="Normal 2 3 7_FC with allocations" xfId="24864"/>
    <cellStyle name="Normal 2 3 8" xfId="6219"/>
    <cellStyle name="Normal 2 3 9" xfId="16510"/>
    <cellStyle name="Normal 2 3_Customers" xfId="1932"/>
    <cellStyle name="Normal 2 4" xfId="1933"/>
    <cellStyle name="Normal 2 4 2" xfId="6228"/>
    <cellStyle name="Normal 2 4 2 2" xfId="6229"/>
    <cellStyle name="Normal 2 4 2 2 2" xfId="6230"/>
    <cellStyle name="Normal 2 4 2 2_FC with allocations" xfId="24867"/>
    <cellStyle name="Normal 2 4 2 3" xfId="6231"/>
    <cellStyle name="Normal 2 4 2_FC with allocations" xfId="24866"/>
    <cellStyle name="Normal 2 4 3" xfId="6232"/>
    <cellStyle name="Normal 2 4_FC with allocations" xfId="24865"/>
    <cellStyle name="Normal 2 5" xfId="1934"/>
    <cellStyle name="Normal 2 5 2" xfId="1935"/>
    <cellStyle name="Normal 2 5 2 2" xfId="6234"/>
    <cellStyle name="Normal 2 5 2_FC with allocations" xfId="24869"/>
    <cellStyle name="Normal 2 5 3" xfId="6233"/>
    <cellStyle name="Normal 2 5_FC with allocations" xfId="24868"/>
    <cellStyle name="Normal 2 6" xfId="1936"/>
    <cellStyle name="Normal 2 6 2" xfId="1937"/>
    <cellStyle name="Normal 2 6 2 2" xfId="1938"/>
    <cellStyle name="Normal 2 6 2 2 2" xfId="1939"/>
    <cellStyle name="Normal 2 6 2 2 2 2" xfId="4119"/>
    <cellStyle name="Normal 2 6 2 2 2 3" xfId="17605"/>
    <cellStyle name="Normal 2 6 2 2 2 4" xfId="17089"/>
    <cellStyle name="Normal 2 6 2 2 2_FC with allocations" xfId="24873"/>
    <cellStyle name="Normal 2 6 2 2 3" xfId="4118"/>
    <cellStyle name="Normal 2 6 2 2 4" xfId="17604"/>
    <cellStyle name="Normal 2 6 2 2 5" xfId="17088"/>
    <cellStyle name="Normal 2 6 2 2_FC with allocations" xfId="24872"/>
    <cellStyle name="Normal 2 6 2 3" xfId="1940"/>
    <cellStyle name="Normal 2 6 2 3 2" xfId="4120"/>
    <cellStyle name="Normal 2 6 2 3 3" xfId="17606"/>
    <cellStyle name="Normal 2 6 2 3 4" xfId="17090"/>
    <cellStyle name="Normal 2 6 2 3_FC with allocations" xfId="24874"/>
    <cellStyle name="Normal 2 6 2 4" xfId="4117"/>
    <cellStyle name="Normal 2 6 2 5" xfId="6236"/>
    <cellStyle name="Normal 2 6 2 5 2" xfId="18320"/>
    <cellStyle name="Normal 2 6 2 5 3" xfId="17603"/>
    <cellStyle name="Normal 2 6 2 5_FC with allocations" xfId="24875"/>
    <cellStyle name="Normal 2 6 2 6" xfId="17087"/>
    <cellStyle name="Normal 2 6 2_FC with allocations" xfId="24871"/>
    <cellStyle name="Normal 2 6 3" xfId="1941"/>
    <cellStyle name="Normal 2 6 3 2" xfId="1942"/>
    <cellStyle name="Normal 2 6 3 2 2" xfId="4122"/>
    <cellStyle name="Normal 2 6 3 2 3" xfId="6238"/>
    <cellStyle name="Normal 2 6 3 2 3 2" xfId="18322"/>
    <cellStyle name="Normal 2 6 3 2 3 3" xfId="17608"/>
    <cellStyle name="Normal 2 6 3 2 3_FC with allocations" xfId="24878"/>
    <cellStyle name="Normal 2 6 3 2 4" xfId="17092"/>
    <cellStyle name="Normal 2 6 3 2_FC with allocations" xfId="24877"/>
    <cellStyle name="Normal 2 6 3 3" xfId="4121"/>
    <cellStyle name="Normal 2 6 3 4" xfId="6237"/>
    <cellStyle name="Normal 2 6 3 4 2" xfId="18321"/>
    <cellStyle name="Normal 2 6 3 4 3" xfId="17607"/>
    <cellStyle name="Normal 2 6 3 4_FC with allocations" xfId="24879"/>
    <cellStyle name="Normal 2 6 3 5" xfId="17091"/>
    <cellStyle name="Normal 2 6 3_FC with allocations" xfId="24876"/>
    <cellStyle name="Normal 2 6 4" xfId="1943"/>
    <cellStyle name="Normal 2 6 4 2" xfId="4123"/>
    <cellStyle name="Normal 2 6 4 3" xfId="6239"/>
    <cellStyle name="Normal 2 6 4 3 2" xfId="18323"/>
    <cellStyle name="Normal 2 6 4 3 3" xfId="17609"/>
    <cellStyle name="Normal 2 6 4 3_FC with allocations" xfId="24881"/>
    <cellStyle name="Normal 2 6 4 4" xfId="17093"/>
    <cellStyle name="Normal 2 6 4_FC with allocations" xfId="24880"/>
    <cellStyle name="Normal 2 6 5" xfId="1944"/>
    <cellStyle name="Normal 2 6 5 2" xfId="4124"/>
    <cellStyle name="Normal 2 6 5 3" xfId="17610"/>
    <cellStyle name="Normal 2 6 5 4" xfId="17094"/>
    <cellStyle name="Normal 2 6 5_FC with allocations" xfId="24882"/>
    <cellStyle name="Normal 2 6 6" xfId="6235"/>
    <cellStyle name="Normal 2 6_FC with allocations" xfId="24870"/>
    <cellStyle name="Normal 2 7" xfId="1945"/>
    <cellStyle name="Normal 2 7 2" xfId="1946"/>
    <cellStyle name="Normal 2 7 2 2" xfId="1947"/>
    <cellStyle name="Normal 2 7 2 2 2" xfId="4126"/>
    <cellStyle name="Normal 2 7 2 2 3" xfId="17612"/>
    <cellStyle name="Normal 2 7 2 2 4" xfId="17096"/>
    <cellStyle name="Normal 2 7 2 2_FC with allocations" xfId="24885"/>
    <cellStyle name="Normal 2 7 2 3" xfId="4125"/>
    <cellStyle name="Normal 2 7 2 4" xfId="17611"/>
    <cellStyle name="Normal 2 7 2 5" xfId="17095"/>
    <cellStyle name="Normal 2 7 2_FC with allocations" xfId="24884"/>
    <cellStyle name="Normal 2 7 3" xfId="1948"/>
    <cellStyle name="Normal 2 7 3 2" xfId="4127"/>
    <cellStyle name="Normal 2 7 3 3" xfId="17613"/>
    <cellStyle name="Normal 2 7 3 4" xfId="17097"/>
    <cellStyle name="Normal 2 7 3_FC with allocations" xfId="24886"/>
    <cellStyle name="Normal 2 7 4" xfId="1949"/>
    <cellStyle name="Normal 2 7 4 2" xfId="4128"/>
    <cellStyle name="Normal 2 7 4 3" xfId="17614"/>
    <cellStyle name="Normal 2 7 4 4" xfId="17098"/>
    <cellStyle name="Normal 2 7 4_FC with allocations" xfId="24887"/>
    <cellStyle name="Normal 2 7 5" xfId="6240"/>
    <cellStyle name="Normal 2 7_FC with allocations" xfId="24883"/>
    <cellStyle name="Normal 2 8" xfId="1950"/>
    <cellStyle name="Normal 2 8 2" xfId="1951"/>
    <cellStyle name="Normal 2 8 2 2" xfId="1952"/>
    <cellStyle name="Normal 2 8 2 2 2" xfId="4130"/>
    <cellStyle name="Normal 2 8 2 2 3" xfId="17616"/>
    <cellStyle name="Normal 2 8 2 2 4" xfId="17100"/>
    <cellStyle name="Normal 2 8 2 2_FC with allocations" xfId="24890"/>
    <cellStyle name="Normal 2 8 2 3" xfId="4129"/>
    <cellStyle name="Normal 2 8 2 4" xfId="17615"/>
    <cellStyle name="Normal 2 8 2 5" xfId="17099"/>
    <cellStyle name="Normal 2 8 2_FC with allocations" xfId="24889"/>
    <cellStyle name="Normal 2 8 3" xfId="1953"/>
    <cellStyle name="Normal 2 8 3 2" xfId="4131"/>
    <cellStyle name="Normal 2 8 3 3" xfId="17617"/>
    <cellStyle name="Normal 2 8 3 4" xfId="17101"/>
    <cellStyle name="Normal 2 8 3_FC with allocations" xfId="24891"/>
    <cellStyle name="Normal 2 8 4" xfId="1954"/>
    <cellStyle name="Normal 2 8 4 2" xfId="4132"/>
    <cellStyle name="Normal 2 8 4 3" xfId="17618"/>
    <cellStyle name="Normal 2 8 4 4" xfId="17102"/>
    <cellStyle name="Normal 2 8 4_FC with allocations" xfId="24892"/>
    <cellStyle name="Normal 2 8_FC with allocations" xfId="24888"/>
    <cellStyle name="Normal 2 9" xfId="1955"/>
    <cellStyle name="Normal 2 9 2" xfId="1956"/>
    <cellStyle name="Normal 2 9 2 2" xfId="4133"/>
    <cellStyle name="Normal 2 9 2 3" xfId="17619"/>
    <cellStyle name="Normal 2 9 2 4" xfId="17103"/>
    <cellStyle name="Normal 2 9 2_FC with allocations" xfId="24894"/>
    <cellStyle name="Normal 2 9 3" xfId="1957"/>
    <cellStyle name="Normal 2 9 3 2" xfId="4134"/>
    <cellStyle name="Normal 2 9 3 3" xfId="17620"/>
    <cellStyle name="Normal 2 9 3 4" xfId="17104"/>
    <cellStyle name="Normal 2 9 3_FC with allocations" xfId="24895"/>
    <cellStyle name="Normal 2 9_FC with allocations" xfId="24893"/>
    <cellStyle name="Normal 2_Customers" xfId="1958"/>
    <cellStyle name="Normal 20" xfId="1959"/>
    <cellStyle name="Normal 20 10" xfId="6242"/>
    <cellStyle name="Normal 20 11" xfId="6243"/>
    <cellStyle name="Normal 20 12" xfId="6244"/>
    <cellStyle name="Normal 20 13" xfId="6245"/>
    <cellStyle name="Normal 20 13 2" xfId="6246"/>
    <cellStyle name="Normal 20 13_FC with allocations" xfId="24897"/>
    <cellStyle name="Normal 20 14" xfId="6247"/>
    <cellStyle name="Normal 20 15" xfId="6241"/>
    <cellStyle name="Normal 20 2" xfId="1960"/>
    <cellStyle name="Normal 20 2 2" xfId="6249"/>
    <cellStyle name="Normal 20 2 2 2" xfId="6250"/>
    <cellStyle name="Normal 20 2 2 2 2" xfId="6251"/>
    <cellStyle name="Normal 20 2 2 2 2 2" xfId="6252"/>
    <cellStyle name="Normal 20 2 2 2 2_FC with allocations" xfId="24901"/>
    <cellStyle name="Normal 20 2 2 2 3" xfId="6253"/>
    <cellStyle name="Normal 20 2 2 2_FC with allocations" xfId="24900"/>
    <cellStyle name="Normal 20 2 2 3" xfId="6254"/>
    <cellStyle name="Normal 20 2 2 4" xfId="6255"/>
    <cellStyle name="Normal 20 2 2 4 2" xfId="6256"/>
    <cellStyle name="Normal 20 2 2 4_FC with allocations" xfId="24902"/>
    <cellStyle name="Normal 20 2 2 5" xfId="6257"/>
    <cellStyle name="Normal 20 2 2_FC with allocations" xfId="24899"/>
    <cellStyle name="Normal 20 2 3" xfId="6258"/>
    <cellStyle name="Normal 20 2 3 2" xfId="6259"/>
    <cellStyle name="Normal 20 2 3 3" xfId="6260"/>
    <cellStyle name="Normal 20 2 3 3 2" xfId="6261"/>
    <cellStyle name="Normal 20 2 3 3_FC with allocations" xfId="24904"/>
    <cellStyle name="Normal 20 2 3 4" xfId="6262"/>
    <cellStyle name="Normal 20 2 3_FC with allocations" xfId="24903"/>
    <cellStyle name="Normal 20 2 4" xfId="6263"/>
    <cellStyle name="Normal 20 2 4 2" xfId="6264"/>
    <cellStyle name="Normal 20 2 4 2 2" xfId="6265"/>
    <cellStyle name="Normal 20 2 4 2_FC with allocations" xfId="24906"/>
    <cellStyle name="Normal 20 2 4 3" xfId="6266"/>
    <cellStyle name="Normal 20 2 4_FC with allocations" xfId="24905"/>
    <cellStyle name="Normal 20 2 5" xfId="6248"/>
    <cellStyle name="Normal 20 2_FC with allocations" xfId="24898"/>
    <cellStyle name="Normal 20 3" xfId="6267"/>
    <cellStyle name="Normal 20 3 2" xfId="6268"/>
    <cellStyle name="Normal 20 3 2 2" xfId="6269"/>
    <cellStyle name="Normal 20 3 2 3" xfId="6270"/>
    <cellStyle name="Normal 20 3 2 3 2" xfId="6271"/>
    <cellStyle name="Normal 20 3 2 3_FC with allocations" xfId="24909"/>
    <cellStyle name="Normal 20 3 2 4" xfId="6272"/>
    <cellStyle name="Normal 20 3 2_FC with allocations" xfId="24908"/>
    <cellStyle name="Normal 20 3 3" xfId="6273"/>
    <cellStyle name="Normal 20 3 3 2" xfId="6274"/>
    <cellStyle name="Normal 20 3 3 3" xfId="6275"/>
    <cellStyle name="Normal 20 3 3 3 2" xfId="6276"/>
    <cellStyle name="Normal 20 3 3 3_FC with allocations" xfId="24911"/>
    <cellStyle name="Normal 20 3 3 4" xfId="6277"/>
    <cellStyle name="Normal 20 3 3_FC with allocations" xfId="24910"/>
    <cellStyle name="Normal 20 3_FC with allocations" xfId="24907"/>
    <cellStyle name="Normal 20 4" xfId="6278"/>
    <cellStyle name="Normal 20 4 2" xfId="6279"/>
    <cellStyle name="Normal 20 4 2 2" xfId="6280"/>
    <cellStyle name="Normal 20 4 2 3" xfId="6281"/>
    <cellStyle name="Normal 20 4 2 3 2" xfId="6282"/>
    <cellStyle name="Normal 20 4 2 3_FC with allocations" xfId="24914"/>
    <cellStyle name="Normal 20 4 2 4" xfId="6283"/>
    <cellStyle name="Normal 20 4 2_FC with allocations" xfId="24913"/>
    <cellStyle name="Normal 20 4 3" xfId="6284"/>
    <cellStyle name="Normal 20 4_FC with allocations" xfId="24912"/>
    <cellStyle name="Normal 20 5" xfId="6285"/>
    <cellStyle name="Normal 20 5 2" xfId="6286"/>
    <cellStyle name="Normal 20 5 3" xfId="6287"/>
    <cellStyle name="Normal 20 5_FC with allocations" xfId="24915"/>
    <cellStyle name="Normal 20 6" xfId="6288"/>
    <cellStyle name="Normal 20 6 2" xfId="6289"/>
    <cellStyle name="Normal 20 6 3" xfId="6290"/>
    <cellStyle name="Normal 20 6_FC with allocations" xfId="24916"/>
    <cellStyle name="Normal 20 7" xfId="6291"/>
    <cellStyle name="Normal 20 7 2" xfId="6292"/>
    <cellStyle name="Normal 20 7 3" xfId="6293"/>
    <cellStyle name="Normal 20 7_FC with allocations" xfId="24917"/>
    <cellStyle name="Normal 20 8" xfId="6294"/>
    <cellStyle name="Normal 20 8 2" xfId="6295"/>
    <cellStyle name="Normal 20 8 3" xfId="6296"/>
    <cellStyle name="Normal 20 8_FC with allocations" xfId="24918"/>
    <cellStyle name="Normal 20 9" xfId="6297"/>
    <cellStyle name="Normal 20 9 2" xfId="6298"/>
    <cellStyle name="Normal 20 9 3" xfId="6299"/>
    <cellStyle name="Normal 20 9_FC with allocations" xfId="24919"/>
    <cellStyle name="Normal 20_FC with allocations" xfId="24896"/>
    <cellStyle name="Normal 200" xfId="1961"/>
    <cellStyle name="Normal 201" xfId="1962"/>
    <cellStyle name="Normal 202" xfId="1963"/>
    <cellStyle name="Normal 203" xfId="1964"/>
    <cellStyle name="Normal 204" xfId="1965"/>
    <cellStyle name="Normal 205" xfId="1966"/>
    <cellStyle name="Normal 206" xfId="1967"/>
    <cellStyle name="Normal 207" xfId="1968"/>
    <cellStyle name="Normal 208" xfId="1969"/>
    <cellStyle name="Normal 209" xfId="1970"/>
    <cellStyle name="Normal 209 2" xfId="1971"/>
    <cellStyle name="Normal 209_FC with allocations" xfId="24920"/>
    <cellStyle name="Normal 21" xfId="1972"/>
    <cellStyle name="Normal 21 10" xfId="6301"/>
    <cellStyle name="Normal 21 11" xfId="6302"/>
    <cellStyle name="Normal 21 12" xfId="6303"/>
    <cellStyle name="Normal 21 13" xfId="6304"/>
    <cellStyle name="Normal 21 13 2" xfId="6305"/>
    <cellStyle name="Normal 21 13_FC with allocations" xfId="24922"/>
    <cellStyle name="Normal 21 14" xfId="6306"/>
    <cellStyle name="Normal 21 15" xfId="6300"/>
    <cellStyle name="Normal 21 2" xfId="1973"/>
    <cellStyle name="Normal 21 2 2" xfId="1974"/>
    <cellStyle name="Normal 21 2 2 2" xfId="1975"/>
    <cellStyle name="Normal 21 2 2 2 2" xfId="4137"/>
    <cellStyle name="Normal 21 2 2 2 2 2" xfId="6311"/>
    <cellStyle name="Normal 21 2 2 2 2 3" xfId="6310"/>
    <cellStyle name="Normal 21 2 2 2 2_FC with allocations" xfId="24926"/>
    <cellStyle name="Normal 21 2 2 2 3" xfId="6312"/>
    <cellStyle name="Normal 21 2 2 2 3 2" xfId="18325"/>
    <cellStyle name="Normal 21 2 2 2 3 3" xfId="17623"/>
    <cellStyle name="Normal 21 2 2 2 3_FC with allocations" xfId="24927"/>
    <cellStyle name="Normal 21 2 2 2 4" xfId="6309"/>
    <cellStyle name="Normal 21 2 2 2 5" xfId="17107"/>
    <cellStyle name="Normal 21 2 2 2_FC with allocations" xfId="24925"/>
    <cellStyle name="Normal 21 2 2 3" xfId="4136"/>
    <cellStyle name="Normal 21 2 2 3 2" xfId="6313"/>
    <cellStyle name="Normal 21 2 2 3_FC with allocations" xfId="24928"/>
    <cellStyle name="Normal 21 2 2 4" xfId="6314"/>
    <cellStyle name="Normal 21 2 2 4 2" xfId="6315"/>
    <cellStyle name="Normal 21 2 2 4 3" xfId="18326"/>
    <cellStyle name="Normal 21 2 2 4 4" xfId="17622"/>
    <cellStyle name="Normal 21 2 2 4_FC with allocations" xfId="24929"/>
    <cellStyle name="Normal 21 2 2 5" xfId="6316"/>
    <cellStyle name="Normal 21 2 2 6" xfId="6308"/>
    <cellStyle name="Normal 21 2 2 7" xfId="17106"/>
    <cellStyle name="Normal 21 2 2_FC with allocations" xfId="24924"/>
    <cellStyle name="Normal 21 2 3" xfId="1976"/>
    <cellStyle name="Normal 21 2 3 2" xfId="4138"/>
    <cellStyle name="Normal 21 2 3 2 2" xfId="6318"/>
    <cellStyle name="Normal 21 2 3 2_FC with allocations" xfId="24931"/>
    <cellStyle name="Normal 21 2 3 3" xfId="6319"/>
    <cellStyle name="Normal 21 2 3 3 2" xfId="6320"/>
    <cellStyle name="Normal 21 2 3 3 3" xfId="18327"/>
    <cellStyle name="Normal 21 2 3 3 4" xfId="17624"/>
    <cellStyle name="Normal 21 2 3 3_FC with allocations" xfId="24932"/>
    <cellStyle name="Normal 21 2 3 4" xfId="6321"/>
    <cellStyle name="Normal 21 2 3 5" xfId="6317"/>
    <cellStyle name="Normal 21 2 3 6" xfId="17108"/>
    <cellStyle name="Normal 21 2 3_FC with allocations" xfId="24930"/>
    <cellStyle name="Normal 21 2 4" xfId="4135"/>
    <cellStyle name="Normal 21 2 4 2" xfId="6323"/>
    <cellStyle name="Normal 21 2 4 2 2" xfId="6324"/>
    <cellStyle name="Normal 21 2 4 2_FC with allocations" xfId="24934"/>
    <cellStyle name="Normal 21 2 4 3" xfId="6325"/>
    <cellStyle name="Normal 21 2 4 4" xfId="6322"/>
    <cellStyle name="Normal 21 2 4_FC with allocations" xfId="24933"/>
    <cellStyle name="Normal 21 2 5" xfId="6307"/>
    <cellStyle name="Normal 21 2 5 2" xfId="18324"/>
    <cellStyle name="Normal 21 2 5 3" xfId="17621"/>
    <cellStyle name="Normal 21 2 5_FC with allocations" xfId="24935"/>
    <cellStyle name="Normal 21 2 6" xfId="17105"/>
    <cellStyle name="Normal 21 2_FC with allocations" xfId="24923"/>
    <cellStyle name="Normal 21 3" xfId="1977"/>
    <cellStyle name="Normal 21 3 2" xfId="1978"/>
    <cellStyle name="Normal 21 3 2 2" xfId="4140"/>
    <cellStyle name="Normal 21 3 2 2 2" xfId="6328"/>
    <cellStyle name="Normal 21 3 2 2_FC with allocations" xfId="24938"/>
    <cellStyle name="Normal 21 3 2 3" xfId="6329"/>
    <cellStyle name="Normal 21 3 2 3 2" xfId="6330"/>
    <cellStyle name="Normal 21 3 2 3 3" xfId="18329"/>
    <cellStyle name="Normal 21 3 2 3 4" xfId="17626"/>
    <cellStyle name="Normal 21 3 2 3_FC with allocations" xfId="24939"/>
    <cellStyle name="Normal 21 3 2 4" xfId="6331"/>
    <cellStyle name="Normal 21 3 2 5" xfId="6327"/>
    <cellStyle name="Normal 21 3 2 6" xfId="17110"/>
    <cellStyle name="Normal 21 3 2_FC with allocations" xfId="24937"/>
    <cellStyle name="Normal 21 3 3" xfId="4139"/>
    <cellStyle name="Normal 21 3 3 2" xfId="6333"/>
    <cellStyle name="Normal 21 3 3 3" xfId="6334"/>
    <cellStyle name="Normal 21 3 3 3 2" xfId="6335"/>
    <cellStyle name="Normal 21 3 3 3_FC with allocations" xfId="24941"/>
    <cellStyle name="Normal 21 3 3 4" xfId="6336"/>
    <cellStyle name="Normal 21 3 3 5" xfId="6332"/>
    <cellStyle name="Normal 21 3 3_FC with allocations" xfId="24940"/>
    <cellStyle name="Normal 21 3 4" xfId="6326"/>
    <cellStyle name="Normal 21 3 4 2" xfId="18328"/>
    <cellStyle name="Normal 21 3 4 3" xfId="17625"/>
    <cellStyle name="Normal 21 3 4_FC with allocations" xfId="24942"/>
    <cellStyle name="Normal 21 3 5" xfId="17109"/>
    <cellStyle name="Normal 21 3_FC with allocations" xfId="24936"/>
    <cellStyle name="Normal 21 4" xfId="1979"/>
    <cellStyle name="Normal 21 4 2" xfId="4141"/>
    <cellStyle name="Normal 21 4 2 2" xfId="6339"/>
    <cellStyle name="Normal 21 4 2 3" xfId="6340"/>
    <cellStyle name="Normal 21 4 2 3 2" xfId="6341"/>
    <cellStyle name="Normal 21 4 2 3_FC with allocations" xfId="24945"/>
    <cellStyle name="Normal 21 4 2 4" xfId="6342"/>
    <cellStyle name="Normal 21 4 2 5" xfId="6338"/>
    <cellStyle name="Normal 21 4 2_FC with allocations" xfId="24944"/>
    <cellStyle name="Normal 21 4 3" xfId="6343"/>
    <cellStyle name="Normal 21 4 3 2" xfId="18330"/>
    <cellStyle name="Normal 21 4 3 3" xfId="17627"/>
    <cellStyle name="Normal 21 4 3_FC with allocations" xfId="24946"/>
    <cellStyle name="Normal 21 4 4" xfId="6337"/>
    <cellStyle name="Normal 21 4 5" xfId="17111"/>
    <cellStyle name="Normal 21 4_FC with allocations" xfId="24943"/>
    <cellStyle name="Normal 21 5" xfId="1980"/>
    <cellStyle name="Normal 21 5 2" xfId="4142"/>
    <cellStyle name="Normal 21 5 2 2" xfId="6345"/>
    <cellStyle name="Normal 21 5 2_FC with allocations" xfId="24948"/>
    <cellStyle name="Normal 21 5 3" xfId="6346"/>
    <cellStyle name="Normal 21 5 3 2" xfId="18331"/>
    <cellStyle name="Normal 21 5 3 3" xfId="17628"/>
    <cellStyle name="Normal 21 5 3_FC with allocations" xfId="24949"/>
    <cellStyle name="Normal 21 5 4" xfId="6344"/>
    <cellStyle name="Normal 21 5 5" xfId="17112"/>
    <cellStyle name="Normal 21 5_FC with allocations" xfId="24947"/>
    <cellStyle name="Normal 21 6" xfId="6347"/>
    <cellStyle name="Normal 21 6 2" xfId="6348"/>
    <cellStyle name="Normal 21 6 3" xfId="6349"/>
    <cellStyle name="Normal 21 6_FC with allocations" xfId="24950"/>
    <cellStyle name="Normal 21 7" xfId="6350"/>
    <cellStyle name="Normal 21 7 2" xfId="6351"/>
    <cellStyle name="Normal 21 7 3" xfId="6352"/>
    <cellStyle name="Normal 21 7_FC with allocations" xfId="24951"/>
    <cellStyle name="Normal 21 8" xfId="6353"/>
    <cellStyle name="Normal 21 8 2" xfId="6354"/>
    <cellStyle name="Normal 21 8 3" xfId="6355"/>
    <cellStyle name="Normal 21 8_FC with allocations" xfId="24952"/>
    <cellStyle name="Normal 21 9" xfId="6356"/>
    <cellStyle name="Normal 21 9 2" xfId="6357"/>
    <cellStyle name="Normal 21 9 3" xfId="6358"/>
    <cellStyle name="Normal 21 9_FC with allocations" xfId="24953"/>
    <cellStyle name="Normal 21_FC with allocations" xfId="24921"/>
    <cellStyle name="Normal 210" xfId="1981"/>
    <cellStyle name="Normal 210 2" xfId="1982"/>
    <cellStyle name="Normal 210_FC with allocations" xfId="24954"/>
    <cellStyle name="Normal 211" xfId="1983"/>
    <cellStyle name="Normal 211 2" xfId="1984"/>
    <cellStyle name="Normal 211_FC with allocations" xfId="24955"/>
    <cellStyle name="Normal 212" xfId="1985"/>
    <cellStyle name="Normal 212 2" xfId="1986"/>
    <cellStyle name="Normal 212_FC with allocations" xfId="24956"/>
    <cellStyle name="Normal 213" xfId="1987"/>
    <cellStyle name="Normal 213 2" xfId="1988"/>
    <cellStyle name="Normal 213_FC with allocations" xfId="24957"/>
    <cellStyle name="Normal 214" xfId="1989"/>
    <cellStyle name="Normal 214 2" xfId="1990"/>
    <cellStyle name="Normal 214_FC with allocations" xfId="24958"/>
    <cellStyle name="Normal 215" xfId="1991"/>
    <cellStyle name="Normal 215 2" xfId="1992"/>
    <cellStyle name="Normal 215_FC with allocations" xfId="24959"/>
    <cellStyle name="Normal 216" xfId="1993"/>
    <cellStyle name="Normal 216 2" xfId="1994"/>
    <cellStyle name="Normal 216_FC with allocations" xfId="24960"/>
    <cellStyle name="Normal 217" xfId="1995"/>
    <cellStyle name="Normal 218" xfId="1996"/>
    <cellStyle name="Normal 218 2" xfId="1997"/>
    <cellStyle name="Normal 218_FC with allocations" xfId="24961"/>
    <cellStyle name="Normal 219" xfId="1998"/>
    <cellStyle name="Normal 22" xfId="1999"/>
    <cellStyle name="Normal 22 10" xfId="6360"/>
    <cellStyle name="Normal 22 11" xfId="6361"/>
    <cellStyle name="Normal 22 12" xfId="6362"/>
    <cellStyle name="Normal 22 13" xfId="6359"/>
    <cellStyle name="Normal 22 2" xfId="2000"/>
    <cellStyle name="Normal 22 2 2" xfId="2001"/>
    <cellStyle name="Normal 22 2 2 2" xfId="2002"/>
    <cellStyle name="Normal 22 2 2 2 2" xfId="4145"/>
    <cellStyle name="Normal 22 2 2 2 3" xfId="17631"/>
    <cellStyle name="Normal 22 2 2 2 4" xfId="17115"/>
    <cellStyle name="Normal 22 2 2 2_FC with allocations" xfId="24965"/>
    <cellStyle name="Normal 22 2 2 3" xfId="4144"/>
    <cellStyle name="Normal 22 2 2 4" xfId="6364"/>
    <cellStyle name="Normal 22 2 2 4 2" xfId="18333"/>
    <cellStyle name="Normal 22 2 2 4 3" xfId="17630"/>
    <cellStyle name="Normal 22 2 2 4_FC with allocations" xfId="24966"/>
    <cellStyle name="Normal 22 2 2 5" xfId="17114"/>
    <cellStyle name="Normal 22 2 2_FC with allocations" xfId="24964"/>
    <cellStyle name="Normal 22 2 3" xfId="2003"/>
    <cellStyle name="Normal 22 2 3 2" xfId="4146"/>
    <cellStyle name="Normal 22 2 3 3" xfId="6365"/>
    <cellStyle name="Normal 22 2 3 3 2" xfId="18334"/>
    <cellStyle name="Normal 22 2 3 3 3" xfId="17632"/>
    <cellStyle name="Normal 22 2 3 3_FC with allocations" xfId="24968"/>
    <cellStyle name="Normal 22 2 3 4" xfId="17116"/>
    <cellStyle name="Normal 22 2 3_FC with allocations" xfId="24967"/>
    <cellStyle name="Normal 22 2 4" xfId="4143"/>
    <cellStyle name="Normal 22 2 5" xfId="6363"/>
    <cellStyle name="Normal 22 2 5 2" xfId="18332"/>
    <cellStyle name="Normal 22 2 5 3" xfId="17629"/>
    <cellStyle name="Normal 22 2 5_FC with allocations" xfId="24969"/>
    <cellStyle name="Normal 22 2 6" xfId="17113"/>
    <cellStyle name="Normal 22 2_FC with allocations" xfId="24963"/>
    <cellStyle name="Normal 22 3" xfId="2004"/>
    <cellStyle name="Normal 22 3 2" xfId="2005"/>
    <cellStyle name="Normal 22 3 2 2" xfId="4148"/>
    <cellStyle name="Normal 22 3 2 3" xfId="6367"/>
    <cellStyle name="Normal 22 3 2 3 2" xfId="18336"/>
    <cellStyle name="Normal 22 3 2 3 3" xfId="17634"/>
    <cellStyle name="Normal 22 3 2 3_FC with allocations" xfId="24972"/>
    <cellStyle name="Normal 22 3 2 4" xfId="17118"/>
    <cellStyle name="Normal 22 3 2_FC with allocations" xfId="24971"/>
    <cellStyle name="Normal 22 3 3" xfId="4147"/>
    <cellStyle name="Normal 22 3 3 2" xfId="6368"/>
    <cellStyle name="Normal 22 3 3_FC with allocations" xfId="24973"/>
    <cellStyle name="Normal 22 3 4" xfId="6366"/>
    <cellStyle name="Normal 22 3 4 2" xfId="18335"/>
    <cellStyle name="Normal 22 3 4 3" xfId="17633"/>
    <cellStyle name="Normal 22 3 4_FC with allocations" xfId="24974"/>
    <cellStyle name="Normal 22 3 5" xfId="17117"/>
    <cellStyle name="Normal 22 3_FC with allocations" xfId="24970"/>
    <cellStyle name="Normal 22 4" xfId="2006"/>
    <cellStyle name="Normal 22 4 2" xfId="4149"/>
    <cellStyle name="Normal 22 4 2 2" xfId="6370"/>
    <cellStyle name="Normal 22 4 2_FC with allocations" xfId="24976"/>
    <cellStyle name="Normal 22 4 3" xfId="6371"/>
    <cellStyle name="Normal 22 4 3 2" xfId="18337"/>
    <cellStyle name="Normal 22 4 3 3" xfId="17635"/>
    <cellStyle name="Normal 22 4 3_FC with allocations" xfId="24977"/>
    <cellStyle name="Normal 22 4 4" xfId="6369"/>
    <cellStyle name="Normal 22 4 5" xfId="17119"/>
    <cellStyle name="Normal 22 4_FC with allocations" xfId="24975"/>
    <cellStyle name="Normal 22 5" xfId="2007"/>
    <cellStyle name="Normal 22 5 2" xfId="4150"/>
    <cellStyle name="Normal 22 5 2 2" xfId="6373"/>
    <cellStyle name="Normal 22 5 2_FC with allocations" xfId="24979"/>
    <cellStyle name="Normal 22 5 3" xfId="6374"/>
    <cellStyle name="Normal 22 5 3 2" xfId="18338"/>
    <cellStyle name="Normal 22 5 3 3" xfId="17636"/>
    <cellStyle name="Normal 22 5 3_FC with allocations" xfId="24980"/>
    <cellStyle name="Normal 22 5 4" xfId="6372"/>
    <cellStyle name="Normal 22 5 5" xfId="17120"/>
    <cellStyle name="Normal 22 5_FC with allocations" xfId="24978"/>
    <cellStyle name="Normal 22 6" xfId="6375"/>
    <cellStyle name="Normal 22 6 2" xfId="6376"/>
    <cellStyle name="Normal 22 6 3" xfId="6377"/>
    <cellStyle name="Normal 22 6_FC with allocations" xfId="24981"/>
    <cellStyle name="Normal 22 7" xfId="6378"/>
    <cellStyle name="Normal 22 7 2" xfId="6379"/>
    <cellStyle name="Normal 22 7 3" xfId="6380"/>
    <cellStyle name="Normal 22 7_FC with allocations" xfId="24982"/>
    <cellStyle name="Normal 22 8" xfId="6381"/>
    <cellStyle name="Normal 22 8 2" xfId="6382"/>
    <cellStyle name="Normal 22 8 3" xfId="6383"/>
    <cellStyle name="Normal 22 8_FC with allocations" xfId="24983"/>
    <cellStyle name="Normal 22 9" xfId="6384"/>
    <cellStyle name="Normal 22 9 2" xfId="6385"/>
    <cellStyle name="Normal 22 9 3" xfId="6386"/>
    <cellStyle name="Normal 22 9_FC with allocations" xfId="24984"/>
    <cellStyle name="Normal 22_FC with allocations" xfId="24962"/>
    <cellStyle name="Normal 220" xfId="2008"/>
    <cellStyle name="Normal 221" xfId="2009"/>
    <cellStyle name="Normal 222" xfId="2010"/>
    <cellStyle name="Normal 223" xfId="2011"/>
    <cellStyle name="Normal 224" xfId="2012"/>
    <cellStyle name="Normal 225" xfId="2013"/>
    <cellStyle name="Normal 226" xfId="2014"/>
    <cellStyle name="Normal 227" xfId="2015"/>
    <cellStyle name="Normal 228" xfId="2016"/>
    <cellStyle name="Normal 229" xfId="2017"/>
    <cellStyle name="Normal 23" xfId="2018"/>
    <cellStyle name="Normal 23 10" xfId="6388"/>
    <cellStyle name="Normal 23 11" xfId="6389"/>
    <cellStyle name="Normal 23 12" xfId="6390"/>
    <cellStyle name="Normal 23 13" xfId="6387"/>
    <cellStyle name="Normal 23 2" xfId="2019"/>
    <cellStyle name="Normal 23 2 2" xfId="6392"/>
    <cellStyle name="Normal 23 2 3" xfId="6393"/>
    <cellStyle name="Normal 23 2 4" xfId="6391"/>
    <cellStyle name="Normal 23 2_FC with allocations" xfId="24986"/>
    <cellStyle name="Normal 23 3" xfId="6394"/>
    <cellStyle name="Normal 23 3 2" xfId="6395"/>
    <cellStyle name="Normal 23 3 3" xfId="6396"/>
    <cellStyle name="Normal 23 3_FC with allocations" xfId="24987"/>
    <cellStyle name="Normal 23 4" xfId="6397"/>
    <cellStyle name="Normal 23 4 2" xfId="6398"/>
    <cellStyle name="Normal 23 4 3" xfId="6399"/>
    <cellStyle name="Normal 23 4_FC with allocations" xfId="24988"/>
    <cellStyle name="Normal 23 5" xfId="6400"/>
    <cellStyle name="Normal 23 5 2" xfId="6401"/>
    <cellStyle name="Normal 23 5 3" xfId="6402"/>
    <cellStyle name="Normal 23 5_FC with allocations" xfId="24989"/>
    <cellStyle name="Normal 23 6" xfId="6403"/>
    <cellStyle name="Normal 23 6 2" xfId="6404"/>
    <cellStyle name="Normal 23 6 3" xfId="6405"/>
    <cellStyle name="Normal 23 6_FC with allocations" xfId="24990"/>
    <cellStyle name="Normal 23 7" xfId="6406"/>
    <cellStyle name="Normal 23 7 2" xfId="6407"/>
    <cellStyle name="Normal 23 7 3" xfId="6408"/>
    <cellStyle name="Normal 23 7_FC with allocations" xfId="24991"/>
    <cellStyle name="Normal 23 8" xfId="6409"/>
    <cellStyle name="Normal 23 8 2" xfId="6410"/>
    <cellStyle name="Normal 23 8 3" xfId="6411"/>
    <cellStyle name="Normal 23 8_FC with allocations" xfId="24992"/>
    <cellStyle name="Normal 23 9" xfId="6412"/>
    <cellStyle name="Normal 23 9 2" xfId="6413"/>
    <cellStyle name="Normal 23 9 3" xfId="6414"/>
    <cellStyle name="Normal 23 9_FC with allocations" xfId="24993"/>
    <cellStyle name="Normal 23_FC with allocations" xfId="24985"/>
    <cellStyle name="Normal 230" xfId="2020"/>
    <cellStyle name="Normal 231" xfId="2021"/>
    <cellStyle name="Normal 232" xfId="2022"/>
    <cellStyle name="Normal 233" xfId="2023"/>
    <cellStyle name="Normal 234" xfId="2024"/>
    <cellStyle name="Normal 235" xfId="2025"/>
    <cellStyle name="Normal 236" xfId="2026"/>
    <cellStyle name="Normal 237" xfId="2027"/>
    <cellStyle name="Normal 238" xfId="2028"/>
    <cellStyle name="Normal 239" xfId="2029"/>
    <cellStyle name="Normal 24" xfId="2030"/>
    <cellStyle name="Normal 24 10" xfId="6416"/>
    <cellStyle name="Normal 24 11" xfId="6417"/>
    <cellStyle name="Normal 24 12" xfId="6418"/>
    <cellStyle name="Normal 24 13" xfId="6415"/>
    <cellStyle name="Normal 24 2" xfId="2031"/>
    <cellStyle name="Normal 24 2 2" xfId="6420"/>
    <cellStyle name="Normal 24 2 3" xfId="6421"/>
    <cellStyle name="Normal 24 2 4" xfId="6419"/>
    <cellStyle name="Normal 24 2_FC with allocations" xfId="24995"/>
    <cellStyle name="Normal 24 3" xfId="6422"/>
    <cellStyle name="Normal 24 3 2" xfId="6423"/>
    <cellStyle name="Normal 24 3 3" xfId="6424"/>
    <cellStyle name="Normal 24 3_FC with allocations" xfId="24996"/>
    <cellStyle name="Normal 24 4" xfId="6425"/>
    <cellStyle name="Normal 24 4 2" xfId="6426"/>
    <cellStyle name="Normal 24 4 3" xfId="6427"/>
    <cellStyle name="Normal 24 4_FC with allocations" xfId="24997"/>
    <cellStyle name="Normal 24 5" xfId="6428"/>
    <cellStyle name="Normal 24 5 2" xfId="6429"/>
    <cellStyle name="Normal 24 5 3" xfId="6430"/>
    <cellStyle name="Normal 24 5_FC with allocations" xfId="24998"/>
    <cellStyle name="Normal 24 6" xfId="6431"/>
    <cellStyle name="Normal 24 6 2" xfId="6432"/>
    <cellStyle name="Normal 24 6 3" xfId="6433"/>
    <cellStyle name="Normal 24 6_FC with allocations" xfId="24999"/>
    <cellStyle name="Normal 24 7" xfId="6434"/>
    <cellStyle name="Normal 24 7 2" xfId="6435"/>
    <cellStyle name="Normal 24 7 3" xfId="6436"/>
    <cellStyle name="Normal 24 7_FC with allocations" xfId="25000"/>
    <cellStyle name="Normal 24 8" xfId="6437"/>
    <cellStyle name="Normal 24 8 2" xfId="6438"/>
    <cellStyle name="Normal 24 8 3" xfId="6439"/>
    <cellStyle name="Normal 24 8_FC with allocations" xfId="25001"/>
    <cellStyle name="Normal 24 9" xfId="6440"/>
    <cellStyle name="Normal 24 9 2" xfId="6441"/>
    <cellStyle name="Normal 24 9 3" xfId="6442"/>
    <cellStyle name="Normal 24 9_FC with allocations" xfId="25002"/>
    <cellStyle name="Normal 24_FC with allocations" xfId="24994"/>
    <cellStyle name="Normal 240" xfId="2032"/>
    <cellStyle name="Normal 240 2" xfId="2033"/>
    <cellStyle name="Normal 240 3" xfId="2034"/>
    <cellStyle name="Normal 240 3 2" xfId="4151"/>
    <cellStyle name="Normal 240 3_FC with allocations" xfId="25004"/>
    <cellStyle name="Normal 240 4" xfId="4474"/>
    <cellStyle name="Normal 240 4 10" xfId="19893"/>
    <cellStyle name="Normal 240 4 11" xfId="21886"/>
    <cellStyle name="Normal 240 4 2" xfId="4782"/>
    <cellStyle name="Normal 240 4 2 2" xfId="16660"/>
    <cellStyle name="Normal 240 4 2 2 2" xfId="18682"/>
    <cellStyle name="Normal 240 4 2 2 2 2" xfId="19701"/>
    <cellStyle name="Normal 240 4 2 2 2 2 2" xfId="21711"/>
    <cellStyle name="Normal 240 4 2 2 2 2 3" xfId="23869"/>
    <cellStyle name="Normal 240 4 2 2 2 2_FC with allocations" xfId="25009"/>
    <cellStyle name="Normal 240 4 2 2 2 3" xfId="20835"/>
    <cellStyle name="Normal 240 4 2 2 2 4" xfId="22992"/>
    <cellStyle name="Normal 240 4 2 2 2_FC with allocations" xfId="25008"/>
    <cellStyle name="Normal 240 4 2 2 3" xfId="19169"/>
    <cellStyle name="Normal 240 4 2 2 3 2" xfId="21302"/>
    <cellStyle name="Normal 240 4 2 2 3 3" xfId="23459"/>
    <cellStyle name="Normal 240 4 2 2 3_FC with allocations" xfId="25010"/>
    <cellStyle name="Normal 240 4 2 2 4" xfId="20220"/>
    <cellStyle name="Normal 240 4 2 2 5" xfId="22337"/>
    <cellStyle name="Normal 240 4 2 2_FC with allocations" xfId="25007"/>
    <cellStyle name="Normal 240 4 2 3" xfId="18245"/>
    <cellStyle name="Normal 240 4 2 3 2" xfId="19536"/>
    <cellStyle name="Normal 240 4 2 3 2 2" xfId="21546"/>
    <cellStyle name="Normal 240 4 2 3 2 3" xfId="23704"/>
    <cellStyle name="Normal 240 4 2 3 2_FC with allocations" xfId="25012"/>
    <cellStyle name="Normal 240 4 2 3 3" xfId="20669"/>
    <cellStyle name="Normal 240 4 2 3 4" xfId="22811"/>
    <cellStyle name="Normal 240 4 2 3_FC with allocations" xfId="25011"/>
    <cellStyle name="Normal 240 4 2 4" xfId="17938"/>
    <cellStyle name="Normal 240 4 2 4 2" xfId="20397"/>
    <cellStyle name="Normal 240 4 2 4 3" xfId="22537"/>
    <cellStyle name="Normal 240 4 2 4_FC with allocations" xfId="25013"/>
    <cellStyle name="Normal 240 4 2 5" xfId="18901"/>
    <cellStyle name="Normal 240 4 2 5 2" xfId="21053"/>
    <cellStyle name="Normal 240 4 2 5 3" xfId="23210"/>
    <cellStyle name="Normal 240 4 2 5_FC with allocations" xfId="25014"/>
    <cellStyle name="Normal 240 4 2 6" xfId="20052"/>
    <cellStyle name="Normal 240 4 2 7" xfId="22047"/>
    <cellStyle name="Normal 240 4 2_FC with allocations" xfId="25006"/>
    <cellStyle name="Normal 240 4 3" xfId="16607"/>
    <cellStyle name="Normal 240 4 3 2" xfId="18629"/>
    <cellStyle name="Normal 240 4 3 2 2" xfId="19648"/>
    <cellStyle name="Normal 240 4 3 2 2 2" xfId="21658"/>
    <cellStyle name="Normal 240 4 3 2 2 3" xfId="23816"/>
    <cellStyle name="Normal 240 4 3 2 2_FC with allocations" xfId="25017"/>
    <cellStyle name="Normal 240 4 3 2 3" xfId="20782"/>
    <cellStyle name="Normal 240 4 3 2 4" xfId="22939"/>
    <cellStyle name="Normal 240 4 3 2_FC with allocations" xfId="25016"/>
    <cellStyle name="Normal 240 4 3 3" xfId="17996"/>
    <cellStyle name="Normal 240 4 3 3 2" xfId="20450"/>
    <cellStyle name="Normal 240 4 3 3 3" xfId="22590"/>
    <cellStyle name="Normal 240 4 3 3_FC with allocations" xfId="25018"/>
    <cellStyle name="Normal 240 4 3 4" xfId="19115"/>
    <cellStyle name="Normal 240 4 3 4 2" xfId="21248"/>
    <cellStyle name="Normal 240 4 3 4 3" xfId="23405"/>
    <cellStyle name="Normal 240 4 3 4_FC with allocations" xfId="25019"/>
    <cellStyle name="Normal 240 4 3 5" xfId="20167"/>
    <cellStyle name="Normal 240 4 3 6" xfId="22284"/>
    <cellStyle name="Normal 240 4 3_FC with allocations" xfId="25015"/>
    <cellStyle name="Normal 240 4 4" xfId="4682"/>
    <cellStyle name="Normal 240 4 4 2" xfId="18192"/>
    <cellStyle name="Normal 240 4 4 2 2" xfId="19483"/>
    <cellStyle name="Normal 240 4 4 2 2 2" xfId="21493"/>
    <cellStyle name="Normal 240 4 4 2 2 3" xfId="23651"/>
    <cellStyle name="Normal 240 4 4 2 2_FC with allocations" xfId="25022"/>
    <cellStyle name="Normal 240 4 4 2 3" xfId="20616"/>
    <cellStyle name="Normal 240 4 4 2 4" xfId="22758"/>
    <cellStyle name="Normal 240 4 4 2_FC with allocations" xfId="25021"/>
    <cellStyle name="Normal 240 4 4 3" xfId="19210"/>
    <cellStyle name="Normal 240 4 4 3 2" xfId="21343"/>
    <cellStyle name="Normal 240 4 4 3 3" xfId="23500"/>
    <cellStyle name="Normal 240 4 4 3_FC with allocations" xfId="25023"/>
    <cellStyle name="Normal 240 4 4 4" xfId="19999"/>
    <cellStyle name="Normal 240 4 4 5" xfId="21994"/>
    <cellStyle name="Normal 240 4 4_FC with allocations" xfId="25020"/>
    <cellStyle name="Normal 240 4 5" xfId="16738"/>
    <cellStyle name="Normal 240 4 5 2" xfId="18742"/>
    <cellStyle name="Normal 240 4 5 2 2" xfId="20895"/>
    <cellStyle name="Normal 240 4 5 2 3" xfId="23052"/>
    <cellStyle name="Normal 240 4 5 2_FC with allocations" xfId="25025"/>
    <cellStyle name="Normal 240 4 5 3" xfId="19762"/>
    <cellStyle name="Normal 240 4 5 3 2" xfId="21772"/>
    <cellStyle name="Normal 240 4 5 3 3" xfId="23930"/>
    <cellStyle name="Normal 240 4 5 3_FC with allocations" xfId="25026"/>
    <cellStyle name="Normal 240 4 5 4" xfId="20281"/>
    <cellStyle name="Normal 240 4 5 5" xfId="22409"/>
    <cellStyle name="Normal 240 4 5_FC with allocations" xfId="25024"/>
    <cellStyle name="Normal 240 4 6" xfId="18058"/>
    <cellStyle name="Normal 240 4 6 2" xfId="19377"/>
    <cellStyle name="Normal 240 4 6 2 2" xfId="21387"/>
    <cellStyle name="Normal 240 4 6 2 3" xfId="23545"/>
    <cellStyle name="Normal 240 4 6 2_FC with allocations" xfId="25028"/>
    <cellStyle name="Normal 240 4 6 3" xfId="20510"/>
    <cellStyle name="Normal 240 4 6 4" xfId="22652"/>
    <cellStyle name="Normal 240 4 6_FC with allocations" xfId="25027"/>
    <cellStyle name="Normal 240 4 7" xfId="17121"/>
    <cellStyle name="Normal 240 4 8" xfId="18848"/>
    <cellStyle name="Normal 240 4 8 2" xfId="21000"/>
    <cellStyle name="Normal 240 4 8 3" xfId="23157"/>
    <cellStyle name="Normal 240 4 8_FC with allocations" xfId="25029"/>
    <cellStyle name="Normal 240 4 9" xfId="19816"/>
    <cellStyle name="Normal 240 4 9 2" xfId="21825"/>
    <cellStyle name="Normal 240 4 9 3" xfId="23983"/>
    <cellStyle name="Normal 240 4 9_FC with allocations" xfId="25030"/>
    <cellStyle name="Normal 240 4_FC with allocations" xfId="25005"/>
    <cellStyle name="Normal 240 5" xfId="4588"/>
    <cellStyle name="Normal 240 6" xfId="16550"/>
    <cellStyle name="Normal 240 6 2" xfId="18576"/>
    <cellStyle name="Normal 240 6 2 2" xfId="19595"/>
    <cellStyle name="Normal 240 6 2 2 2" xfId="21605"/>
    <cellStyle name="Normal 240 6 2 2 3" xfId="23763"/>
    <cellStyle name="Normal 240 6 2 2_FC with allocations" xfId="25033"/>
    <cellStyle name="Normal 240 6 2 3" xfId="20729"/>
    <cellStyle name="Normal 240 6 2 4" xfId="22886"/>
    <cellStyle name="Normal 240 6 2_FC with allocations" xfId="25032"/>
    <cellStyle name="Normal 240 6 3" xfId="19001"/>
    <cellStyle name="Normal 240 6 3 2" xfId="21153"/>
    <cellStyle name="Normal 240 6 3 3" xfId="23310"/>
    <cellStyle name="Normal 240 6 3_FC with allocations" xfId="25034"/>
    <cellStyle name="Normal 240 6 4" xfId="20114"/>
    <cellStyle name="Normal 240 6 5" xfId="22230"/>
    <cellStyle name="Normal 240 6_FC with allocations" xfId="25031"/>
    <cellStyle name="Normal 240 7" xfId="4535"/>
    <cellStyle name="Normal 240 7 2" xfId="18111"/>
    <cellStyle name="Normal 240 7 2 2" xfId="19430"/>
    <cellStyle name="Normal 240 7 2 2 2" xfId="21440"/>
    <cellStyle name="Normal 240 7 2 2 3" xfId="23598"/>
    <cellStyle name="Normal 240 7 2 2_FC with allocations" xfId="25037"/>
    <cellStyle name="Normal 240 7 2 3" xfId="20563"/>
    <cellStyle name="Normal 240 7 2 4" xfId="22705"/>
    <cellStyle name="Normal 240 7 2_FC with allocations" xfId="25036"/>
    <cellStyle name="Normal 240 7 3" xfId="18969"/>
    <cellStyle name="Normal 240 7 3 2" xfId="21121"/>
    <cellStyle name="Normal 240 7 3 3" xfId="23278"/>
    <cellStyle name="Normal 240 7 3_FC with allocations" xfId="25038"/>
    <cellStyle name="Normal 240 7 4" xfId="19946"/>
    <cellStyle name="Normal 240 7 5" xfId="21941"/>
    <cellStyle name="Normal 240 7_FC with allocations" xfId="25035"/>
    <cellStyle name="Normal 240 8" xfId="16830"/>
    <cellStyle name="Normal 240 8 2" xfId="20333"/>
    <cellStyle name="Normal 240 8 3" xfId="22473"/>
    <cellStyle name="Normal 240 8_FC with allocations" xfId="25039"/>
    <cellStyle name="Normal 240 9" xfId="18794"/>
    <cellStyle name="Normal 240 9 2" xfId="20947"/>
    <cellStyle name="Normal 240 9 3" xfId="23104"/>
    <cellStyle name="Normal 240 9_FC with allocations" xfId="25040"/>
    <cellStyle name="Normal 240_FC with allocations" xfId="25003"/>
    <cellStyle name="Normal 241" xfId="2035"/>
    <cellStyle name="Normal 241 2" xfId="2036"/>
    <cellStyle name="Normal 241 2 2" xfId="4152"/>
    <cellStyle name="Normal 241 2_FC with allocations" xfId="25042"/>
    <cellStyle name="Normal 241 3" xfId="4475"/>
    <cellStyle name="Normal 241 3 10" xfId="19894"/>
    <cellStyle name="Normal 241 3 11" xfId="21887"/>
    <cellStyle name="Normal 241 3 2" xfId="4783"/>
    <cellStyle name="Normal 241 3 2 2" xfId="16661"/>
    <cellStyle name="Normal 241 3 2 2 2" xfId="18683"/>
    <cellStyle name="Normal 241 3 2 2 2 2" xfId="19702"/>
    <cellStyle name="Normal 241 3 2 2 2 2 2" xfId="21712"/>
    <cellStyle name="Normal 241 3 2 2 2 2 3" xfId="23870"/>
    <cellStyle name="Normal 241 3 2 2 2 2_FC with allocations" xfId="25047"/>
    <cellStyle name="Normal 241 3 2 2 2 3" xfId="20836"/>
    <cellStyle name="Normal 241 3 2 2 2 4" xfId="22993"/>
    <cellStyle name="Normal 241 3 2 2 2_FC with allocations" xfId="25046"/>
    <cellStyle name="Normal 241 3 2 2 3" xfId="19170"/>
    <cellStyle name="Normal 241 3 2 2 3 2" xfId="21303"/>
    <cellStyle name="Normal 241 3 2 2 3 3" xfId="23460"/>
    <cellStyle name="Normal 241 3 2 2 3_FC with allocations" xfId="25048"/>
    <cellStyle name="Normal 241 3 2 2 4" xfId="20221"/>
    <cellStyle name="Normal 241 3 2 2 5" xfId="22338"/>
    <cellStyle name="Normal 241 3 2 2_FC with allocations" xfId="25045"/>
    <cellStyle name="Normal 241 3 2 3" xfId="18246"/>
    <cellStyle name="Normal 241 3 2 3 2" xfId="19537"/>
    <cellStyle name="Normal 241 3 2 3 2 2" xfId="21547"/>
    <cellStyle name="Normal 241 3 2 3 2 3" xfId="23705"/>
    <cellStyle name="Normal 241 3 2 3 2_FC with allocations" xfId="25050"/>
    <cellStyle name="Normal 241 3 2 3 3" xfId="20670"/>
    <cellStyle name="Normal 241 3 2 3 4" xfId="22812"/>
    <cellStyle name="Normal 241 3 2 3_FC with allocations" xfId="25049"/>
    <cellStyle name="Normal 241 3 2 4" xfId="17939"/>
    <cellStyle name="Normal 241 3 2 4 2" xfId="20398"/>
    <cellStyle name="Normal 241 3 2 4 3" xfId="22538"/>
    <cellStyle name="Normal 241 3 2 4_FC with allocations" xfId="25051"/>
    <cellStyle name="Normal 241 3 2 5" xfId="18902"/>
    <cellStyle name="Normal 241 3 2 5 2" xfId="21054"/>
    <cellStyle name="Normal 241 3 2 5 3" xfId="23211"/>
    <cellStyle name="Normal 241 3 2 5_FC with allocations" xfId="25052"/>
    <cellStyle name="Normal 241 3 2 6" xfId="20053"/>
    <cellStyle name="Normal 241 3 2 7" xfId="22048"/>
    <cellStyle name="Normal 241 3 2_FC with allocations" xfId="25044"/>
    <cellStyle name="Normal 241 3 3" xfId="16608"/>
    <cellStyle name="Normal 241 3 3 2" xfId="18630"/>
    <cellStyle name="Normal 241 3 3 2 2" xfId="19649"/>
    <cellStyle name="Normal 241 3 3 2 2 2" xfId="21659"/>
    <cellStyle name="Normal 241 3 3 2 2 3" xfId="23817"/>
    <cellStyle name="Normal 241 3 3 2 2_FC with allocations" xfId="25055"/>
    <cellStyle name="Normal 241 3 3 2 3" xfId="20783"/>
    <cellStyle name="Normal 241 3 3 2 4" xfId="22940"/>
    <cellStyle name="Normal 241 3 3 2_FC with allocations" xfId="25054"/>
    <cellStyle name="Normal 241 3 3 3" xfId="17997"/>
    <cellStyle name="Normal 241 3 3 3 2" xfId="20451"/>
    <cellStyle name="Normal 241 3 3 3 3" xfId="22591"/>
    <cellStyle name="Normal 241 3 3 3_FC with allocations" xfId="25056"/>
    <cellStyle name="Normal 241 3 3 4" xfId="19116"/>
    <cellStyle name="Normal 241 3 3 4 2" xfId="21249"/>
    <cellStyle name="Normal 241 3 3 4 3" xfId="23406"/>
    <cellStyle name="Normal 241 3 3 4_FC with allocations" xfId="25057"/>
    <cellStyle name="Normal 241 3 3 5" xfId="20168"/>
    <cellStyle name="Normal 241 3 3 6" xfId="22285"/>
    <cellStyle name="Normal 241 3 3_FC with allocations" xfId="25053"/>
    <cellStyle name="Normal 241 3 4" xfId="4683"/>
    <cellStyle name="Normal 241 3 4 2" xfId="18193"/>
    <cellStyle name="Normal 241 3 4 2 2" xfId="19484"/>
    <cellStyle name="Normal 241 3 4 2 2 2" xfId="21494"/>
    <cellStyle name="Normal 241 3 4 2 2 3" xfId="23652"/>
    <cellStyle name="Normal 241 3 4 2 2_FC with allocations" xfId="25060"/>
    <cellStyle name="Normal 241 3 4 2 3" xfId="20617"/>
    <cellStyle name="Normal 241 3 4 2 4" xfId="22759"/>
    <cellStyle name="Normal 241 3 4 2_FC with allocations" xfId="25059"/>
    <cellStyle name="Normal 241 3 4 3" xfId="19056"/>
    <cellStyle name="Normal 241 3 4 3 2" xfId="21197"/>
    <cellStyle name="Normal 241 3 4 3 3" xfId="23354"/>
    <cellStyle name="Normal 241 3 4 3_FC with allocations" xfId="25061"/>
    <cellStyle name="Normal 241 3 4 4" xfId="20000"/>
    <cellStyle name="Normal 241 3 4 5" xfId="21995"/>
    <cellStyle name="Normal 241 3 4_FC with allocations" xfId="25058"/>
    <cellStyle name="Normal 241 3 5" xfId="16739"/>
    <cellStyle name="Normal 241 3 5 2" xfId="18743"/>
    <cellStyle name="Normal 241 3 5 2 2" xfId="20896"/>
    <cellStyle name="Normal 241 3 5 2 3" xfId="23053"/>
    <cellStyle name="Normal 241 3 5 2_FC with allocations" xfId="25063"/>
    <cellStyle name="Normal 241 3 5 3" xfId="19763"/>
    <cellStyle name="Normal 241 3 5 3 2" xfId="21773"/>
    <cellStyle name="Normal 241 3 5 3 3" xfId="23931"/>
    <cellStyle name="Normal 241 3 5 3_FC with allocations" xfId="25064"/>
    <cellStyle name="Normal 241 3 5 4" xfId="20282"/>
    <cellStyle name="Normal 241 3 5 5" xfId="22410"/>
    <cellStyle name="Normal 241 3 5_FC with allocations" xfId="25062"/>
    <cellStyle name="Normal 241 3 6" xfId="18059"/>
    <cellStyle name="Normal 241 3 6 2" xfId="19378"/>
    <cellStyle name="Normal 241 3 6 2 2" xfId="21388"/>
    <cellStyle name="Normal 241 3 6 2 3" xfId="23546"/>
    <cellStyle name="Normal 241 3 6 2_FC with allocations" xfId="25066"/>
    <cellStyle name="Normal 241 3 6 3" xfId="20511"/>
    <cellStyle name="Normal 241 3 6 4" xfId="22653"/>
    <cellStyle name="Normal 241 3 6_FC with allocations" xfId="25065"/>
    <cellStyle name="Normal 241 3 7" xfId="17122"/>
    <cellStyle name="Normal 241 3 8" xfId="18849"/>
    <cellStyle name="Normal 241 3 8 2" xfId="21001"/>
    <cellStyle name="Normal 241 3 8 3" xfId="23158"/>
    <cellStyle name="Normal 241 3 8_FC with allocations" xfId="25067"/>
    <cellStyle name="Normal 241 3 9" xfId="19817"/>
    <cellStyle name="Normal 241 3 9 2" xfId="21826"/>
    <cellStyle name="Normal 241 3 9 3" xfId="23984"/>
    <cellStyle name="Normal 241 3 9_FC with allocations" xfId="25068"/>
    <cellStyle name="Normal 241 3_FC with allocations" xfId="25043"/>
    <cellStyle name="Normal 241 4" xfId="4589"/>
    <cellStyle name="Normal 241 5" xfId="16551"/>
    <cellStyle name="Normal 241 5 2" xfId="18577"/>
    <cellStyle name="Normal 241 5 2 2" xfId="19596"/>
    <cellStyle name="Normal 241 5 2 2 2" xfId="21606"/>
    <cellStyle name="Normal 241 5 2 2 3" xfId="23764"/>
    <cellStyle name="Normal 241 5 2 2_FC with allocations" xfId="25071"/>
    <cellStyle name="Normal 241 5 2 3" xfId="20730"/>
    <cellStyle name="Normal 241 5 2 4" xfId="22887"/>
    <cellStyle name="Normal 241 5 2_FC with allocations" xfId="25070"/>
    <cellStyle name="Normal 241 5 3" xfId="19002"/>
    <cellStyle name="Normal 241 5 3 2" xfId="21154"/>
    <cellStyle name="Normal 241 5 3 3" xfId="23311"/>
    <cellStyle name="Normal 241 5 3_FC with allocations" xfId="25072"/>
    <cellStyle name="Normal 241 5 4" xfId="20115"/>
    <cellStyle name="Normal 241 5 5" xfId="22231"/>
    <cellStyle name="Normal 241 5_FC with allocations" xfId="25069"/>
    <cellStyle name="Normal 241 6" xfId="4536"/>
    <cellStyle name="Normal 241 6 2" xfId="18112"/>
    <cellStyle name="Normal 241 6 2 2" xfId="19431"/>
    <cellStyle name="Normal 241 6 2 2 2" xfId="21441"/>
    <cellStyle name="Normal 241 6 2 2 3" xfId="23599"/>
    <cellStyle name="Normal 241 6 2 2_FC with allocations" xfId="25075"/>
    <cellStyle name="Normal 241 6 2 3" xfId="20564"/>
    <cellStyle name="Normal 241 6 2 4" xfId="22706"/>
    <cellStyle name="Normal 241 6 2_FC with allocations" xfId="25074"/>
    <cellStyle name="Normal 241 6 3" xfId="18970"/>
    <cellStyle name="Normal 241 6 3 2" xfId="21122"/>
    <cellStyle name="Normal 241 6 3 3" xfId="23279"/>
    <cellStyle name="Normal 241 6 3_FC with allocations" xfId="25076"/>
    <cellStyle name="Normal 241 6 4" xfId="19947"/>
    <cellStyle name="Normal 241 6 5" xfId="21942"/>
    <cellStyle name="Normal 241 6_FC with allocations" xfId="25073"/>
    <cellStyle name="Normal 241 7" xfId="16831"/>
    <cellStyle name="Normal 241 7 2" xfId="20334"/>
    <cellStyle name="Normal 241 7 3" xfId="22474"/>
    <cellStyle name="Normal 241 7_FC with allocations" xfId="25077"/>
    <cellStyle name="Normal 241 8" xfId="18795"/>
    <cellStyle name="Normal 241 8 2" xfId="20948"/>
    <cellStyle name="Normal 241 8 3" xfId="23105"/>
    <cellStyle name="Normal 241 8_FC with allocations" xfId="25078"/>
    <cellStyle name="Normal 241_FC with allocations" xfId="25041"/>
    <cellStyle name="Normal 242" xfId="2037"/>
    <cellStyle name="Normal 243" xfId="2038"/>
    <cellStyle name="Normal 243 2" xfId="2039"/>
    <cellStyle name="Normal 243 2 2" xfId="4153"/>
    <cellStyle name="Normal 243 2_FC with allocations" xfId="25080"/>
    <cellStyle name="Normal 243 3" xfId="4476"/>
    <cellStyle name="Normal 243 3 10" xfId="19895"/>
    <cellStyle name="Normal 243 3 11" xfId="21888"/>
    <cellStyle name="Normal 243 3 2" xfId="4784"/>
    <cellStyle name="Normal 243 3 2 2" xfId="16662"/>
    <cellStyle name="Normal 243 3 2 2 2" xfId="18684"/>
    <cellStyle name="Normal 243 3 2 2 2 2" xfId="19703"/>
    <cellStyle name="Normal 243 3 2 2 2 2 2" xfId="21713"/>
    <cellStyle name="Normal 243 3 2 2 2 2 3" xfId="23871"/>
    <cellStyle name="Normal 243 3 2 2 2 2_FC with allocations" xfId="25085"/>
    <cellStyle name="Normal 243 3 2 2 2 3" xfId="20837"/>
    <cellStyle name="Normal 243 3 2 2 2 4" xfId="22994"/>
    <cellStyle name="Normal 243 3 2 2 2_FC with allocations" xfId="25084"/>
    <cellStyle name="Normal 243 3 2 2 3" xfId="19171"/>
    <cellStyle name="Normal 243 3 2 2 3 2" xfId="21304"/>
    <cellStyle name="Normal 243 3 2 2 3 3" xfId="23461"/>
    <cellStyle name="Normal 243 3 2 2 3_FC with allocations" xfId="25086"/>
    <cellStyle name="Normal 243 3 2 2 4" xfId="20222"/>
    <cellStyle name="Normal 243 3 2 2 5" xfId="22339"/>
    <cellStyle name="Normal 243 3 2 2_FC with allocations" xfId="25083"/>
    <cellStyle name="Normal 243 3 2 3" xfId="18247"/>
    <cellStyle name="Normal 243 3 2 3 2" xfId="19538"/>
    <cellStyle name="Normal 243 3 2 3 2 2" xfId="21548"/>
    <cellStyle name="Normal 243 3 2 3 2 3" xfId="23706"/>
    <cellStyle name="Normal 243 3 2 3 2_FC with allocations" xfId="25088"/>
    <cellStyle name="Normal 243 3 2 3 3" xfId="20671"/>
    <cellStyle name="Normal 243 3 2 3 4" xfId="22813"/>
    <cellStyle name="Normal 243 3 2 3_FC with allocations" xfId="25087"/>
    <cellStyle name="Normal 243 3 2 4" xfId="17940"/>
    <cellStyle name="Normal 243 3 2 4 2" xfId="20399"/>
    <cellStyle name="Normal 243 3 2 4 3" xfId="22539"/>
    <cellStyle name="Normal 243 3 2 4_FC with allocations" xfId="25089"/>
    <cellStyle name="Normal 243 3 2 5" xfId="18903"/>
    <cellStyle name="Normal 243 3 2 5 2" xfId="21055"/>
    <cellStyle name="Normal 243 3 2 5 3" xfId="23212"/>
    <cellStyle name="Normal 243 3 2 5_FC with allocations" xfId="25090"/>
    <cellStyle name="Normal 243 3 2 6" xfId="20054"/>
    <cellStyle name="Normal 243 3 2 7" xfId="22049"/>
    <cellStyle name="Normal 243 3 2_FC with allocations" xfId="25082"/>
    <cellStyle name="Normal 243 3 3" xfId="16609"/>
    <cellStyle name="Normal 243 3 3 2" xfId="18631"/>
    <cellStyle name="Normal 243 3 3 2 2" xfId="19650"/>
    <cellStyle name="Normal 243 3 3 2 2 2" xfId="21660"/>
    <cellStyle name="Normal 243 3 3 2 2 3" xfId="23818"/>
    <cellStyle name="Normal 243 3 3 2 2_FC with allocations" xfId="25093"/>
    <cellStyle name="Normal 243 3 3 2 3" xfId="20784"/>
    <cellStyle name="Normal 243 3 3 2 4" xfId="22941"/>
    <cellStyle name="Normal 243 3 3 2_FC with allocations" xfId="25092"/>
    <cellStyle name="Normal 243 3 3 3" xfId="17998"/>
    <cellStyle name="Normal 243 3 3 3 2" xfId="20452"/>
    <cellStyle name="Normal 243 3 3 3 3" xfId="22592"/>
    <cellStyle name="Normal 243 3 3 3_FC with allocations" xfId="25094"/>
    <cellStyle name="Normal 243 3 3 4" xfId="19117"/>
    <cellStyle name="Normal 243 3 3 4 2" xfId="21250"/>
    <cellStyle name="Normal 243 3 3 4 3" xfId="23407"/>
    <cellStyle name="Normal 243 3 3 4_FC with allocations" xfId="25095"/>
    <cellStyle name="Normal 243 3 3 5" xfId="20169"/>
    <cellStyle name="Normal 243 3 3 6" xfId="22286"/>
    <cellStyle name="Normal 243 3 3_FC with allocations" xfId="25091"/>
    <cellStyle name="Normal 243 3 4" xfId="4684"/>
    <cellStyle name="Normal 243 3 4 2" xfId="18194"/>
    <cellStyle name="Normal 243 3 4 2 2" xfId="19485"/>
    <cellStyle name="Normal 243 3 4 2 2 2" xfId="21495"/>
    <cellStyle name="Normal 243 3 4 2 2 3" xfId="23653"/>
    <cellStyle name="Normal 243 3 4 2 2_FC with allocations" xfId="25098"/>
    <cellStyle name="Normal 243 3 4 2 3" xfId="20618"/>
    <cellStyle name="Normal 243 3 4 2 4" xfId="22760"/>
    <cellStyle name="Normal 243 3 4 2_FC with allocations" xfId="25097"/>
    <cellStyle name="Normal 243 3 4 3" xfId="19079"/>
    <cellStyle name="Normal 243 3 4 3 2" xfId="21214"/>
    <cellStyle name="Normal 243 3 4 3 3" xfId="23371"/>
    <cellStyle name="Normal 243 3 4 3_FC with allocations" xfId="25099"/>
    <cellStyle name="Normal 243 3 4 4" xfId="20001"/>
    <cellStyle name="Normal 243 3 4 5" xfId="21996"/>
    <cellStyle name="Normal 243 3 4_FC with allocations" xfId="25096"/>
    <cellStyle name="Normal 243 3 5" xfId="16740"/>
    <cellStyle name="Normal 243 3 5 2" xfId="18744"/>
    <cellStyle name="Normal 243 3 5 2 2" xfId="20897"/>
    <cellStyle name="Normal 243 3 5 2 3" xfId="23054"/>
    <cellStyle name="Normal 243 3 5 2_FC with allocations" xfId="25101"/>
    <cellStyle name="Normal 243 3 5 3" xfId="19764"/>
    <cellStyle name="Normal 243 3 5 3 2" xfId="21774"/>
    <cellStyle name="Normal 243 3 5 3 3" xfId="23932"/>
    <cellStyle name="Normal 243 3 5 3_FC with allocations" xfId="25102"/>
    <cellStyle name="Normal 243 3 5 4" xfId="20283"/>
    <cellStyle name="Normal 243 3 5 5" xfId="22411"/>
    <cellStyle name="Normal 243 3 5_FC with allocations" xfId="25100"/>
    <cellStyle name="Normal 243 3 6" xfId="18060"/>
    <cellStyle name="Normal 243 3 6 2" xfId="19379"/>
    <cellStyle name="Normal 243 3 6 2 2" xfId="21389"/>
    <cellStyle name="Normal 243 3 6 2 3" xfId="23547"/>
    <cellStyle name="Normal 243 3 6 2_FC with allocations" xfId="25104"/>
    <cellStyle name="Normal 243 3 6 3" xfId="20512"/>
    <cellStyle name="Normal 243 3 6 4" xfId="22654"/>
    <cellStyle name="Normal 243 3 6_FC with allocations" xfId="25103"/>
    <cellStyle name="Normal 243 3 7" xfId="17123"/>
    <cellStyle name="Normal 243 3 8" xfId="18850"/>
    <cellStyle name="Normal 243 3 8 2" xfId="21002"/>
    <cellStyle name="Normal 243 3 8 3" xfId="23159"/>
    <cellStyle name="Normal 243 3 8_FC with allocations" xfId="25105"/>
    <cellStyle name="Normal 243 3 9" xfId="19818"/>
    <cellStyle name="Normal 243 3 9 2" xfId="21827"/>
    <cellStyle name="Normal 243 3 9 3" xfId="23985"/>
    <cellStyle name="Normal 243 3 9_FC with allocations" xfId="25106"/>
    <cellStyle name="Normal 243 3_FC with allocations" xfId="25081"/>
    <cellStyle name="Normal 243 4" xfId="4590"/>
    <cellStyle name="Normal 243 5" xfId="16552"/>
    <cellStyle name="Normal 243 5 2" xfId="18578"/>
    <cellStyle name="Normal 243 5 2 2" xfId="19597"/>
    <cellStyle name="Normal 243 5 2 2 2" xfId="21607"/>
    <cellStyle name="Normal 243 5 2 2 3" xfId="23765"/>
    <cellStyle name="Normal 243 5 2 2_FC with allocations" xfId="25109"/>
    <cellStyle name="Normal 243 5 2 3" xfId="20731"/>
    <cellStyle name="Normal 243 5 2 4" xfId="22888"/>
    <cellStyle name="Normal 243 5 2_FC with allocations" xfId="25108"/>
    <cellStyle name="Normal 243 5 3" xfId="19003"/>
    <cellStyle name="Normal 243 5 3 2" xfId="21155"/>
    <cellStyle name="Normal 243 5 3 3" xfId="23312"/>
    <cellStyle name="Normal 243 5 3_FC with allocations" xfId="25110"/>
    <cellStyle name="Normal 243 5 4" xfId="20116"/>
    <cellStyle name="Normal 243 5 5" xfId="22232"/>
    <cellStyle name="Normal 243 5_FC with allocations" xfId="25107"/>
    <cellStyle name="Normal 243 6" xfId="4537"/>
    <cellStyle name="Normal 243 6 2" xfId="18113"/>
    <cellStyle name="Normal 243 6 2 2" xfId="19432"/>
    <cellStyle name="Normal 243 6 2 2 2" xfId="21442"/>
    <cellStyle name="Normal 243 6 2 2 3" xfId="23600"/>
    <cellStyle name="Normal 243 6 2 2_FC with allocations" xfId="25113"/>
    <cellStyle name="Normal 243 6 2 3" xfId="20565"/>
    <cellStyle name="Normal 243 6 2 4" xfId="22707"/>
    <cellStyle name="Normal 243 6 2_FC with allocations" xfId="25112"/>
    <cellStyle name="Normal 243 6 3" xfId="18971"/>
    <cellStyle name="Normal 243 6 3 2" xfId="21123"/>
    <cellStyle name="Normal 243 6 3 3" xfId="23280"/>
    <cellStyle name="Normal 243 6 3_FC with allocations" xfId="25114"/>
    <cellStyle name="Normal 243 6 4" xfId="19948"/>
    <cellStyle name="Normal 243 6 5" xfId="21943"/>
    <cellStyle name="Normal 243 6_FC with allocations" xfId="25111"/>
    <cellStyle name="Normal 243 7" xfId="16832"/>
    <cellStyle name="Normal 243 7 2" xfId="20335"/>
    <cellStyle name="Normal 243 7 3" xfId="22475"/>
    <cellStyle name="Normal 243 7_FC with allocations" xfId="25115"/>
    <cellStyle name="Normal 243 8" xfId="18796"/>
    <cellStyle name="Normal 243 8 2" xfId="20949"/>
    <cellStyle name="Normal 243 8 3" xfId="23106"/>
    <cellStyle name="Normal 243 8_FC with allocations" xfId="25116"/>
    <cellStyle name="Normal 243_FC with allocations" xfId="25079"/>
    <cellStyle name="Normal 244" xfId="2040"/>
    <cellStyle name="Normal 244 2" xfId="2041"/>
    <cellStyle name="Normal 244 2 2" xfId="4154"/>
    <cellStyle name="Normal 244 2_FC with allocations" xfId="25118"/>
    <cellStyle name="Normal 244 3" xfId="4477"/>
    <cellStyle name="Normal 244 3 10" xfId="19896"/>
    <cellStyle name="Normal 244 3 11" xfId="21889"/>
    <cellStyle name="Normal 244 3 2" xfId="4785"/>
    <cellStyle name="Normal 244 3 2 2" xfId="16663"/>
    <cellStyle name="Normal 244 3 2 2 2" xfId="18685"/>
    <cellStyle name="Normal 244 3 2 2 2 2" xfId="19704"/>
    <cellStyle name="Normal 244 3 2 2 2 2 2" xfId="21714"/>
    <cellStyle name="Normal 244 3 2 2 2 2 3" xfId="23872"/>
    <cellStyle name="Normal 244 3 2 2 2 2_FC with allocations" xfId="25123"/>
    <cellStyle name="Normal 244 3 2 2 2 3" xfId="20838"/>
    <cellStyle name="Normal 244 3 2 2 2 4" xfId="22995"/>
    <cellStyle name="Normal 244 3 2 2 2_FC with allocations" xfId="25122"/>
    <cellStyle name="Normal 244 3 2 2 3" xfId="19172"/>
    <cellStyle name="Normal 244 3 2 2 3 2" xfId="21305"/>
    <cellStyle name="Normal 244 3 2 2 3 3" xfId="23462"/>
    <cellStyle name="Normal 244 3 2 2 3_FC with allocations" xfId="25124"/>
    <cellStyle name="Normal 244 3 2 2 4" xfId="20223"/>
    <cellStyle name="Normal 244 3 2 2 5" xfId="22340"/>
    <cellStyle name="Normal 244 3 2 2_FC with allocations" xfId="25121"/>
    <cellStyle name="Normal 244 3 2 3" xfId="18248"/>
    <cellStyle name="Normal 244 3 2 3 2" xfId="19539"/>
    <cellStyle name="Normal 244 3 2 3 2 2" xfId="21549"/>
    <cellStyle name="Normal 244 3 2 3 2 3" xfId="23707"/>
    <cellStyle name="Normal 244 3 2 3 2_FC with allocations" xfId="25126"/>
    <cellStyle name="Normal 244 3 2 3 3" xfId="20672"/>
    <cellStyle name="Normal 244 3 2 3 4" xfId="22814"/>
    <cellStyle name="Normal 244 3 2 3_FC with allocations" xfId="25125"/>
    <cellStyle name="Normal 244 3 2 4" xfId="17941"/>
    <cellStyle name="Normal 244 3 2 4 2" xfId="20400"/>
    <cellStyle name="Normal 244 3 2 4 3" xfId="22540"/>
    <cellStyle name="Normal 244 3 2 4_FC with allocations" xfId="25127"/>
    <cellStyle name="Normal 244 3 2 5" xfId="18904"/>
    <cellStyle name="Normal 244 3 2 5 2" xfId="21056"/>
    <cellStyle name="Normal 244 3 2 5 3" xfId="23213"/>
    <cellStyle name="Normal 244 3 2 5_FC with allocations" xfId="25128"/>
    <cellStyle name="Normal 244 3 2 6" xfId="20055"/>
    <cellStyle name="Normal 244 3 2 7" xfId="22050"/>
    <cellStyle name="Normal 244 3 2_FC with allocations" xfId="25120"/>
    <cellStyle name="Normal 244 3 3" xfId="16610"/>
    <cellStyle name="Normal 244 3 3 2" xfId="18632"/>
    <cellStyle name="Normal 244 3 3 2 2" xfId="19651"/>
    <cellStyle name="Normal 244 3 3 2 2 2" xfId="21661"/>
    <cellStyle name="Normal 244 3 3 2 2 3" xfId="23819"/>
    <cellStyle name="Normal 244 3 3 2 2_FC with allocations" xfId="25131"/>
    <cellStyle name="Normal 244 3 3 2 3" xfId="20785"/>
    <cellStyle name="Normal 244 3 3 2 4" xfId="22942"/>
    <cellStyle name="Normal 244 3 3 2_FC with allocations" xfId="25130"/>
    <cellStyle name="Normal 244 3 3 3" xfId="17999"/>
    <cellStyle name="Normal 244 3 3 3 2" xfId="20453"/>
    <cellStyle name="Normal 244 3 3 3 3" xfId="22593"/>
    <cellStyle name="Normal 244 3 3 3_FC with allocations" xfId="25132"/>
    <cellStyle name="Normal 244 3 3 4" xfId="19118"/>
    <cellStyle name="Normal 244 3 3 4 2" xfId="21251"/>
    <cellStyle name="Normal 244 3 3 4 3" xfId="23408"/>
    <cellStyle name="Normal 244 3 3 4_FC with allocations" xfId="25133"/>
    <cellStyle name="Normal 244 3 3 5" xfId="20170"/>
    <cellStyle name="Normal 244 3 3 6" xfId="22287"/>
    <cellStyle name="Normal 244 3 3_FC with allocations" xfId="25129"/>
    <cellStyle name="Normal 244 3 4" xfId="4685"/>
    <cellStyle name="Normal 244 3 4 2" xfId="18195"/>
    <cellStyle name="Normal 244 3 4 2 2" xfId="19486"/>
    <cellStyle name="Normal 244 3 4 2 2 2" xfId="21496"/>
    <cellStyle name="Normal 244 3 4 2 2 3" xfId="23654"/>
    <cellStyle name="Normal 244 3 4 2 2_FC with allocations" xfId="25136"/>
    <cellStyle name="Normal 244 3 4 2 3" xfId="20619"/>
    <cellStyle name="Normal 244 3 4 2 4" xfId="22761"/>
    <cellStyle name="Normal 244 3 4 2_FC with allocations" xfId="25135"/>
    <cellStyle name="Normal 244 3 4 3" xfId="19211"/>
    <cellStyle name="Normal 244 3 4 3 2" xfId="21344"/>
    <cellStyle name="Normal 244 3 4 3 3" xfId="23501"/>
    <cellStyle name="Normal 244 3 4 3_FC with allocations" xfId="25137"/>
    <cellStyle name="Normal 244 3 4 4" xfId="20002"/>
    <cellStyle name="Normal 244 3 4 5" xfId="21997"/>
    <cellStyle name="Normal 244 3 4_FC with allocations" xfId="25134"/>
    <cellStyle name="Normal 244 3 5" xfId="16741"/>
    <cellStyle name="Normal 244 3 5 2" xfId="18745"/>
    <cellStyle name="Normal 244 3 5 2 2" xfId="20898"/>
    <cellStyle name="Normal 244 3 5 2 3" xfId="23055"/>
    <cellStyle name="Normal 244 3 5 2_FC with allocations" xfId="25139"/>
    <cellStyle name="Normal 244 3 5 3" xfId="19765"/>
    <cellStyle name="Normal 244 3 5 3 2" xfId="21775"/>
    <cellStyle name="Normal 244 3 5 3 3" xfId="23933"/>
    <cellStyle name="Normal 244 3 5 3_FC with allocations" xfId="25140"/>
    <cellStyle name="Normal 244 3 5 4" xfId="20284"/>
    <cellStyle name="Normal 244 3 5 5" xfId="22412"/>
    <cellStyle name="Normal 244 3 5_FC with allocations" xfId="25138"/>
    <cellStyle name="Normal 244 3 6" xfId="18061"/>
    <cellStyle name="Normal 244 3 6 2" xfId="19380"/>
    <cellStyle name="Normal 244 3 6 2 2" xfId="21390"/>
    <cellStyle name="Normal 244 3 6 2 3" xfId="23548"/>
    <cellStyle name="Normal 244 3 6 2_FC with allocations" xfId="25142"/>
    <cellStyle name="Normal 244 3 6 3" xfId="20513"/>
    <cellStyle name="Normal 244 3 6 4" xfId="22655"/>
    <cellStyle name="Normal 244 3 6_FC with allocations" xfId="25141"/>
    <cellStyle name="Normal 244 3 7" xfId="17124"/>
    <cellStyle name="Normal 244 3 8" xfId="18851"/>
    <cellStyle name="Normal 244 3 8 2" xfId="21003"/>
    <cellStyle name="Normal 244 3 8 3" xfId="23160"/>
    <cellStyle name="Normal 244 3 8_FC with allocations" xfId="25143"/>
    <cellStyle name="Normal 244 3 9" xfId="19819"/>
    <cellStyle name="Normal 244 3 9 2" xfId="21828"/>
    <cellStyle name="Normal 244 3 9 3" xfId="23986"/>
    <cellStyle name="Normal 244 3 9_FC with allocations" xfId="25144"/>
    <cellStyle name="Normal 244 3_FC with allocations" xfId="25119"/>
    <cellStyle name="Normal 244 4" xfId="4591"/>
    <cellStyle name="Normal 244 5" xfId="16553"/>
    <cellStyle name="Normal 244 5 2" xfId="18579"/>
    <cellStyle name="Normal 244 5 2 2" xfId="19598"/>
    <cellStyle name="Normal 244 5 2 2 2" xfId="21608"/>
    <cellStyle name="Normal 244 5 2 2 3" xfId="23766"/>
    <cellStyle name="Normal 244 5 2 2_FC with allocations" xfId="25147"/>
    <cellStyle name="Normal 244 5 2 3" xfId="20732"/>
    <cellStyle name="Normal 244 5 2 4" xfId="22889"/>
    <cellStyle name="Normal 244 5 2_FC with allocations" xfId="25146"/>
    <cellStyle name="Normal 244 5 3" xfId="19004"/>
    <cellStyle name="Normal 244 5 3 2" xfId="21156"/>
    <cellStyle name="Normal 244 5 3 3" xfId="23313"/>
    <cellStyle name="Normal 244 5 3_FC with allocations" xfId="25148"/>
    <cellStyle name="Normal 244 5 4" xfId="20117"/>
    <cellStyle name="Normal 244 5 5" xfId="22233"/>
    <cellStyle name="Normal 244 5_FC with allocations" xfId="25145"/>
    <cellStyle name="Normal 244 6" xfId="4538"/>
    <cellStyle name="Normal 244 6 2" xfId="18114"/>
    <cellStyle name="Normal 244 6 2 2" xfId="19433"/>
    <cellStyle name="Normal 244 6 2 2 2" xfId="21443"/>
    <cellStyle name="Normal 244 6 2 2 3" xfId="23601"/>
    <cellStyle name="Normal 244 6 2 2_FC with allocations" xfId="25151"/>
    <cellStyle name="Normal 244 6 2 3" xfId="20566"/>
    <cellStyle name="Normal 244 6 2 4" xfId="22708"/>
    <cellStyle name="Normal 244 6 2_FC with allocations" xfId="25150"/>
    <cellStyle name="Normal 244 6 3" xfId="18972"/>
    <cellStyle name="Normal 244 6 3 2" xfId="21124"/>
    <cellStyle name="Normal 244 6 3 3" xfId="23281"/>
    <cellStyle name="Normal 244 6 3_FC with allocations" xfId="25152"/>
    <cellStyle name="Normal 244 6 4" xfId="19949"/>
    <cellStyle name="Normal 244 6 5" xfId="21944"/>
    <cellStyle name="Normal 244 6_FC with allocations" xfId="25149"/>
    <cellStyle name="Normal 244 7" xfId="16833"/>
    <cellStyle name="Normal 244 7 2" xfId="20336"/>
    <cellStyle name="Normal 244 7 3" xfId="22476"/>
    <cellStyle name="Normal 244 7_FC with allocations" xfId="25153"/>
    <cellStyle name="Normal 244 8" xfId="18797"/>
    <cellStyle name="Normal 244 8 2" xfId="20950"/>
    <cellStyle name="Normal 244 8 3" xfId="23107"/>
    <cellStyle name="Normal 244 8_FC with allocations" xfId="25154"/>
    <cellStyle name="Normal 244_FC with allocations" xfId="25117"/>
    <cellStyle name="Normal 245" xfId="2042"/>
    <cellStyle name="Normal 246" xfId="2043"/>
    <cellStyle name="Normal 247" xfId="2044"/>
    <cellStyle name="Normal 247 2" xfId="2045"/>
    <cellStyle name="Normal 247_FC with allocations" xfId="25155"/>
    <cellStyle name="Normal 248" xfId="2046"/>
    <cellStyle name="Normal 248 2" xfId="2047"/>
    <cellStyle name="Normal 248_FC with allocations" xfId="25156"/>
    <cellStyle name="Normal 249" xfId="2048"/>
    <cellStyle name="Normal 25" xfId="2049"/>
    <cellStyle name="Normal 25 10" xfId="6444"/>
    <cellStyle name="Normal 25 11" xfId="6445"/>
    <cellStyle name="Normal 25 12" xfId="6443"/>
    <cellStyle name="Normal 25 2" xfId="2050"/>
    <cellStyle name="Normal 25 2 2" xfId="6447"/>
    <cellStyle name="Normal 25 2 3" xfId="6448"/>
    <cellStyle name="Normal 25 2 4" xfId="6446"/>
    <cellStyle name="Normal 25 2_FC with allocations" xfId="25158"/>
    <cellStyle name="Normal 25 3" xfId="6449"/>
    <cellStyle name="Normal 25 3 2" xfId="6450"/>
    <cellStyle name="Normal 25 3 3" xfId="6451"/>
    <cellStyle name="Normal 25 3_FC with allocations" xfId="25159"/>
    <cellStyle name="Normal 25 4" xfId="6452"/>
    <cellStyle name="Normal 25 4 2" xfId="6453"/>
    <cellStyle name="Normal 25 4 3" xfId="6454"/>
    <cellStyle name="Normal 25 4_FC with allocations" xfId="25160"/>
    <cellStyle name="Normal 25 5" xfId="6455"/>
    <cellStyle name="Normal 25 5 2" xfId="6456"/>
    <cellStyle name="Normal 25 5 3" xfId="6457"/>
    <cellStyle name="Normal 25 5_FC with allocations" xfId="25161"/>
    <cellStyle name="Normal 25 6" xfId="6458"/>
    <cellStyle name="Normal 25 6 2" xfId="6459"/>
    <cellStyle name="Normal 25 6 3" xfId="6460"/>
    <cellStyle name="Normal 25 6_FC with allocations" xfId="25162"/>
    <cellStyle name="Normal 25 7" xfId="6461"/>
    <cellStyle name="Normal 25 7 2" xfId="6462"/>
    <cellStyle name="Normal 25 7 3" xfId="6463"/>
    <cellStyle name="Normal 25 7_FC with allocations" xfId="25163"/>
    <cellStyle name="Normal 25 8" xfId="6464"/>
    <cellStyle name="Normal 25 8 2" xfId="6465"/>
    <cellStyle name="Normal 25 8 3" xfId="6466"/>
    <cellStyle name="Normal 25 8_FC with allocations" xfId="25164"/>
    <cellStyle name="Normal 25 9" xfId="6467"/>
    <cellStyle name="Normal 25 9 2" xfId="6468"/>
    <cellStyle name="Normal 25 9 3" xfId="6469"/>
    <cellStyle name="Normal 25 9_FC with allocations" xfId="25165"/>
    <cellStyle name="Normal 25_FC with allocations" xfId="25157"/>
    <cellStyle name="Normal 250" xfId="2051"/>
    <cellStyle name="Normal 251" xfId="2052"/>
    <cellStyle name="Normal 251 2" xfId="2053"/>
    <cellStyle name="Normal 251 2 2" xfId="4155"/>
    <cellStyle name="Normal 251 2_FC with allocations" xfId="25167"/>
    <cellStyle name="Normal 251 3" xfId="17637"/>
    <cellStyle name="Normal 251 4" xfId="17125"/>
    <cellStyle name="Normal 251 5" xfId="16834"/>
    <cellStyle name="Normal 251 5 2" xfId="20337"/>
    <cellStyle name="Normal 251 5 3" xfId="22477"/>
    <cellStyle name="Normal 251 5_FC with allocations" xfId="25168"/>
    <cellStyle name="Normal 251_FC with allocations" xfId="25166"/>
    <cellStyle name="Normal 252" xfId="2054"/>
    <cellStyle name="Normal 252 2" xfId="2055"/>
    <cellStyle name="Normal 252 2 2" xfId="4156"/>
    <cellStyle name="Normal 252 2_FC with allocations" xfId="25170"/>
    <cellStyle name="Normal 252 3" xfId="4478"/>
    <cellStyle name="Normal 252 3 10" xfId="19897"/>
    <cellStyle name="Normal 252 3 11" xfId="21890"/>
    <cellStyle name="Normal 252 3 2" xfId="4786"/>
    <cellStyle name="Normal 252 3 2 2" xfId="16664"/>
    <cellStyle name="Normal 252 3 2 2 2" xfId="18686"/>
    <cellStyle name="Normal 252 3 2 2 2 2" xfId="19705"/>
    <cellStyle name="Normal 252 3 2 2 2 2 2" xfId="21715"/>
    <cellStyle name="Normal 252 3 2 2 2 2 3" xfId="23873"/>
    <cellStyle name="Normal 252 3 2 2 2 2_FC with allocations" xfId="25175"/>
    <cellStyle name="Normal 252 3 2 2 2 3" xfId="20839"/>
    <cellStyle name="Normal 252 3 2 2 2 4" xfId="22996"/>
    <cellStyle name="Normal 252 3 2 2 2_FC with allocations" xfId="25174"/>
    <cellStyle name="Normal 252 3 2 2 3" xfId="19173"/>
    <cellStyle name="Normal 252 3 2 2 3 2" xfId="21306"/>
    <cellStyle name="Normal 252 3 2 2 3 3" xfId="23463"/>
    <cellStyle name="Normal 252 3 2 2 3_FC with allocations" xfId="25176"/>
    <cellStyle name="Normal 252 3 2 2 4" xfId="20224"/>
    <cellStyle name="Normal 252 3 2 2 5" xfId="22341"/>
    <cellStyle name="Normal 252 3 2 2_FC with allocations" xfId="25173"/>
    <cellStyle name="Normal 252 3 2 3" xfId="18249"/>
    <cellStyle name="Normal 252 3 2 3 2" xfId="19540"/>
    <cellStyle name="Normal 252 3 2 3 2 2" xfId="21550"/>
    <cellStyle name="Normal 252 3 2 3 2 3" xfId="23708"/>
    <cellStyle name="Normal 252 3 2 3 2_FC with allocations" xfId="25178"/>
    <cellStyle name="Normal 252 3 2 3 3" xfId="20673"/>
    <cellStyle name="Normal 252 3 2 3 4" xfId="22815"/>
    <cellStyle name="Normal 252 3 2 3_FC with allocations" xfId="25177"/>
    <cellStyle name="Normal 252 3 2 4" xfId="17942"/>
    <cellStyle name="Normal 252 3 2 4 2" xfId="20401"/>
    <cellStyle name="Normal 252 3 2 4 3" xfId="22541"/>
    <cellStyle name="Normal 252 3 2 4_FC with allocations" xfId="25179"/>
    <cellStyle name="Normal 252 3 2 5" xfId="18905"/>
    <cellStyle name="Normal 252 3 2 5 2" xfId="21057"/>
    <cellStyle name="Normal 252 3 2 5 3" xfId="23214"/>
    <cellStyle name="Normal 252 3 2 5_FC with allocations" xfId="25180"/>
    <cellStyle name="Normal 252 3 2 6" xfId="20056"/>
    <cellStyle name="Normal 252 3 2 7" xfId="22051"/>
    <cellStyle name="Normal 252 3 2_FC with allocations" xfId="25172"/>
    <cellStyle name="Normal 252 3 3" xfId="16611"/>
    <cellStyle name="Normal 252 3 3 2" xfId="18633"/>
    <cellStyle name="Normal 252 3 3 2 2" xfId="19652"/>
    <cellStyle name="Normal 252 3 3 2 2 2" xfId="21662"/>
    <cellStyle name="Normal 252 3 3 2 2 3" xfId="23820"/>
    <cellStyle name="Normal 252 3 3 2 2_FC with allocations" xfId="25183"/>
    <cellStyle name="Normal 252 3 3 2 3" xfId="20786"/>
    <cellStyle name="Normal 252 3 3 2 4" xfId="22943"/>
    <cellStyle name="Normal 252 3 3 2_FC with allocations" xfId="25182"/>
    <cellStyle name="Normal 252 3 3 3" xfId="18000"/>
    <cellStyle name="Normal 252 3 3 3 2" xfId="20454"/>
    <cellStyle name="Normal 252 3 3 3 3" xfId="22594"/>
    <cellStyle name="Normal 252 3 3 3_FC with allocations" xfId="25184"/>
    <cellStyle name="Normal 252 3 3 4" xfId="19119"/>
    <cellStyle name="Normal 252 3 3 4 2" xfId="21252"/>
    <cellStyle name="Normal 252 3 3 4 3" xfId="23409"/>
    <cellStyle name="Normal 252 3 3 4_FC with allocations" xfId="25185"/>
    <cellStyle name="Normal 252 3 3 5" xfId="20171"/>
    <cellStyle name="Normal 252 3 3 6" xfId="22288"/>
    <cellStyle name="Normal 252 3 3_FC with allocations" xfId="25181"/>
    <cellStyle name="Normal 252 3 4" xfId="4686"/>
    <cellStyle name="Normal 252 3 4 2" xfId="18196"/>
    <cellStyle name="Normal 252 3 4 2 2" xfId="19487"/>
    <cellStyle name="Normal 252 3 4 2 2 2" xfId="21497"/>
    <cellStyle name="Normal 252 3 4 2 2 3" xfId="23655"/>
    <cellStyle name="Normal 252 3 4 2 2_FC with allocations" xfId="25188"/>
    <cellStyle name="Normal 252 3 4 2 3" xfId="20620"/>
    <cellStyle name="Normal 252 3 4 2 4" xfId="22762"/>
    <cellStyle name="Normal 252 3 4 2_FC with allocations" xfId="25187"/>
    <cellStyle name="Normal 252 3 4 3" xfId="19057"/>
    <cellStyle name="Normal 252 3 4 3 2" xfId="21198"/>
    <cellStyle name="Normal 252 3 4 3 3" xfId="23355"/>
    <cellStyle name="Normal 252 3 4 3_FC with allocations" xfId="25189"/>
    <cellStyle name="Normal 252 3 4 4" xfId="20003"/>
    <cellStyle name="Normal 252 3 4 5" xfId="21998"/>
    <cellStyle name="Normal 252 3 4_FC with allocations" xfId="25186"/>
    <cellStyle name="Normal 252 3 5" xfId="16742"/>
    <cellStyle name="Normal 252 3 5 2" xfId="18746"/>
    <cellStyle name="Normal 252 3 5 2 2" xfId="20899"/>
    <cellStyle name="Normal 252 3 5 2 3" xfId="23056"/>
    <cellStyle name="Normal 252 3 5 2_FC with allocations" xfId="25191"/>
    <cellStyle name="Normal 252 3 5 3" xfId="19766"/>
    <cellStyle name="Normal 252 3 5 3 2" xfId="21776"/>
    <cellStyle name="Normal 252 3 5 3 3" xfId="23934"/>
    <cellStyle name="Normal 252 3 5 3_FC with allocations" xfId="25192"/>
    <cellStyle name="Normal 252 3 5 4" xfId="20285"/>
    <cellStyle name="Normal 252 3 5 5" xfId="22413"/>
    <cellStyle name="Normal 252 3 5_FC with allocations" xfId="25190"/>
    <cellStyle name="Normal 252 3 6" xfId="18062"/>
    <cellStyle name="Normal 252 3 6 2" xfId="19381"/>
    <cellStyle name="Normal 252 3 6 2 2" xfId="21391"/>
    <cellStyle name="Normal 252 3 6 2 3" xfId="23549"/>
    <cellStyle name="Normal 252 3 6 2_FC with allocations" xfId="25194"/>
    <cellStyle name="Normal 252 3 6 3" xfId="20514"/>
    <cellStyle name="Normal 252 3 6 4" xfId="22656"/>
    <cellStyle name="Normal 252 3 6_FC with allocations" xfId="25193"/>
    <cellStyle name="Normal 252 3 7" xfId="17126"/>
    <cellStyle name="Normal 252 3 8" xfId="18852"/>
    <cellStyle name="Normal 252 3 8 2" xfId="21004"/>
    <cellStyle name="Normal 252 3 8 3" xfId="23161"/>
    <cellStyle name="Normal 252 3 8_FC with allocations" xfId="25195"/>
    <cellStyle name="Normal 252 3 9" xfId="19820"/>
    <cellStyle name="Normal 252 3 9 2" xfId="21829"/>
    <cellStyle name="Normal 252 3 9 3" xfId="23987"/>
    <cellStyle name="Normal 252 3 9_FC with allocations" xfId="25196"/>
    <cellStyle name="Normal 252 3_FC with allocations" xfId="25171"/>
    <cellStyle name="Normal 252 4" xfId="16835"/>
    <cellStyle name="Normal 252 4 2" xfId="20338"/>
    <cellStyle name="Normal 252 4 3" xfId="22478"/>
    <cellStyle name="Normal 252 4_FC with allocations" xfId="25197"/>
    <cellStyle name="Normal 252_FC with allocations" xfId="25169"/>
    <cellStyle name="Normal 253" xfId="2056"/>
    <cellStyle name="Normal 253 2" xfId="2057"/>
    <cellStyle name="Normal 253 3" xfId="4479"/>
    <cellStyle name="Normal 253 3 10" xfId="19898"/>
    <cellStyle name="Normal 253 3 11" xfId="21891"/>
    <cellStyle name="Normal 253 3 2" xfId="4787"/>
    <cellStyle name="Normal 253 3 2 2" xfId="16665"/>
    <cellStyle name="Normal 253 3 2 2 2" xfId="18687"/>
    <cellStyle name="Normal 253 3 2 2 2 2" xfId="19706"/>
    <cellStyle name="Normal 253 3 2 2 2 2 2" xfId="21716"/>
    <cellStyle name="Normal 253 3 2 2 2 2 3" xfId="23874"/>
    <cellStyle name="Normal 253 3 2 2 2 2_FC with allocations" xfId="25203"/>
    <cellStyle name="Normal 253 3 2 2 2 3" xfId="20840"/>
    <cellStyle name="Normal 253 3 2 2 2 4" xfId="22997"/>
    <cellStyle name="Normal 253 3 2 2 2_FC with allocations" xfId="25202"/>
    <cellStyle name="Normal 253 3 2 2 3" xfId="19174"/>
    <cellStyle name="Normal 253 3 2 2 3 2" xfId="21307"/>
    <cellStyle name="Normal 253 3 2 2 3 3" xfId="23464"/>
    <cellStyle name="Normal 253 3 2 2 3_FC with allocations" xfId="25204"/>
    <cellStyle name="Normal 253 3 2 2 4" xfId="20225"/>
    <cellStyle name="Normal 253 3 2 2 5" xfId="22342"/>
    <cellStyle name="Normal 253 3 2 2_FC with allocations" xfId="25201"/>
    <cellStyle name="Normal 253 3 2 3" xfId="18250"/>
    <cellStyle name="Normal 253 3 2 3 2" xfId="19541"/>
    <cellStyle name="Normal 253 3 2 3 2 2" xfId="21551"/>
    <cellStyle name="Normal 253 3 2 3 2 3" xfId="23709"/>
    <cellStyle name="Normal 253 3 2 3 2_FC with allocations" xfId="25206"/>
    <cellStyle name="Normal 253 3 2 3 3" xfId="20674"/>
    <cellStyle name="Normal 253 3 2 3 4" xfId="22816"/>
    <cellStyle name="Normal 253 3 2 3_FC with allocations" xfId="25205"/>
    <cellStyle name="Normal 253 3 2 4" xfId="17943"/>
    <cellStyle name="Normal 253 3 2 4 2" xfId="20402"/>
    <cellStyle name="Normal 253 3 2 4 3" xfId="22542"/>
    <cellStyle name="Normal 253 3 2 4_FC with allocations" xfId="25207"/>
    <cellStyle name="Normal 253 3 2 5" xfId="18906"/>
    <cellStyle name="Normal 253 3 2 5 2" xfId="21058"/>
    <cellStyle name="Normal 253 3 2 5 3" xfId="23215"/>
    <cellStyle name="Normal 253 3 2 5_FC with allocations" xfId="25208"/>
    <cellStyle name="Normal 253 3 2 6" xfId="20057"/>
    <cellStyle name="Normal 253 3 2 7" xfId="22052"/>
    <cellStyle name="Normal 253 3 2_FC with allocations" xfId="25200"/>
    <cellStyle name="Normal 253 3 3" xfId="16612"/>
    <cellStyle name="Normal 253 3 3 2" xfId="18634"/>
    <cellStyle name="Normal 253 3 3 2 2" xfId="19653"/>
    <cellStyle name="Normal 253 3 3 2 2 2" xfId="21663"/>
    <cellStyle name="Normal 253 3 3 2 2 3" xfId="23821"/>
    <cellStyle name="Normal 253 3 3 2 2_FC with allocations" xfId="25211"/>
    <cellStyle name="Normal 253 3 3 2 3" xfId="20787"/>
    <cellStyle name="Normal 253 3 3 2 4" xfId="22944"/>
    <cellStyle name="Normal 253 3 3 2_FC with allocations" xfId="25210"/>
    <cellStyle name="Normal 253 3 3 3" xfId="18001"/>
    <cellStyle name="Normal 253 3 3 3 2" xfId="20455"/>
    <cellStyle name="Normal 253 3 3 3 3" xfId="22595"/>
    <cellStyle name="Normal 253 3 3 3_FC with allocations" xfId="25212"/>
    <cellStyle name="Normal 253 3 3 4" xfId="19120"/>
    <cellStyle name="Normal 253 3 3 4 2" xfId="21253"/>
    <cellStyle name="Normal 253 3 3 4 3" xfId="23410"/>
    <cellStyle name="Normal 253 3 3 4_FC with allocations" xfId="25213"/>
    <cellStyle name="Normal 253 3 3 5" xfId="20172"/>
    <cellStyle name="Normal 253 3 3 6" xfId="22289"/>
    <cellStyle name="Normal 253 3 3_FC with allocations" xfId="25209"/>
    <cellStyle name="Normal 253 3 4" xfId="4687"/>
    <cellStyle name="Normal 253 3 4 2" xfId="18197"/>
    <cellStyle name="Normal 253 3 4 2 2" xfId="19488"/>
    <cellStyle name="Normal 253 3 4 2 2 2" xfId="21498"/>
    <cellStyle name="Normal 253 3 4 2 2 3" xfId="23656"/>
    <cellStyle name="Normal 253 3 4 2 2_FC with allocations" xfId="25216"/>
    <cellStyle name="Normal 253 3 4 2 3" xfId="20621"/>
    <cellStyle name="Normal 253 3 4 2 4" xfId="22763"/>
    <cellStyle name="Normal 253 3 4 2_FC with allocations" xfId="25215"/>
    <cellStyle name="Normal 253 3 4 3" xfId="19080"/>
    <cellStyle name="Normal 253 3 4 3 2" xfId="21215"/>
    <cellStyle name="Normal 253 3 4 3 3" xfId="23372"/>
    <cellStyle name="Normal 253 3 4 3_FC with allocations" xfId="25217"/>
    <cellStyle name="Normal 253 3 4 4" xfId="20004"/>
    <cellStyle name="Normal 253 3 4 5" xfId="21999"/>
    <cellStyle name="Normal 253 3 4_FC with allocations" xfId="25214"/>
    <cellStyle name="Normal 253 3 5" xfId="16743"/>
    <cellStyle name="Normal 253 3 5 2" xfId="18747"/>
    <cellStyle name="Normal 253 3 5 2 2" xfId="20900"/>
    <cellStyle name="Normal 253 3 5 2 3" xfId="23057"/>
    <cellStyle name="Normal 253 3 5 2_FC with allocations" xfId="25219"/>
    <cellStyle name="Normal 253 3 5 3" xfId="19767"/>
    <cellStyle name="Normal 253 3 5 3 2" xfId="21777"/>
    <cellStyle name="Normal 253 3 5 3 3" xfId="23935"/>
    <cellStyle name="Normal 253 3 5 3_FC with allocations" xfId="25220"/>
    <cellStyle name="Normal 253 3 5 4" xfId="20286"/>
    <cellStyle name="Normal 253 3 5 5" xfId="22414"/>
    <cellStyle name="Normal 253 3 5_FC with allocations" xfId="25218"/>
    <cellStyle name="Normal 253 3 6" xfId="18063"/>
    <cellStyle name="Normal 253 3 6 2" xfId="19382"/>
    <cellStyle name="Normal 253 3 6 2 2" xfId="21392"/>
    <cellStyle name="Normal 253 3 6 2 3" xfId="23550"/>
    <cellStyle name="Normal 253 3 6 2_FC with allocations" xfId="25222"/>
    <cellStyle name="Normal 253 3 6 3" xfId="20515"/>
    <cellStyle name="Normal 253 3 6 4" xfId="22657"/>
    <cellStyle name="Normal 253 3 6_FC with allocations" xfId="25221"/>
    <cellStyle name="Normal 253 3 7" xfId="17638"/>
    <cellStyle name="Normal 253 3 8" xfId="18853"/>
    <cellStyle name="Normal 253 3 8 2" xfId="21005"/>
    <cellStyle name="Normal 253 3 8 3" xfId="23162"/>
    <cellStyle name="Normal 253 3 8_FC with allocations" xfId="25223"/>
    <cellStyle name="Normal 253 3 9" xfId="19821"/>
    <cellStyle name="Normal 253 3 9 2" xfId="21830"/>
    <cellStyle name="Normal 253 3 9 3" xfId="23988"/>
    <cellStyle name="Normal 253 3 9_FC with allocations" xfId="25224"/>
    <cellStyle name="Normal 253 3_FC with allocations" xfId="25199"/>
    <cellStyle name="Normal 253_FC with allocations" xfId="25198"/>
    <cellStyle name="Normal 254" xfId="2058"/>
    <cellStyle name="Normal 254 2" xfId="2059"/>
    <cellStyle name="Normal 254 2 2" xfId="4157"/>
    <cellStyle name="Normal 254 2_FC with allocations" xfId="25226"/>
    <cellStyle name="Normal 254 3" xfId="17127"/>
    <cellStyle name="Normal 254 4" xfId="16861"/>
    <cellStyle name="Normal 254_FC with allocations" xfId="25225"/>
    <cellStyle name="Normal 255" xfId="2060"/>
    <cellStyle name="Normal 255 2" xfId="4716"/>
    <cellStyle name="Normal 255 3" xfId="4592"/>
    <cellStyle name="Normal 255 3 2" xfId="18142"/>
    <cellStyle name="Normal 255 3_FC with allocations" xfId="25228"/>
    <cellStyle name="Normal 255_FC with allocations" xfId="25227"/>
    <cellStyle name="Normal 256" xfId="2061"/>
    <cellStyle name="Normal 256 2" xfId="4717"/>
    <cellStyle name="Normal 256 3" xfId="4593"/>
    <cellStyle name="Normal 256 3 2" xfId="18143"/>
    <cellStyle name="Normal 256 3_FC with allocations" xfId="25230"/>
    <cellStyle name="Normal 256_FC with allocations" xfId="25229"/>
    <cellStyle name="Normal 257" xfId="2062"/>
    <cellStyle name="Normal 257 2" xfId="4158"/>
    <cellStyle name="Normal 257 3" xfId="17639"/>
    <cellStyle name="Normal 257 4" xfId="17128"/>
    <cellStyle name="Normal 257_FC with allocations" xfId="25231"/>
    <cellStyle name="Normal 258" xfId="2063"/>
    <cellStyle name="Normal 258 2" xfId="4159"/>
    <cellStyle name="Normal 258 3" xfId="17640"/>
    <cellStyle name="Normal 258 4" xfId="17129"/>
    <cellStyle name="Normal 258_FC with allocations" xfId="25232"/>
    <cellStyle name="Normal 259" xfId="2064"/>
    <cellStyle name="Normal 259 2" xfId="17641"/>
    <cellStyle name="Normal 259 3" xfId="17395"/>
    <cellStyle name="Normal 259_FC with allocations" xfId="25233"/>
    <cellStyle name="Normal 26" xfId="2065"/>
    <cellStyle name="Normal 26 10" xfId="6471"/>
    <cellStyle name="Normal 26 11" xfId="6472"/>
    <cellStyle name="Normal 26 12" xfId="6470"/>
    <cellStyle name="Normal 26 2" xfId="2066"/>
    <cellStyle name="Normal 26 2 2" xfId="6474"/>
    <cellStyle name="Normal 26 2 3" xfId="6475"/>
    <cellStyle name="Normal 26 2 4" xfId="6473"/>
    <cellStyle name="Normal 26 2_FC with allocations" xfId="25235"/>
    <cellStyle name="Normal 26 3" xfId="6476"/>
    <cellStyle name="Normal 26 3 2" xfId="6477"/>
    <cellStyle name="Normal 26 3 3" xfId="6478"/>
    <cellStyle name="Normal 26 3_FC with allocations" xfId="25236"/>
    <cellStyle name="Normal 26 4" xfId="6479"/>
    <cellStyle name="Normal 26 4 2" xfId="6480"/>
    <cellStyle name="Normal 26 4 3" xfId="6481"/>
    <cellStyle name="Normal 26 4_FC with allocations" xfId="25237"/>
    <cellStyle name="Normal 26 5" xfId="6482"/>
    <cellStyle name="Normal 26 5 2" xfId="6483"/>
    <cellStyle name="Normal 26 5 3" xfId="6484"/>
    <cellStyle name="Normal 26 5_FC with allocations" xfId="25238"/>
    <cellStyle name="Normal 26 6" xfId="6485"/>
    <cellStyle name="Normal 26 6 2" xfId="6486"/>
    <cellStyle name="Normal 26 6 3" xfId="6487"/>
    <cellStyle name="Normal 26 6_FC with allocations" xfId="25239"/>
    <cellStyle name="Normal 26 7" xfId="6488"/>
    <cellStyle name="Normal 26 7 2" xfId="6489"/>
    <cellStyle name="Normal 26 7 3" xfId="6490"/>
    <cellStyle name="Normal 26 7_FC with allocations" xfId="25240"/>
    <cellStyle name="Normal 26 8" xfId="6491"/>
    <cellStyle name="Normal 26 8 2" xfId="6492"/>
    <cellStyle name="Normal 26 8 3" xfId="6493"/>
    <cellStyle name="Normal 26 8_FC with allocations" xfId="25241"/>
    <cellStyle name="Normal 26 9" xfId="6494"/>
    <cellStyle name="Normal 26 9 2" xfId="6495"/>
    <cellStyle name="Normal 26 9 3" xfId="6496"/>
    <cellStyle name="Normal 26 9_FC with allocations" xfId="25242"/>
    <cellStyle name="Normal 26_FC with allocations" xfId="25234"/>
    <cellStyle name="Normal 260" xfId="2067"/>
    <cellStyle name="Normal 260 2" xfId="17642"/>
    <cellStyle name="Normal 260 3" xfId="17397"/>
    <cellStyle name="Normal 260_FC with allocations" xfId="25243"/>
    <cellStyle name="Normal 261" xfId="2068"/>
    <cellStyle name="Normal 261 2" xfId="17643"/>
    <cellStyle name="Normal 261_FC with allocations" xfId="25244"/>
    <cellStyle name="Normal 262" xfId="3901"/>
    <cellStyle name="Normal 262 2" xfId="4728"/>
    <cellStyle name="Normal 262 3" xfId="4628"/>
    <cellStyle name="Normal 262 4" xfId="17899"/>
    <cellStyle name="Normal 262 5" xfId="17398"/>
    <cellStyle name="Normal 262_FC with allocations" xfId="25245"/>
    <cellStyle name="Normal 263" xfId="3900"/>
    <cellStyle name="Normal 263 2" xfId="4727"/>
    <cellStyle name="Normal 263 3" xfId="4627"/>
    <cellStyle name="Normal 263 4" xfId="17898"/>
    <cellStyle name="Normal 263 5" xfId="17396"/>
    <cellStyle name="Normal 263_FC with allocations" xfId="25246"/>
    <cellStyle name="Normal 264" xfId="4425"/>
    <cellStyle name="Normal 264 2" xfId="4734"/>
    <cellStyle name="Normal 264 3" xfId="4634"/>
    <cellStyle name="Normal 264 4" xfId="17903"/>
    <cellStyle name="Normal 264 5" xfId="17399"/>
    <cellStyle name="Normal 264 5 2" xfId="20363"/>
    <cellStyle name="Normal 264 5 3" xfId="22503"/>
    <cellStyle name="Normal 264 5_FC with allocations" xfId="25248"/>
    <cellStyle name="Normal 264_FC with allocations" xfId="25247"/>
    <cellStyle name="Normal 265" xfId="4423"/>
    <cellStyle name="Normal 265 2" xfId="4732"/>
    <cellStyle name="Normal 265 3" xfId="4632"/>
    <cellStyle name="Normal 265 4" xfId="17902"/>
    <cellStyle name="Normal 265 5" xfId="17400"/>
    <cellStyle name="Normal 265 5 2" xfId="20364"/>
    <cellStyle name="Normal 265 5 3" xfId="22504"/>
    <cellStyle name="Normal 265 5_FC with allocations" xfId="25250"/>
    <cellStyle name="Normal 265_FC with allocations" xfId="25249"/>
    <cellStyle name="Normal 266" xfId="4424"/>
    <cellStyle name="Normal 266 2" xfId="4733"/>
    <cellStyle name="Normal 266 3" xfId="4633"/>
    <cellStyle name="Normal 266 3 2" xfId="18155"/>
    <cellStyle name="Normal 266 3_FC with allocations" xfId="25252"/>
    <cellStyle name="Normal 266_FC with allocations" xfId="25251"/>
    <cellStyle name="Normal 267" xfId="4434"/>
    <cellStyle name="Normal 267 2" xfId="4743"/>
    <cellStyle name="Normal 267 3" xfId="4643"/>
    <cellStyle name="Normal 267 3 2" xfId="18160"/>
    <cellStyle name="Normal 267 3_FC with allocations" xfId="25254"/>
    <cellStyle name="Normal 267_FC with allocations" xfId="25253"/>
    <cellStyle name="Normal 268" xfId="4422"/>
    <cellStyle name="Normal 268 10" xfId="19869"/>
    <cellStyle name="Normal 268 11" xfId="21862"/>
    <cellStyle name="Normal 268 2" xfId="4731"/>
    <cellStyle name="Normal 268 2 2" xfId="16636"/>
    <cellStyle name="Normal 268 2 2 2" xfId="18658"/>
    <cellStyle name="Normal 268 2 2 2 2" xfId="19677"/>
    <cellStyle name="Normal 268 2 2 2 2 2" xfId="21687"/>
    <cellStyle name="Normal 268 2 2 2 2 3" xfId="23845"/>
    <cellStyle name="Normal 268 2 2 2 2_FC with allocations" xfId="25259"/>
    <cellStyle name="Normal 268 2 2 2 3" xfId="20811"/>
    <cellStyle name="Normal 268 2 2 2 4" xfId="22968"/>
    <cellStyle name="Normal 268 2 2 2_FC with allocations" xfId="25258"/>
    <cellStyle name="Normal 268 2 2 3" xfId="19145"/>
    <cellStyle name="Normal 268 2 2 3 2" xfId="21278"/>
    <cellStyle name="Normal 268 2 2 3 3" xfId="23435"/>
    <cellStyle name="Normal 268 2 2 3_FC with allocations" xfId="25260"/>
    <cellStyle name="Normal 268 2 2 4" xfId="20196"/>
    <cellStyle name="Normal 268 2 2 5" xfId="22313"/>
    <cellStyle name="Normal 268 2 2_FC with allocations" xfId="25257"/>
    <cellStyle name="Normal 268 2 3" xfId="18221"/>
    <cellStyle name="Normal 268 2 3 2" xfId="19512"/>
    <cellStyle name="Normal 268 2 3 2 2" xfId="21522"/>
    <cellStyle name="Normal 268 2 3 2 3" xfId="23680"/>
    <cellStyle name="Normal 268 2 3 2_FC with allocations" xfId="25262"/>
    <cellStyle name="Normal 268 2 3 3" xfId="20645"/>
    <cellStyle name="Normal 268 2 3 4" xfId="22787"/>
    <cellStyle name="Normal 268 2 3_FC with allocations" xfId="25261"/>
    <cellStyle name="Normal 268 2 4" xfId="17901"/>
    <cellStyle name="Normal 268 2 4 2" xfId="20373"/>
    <cellStyle name="Normal 268 2 4 3" xfId="22513"/>
    <cellStyle name="Normal 268 2 4_FC with allocations" xfId="25263"/>
    <cellStyle name="Normal 268 2 5" xfId="18877"/>
    <cellStyle name="Normal 268 2 5 2" xfId="21029"/>
    <cellStyle name="Normal 268 2 5 3" xfId="23186"/>
    <cellStyle name="Normal 268 2 5_FC with allocations" xfId="25264"/>
    <cellStyle name="Normal 268 2 6" xfId="20028"/>
    <cellStyle name="Normal 268 2 7" xfId="22023"/>
    <cellStyle name="Normal 268 2_FC with allocations" xfId="25256"/>
    <cellStyle name="Normal 268 3" xfId="16583"/>
    <cellStyle name="Normal 268 3 2" xfId="18605"/>
    <cellStyle name="Normal 268 3 2 2" xfId="19624"/>
    <cellStyle name="Normal 268 3 2 2 2" xfId="21634"/>
    <cellStyle name="Normal 268 3 2 2 3" xfId="23792"/>
    <cellStyle name="Normal 268 3 2 2_FC with allocations" xfId="25267"/>
    <cellStyle name="Normal 268 3 2 3" xfId="20758"/>
    <cellStyle name="Normal 268 3 2 4" xfId="22915"/>
    <cellStyle name="Normal 268 3 2_FC with allocations" xfId="25266"/>
    <cellStyle name="Normal 268 3 3" xfId="17972"/>
    <cellStyle name="Normal 268 3 3 2" xfId="20426"/>
    <cellStyle name="Normal 268 3 3 3" xfId="22566"/>
    <cellStyle name="Normal 268 3 3_FC with allocations" xfId="25268"/>
    <cellStyle name="Normal 268 3 4" xfId="19091"/>
    <cellStyle name="Normal 268 3 4 2" xfId="21224"/>
    <cellStyle name="Normal 268 3 4 3" xfId="23381"/>
    <cellStyle name="Normal 268 3 4_FC with allocations" xfId="25269"/>
    <cellStyle name="Normal 268 3 5" xfId="20143"/>
    <cellStyle name="Normal 268 3 6" xfId="22260"/>
    <cellStyle name="Normal 268 3_FC with allocations" xfId="25265"/>
    <cellStyle name="Normal 268 4" xfId="4631"/>
    <cellStyle name="Normal 268 4 2" xfId="18154"/>
    <cellStyle name="Normal 268 4 2 2" xfId="19459"/>
    <cellStyle name="Normal 268 4 2 2 2" xfId="21469"/>
    <cellStyle name="Normal 268 4 2 2 3" xfId="23627"/>
    <cellStyle name="Normal 268 4 2 2_FC with allocations" xfId="25272"/>
    <cellStyle name="Normal 268 4 2 3" xfId="20592"/>
    <cellStyle name="Normal 268 4 2 4" xfId="22734"/>
    <cellStyle name="Normal 268 4 2_FC with allocations" xfId="25271"/>
    <cellStyle name="Normal 268 4 3" xfId="19203"/>
    <cellStyle name="Normal 268 4 3 2" xfId="21336"/>
    <cellStyle name="Normal 268 4 3 3" xfId="23493"/>
    <cellStyle name="Normal 268 4 3_FC with allocations" xfId="25273"/>
    <cellStyle name="Normal 268 4 4" xfId="19975"/>
    <cellStyle name="Normal 268 4 5" xfId="21970"/>
    <cellStyle name="Normal 268 4_FC with allocations" xfId="25270"/>
    <cellStyle name="Normal 268 5" xfId="16714"/>
    <cellStyle name="Normal 268 5 2" xfId="18718"/>
    <cellStyle name="Normal 268 5 2 2" xfId="20871"/>
    <cellStyle name="Normal 268 5 2 3" xfId="23028"/>
    <cellStyle name="Normal 268 5 2_FC with allocations" xfId="25275"/>
    <cellStyle name="Normal 268 5 3" xfId="19738"/>
    <cellStyle name="Normal 268 5 3 2" xfId="21748"/>
    <cellStyle name="Normal 268 5 3 3" xfId="23906"/>
    <cellStyle name="Normal 268 5 3_FC with allocations" xfId="25276"/>
    <cellStyle name="Normal 268 5 4" xfId="20257"/>
    <cellStyle name="Normal 268 5 5" xfId="22385"/>
    <cellStyle name="Normal 268 5_FC with allocations" xfId="25274"/>
    <cellStyle name="Normal 268 6" xfId="18034"/>
    <cellStyle name="Normal 268 6 2" xfId="19353"/>
    <cellStyle name="Normal 268 6 2 2" xfId="21363"/>
    <cellStyle name="Normal 268 6 2 3" xfId="23521"/>
    <cellStyle name="Normal 268 6 2_FC with allocations" xfId="25278"/>
    <cellStyle name="Normal 268 6 3" xfId="20486"/>
    <cellStyle name="Normal 268 6 4" xfId="22628"/>
    <cellStyle name="Normal 268 6_FC with allocations" xfId="25277"/>
    <cellStyle name="Normal 268 7" xfId="17889"/>
    <cellStyle name="Normal 268 7 2" xfId="20369"/>
    <cellStyle name="Normal 268 7 3" xfId="22509"/>
    <cellStyle name="Normal 268 7_FC with allocations" xfId="25279"/>
    <cellStyle name="Normal 268 8" xfId="18824"/>
    <cellStyle name="Normal 268 8 2" xfId="20976"/>
    <cellStyle name="Normal 268 8 3" xfId="23133"/>
    <cellStyle name="Normal 268 8_FC with allocations" xfId="25280"/>
    <cellStyle name="Normal 268 9" xfId="19792"/>
    <cellStyle name="Normal 268 9 2" xfId="21801"/>
    <cellStyle name="Normal 268 9 3" xfId="23959"/>
    <cellStyle name="Normal 268 9_FC with allocations" xfId="25281"/>
    <cellStyle name="Normal 268_FC with allocations" xfId="25255"/>
    <cellStyle name="Normal 269" xfId="4431"/>
    <cellStyle name="Normal 269 10" xfId="19871"/>
    <cellStyle name="Normal 269 11" xfId="21864"/>
    <cellStyle name="Normal 269 2" xfId="4740"/>
    <cellStyle name="Normal 269 2 2" xfId="16638"/>
    <cellStyle name="Normal 269 2 2 2" xfId="18660"/>
    <cellStyle name="Normal 269 2 2 2 2" xfId="19679"/>
    <cellStyle name="Normal 269 2 2 2 2 2" xfId="21689"/>
    <cellStyle name="Normal 269 2 2 2 2 3" xfId="23847"/>
    <cellStyle name="Normal 269 2 2 2 2_FC with allocations" xfId="25286"/>
    <cellStyle name="Normal 269 2 2 2 3" xfId="20813"/>
    <cellStyle name="Normal 269 2 2 2 4" xfId="22970"/>
    <cellStyle name="Normal 269 2 2 2_FC with allocations" xfId="25285"/>
    <cellStyle name="Normal 269 2 2 3" xfId="19147"/>
    <cellStyle name="Normal 269 2 2 3 2" xfId="21280"/>
    <cellStyle name="Normal 269 2 2 3 3" xfId="23437"/>
    <cellStyle name="Normal 269 2 2 3_FC with allocations" xfId="25287"/>
    <cellStyle name="Normal 269 2 2 4" xfId="20198"/>
    <cellStyle name="Normal 269 2 2 5" xfId="22315"/>
    <cellStyle name="Normal 269 2 2_FC with allocations" xfId="25284"/>
    <cellStyle name="Normal 269 2 3" xfId="18223"/>
    <cellStyle name="Normal 269 2 3 2" xfId="19514"/>
    <cellStyle name="Normal 269 2 3 2 2" xfId="21524"/>
    <cellStyle name="Normal 269 2 3 2 3" xfId="23682"/>
    <cellStyle name="Normal 269 2 3 2_FC with allocations" xfId="25289"/>
    <cellStyle name="Normal 269 2 3 3" xfId="20647"/>
    <cellStyle name="Normal 269 2 3 4" xfId="22789"/>
    <cellStyle name="Normal 269 2 3_FC with allocations" xfId="25288"/>
    <cellStyle name="Normal 269 2 4" xfId="17908"/>
    <cellStyle name="Normal 269 2 4 2" xfId="20375"/>
    <cellStyle name="Normal 269 2 4 3" xfId="22515"/>
    <cellStyle name="Normal 269 2 4_FC with allocations" xfId="25290"/>
    <cellStyle name="Normal 269 2 5" xfId="18879"/>
    <cellStyle name="Normal 269 2 5 2" xfId="21031"/>
    <cellStyle name="Normal 269 2 5 3" xfId="23188"/>
    <cellStyle name="Normal 269 2 5_FC with allocations" xfId="25291"/>
    <cellStyle name="Normal 269 2 6" xfId="20030"/>
    <cellStyle name="Normal 269 2 7" xfId="22025"/>
    <cellStyle name="Normal 269 2_FC with allocations" xfId="25283"/>
    <cellStyle name="Normal 269 3" xfId="16585"/>
    <cellStyle name="Normal 269 3 2" xfId="18607"/>
    <cellStyle name="Normal 269 3 2 2" xfId="19626"/>
    <cellStyle name="Normal 269 3 2 2 2" xfId="21636"/>
    <cellStyle name="Normal 269 3 2 2 3" xfId="23794"/>
    <cellStyle name="Normal 269 3 2 2_FC with allocations" xfId="25294"/>
    <cellStyle name="Normal 269 3 2 3" xfId="20760"/>
    <cellStyle name="Normal 269 3 2 4" xfId="22917"/>
    <cellStyle name="Normal 269 3 2_FC with allocations" xfId="25293"/>
    <cellStyle name="Normal 269 3 3" xfId="17974"/>
    <cellStyle name="Normal 269 3 3 2" xfId="20428"/>
    <cellStyle name="Normal 269 3 3 3" xfId="22568"/>
    <cellStyle name="Normal 269 3 3_FC with allocations" xfId="25295"/>
    <cellStyle name="Normal 269 3 4" xfId="19093"/>
    <cellStyle name="Normal 269 3 4 2" xfId="21226"/>
    <cellStyle name="Normal 269 3 4 3" xfId="23383"/>
    <cellStyle name="Normal 269 3 4_FC with allocations" xfId="25296"/>
    <cellStyle name="Normal 269 3 5" xfId="20145"/>
    <cellStyle name="Normal 269 3 6" xfId="22262"/>
    <cellStyle name="Normal 269 3_FC with allocations" xfId="25292"/>
    <cellStyle name="Normal 269 4" xfId="4640"/>
    <cellStyle name="Normal 269 4 2" xfId="18158"/>
    <cellStyle name="Normal 269 4 2 2" xfId="19461"/>
    <cellStyle name="Normal 269 4 2 2 2" xfId="21471"/>
    <cellStyle name="Normal 269 4 2 2 3" xfId="23629"/>
    <cellStyle name="Normal 269 4 2 2_FC with allocations" xfId="25299"/>
    <cellStyle name="Normal 269 4 2 3" xfId="20594"/>
    <cellStyle name="Normal 269 4 2 4" xfId="22736"/>
    <cellStyle name="Normal 269 4 2_FC with allocations" xfId="25298"/>
    <cellStyle name="Normal 269 4 3" xfId="19206"/>
    <cellStyle name="Normal 269 4 3 2" xfId="21339"/>
    <cellStyle name="Normal 269 4 3 3" xfId="23496"/>
    <cellStyle name="Normal 269 4 3_FC with allocations" xfId="25300"/>
    <cellStyle name="Normal 269 4 4" xfId="19977"/>
    <cellStyle name="Normal 269 4 5" xfId="21972"/>
    <cellStyle name="Normal 269 4_FC with allocations" xfId="25297"/>
    <cellStyle name="Normal 269 5" xfId="16716"/>
    <cellStyle name="Normal 269 5 2" xfId="18720"/>
    <cellStyle name="Normal 269 5 2 2" xfId="20873"/>
    <cellStyle name="Normal 269 5 2 3" xfId="23030"/>
    <cellStyle name="Normal 269 5 2_FC with allocations" xfId="25302"/>
    <cellStyle name="Normal 269 5 3" xfId="19740"/>
    <cellStyle name="Normal 269 5 3 2" xfId="21750"/>
    <cellStyle name="Normal 269 5 3 3" xfId="23908"/>
    <cellStyle name="Normal 269 5 3_FC with allocations" xfId="25303"/>
    <cellStyle name="Normal 269 5 4" xfId="20259"/>
    <cellStyle name="Normal 269 5 5" xfId="22387"/>
    <cellStyle name="Normal 269 5_FC with allocations" xfId="25301"/>
    <cellStyle name="Normal 269 6" xfId="18036"/>
    <cellStyle name="Normal 269 6 2" xfId="19355"/>
    <cellStyle name="Normal 269 6 2 2" xfId="21365"/>
    <cellStyle name="Normal 269 6 2 3" xfId="23523"/>
    <cellStyle name="Normal 269 6 2_FC with allocations" xfId="25305"/>
    <cellStyle name="Normal 269 6 3" xfId="20488"/>
    <cellStyle name="Normal 269 6 4" xfId="22630"/>
    <cellStyle name="Normal 269 6_FC with allocations" xfId="25304"/>
    <cellStyle name="Normal 269 7" xfId="17891"/>
    <cellStyle name="Normal 269 7 2" xfId="20371"/>
    <cellStyle name="Normal 269 7 3" xfId="22511"/>
    <cellStyle name="Normal 269 7_FC with allocations" xfId="25306"/>
    <cellStyle name="Normal 269 8" xfId="18826"/>
    <cellStyle name="Normal 269 8 2" xfId="20978"/>
    <cellStyle name="Normal 269 8 3" xfId="23135"/>
    <cellStyle name="Normal 269 8_FC with allocations" xfId="25307"/>
    <cellStyle name="Normal 269 9" xfId="19794"/>
    <cellStyle name="Normal 269 9 2" xfId="21803"/>
    <cellStyle name="Normal 269 9 3" xfId="23961"/>
    <cellStyle name="Normal 269 9_FC with allocations" xfId="25308"/>
    <cellStyle name="Normal 269_FC with allocations" xfId="25282"/>
    <cellStyle name="Normal 27" xfId="2069"/>
    <cellStyle name="Normal 27 10" xfId="6498"/>
    <cellStyle name="Normal 27 11" xfId="6499"/>
    <cellStyle name="Normal 27 12" xfId="6497"/>
    <cellStyle name="Normal 27 2" xfId="2070"/>
    <cellStyle name="Normal 27 2 2" xfId="6501"/>
    <cellStyle name="Normal 27 2 3" xfId="6502"/>
    <cellStyle name="Normal 27 2 4" xfId="6500"/>
    <cellStyle name="Normal 27 2_FC with allocations" xfId="25310"/>
    <cellStyle name="Normal 27 3" xfId="6503"/>
    <cellStyle name="Normal 27 3 2" xfId="6504"/>
    <cellStyle name="Normal 27 3 3" xfId="6505"/>
    <cellStyle name="Normal 27 3_FC with allocations" xfId="25311"/>
    <cellStyle name="Normal 27 4" xfId="6506"/>
    <cellStyle name="Normal 27 4 2" xfId="6507"/>
    <cellStyle name="Normal 27 4 3" xfId="6508"/>
    <cellStyle name="Normal 27 4_FC with allocations" xfId="25312"/>
    <cellStyle name="Normal 27 5" xfId="6509"/>
    <cellStyle name="Normal 27 5 2" xfId="6510"/>
    <cellStyle name="Normal 27 5 3" xfId="6511"/>
    <cellStyle name="Normal 27 5_FC with allocations" xfId="25313"/>
    <cellStyle name="Normal 27 6" xfId="6512"/>
    <cellStyle name="Normal 27 6 2" xfId="6513"/>
    <cellStyle name="Normal 27 6 3" xfId="6514"/>
    <cellStyle name="Normal 27 6_FC with allocations" xfId="25314"/>
    <cellStyle name="Normal 27 7" xfId="6515"/>
    <cellStyle name="Normal 27 7 2" xfId="6516"/>
    <cellStyle name="Normal 27 7 3" xfId="6517"/>
    <cellStyle name="Normal 27 7_FC with allocations" xfId="25315"/>
    <cellStyle name="Normal 27 8" xfId="6518"/>
    <cellStyle name="Normal 27 8 2" xfId="6519"/>
    <cellStyle name="Normal 27 8 3" xfId="6520"/>
    <cellStyle name="Normal 27 8_FC with allocations" xfId="25316"/>
    <cellStyle name="Normal 27 9" xfId="6521"/>
    <cellStyle name="Normal 27 9 2" xfId="6522"/>
    <cellStyle name="Normal 27 9 3" xfId="6523"/>
    <cellStyle name="Normal 27 9_FC with allocations" xfId="25317"/>
    <cellStyle name="Normal 27_FC with allocations" xfId="25309"/>
    <cellStyle name="Normal 270" xfId="4413"/>
    <cellStyle name="Normal 270 2" xfId="4729"/>
    <cellStyle name="Normal 270 3" xfId="4629"/>
    <cellStyle name="Normal 270 3 2" xfId="18152"/>
    <cellStyle name="Normal 270 3_FC with allocations" xfId="25319"/>
    <cellStyle name="Normal 270_FC with allocations" xfId="25318"/>
    <cellStyle name="Normal 271" xfId="4436"/>
    <cellStyle name="Normal 271 2" xfId="4745"/>
    <cellStyle name="Normal 271 3" xfId="4645"/>
    <cellStyle name="Normal 271 3 2" xfId="18161"/>
    <cellStyle name="Normal 271 3_FC with allocations" xfId="25321"/>
    <cellStyle name="Normal 271_FC with allocations" xfId="25320"/>
    <cellStyle name="Normal 272" xfId="4446"/>
    <cellStyle name="Normal 272 2" xfId="4755"/>
    <cellStyle name="Normal 272 3" xfId="4655"/>
    <cellStyle name="Normal 272 3 2" xfId="18166"/>
    <cellStyle name="Normal 272 3_FC with allocations" xfId="25323"/>
    <cellStyle name="Normal 272_FC with allocations" xfId="25322"/>
    <cellStyle name="Normal 273" xfId="4438"/>
    <cellStyle name="Normal 273 2" xfId="4747"/>
    <cellStyle name="Normal 273 3" xfId="4647"/>
    <cellStyle name="Normal 273 3 2" xfId="18162"/>
    <cellStyle name="Normal 273 3_FC with allocations" xfId="25325"/>
    <cellStyle name="Normal 273_FC with allocations" xfId="25324"/>
    <cellStyle name="Normal 274" xfId="4444"/>
    <cellStyle name="Normal 274 2" xfId="4753"/>
    <cellStyle name="Normal 274 3" xfId="4653"/>
    <cellStyle name="Normal 274 3 2" xfId="18165"/>
    <cellStyle name="Normal 274 3_FC with allocations" xfId="25327"/>
    <cellStyle name="Normal 274_FC with allocations" xfId="25326"/>
    <cellStyle name="Normal 275" xfId="4440"/>
    <cellStyle name="Normal 275 2" xfId="4749"/>
    <cellStyle name="Normal 275 3" xfId="4649"/>
    <cellStyle name="Normal 275 3 2" xfId="18163"/>
    <cellStyle name="Normal 275 3_FC with allocations" xfId="25329"/>
    <cellStyle name="Normal 275_FC with allocations" xfId="25328"/>
    <cellStyle name="Normal 276" xfId="4442"/>
    <cellStyle name="Normal 276 2" xfId="4751"/>
    <cellStyle name="Normal 276 3" xfId="4651"/>
    <cellStyle name="Normal 276 3 2" xfId="18164"/>
    <cellStyle name="Normal 276 3_FC with allocations" xfId="25331"/>
    <cellStyle name="Normal 276_FC with allocations" xfId="25330"/>
    <cellStyle name="Normal 277" xfId="4414"/>
    <cellStyle name="Normal 277 10" xfId="19868"/>
    <cellStyle name="Normal 277 11" xfId="21861"/>
    <cellStyle name="Normal 277 2" xfId="4730"/>
    <cellStyle name="Normal 277 2 2" xfId="16635"/>
    <cellStyle name="Normal 277 2 2 2" xfId="18657"/>
    <cellStyle name="Normal 277 2 2 2 2" xfId="19676"/>
    <cellStyle name="Normal 277 2 2 2 2 2" xfId="21686"/>
    <cellStyle name="Normal 277 2 2 2 2 3" xfId="23844"/>
    <cellStyle name="Normal 277 2 2 2 2_FC with allocations" xfId="25336"/>
    <cellStyle name="Normal 277 2 2 2 3" xfId="20810"/>
    <cellStyle name="Normal 277 2 2 2 4" xfId="22967"/>
    <cellStyle name="Normal 277 2 2 2_FC with allocations" xfId="25335"/>
    <cellStyle name="Normal 277 2 2 3" xfId="19144"/>
    <cellStyle name="Normal 277 2 2 3 2" xfId="21277"/>
    <cellStyle name="Normal 277 2 2 3 3" xfId="23434"/>
    <cellStyle name="Normal 277 2 2 3_FC with allocations" xfId="25337"/>
    <cellStyle name="Normal 277 2 2 4" xfId="20195"/>
    <cellStyle name="Normal 277 2 2 5" xfId="22312"/>
    <cellStyle name="Normal 277 2 2_FC with allocations" xfId="25334"/>
    <cellStyle name="Normal 277 2 3" xfId="18220"/>
    <cellStyle name="Normal 277 2 3 2" xfId="19511"/>
    <cellStyle name="Normal 277 2 3 2 2" xfId="21521"/>
    <cellStyle name="Normal 277 2 3 2 3" xfId="23679"/>
    <cellStyle name="Normal 277 2 3 2_FC with allocations" xfId="25339"/>
    <cellStyle name="Normal 277 2 3 3" xfId="20644"/>
    <cellStyle name="Normal 277 2 3 4" xfId="22786"/>
    <cellStyle name="Normal 277 2 3_FC with allocations" xfId="25338"/>
    <cellStyle name="Normal 277 2 4" xfId="17900"/>
    <cellStyle name="Normal 277 2 4 2" xfId="20372"/>
    <cellStyle name="Normal 277 2 4 3" xfId="22512"/>
    <cellStyle name="Normal 277 2 4_FC with allocations" xfId="25340"/>
    <cellStyle name="Normal 277 2 5" xfId="18876"/>
    <cellStyle name="Normal 277 2 5 2" xfId="21028"/>
    <cellStyle name="Normal 277 2 5 3" xfId="23185"/>
    <cellStyle name="Normal 277 2 5_FC with allocations" xfId="25341"/>
    <cellStyle name="Normal 277 2 6" xfId="20027"/>
    <cellStyle name="Normal 277 2 7" xfId="22022"/>
    <cellStyle name="Normal 277 2_FC with allocations" xfId="25333"/>
    <cellStyle name="Normal 277 3" xfId="16582"/>
    <cellStyle name="Normal 277 3 2" xfId="18604"/>
    <cellStyle name="Normal 277 3 2 2" xfId="19623"/>
    <cellStyle name="Normal 277 3 2 2 2" xfId="21633"/>
    <cellStyle name="Normal 277 3 2 2 3" xfId="23791"/>
    <cellStyle name="Normal 277 3 2 2_FC with allocations" xfId="25344"/>
    <cellStyle name="Normal 277 3 2 3" xfId="20757"/>
    <cellStyle name="Normal 277 3 2 4" xfId="22914"/>
    <cellStyle name="Normal 277 3 2_FC with allocations" xfId="25343"/>
    <cellStyle name="Normal 277 3 3" xfId="17971"/>
    <cellStyle name="Normal 277 3 3 2" xfId="20425"/>
    <cellStyle name="Normal 277 3 3 3" xfId="22565"/>
    <cellStyle name="Normal 277 3 3_FC with allocations" xfId="25345"/>
    <cellStyle name="Normal 277 3 4" xfId="19090"/>
    <cellStyle name="Normal 277 3 4 2" xfId="21223"/>
    <cellStyle name="Normal 277 3 4 3" xfId="23380"/>
    <cellStyle name="Normal 277 3 4_FC with allocations" xfId="25346"/>
    <cellStyle name="Normal 277 3 5" xfId="20142"/>
    <cellStyle name="Normal 277 3 6" xfId="22259"/>
    <cellStyle name="Normal 277 3_FC with allocations" xfId="25342"/>
    <cellStyle name="Normal 277 4" xfId="4630"/>
    <cellStyle name="Normal 277 4 2" xfId="18153"/>
    <cellStyle name="Normal 277 4 2 2" xfId="19458"/>
    <cellStyle name="Normal 277 4 2 2 2" xfId="21468"/>
    <cellStyle name="Normal 277 4 2 2 3" xfId="23626"/>
    <cellStyle name="Normal 277 4 2 2_FC with allocations" xfId="25349"/>
    <cellStyle name="Normal 277 4 2 3" xfId="20591"/>
    <cellStyle name="Normal 277 4 2 4" xfId="22733"/>
    <cellStyle name="Normal 277 4 2_FC with allocations" xfId="25348"/>
    <cellStyle name="Normal 277 4 3" xfId="19204"/>
    <cellStyle name="Normal 277 4 3 2" xfId="21337"/>
    <cellStyle name="Normal 277 4 3 3" xfId="23494"/>
    <cellStyle name="Normal 277 4 3_FC with allocations" xfId="25350"/>
    <cellStyle name="Normal 277 4 4" xfId="19974"/>
    <cellStyle name="Normal 277 4 5" xfId="21969"/>
    <cellStyle name="Normal 277 4_FC with allocations" xfId="25347"/>
    <cellStyle name="Normal 277 5" xfId="16713"/>
    <cellStyle name="Normal 277 5 2" xfId="18717"/>
    <cellStyle name="Normal 277 5 2 2" xfId="20870"/>
    <cellStyle name="Normal 277 5 2 3" xfId="23027"/>
    <cellStyle name="Normal 277 5 2_FC with allocations" xfId="25352"/>
    <cellStyle name="Normal 277 5 3" xfId="19737"/>
    <cellStyle name="Normal 277 5 3 2" xfId="21747"/>
    <cellStyle name="Normal 277 5 3 3" xfId="23905"/>
    <cellStyle name="Normal 277 5 3_FC with allocations" xfId="25353"/>
    <cellStyle name="Normal 277 5 4" xfId="20256"/>
    <cellStyle name="Normal 277 5 5" xfId="22384"/>
    <cellStyle name="Normal 277 5_FC with allocations" xfId="25351"/>
    <cellStyle name="Normal 277 6" xfId="18033"/>
    <cellStyle name="Normal 277 6 2" xfId="19352"/>
    <cellStyle name="Normal 277 6 2 2" xfId="21362"/>
    <cellStyle name="Normal 277 6 2 3" xfId="23520"/>
    <cellStyle name="Normal 277 6 2_FC with allocations" xfId="25355"/>
    <cellStyle name="Normal 277 6 3" xfId="20485"/>
    <cellStyle name="Normal 277 6 4" xfId="22627"/>
    <cellStyle name="Normal 277 6_FC with allocations" xfId="25354"/>
    <cellStyle name="Normal 277 7" xfId="17888"/>
    <cellStyle name="Normal 277 7 2" xfId="20368"/>
    <cellStyle name="Normal 277 7 3" xfId="22508"/>
    <cellStyle name="Normal 277 7_FC with allocations" xfId="25356"/>
    <cellStyle name="Normal 277 8" xfId="18823"/>
    <cellStyle name="Normal 277 8 2" xfId="20975"/>
    <cellStyle name="Normal 277 8 3" xfId="23132"/>
    <cellStyle name="Normal 277 8_FC with allocations" xfId="25357"/>
    <cellStyle name="Normal 277 9" xfId="19791"/>
    <cellStyle name="Normal 277 9 2" xfId="21800"/>
    <cellStyle name="Normal 277 9 3" xfId="23958"/>
    <cellStyle name="Normal 277 9_FC with allocations" xfId="25358"/>
    <cellStyle name="Normal 277_FC with allocations" xfId="25332"/>
    <cellStyle name="Normal 278" xfId="4428"/>
    <cellStyle name="Normal 278 10" xfId="19870"/>
    <cellStyle name="Normal 278 11" xfId="21863"/>
    <cellStyle name="Normal 278 2" xfId="4737"/>
    <cellStyle name="Normal 278 2 2" xfId="16637"/>
    <cellStyle name="Normal 278 2 2 2" xfId="18659"/>
    <cellStyle name="Normal 278 2 2 2 2" xfId="19678"/>
    <cellStyle name="Normal 278 2 2 2 2 2" xfId="21688"/>
    <cellStyle name="Normal 278 2 2 2 2 3" xfId="23846"/>
    <cellStyle name="Normal 278 2 2 2 2_FC with allocations" xfId="25363"/>
    <cellStyle name="Normal 278 2 2 2 3" xfId="20812"/>
    <cellStyle name="Normal 278 2 2 2 4" xfId="22969"/>
    <cellStyle name="Normal 278 2 2 2_FC with allocations" xfId="25362"/>
    <cellStyle name="Normal 278 2 2 3" xfId="19146"/>
    <cellStyle name="Normal 278 2 2 3 2" xfId="21279"/>
    <cellStyle name="Normal 278 2 2 3 3" xfId="23436"/>
    <cellStyle name="Normal 278 2 2 3_FC with allocations" xfId="25364"/>
    <cellStyle name="Normal 278 2 2 4" xfId="20197"/>
    <cellStyle name="Normal 278 2 2 5" xfId="22314"/>
    <cellStyle name="Normal 278 2 2_FC with allocations" xfId="25361"/>
    <cellStyle name="Normal 278 2 3" xfId="18222"/>
    <cellStyle name="Normal 278 2 3 2" xfId="19513"/>
    <cellStyle name="Normal 278 2 3 2 2" xfId="21523"/>
    <cellStyle name="Normal 278 2 3 2 3" xfId="23681"/>
    <cellStyle name="Normal 278 2 3 2_FC with allocations" xfId="25366"/>
    <cellStyle name="Normal 278 2 3 3" xfId="20646"/>
    <cellStyle name="Normal 278 2 3 4" xfId="22788"/>
    <cellStyle name="Normal 278 2 3_FC with allocations" xfId="25365"/>
    <cellStyle name="Normal 278 2 4" xfId="17906"/>
    <cellStyle name="Normal 278 2 4 2" xfId="20374"/>
    <cellStyle name="Normal 278 2 4 3" xfId="22514"/>
    <cellStyle name="Normal 278 2 4_FC with allocations" xfId="25367"/>
    <cellStyle name="Normal 278 2 5" xfId="18878"/>
    <cellStyle name="Normal 278 2 5 2" xfId="21030"/>
    <cellStyle name="Normal 278 2 5 3" xfId="23187"/>
    <cellStyle name="Normal 278 2 5_FC with allocations" xfId="25368"/>
    <cellStyle name="Normal 278 2 6" xfId="20029"/>
    <cellStyle name="Normal 278 2 7" xfId="22024"/>
    <cellStyle name="Normal 278 2_FC with allocations" xfId="25360"/>
    <cellStyle name="Normal 278 3" xfId="16584"/>
    <cellStyle name="Normal 278 3 2" xfId="18606"/>
    <cellStyle name="Normal 278 3 2 2" xfId="19625"/>
    <cellStyle name="Normal 278 3 2 2 2" xfId="21635"/>
    <cellStyle name="Normal 278 3 2 2 3" xfId="23793"/>
    <cellStyle name="Normal 278 3 2 2_FC with allocations" xfId="25371"/>
    <cellStyle name="Normal 278 3 2 3" xfId="20759"/>
    <cellStyle name="Normal 278 3 2 4" xfId="22916"/>
    <cellStyle name="Normal 278 3 2_FC with allocations" xfId="25370"/>
    <cellStyle name="Normal 278 3 3" xfId="17973"/>
    <cellStyle name="Normal 278 3 3 2" xfId="20427"/>
    <cellStyle name="Normal 278 3 3 3" xfId="22567"/>
    <cellStyle name="Normal 278 3 3_FC with allocations" xfId="25372"/>
    <cellStyle name="Normal 278 3 4" xfId="19092"/>
    <cellStyle name="Normal 278 3 4 2" xfId="21225"/>
    <cellStyle name="Normal 278 3 4 3" xfId="23382"/>
    <cellStyle name="Normal 278 3 4_FC with allocations" xfId="25373"/>
    <cellStyle name="Normal 278 3 5" xfId="20144"/>
    <cellStyle name="Normal 278 3 6" xfId="22261"/>
    <cellStyle name="Normal 278 3_FC with allocations" xfId="25369"/>
    <cellStyle name="Normal 278 4" xfId="4637"/>
    <cellStyle name="Normal 278 4 2" xfId="18156"/>
    <cellStyle name="Normal 278 4 2 2" xfId="19460"/>
    <cellStyle name="Normal 278 4 2 2 2" xfId="21470"/>
    <cellStyle name="Normal 278 4 2 2 3" xfId="23628"/>
    <cellStyle name="Normal 278 4 2 2_FC with allocations" xfId="25376"/>
    <cellStyle name="Normal 278 4 2 3" xfId="20593"/>
    <cellStyle name="Normal 278 4 2 4" xfId="22735"/>
    <cellStyle name="Normal 278 4 2_FC with allocations" xfId="25375"/>
    <cellStyle name="Normal 278 4 3" xfId="19205"/>
    <cellStyle name="Normal 278 4 3 2" xfId="21338"/>
    <cellStyle name="Normal 278 4 3 3" xfId="23495"/>
    <cellStyle name="Normal 278 4 3_FC with allocations" xfId="25377"/>
    <cellStyle name="Normal 278 4 4" xfId="19976"/>
    <cellStyle name="Normal 278 4 5" xfId="21971"/>
    <cellStyle name="Normal 278 4_FC with allocations" xfId="25374"/>
    <cellStyle name="Normal 278 5" xfId="16715"/>
    <cellStyle name="Normal 278 5 2" xfId="18719"/>
    <cellStyle name="Normal 278 5 2 2" xfId="20872"/>
    <cellStyle name="Normal 278 5 2 3" xfId="23029"/>
    <cellStyle name="Normal 278 5 2_FC with allocations" xfId="25379"/>
    <cellStyle name="Normal 278 5 3" xfId="19739"/>
    <cellStyle name="Normal 278 5 3 2" xfId="21749"/>
    <cellStyle name="Normal 278 5 3 3" xfId="23907"/>
    <cellStyle name="Normal 278 5 3_FC with allocations" xfId="25380"/>
    <cellStyle name="Normal 278 5 4" xfId="20258"/>
    <cellStyle name="Normal 278 5 5" xfId="22386"/>
    <cellStyle name="Normal 278 5_FC with allocations" xfId="25378"/>
    <cellStyle name="Normal 278 6" xfId="18035"/>
    <cellStyle name="Normal 278 6 2" xfId="19354"/>
    <cellStyle name="Normal 278 6 2 2" xfId="21364"/>
    <cellStyle name="Normal 278 6 2 3" xfId="23522"/>
    <cellStyle name="Normal 278 6 2_FC with allocations" xfId="25382"/>
    <cellStyle name="Normal 278 6 3" xfId="20487"/>
    <cellStyle name="Normal 278 6 4" xfId="22629"/>
    <cellStyle name="Normal 278 6_FC with allocations" xfId="25381"/>
    <cellStyle name="Normal 278 7" xfId="17890"/>
    <cellStyle name="Normal 278 7 2" xfId="20370"/>
    <cellStyle name="Normal 278 7 3" xfId="22510"/>
    <cellStyle name="Normal 278 7_FC with allocations" xfId="25383"/>
    <cellStyle name="Normal 278 8" xfId="18825"/>
    <cellStyle name="Normal 278 8 2" xfId="20977"/>
    <cellStyle name="Normal 278 8 3" xfId="23134"/>
    <cellStyle name="Normal 278 8_FC with allocations" xfId="25384"/>
    <cellStyle name="Normal 278 9" xfId="19793"/>
    <cellStyle name="Normal 278 9 2" xfId="21802"/>
    <cellStyle name="Normal 278 9 3" xfId="23960"/>
    <cellStyle name="Normal 278 9_FC with allocations" xfId="25385"/>
    <cellStyle name="Normal 278_FC with allocations" xfId="25359"/>
    <cellStyle name="Normal 279" xfId="4448"/>
    <cellStyle name="Normal 279 2" xfId="4757"/>
    <cellStyle name="Normal 279 3" xfId="4657"/>
    <cellStyle name="Normal 279 3 2" xfId="18167"/>
    <cellStyle name="Normal 279 3_FC with allocations" xfId="25387"/>
    <cellStyle name="Normal 279_FC with allocations" xfId="25386"/>
    <cellStyle name="Normal 28" xfId="2071"/>
    <cellStyle name="Normal 28 10" xfId="6525"/>
    <cellStyle name="Normal 28 11" xfId="6526"/>
    <cellStyle name="Normal 28 12" xfId="6524"/>
    <cellStyle name="Normal 28 2" xfId="2072"/>
    <cellStyle name="Normal 28 2 2" xfId="6528"/>
    <cellStyle name="Normal 28 2 3" xfId="6529"/>
    <cellStyle name="Normal 28 2 4" xfId="6527"/>
    <cellStyle name="Normal 28 2_FC with allocations" xfId="25389"/>
    <cellStyle name="Normal 28 3" xfId="6530"/>
    <cellStyle name="Normal 28 3 2" xfId="6531"/>
    <cellStyle name="Normal 28 3 3" xfId="6532"/>
    <cellStyle name="Normal 28 3_FC with allocations" xfId="25390"/>
    <cellStyle name="Normal 28 4" xfId="6533"/>
    <cellStyle name="Normal 28 4 2" xfId="6534"/>
    <cellStyle name="Normal 28 4 3" xfId="6535"/>
    <cellStyle name="Normal 28 4_FC with allocations" xfId="25391"/>
    <cellStyle name="Normal 28 5" xfId="6536"/>
    <cellStyle name="Normal 28 5 2" xfId="6537"/>
    <cellStyle name="Normal 28 5 3" xfId="6538"/>
    <cellStyle name="Normal 28 5_FC with allocations" xfId="25392"/>
    <cellStyle name="Normal 28 6" xfId="6539"/>
    <cellStyle name="Normal 28 6 2" xfId="6540"/>
    <cellStyle name="Normal 28 6 3" xfId="6541"/>
    <cellStyle name="Normal 28 6_FC with allocations" xfId="25393"/>
    <cellStyle name="Normal 28 7" xfId="6542"/>
    <cellStyle name="Normal 28 7 2" xfId="6543"/>
    <cellStyle name="Normal 28 7 3" xfId="6544"/>
    <cellStyle name="Normal 28 7_FC with allocations" xfId="25394"/>
    <cellStyle name="Normal 28 8" xfId="6545"/>
    <cellStyle name="Normal 28 8 2" xfId="6546"/>
    <cellStyle name="Normal 28 8 3" xfId="6547"/>
    <cellStyle name="Normal 28 8_FC with allocations" xfId="25395"/>
    <cellStyle name="Normal 28 9" xfId="6548"/>
    <cellStyle name="Normal 28 9 2" xfId="6549"/>
    <cellStyle name="Normal 28 9 3" xfId="6550"/>
    <cellStyle name="Normal 28 9_FC with allocations" xfId="25396"/>
    <cellStyle name="Normal 28_FC with allocations" xfId="25388"/>
    <cellStyle name="Normal 280" xfId="4452"/>
    <cellStyle name="Normal 281" xfId="4710"/>
    <cellStyle name="Normal 282" xfId="4726"/>
    <cellStyle name="Normal 283" xfId="4711"/>
    <cellStyle name="Normal 284" xfId="4718"/>
    <cellStyle name="Normal 285" xfId="4712"/>
    <cellStyle name="Normal 286" xfId="4810"/>
    <cellStyle name="Normal 286 2" xfId="18273"/>
    <cellStyle name="Normal 286 2 2" xfId="19273"/>
    <cellStyle name="Normal 286 2 3" xfId="22839"/>
    <cellStyle name="Normal 286 2_FC with allocations" xfId="25398"/>
    <cellStyle name="Normal 286 3" xfId="17892"/>
    <cellStyle name="Normal 286 4" xfId="22075"/>
    <cellStyle name="Normal 286_FC with allocations" xfId="25397"/>
    <cellStyle name="Normal 287" xfId="4821"/>
    <cellStyle name="Normal 287 2" xfId="18277"/>
    <cellStyle name="Normal 287 2 2" xfId="19312"/>
    <cellStyle name="Normal 287 2 3" xfId="22843"/>
    <cellStyle name="Normal 287 2_FC with allocations" xfId="25400"/>
    <cellStyle name="Normal 287 3" xfId="17401"/>
    <cellStyle name="Normal 287 4" xfId="22086"/>
    <cellStyle name="Normal 287_FC with allocations" xfId="25399"/>
    <cellStyle name="Normal 288" xfId="4824"/>
    <cellStyle name="Normal 288 2" xfId="18279"/>
    <cellStyle name="Normal 288 2 2" xfId="19266"/>
    <cellStyle name="Normal 288 2 3" xfId="22845"/>
    <cellStyle name="Normal 288 2_FC with allocations" xfId="25402"/>
    <cellStyle name="Normal 288 3" xfId="17887"/>
    <cellStyle name="Normal 288 4" xfId="22089"/>
    <cellStyle name="Normal 288_FC with allocations" xfId="25401"/>
    <cellStyle name="Normal 289" xfId="4826"/>
    <cellStyle name="Normal 289 2" xfId="18281"/>
    <cellStyle name="Normal 289 2 2" xfId="19023"/>
    <cellStyle name="Normal 289 2 3" xfId="22847"/>
    <cellStyle name="Normal 289 2_FC with allocations" xfId="25404"/>
    <cellStyle name="Normal 289 3" xfId="17894"/>
    <cellStyle name="Normal 289 4" xfId="22091"/>
    <cellStyle name="Normal 289_FC with allocations" xfId="25403"/>
    <cellStyle name="Normal 29" xfId="2073"/>
    <cellStyle name="Normal 29 10" xfId="6552"/>
    <cellStyle name="Normal 29 11" xfId="6553"/>
    <cellStyle name="Normal 29 12" xfId="6554"/>
    <cellStyle name="Normal 29 13" xfId="6551"/>
    <cellStyle name="Normal 29 2" xfId="2074"/>
    <cellStyle name="Normal 29 2 2" xfId="6556"/>
    <cellStyle name="Normal 29 2 3" xfId="6557"/>
    <cellStyle name="Normal 29 2 4" xfId="6555"/>
    <cellStyle name="Normal 29 2_FC with allocations" xfId="25406"/>
    <cellStyle name="Normal 29 3" xfId="6558"/>
    <cellStyle name="Normal 29 3 2" xfId="6559"/>
    <cellStyle name="Normal 29 3 3" xfId="6560"/>
    <cellStyle name="Normal 29 3_FC with allocations" xfId="25407"/>
    <cellStyle name="Normal 29 4" xfId="6561"/>
    <cellStyle name="Normal 29 4 2" xfId="6562"/>
    <cellStyle name="Normal 29 4 3" xfId="6563"/>
    <cellStyle name="Normal 29 4_FC with allocations" xfId="25408"/>
    <cellStyle name="Normal 29 5" xfId="6564"/>
    <cellStyle name="Normal 29 5 2" xfId="6565"/>
    <cellStyle name="Normal 29 5 3" xfId="6566"/>
    <cellStyle name="Normal 29 5_FC with allocations" xfId="25409"/>
    <cellStyle name="Normal 29 6" xfId="6567"/>
    <cellStyle name="Normal 29 6 2" xfId="6568"/>
    <cellStyle name="Normal 29 6 3" xfId="6569"/>
    <cellStyle name="Normal 29 6_FC with allocations" xfId="25410"/>
    <cellStyle name="Normal 29 7" xfId="6570"/>
    <cellStyle name="Normal 29 7 2" xfId="6571"/>
    <cellStyle name="Normal 29 7 3" xfId="6572"/>
    <cellStyle name="Normal 29 7_FC with allocations" xfId="25411"/>
    <cellStyle name="Normal 29 8" xfId="6573"/>
    <cellStyle name="Normal 29 8 2" xfId="6574"/>
    <cellStyle name="Normal 29 8 3" xfId="6575"/>
    <cellStyle name="Normal 29 8_FC with allocations" xfId="25412"/>
    <cellStyle name="Normal 29 9" xfId="6576"/>
    <cellStyle name="Normal 29 9 2" xfId="6577"/>
    <cellStyle name="Normal 29 9 3" xfId="6578"/>
    <cellStyle name="Normal 29 9_FC with allocations" xfId="25413"/>
    <cellStyle name="Normal 29_FC with allocations" xfId="25405"/>
    <cellStyle name="Normal 290" xfId="4828"/>
    <cellStyle name="Normal 290 2" xfId="18282"/>
    <cellStyle name="Normal 290 2 2" xfId="19268"/>
    <cellStyle name="Normal 290 2 3" xfId="22848"/>
    <cellStyle name="Normal 290 2_FC with allocations" xfId="25415"/>
    <cellStyle name="Normal 290 3" xfId="17885"/>
    <cellStyle name="Normal 290 3 2" xfId="20367"/>
    <cellStyle name="Normal 290 3 3" xfId="22507"/>
    <cellStyle name="Normal 290 3_FC with allocations" xfId="25416"/>
    <cellStyle name="Normal 290 4" xfId="22093"/>
    <cellStyle name="Normal 290_FC with allocations" xfId="25414"/>
    <cellStyle name="Normal 291" xfId="4830"/>
    <cellStyle name="Normal 291 2" xfId="18283"/>
    <cellStyle name="Normal 291 2 2" xfId="19308"/>
    <cellStyle name="Normal 291 2 3" xfId="22849"/>
    <cellStyle name="Normal 291 2_FC with allocations" xfId="25418"/>
    <cellStyle name="Normal 291 3" xfId="17884"/>
    <cellStyle name="Normal 291 3 2" xfId="20366"/>
    <cellStyle name="Normal 291 3 3" xfId="22506"/>
    <cellStyle name="Normal 291 3_FC with allocations" xfId="25419"/>
    <cellStyle name="Normal 291 4" xfId="22095"/>
    <cellStyle name="Normal 291_FC with allocations" xfId="25417"/>
    <cellStyle name="Normal 292" xfId="4832"/>
    <cellStyle name="Normal 292 2" xfId="18284"/>
    <cellStyle name="Normal 292 2 2" xfId="19264"/>
    <cellStyle name="Normal 292 2 3" xfId="22850"/>
    <cellStyle name="Normal 292 2_FC with allocations" xfId="25421"/>
    <cellStyle name="Normal 292 3" xfId="17883"/>
    <cellStyle name="Normal 292 3 2" xfId="20365"/>
    <cellStyle name="Normal 292 3 3" xfId="22505"/>
    <cellStyle name="Normal 292 3_FC with allocations" xfId="25422"/>
    <cellStyle name="Normal 292 4" xfId="22097"/>
    <cellStyle name="Normal 292_FC with allocations" xfId="25420"/>
    <cellStyle name="Normal 293" xfId="4834"/>
    <cellStyle name="Normal 293 2" xfId="18285"/>
    <cellStyle name="Normal 293 2 2" xfId="19262"/>
    <cellStyle name="Normal 293 2 3" xfId="22851"/>
    <cellStyle name="Normal 293 2_FC with allocations" xfId="25424"/>
    <cellStyle name="Normal 293 3" xfId="17968"/>
    <cellStyle name="Normal 293 4" xfId="22099"/>
    <cellStyle name="Normal 293_FC with allocations" xfId="25423"/>
    <cellStyle name="Normal 294" xfId="4836"/>
    <cellStyle name="Normal 294 2" xfId="18286"/>
    <cellStyle name="Normal 294 2 2" xfId="19261"/>
    <cellStyle name="Normal 294 2 3" xfId="22852"/>
    <cellStyle name="Normal 294 2_FC with allocations" xfId="25426"/>
    <cellStyle name="Normal 294 3" xfId="17970"/>
    <cellStyle name="Normal 294 4" xfId="22101"/>
    <cellStyle name="Normal 294_FC with allocations" xfId="25425"/>
    <cellStyle name="Normal 295" xfId="4838"/>
    <cellStyle name="Normal 295 2" xfId="18287"/>
    <cellStyle name="Normal 295 2 2" xfId="19221"/>
    <cellStyle name="Normal 295 2 3" xfId="22853"/>
    <cellStyle name="Normal 295 2_FC with allocations" xfId="25428"/>
    <cellStyle name="Normal 295 3" xfId="17969"/>
    <cellStyle name="Normal 295 4" xfId="22103"/>
    <cellStyle name="Normal 295_FC with allocations" xfId="25427"/>
    <cellStyle name="Normal 296" xfId="4840"/>
    <cellStyle name="Normal 296 2" xfId="19324"/>
    <cellStyle name="Normal 296 3" xfId="22105"/>
    <cellStyle name="Normal 296_FC with allocations" xfId="25429"/>
    <cellStyle name="Normal 297" xfId="4842"/>
    <cellStyle name="Normal 297 2" xfId="19071"/>
    <cellStyle name="Normal 297 3" xfId="22107"/>
    <cellStyle name="Normal 297_FC with allocations" xfId="25430"/>
    <cellStyle name="Normal 298" xfId="4844"/>
    <cellStyle name="Normal 298 2" xfId="19323"/>
    <cellStyle name="Normal 298 3" xfId="22109"/>
    <cellStyle name="Normal 298_FC with allocations" xfId="25431"/>
    <cellStyle name="Normal 299" xfId="4846"/>
    <cellStyle name="Normal 299 2" xfId="4931"/>
    <cellStyle name="Normal 299 3" xfId="18288"/>
    <cellStyle name="Normal 299 3 2" xfId="20697"/>
    <cellStyle name="Normal 299 3 3" xfId="22854"/>
    <cellStyle name="Normal 299 3_FC with allocations" xfId="25433"/>
    <cellStyle name="Normal 299 4" xfId="18029"/>
    <cellStyle name="Normal 299 4 2" xfId="22623"/>
    <cellStyle name="Normal 299 4_FC with allocations" xfId="25434"/>
    <cellStyle name="Normal 299 5" xfId="22111"/>
    <cellStyle name="Normal 299_FC with allocations" xfId="25432"/>
    <cellStyle name="Normal 3" xfId="2075"/>
    <cellStyle name="Normal 3 10" xfId="6579"/>
    <cellStyle name="Normal 3 11" xfId="6580"/>
    <cellStyle name="Normal 3 11 2" xfId="6581"/>
    <cellStyle name="Normal 3 11 2 2" xfId="6582"/>
    <cellStyle name="Normal 3 11 2 3" xfId="6583"/>
    <cellStyle name="Normal 3 11 2 4" xfId="6584"/>
    <cellStyle name="Normal 3 11 2_FC with allocations" xfId="25436"/>
    <cellStyle name="Normal 3 11 3" xfId="6585"/>
    <cellStyle name="Normal 3 11 3 2" xfId="6586"/>
    <cellStyle name="Normal 3 11 3 3" xfId="6587"/>
    <cellStyle name="Normal 3 11 3 4" xfId="6588"/>
    <cellStyle name="Normal 3 11 3_FC with allocations" xfId="25437"/>
    <cellStyle name="Normal 3 11 4" xfId="6589"/>
    <cellStyle name="Normal 3 11 4 2" xfId="6590"/>
    <cellStyle name="Normal 3 11 4 3" xfId="6591"/>
    <cellStyle name="Normal 3 11 4_FC with allocations" xfId="25438"/>
    <cellStyle name="Normal 3 11 5" xfId="6592"/>
    <cellStyle name="Normal 3 11 6" xfId="6593"/>
    <cellStyle name="Normal 3 11 7" xfId="6594"/>
    <cellStyle name="Normal 3 11_FC with allocations" xfId="25435"/>
    <cellStyle name="Normal 3 12" xfId="6595"/>
    <cellStyle name="Normal 3 12 2" xfId="6596"/>
    <cellStyle name="Normal 3 12 3" xfId="6597"/>
    <cellStyle name="Normal 3 12 4" xfId="6598"/>
    <cellStyle name="Normal 3 12_FC with allocations" xfId="25439"/>
    <cellStyle name="Normal 3 13" xfId="6599"/>
    <cellStyle name="Normal 3 13 2" xfId="6600"/>
    <cellStyle name="Normal 3 13 3" xfId="6601"/>
    <cellStyle name="Normal 3 13 4" xfId="6602"/>
    <cellStyle name="Normal 3 13_FC with allocations" xfId="25440"/>
    <cellStyle name="Normal 3 14" xfId="6603"/>
    <cellStyle name="Normal 3 14 2" xfId="6604"/>
    <cellStyle name="Normal 3 14 3" xfId="6605"/>
    <cellStyle name="Normal 3 14 4" xfId="6606"/>
    <cellStyle name="Normal 3 14_FC with allocations" xfId="25441"/>
    <cellStyle name="Normal 3 15" xfId="6607"/>
    <cellStyle name="Normal 3 15 2" xfId="6608"/>
    <cellStyle name="Normal 3 15 3" xfId="6609"/>
    <cellStyle name="Normal 3 15_FC with allocations" xfId="25442"/>
    <cellStyle name="Normal 3 16" xfId="6610"/>
    <cellStyle name="Normal 3 17" xfId="6611"/>
    <cellStyle name="Normal 3 18" xfId="6612"/>
    <cellStyle name="Normal 3 2" xfId="2076"/>
    <cellStyle name="Normal 3 2 2" xfId="2077"/>
    <cellStyle name="Normal 3 2 2 2" xfId="2078"/>
    <cellStyle name="Normal 3 2 2 3" xfId="2079"/>
    <cellStyle name="Normal 3 2 2 4" xfId="4481"/>
    <cellStyle name="Normal 3 2 2 4 2" xfId="17945"/>
    <cellStyle name="Normal 3 2 2 4 3" xfId="17131"/>
    <cellStyle name="Normal 3 2 2 4_FC with allocations" xfId="25445"/>
    <cellStyle name="Normal 3 2 2 5" xfId="4595"/>
    <cellStyle name="Normal 3 2 2_FC with allocations" xfId="25444"/>
    <cellStyle name="Normal 3 2 3" xfId="2080"/>
    <cellStyle name="Normal 3 2 3 2" xfId="6613"/>
    <cellStyle name="Normal 3 2 3_FC with allocations" xfId="25446"/>
    <cellStyle name="Normal 3 2 4" xfId="2081"/>
    <cellStyle name="Normal 3 2 5" xfId="4480"/>
    <cellStyle name="Normal 3 2 5 2" xfId="17944"/>
    <cellStyle name="Normal 3 2 5 3" xfId="17130"/>
    <cellStyle name="Normal 3 2 5_FC with allocations" xfId="25447"/>
    <cellStyle name="Normal 3 2 6" xfId="4594"/>
    <cellStyle name="Normal 3 2_FC with allocations" xfId="25443"/>
    <cellStyle name="Normal 3 3" xfId="2082"/>
    <cellStyle name="Normal 3 3 2" xfId="6614"/>
    <cellStyle name="Normal 3 3 3" xfId="6615"/>
    <cellStyle name="Normal 3 3_FC with allocations" xfId="25448"/>
    <cellStyle name="Normal 3 4" xfId="6616"/>
    <cellStyle name="Normal 3 4 2" xfId="6617"/>
    <cellStyle name="Normal 3 4 3" xfId="6618"/>
    <cellStyle name="Normal 3 4_FC with allocations" xfId="25449"/>
    <cellStyle name="Normal 3 5" xfId="6619"/>
    <cellStyle name="Normal 3 5 2" xfId="6620"/>
    <cellStyle name="Normal 3 5 3" xfId="6621"/>
    <cellStyle name="Normal 3 5_FC with allocations" xfId="25450"/>
    <cellStyle name="Normal 3 6" xfId="6622"/>
    <cellStyle name="Normal 3 6 2" xfId="6623"/>
    <cellStyle name="Normal 3 6 3" xfId="6624"/>
    <cellStyle name="Normal 3 6_FC with allocations" xfId="25451"/>
    <cellStyle name="Normal 3 7" xfId="6625"/>
    <cellStyle name="Normal 3 7 2" xfId="6626"/>
    <cellStyle name="Normal 3 7 3" xfId="6627"/>
    <cellStyle name="Normal 3 7_FC with allocations" xfId="25452"/>
    <cellStyle name="Normal 3 8" xfId="6628"/>
    <cellStyle name="Normal 3 8 2" xfId="6629"/>
    <cellStyle name="Normal 3 8 3" xfId="6630"/>
    <cellStyle name="Normal 3 8_FC with allocations" xfId="25453"/>
    <cellStyle name="Normal 3 9" xfId="6631"/>
    <cellStyle name="Normal 3 9 2" xfId="6632"/>
    <cellStyle name="Normal 3 9 3" xfId="6633"/>
    <cellStyle name="Normal 3 9_FC with allocations" xfId="25454"/>
    <cellStyle name="Normal 3_Customers" xfId="2083"/>
    <cellStyle name="Normal 30" xfId="2084"/>
    <cellStyle name="Normal 30 10" xfId="6634"/>
    <cellStyle name="Normal 30 11" xfId="6635"/>
    <cellStyle name="Normal 30 12" xfId="6636"/>
    <cellStyle name="Normal 30 2" xfId="2085"/>
    <cellStyle name="Normal 30 2 2" xfId="6638"/>
    <cellStyle name="Normal 30 2 3" xfId="6639"/>
    <cellStyle name="Normal 30 2 4" xfId="6637"/>
    <cellStyle name="Normal 30 2_FC with allocations" xfId="25456"/>
    <cellStyle name="Normal 30 3" xfId="6640"/>
    <cellStyle name="Normal 30 3 2" xfId="6641"/>
    <cellStyle name="Normal 30 3 3" xfId="6642"/>
    <cellStyle name="Normal 30 3_FC with allocations" xfId="25457"/>
    <cellStyle name="Normal 30 4" xfId="6643"/>
    <cellStyle name="Normal 30 4 2" xfId="6644"/>
    <cellStyle name="Normal 30 4 3" xfId="6645"/>
    <cellStyle name="Normal 30 4_FC with allocations" xfId="25458"/>
    <cellStyle name="Normal 30 5" xfId="6646"/>
    <cellStyle name="Normal 30 5 2" xfId="6647"/>
    <cellStyle name="Normal 30 5 3" xfId="6648"/>
    <cellStyle name="Normal 30 5_FC with allocations" xfId="25459"/>
    <cellStyle name="Normal 30 6" xfId="6649"/>
    <cellStyle name="Normal 30 6 2" xfId="6650"/>
    <cellStyle name="Normal 30 6 3" xfId="6651"/>
    <cellStyle name="Normal 30 6_FC with allocations" xfId="25460"/>
    <cellStyle name="Normal 30 7" xfId="6652"/>
    <cellStyle name="Normal 30 7 2" xfId="6653"/>
    <cellStyle name="Normal 30 7 3" xfId="6654"/>
    <cellStyle name="Normal 30 7_FC with allocations" xfId="25461"/>
    <cellStyle name="Normal 30 8" xfId="6655"/>
    <cellStyle name="Normal 30 8 2" xfId="6656"/>
    <cellStyle name="Normal 30 8 3" xfId="6657"/>
    <cellStyle name="Normal 30 8_FC with allocations" xfId="25462"/>
    <cellStyle name="Normal 30 9" xfId="6658"/>
    <cellStyle name="Normal 30 9 2" xfId="6659"/>
    <cellStyle name="Normal 30 9 3" xfId="6660"/>
    <cellStyle name="Normal 30 9_FC with allocations" xfId="25463"/>
    <cellStyle name="Normal 30_FC with allocations" xfId="25455"/>
    <cellStyle name="Normal 300" xfId="4848"/>
    <cellStyle name="Normal 300 2" xfId="19302"/>
    <cellStyle name="Normal 300 3" xfId="22113"/>
    <cellStyle name="Normal 300_FC with allocations" xfId="25464"/>
    <cellStyle name="Normal 301" xfId="4850"/>
    <cellStyle name="Normal 301 2" xfId="19258"/>
    <cellStyle name="Normal 301 3" xfId="22115"/>
    <cellStyle name="Normal 301_FC with allocations" xfId="25465"/>
    <cellStyle name="Normal 302" xfId="4852"/>
    <cellStyle name="Normal 302 2" xfId="19224"/>
    <cellStyle name="Normal 302 3" xfId="22117"/>
    <cellStyle name="Normal 302_FC with allocations" xfId="25466"/>
    <cellStyle name="Normal 303" xfId="4854"/>
    <cellStyle name="Normal 303 2" xfId="19300"/>
    <cellStyle name="Normal 303 3" xfId="22119"/>
    <cellStyle name="Normal 303_FC with allocations" xfId="25467"/>
    <cellStyle name="Normal 304" xfId="4856"/>
    <cellStyle name="Normal 304 2" xfId="19255"/>
    <cellStyle name="Normal 304 3" xfId="22121"/>
    <cellStyle name="Normal 304_FC with allocations" xfId="25468"/>
    <cellStyle name="Normal 305" xfId="4858"/>
    <cellStyle name="Normal 305 2" xfId="19298"/>
    <cellStyle name="Normal 305 3" xfId="22123"/>
    <cellStyle name="Normal 305_FC with allocations" xfId="25469"/>
    <cellStyle name="Normal 306" xfId="4860"/>
    <cellStyle name="Normal 306 2" xfId="19260"/>
    <cellStyle name="Normal 306 3" xfId="22125"/>
    <cellStyle name="Normal 306_FC with allocations" xfId="25470"/>
    <cellStyle name="Normal 307" xfId="4862"/>
    <cellStyle name="Normal 307 2" xfId="19020"/>
    <cellStyle name="Normal 307 3" xfId="22127"/>
    <cellStyle name="Normal 307_FC with allocations" xfId="25471"/>
    <cellStyle name="Normal 308" xfId="4864"/>
    <cellStyle name="Normal 308 2" xfId="19251"/>
    <cellStyle name="Normal 308 3" xfId="22129"/>
    <cellStyle name="Normal 308_FC with allocations" xfId="25472"/>
    <cellStyle name="Normal 309" xfId="4866"/>
    <cellStyle name="Normal 309 2" xfId="19019"/>
    <cellStyle name="Normal 309 3" xfId="22131"/>
    <cellStyle name="Normal 309_FC with allocations" xfId="25473"/>
    <cellStyle name="Normal 31" xfId="2086"/>
    <cellStyle name="Normal 31 10" xfId="6662"/>
    <cellStyle name="Normal 31 11" xfId="6663"/>
    <cellStyle name="Normal 31 12" xfId="6664"/>
    <cellStyle name="Normal 31 13" xfId="6661"/>
    <cellStyle name="Normal 31 2" xfId="2087"/>
    <cellStyle name="Normal 31 2 2" xfId="6666"/>
    <cellStyle name="Normal 31 2 3" xfId="6667"/>
    <cellStyle name="Normal 31 2 4" xfId="6665"/>
    <cellStyle name="Normal 31 2_FC with allocations" xfId="25475"/>
    <cellStyle name="Normal 31 3" xfId="6668"/>
    <cellStyle name="Normal 31 3 2" xfId="6669"/>
    <cellStyle name="Normal 31 3 3" xfId="6670"/>
    <cellStyle name="Normal 31 3_FC with allocations" xfId="25476"/>
    <cellStyle name="Normal 31 4" xfId="6671"/>
    <cellStyle name="Normal 31 4 2" xfId="6672"/>
    <cellStyle name="Normal 31 4 3" xfId="6673"/>
    <cellStyle name="Normal 31 4_FC with allocations" xfId="25477"/>
    <cellStyle name="Normal 31 5" xfId="6674"/>
    <cellStyle name="Normal 31 5 2" xfId="6675"/>
    <cellStyle name="Normal 31 5 3" xfId="6676"/>
    <cellStyle name="Normal 31 5_FC with allocations" xfId="25478"/>
    <cellStyle name="Normal 31 6" xfId="6677"/>
    <cellStyle name="Normal 31 6 2" xfId="6678"/>
    <cellStyle name="Normal 31 6 3" xfId="6679"/>
    <cellStyle name="Normal 31 6_FC with allocations" xfId="25479"/>
    <cellStyle name="Normal 31 7" xfId="6680"/>
    <cellStyle name="Normal 31 7 2" xfId="6681"/>
    <cellStyle name="Normal 31 7 3" xfId="6682"/>
    <cellStyle name="Normal 31 7_FC with allocations" xfId="25480"/>
    <cellStyle name="Normal 31 8" xfId="6683"/>
    <cellStyle name="Normal 31 8 2" xfId="6684"/>
    <cellStyle name="Normal 31 8 3" xfId="6685"/>
    <cellStyle name="Normal 31 8_FC with allocations" xfId="25481"/>
    <cellStyle name="Normal 31 9" xfId="6686"/>
    <cellStyle name="Normal 31 9 2" xfId="6687"/>
    <cellStyle name="Normal 31 9 3" xfId="6688"/>
    <cellStyle name="Normal 31 9_FC with allocations" xfId="25482"/>
    <cellStyle name="Normal 31_FC with allocations" xfId="25474"/>
    <cellStyle name="Normal 310" xfId="4868"/>
    <cellStyle name="Normal 310 2" xfId="19253"/>
    <cellStyle name="Normal 310 3" xfId="22133"/>
    <cellStyle name="Normal 310_FC with allocations" xfId="25483"/>
    <cellStyle name="Normal 311" xfId="4870"/>
    <cellStyle name="Normal 311 2" xfId="19296"/>
    <cellStyle name="Normal 311 3" xfId="22135"/>
    <cellStyle name="Normal 311_FC with allocations" xfId="25484"/>
    <cellStyle name="Normal 312" xfId="4871"/>
    <cellStyle name="Normal 312 2" xfId="19295"/>
    <cellStyle name="Normal 312 3" xfId="22136"/>
    <cellStyle name="Normal 312_FC with allocations" xfId="25485"/>
    <cellStyle name="Normal 313" xfId="4877"/>
    <cellStyle name="Normal 313 2" xfId="19294"/>
    <cellStyle name="Normal 313 3" xfId="22141"/>
    <cellStyle name="Normal 313_FC with allocations" xfId="25486"/>
    <cellStyle name="Normal 314" xfId="4879"/>
    <cellStyle name="Normal 314 2" xfId="19246"/>
    <cellStyle name="Normal 314 3" xfId="22143"/>
    <cellStyle name="Normal 314_FC with allocations" xfId="25487"/>
    <cellStyle name="Normal 315" xfId="4881"/>
    <cellStyle name="Normal 315 2" xfId="19292"/>
    <cellStyle name="Normal 315 3" xfId="22145"/>
    <cellStyle name="Normal 315_FC with allocations" xfId="25488"/>
    <cellStyle name="Normal 316" xfId="4883"/>
    <cellStyle name="Normal 316 2" xfId="19291"/>
    <cellStyle name="Normal 316 3" xfId="22147"/>
    <cellStyle name="Normal 316_FC with allocations" xfId="25489"/>
    <cellStyle name="Normal 317" xfId="4885"/>
    <cellStyle name="Normal 317 2" xfId="19222"/>
    <cellStyle name="Normal 317 3" xfId="22149"/>
    <cellStyle name="Normal 317_FC with allocations" xfId="25490"/>
    <cellStyle name="Normal 318" xfId="4887"/>
    <cellStyle name="Normal 318 2" xfId="19327"/>
    <cellStyle name="Normal 318 3" xfId="22151"/>
    <cellStyle name="Normal 318_FC with allocations" xfId="25491"/>
    <cellStyle name="Normal 319" xfId="4889"/>
    <cellStyle name="Normal 319 2" xfId="19304"/>
    <cellStyle name="Normal 319 3" xfId="22153"/>
    <cellStyle name="Normal 319_FC with allocations" xfId="25492"/>
    <cellStyle name="Normal 32" xfId="2088"/>
    <cellStyle name="Normal 32 10" xfId="6690"/>
    <cellStyle name="Normal 32 11" xfId="6691"/>
    <cellStyle name="Normal 32 12" xfId="6692"/>
    <cellStyle name="Normal 32 13" xfId="6689"/>
    <cellStyle name="Normal 32 2" xfId="2089"/>
    <cellStyle name="Normal 32 2 2" xfId="6694"/>
    <cellStyle name="Normal 32 2 3" xfId="6695"/>
    <cellStyle name="Normal 32 2 4" xfId="6693"/>
    <cellStyle name="Normal 32 2_FC with allocations" xfId="25494"/>
    <cellStyle name="Normal 32 3" xfId="6696"/>
    <cellStyle name="Normal 32 3 2" xfId="6697"/>
    <cellStyle name="Normal 32 3 3" xfId="6698"/>
    <cellStyle name="Normal 32 3_FC with allocations" xfId="25495"/>
    <cellStyle name="Normal 32 4" xfId="6699"/>
    <cellStyle name="Normal 32 4 2" xfId="6700"/>
    <cellStyle name="Normal 32 4 3" xfId="6701"/>
    <cellStyle name="Normal 32 4_FC with allocations" xfId="25496"/>
    <cellStyle name="Normal 32 5" xfId="6702"/>
    <cellStyle name="Normal 32 5 2" xfId="6703"/>
    <cellStyle name="Normal 32 5 3" xfId="6704"/>
    <cellStyle name="Normal 32 5_FC with allocations" xfId="25497"/>
    <cellStyle name="Normal 32 6" xfId="6705"/>
    <cellStyle name="Normal 32 6 2" xfId="6706"/>
    <cellStyle name="Normal 32 6 3" xfId="6707"/>
    <cellStyle name="Normal 32 6_FC with allocations" xfId="25498"/>
    <cellStyle name="Normal 32 7" xfId="6708"/>
    <cellStyle name="Normal 32 7 2" xfId="6709"/>
    <cellStyle name="Normal 32 7 3" xfId="6710"/>
    <cellStyle name="Normal 32 7_FC with allocations" xfId="25499"/>
    <cellStyle name="Normal 32 8" xfId="6711"/>
    <cellStyle name="Normal 32 8 2" xfId="6712"/>
    <cellStyle name="Normal 32 8 3" xfId="6713"/>
    <cellStyle name="Normal 32 8_FC with allocations" xfId="25500"/>
    <cellStyle name="Normal 32 9" xfId="6714"/>
    <cellStyle name="Normal 32 9 2" xfId="6715"/>
    <cellStyle name="Normal 32 9 3" xfId="6716"/>
    <cellStyle name="Normal 32 9_FC with allocations" xfId="25501"/>
    <cellStyle name="Normal 32_FC with allocations" xfId="25493"/>
    <cellStyle name="Normal 320" xfId="4891"/>
    <cellStyle name="Normal 320 2" xfId="19289"/>
    <cellStyle name="Normal 320 3" xfId="22155"/>
    <cellStyle name="Normal 320_FC with allocations" xfId="25502"/>
    <cellStyle name="Normal 321" xfId="4893"/>
    <cellStyle name="Normal 321 2" xfId="19288"/>
    <cellStyle name="Normal 321 3" xfId="22157"/>
    <cellStyle name="Normal 321_FC with allocations" xfId="25503"/>
    <cellStyle name="Normal 322" xfId="4895"/>
    <cellStyle name="Normal 322 2" xfId="19285"/>
    <cellStyle name="Normal 322 3" xfId="22159"/>
    <cellStyle name="Normal 322_FC with allocations" xfId="25504"/>
    <cellStyle name="Normal 323" xfId="4897"/>
    <cellStyle name="Normal 323 2" xfId="19241"/>
    <cellStyle name="Normal 323 3" xfId="22161"/>
    <cellStyle name="Normal 323_FC with allocations" xfId="25505"/>
    <cellStyle name="Normal 324" xfId="4899"/>
    <cellStyle name="Normal 324 2" xfId="19239"/>
    <cellStyle name="Normal 324 3" xfId="22163"/>
    <cellStyle name="Normal 324_FC with allocations" xfId="25506"/>
    <cellStyle name="Normal 325" xfId="4901"/>
    <cellStyle name="Normal 325 2" xfId="19286"/>
    <cellStyle name="Normal 325 3" xfId="22165"/>
    <cellStyle name="Normal 325_FC with allocations" xfId="25507"/>
    <cellStyle name="Normal 326" xfId="4903"/>
    <cellStyle name="Normal 326 2" xfId="19237"/>
    <cellStyle name="Normal 326 3" xfId="22167"/>
    <cellStyle name="Normal 326_FC with allocations" xfId="25508"/>
    <cellStyle name="Normal 327" xfId="4905"/>
    <cellStyle name="Normal 327 2" xfId="19282"/>
    <cellStyle name="Normal 327 3" xfId="22169"/>
    <cellStyle name="Normal 327_FC with allocations" xfId="25509"/>
    <cellStyle name="Normal 328" xfId="4907"/>
    <cellStyle name="Normal 328 2" xfId="19243"/>
    <cellStyle name="Normal 328 3" xfId="22171"/>
    <cellStyle name="Normal 328_FC with allocations" xfId="25510"/>
    <cellStyle name="Normal 329" xfId="4909"/>
    <cellStyle name="Normal 329 2" xfId="19283"/>
    <cellStyle name="Normal 329 3" xfId="22173"/>
    <cellStyle name="Normal 329_FC with allocations" xfId="25511"/>
    <cellStyle name="Normal 33" xfId="2090"/>
    <cellStyle name="Normal 33 10" xfId="6718"/>
    <cellStyle name="Normal 33 11" xfId="6719"/>
    <cellStyle name="Normal 33 12" xfId="6720"/>
    <cellStyle name="Normal 33 13" xfId="6717"/>
    <cellStyle name="Normal 33 14" xfId="16554"/>
    <cellStyle name="Normal 33 14 2" xfId="18580"/>
    <cellStyle name="Normal 33 14 2 2" xfId="19599"/>
    <cellStyle name="Normal 33 14 2 2 2" xfId="21609"/>
    <cellStyle name="Normal 33 14 2 2 3" xfId="23767"/>
    <cellStyle name="Normal 33 14 2 2_FC with allocations" xfId="25515"/>
    <cellStyle name="Normal 33 14 2 3" xfId="20733"/>
    <cellStyle name="Normal 33 14 2 4" xfId="22890"/>
    <cellStyle name="Normal 33 14 2_FC with allocations" xfId="25514"/>
    <cellStyle name="Normal 33 14 3" xfId="19005"/>
    <cellStyle name="Normal 33 14 3 2" xfId="21157"/>
    <cellStyle name="Normal 33 14 3 3" xfId="23314"/>
    <cellStyle name="Normal 33 14 3_FC with allocations" xfId="25516"/>
    <cellStyle name="Normal 33 14 4" xfId="20118"/>
    <cellStyle name="Normal 33 14 5" xfId="22234"/>
    <cellStyle name="Normal 33 14_FC with allocations" xfId="25513"/>
    <cellStyle name="Normal 33 15" xfId="4539"/>
    <cellStyle name="Normal 33 15 2" xfId="18115"/>
    <cellStyle name="Normal 33 15 2 2" xfId="19434"/>
    <cellStyle name="Normal 33 15 2 2 2" xfId="21444"/>
    <cellStyle name="Normal 33 15 2 2 3" xfId="23602"/>
    <cellStyle name="Normal 33 15 2 2_FC with allocations" xfId="25519"/>
    <cellStyle name="Normal 33 15 2 3" xfId="20567"/>
    <cellStyle name="Normal 33 15 2 4" xfId="22709"/>
    <cellStyle name="Normal 33 15 2_FC with allocations" xfId="25518"/>
    <cellStyle name="Normal 33 15 3" xfId="18973"/>
    <cellStyle name="Normal 33 15 3 2" xfId="21125"/>
    <cellStyle name="Normal 33 15 3 3" xfId="23282"/>
    <cellStyle name="Normal 33 15 3_FC with allocations" xfId="25520"/>
    <cellStyle name="Normal 33 15 4" xfId="19950"/>
    <cellStyle name="Normal 33 15 5" xfId="21945"/>
    <cellStyle name="Normal 33 15_FC with allocations" xfId="25517"/>
    <cellStyle name="Normal 33 16" xfId="16836"/>
    <cellStyle name="Normal 33 16 2" xfId="20339"/>
    <cellStyle name="Normal 33 16 3" xfId="22479"/>
    <cellStyle name="Normal 33 16_FC with allocations" xfId="25521"/>
    <cellStyle name="Normal 33 17" xfId="18798"/>
    <cellStyle name="Normal 33 17 2" xfId="20951"/>
    <cellStyle name="Normal 33 17 3" xfId="23108"/>
    <cellStyle name="Normal 33 17_FC with allocations" xfId="25522"/>
    <cellStyle name="Normal 33 2" xfId="2091"/>
    <cellStyle name="Normal 33 2 2" xfId="6722"/>
    <cellStyle name="Normal 33 2 3" xfId="6723"/>
    <cellStyle name="Normal 33 2 4" xfId="6721"/>
    <cellStyle name="Normal 33 2_FC with allocations" xfId="25523"/>
    <cellStyle name="Normal 33 3" xfId="2092"/>
    <cellStyle name="Normal 33 3 2" xfId="4160"/>
    <cellStyle name="Normal 33 3 2 2" xfId="6725"/>
    <cellStyle name="Normal 33 3 2_FC with allocations" xfId="25525"/>
    <cellStyle name="Normal 33 3 3" xfId="6726"/>
    <cellStyle name="Normal 33 3 4" xfId="6724"/>
    <cellStyle name="Normal 33 3_FC with allocations" xfId="25524"/>
    <cellStyle name="Normal 33 4" xfId="4482"/>
    <cellStyle name="Normal 33 4 10" xfId="18854"/>
    <cellStyle name="Normal 33 4 10 2" xfId="21006"/>
    <cellStyle name="Normal 33 4 10 3" xfId="23163"/>
    <cellStyle name="Normal 33 4 10_FC with allocations" xfId="25527"/>
    <cellStyle name="Normal 33 4 11" xfId="19822"/>
    <cellStyle name="Normal 33 4 11 2" xfId="21831"/>
    <cellStyle name="Normal 33 4 11 3" xfId="23989"/>
    <cellStyle name="Normal 33 4 11_FC with allocations" xfId="25528"/>
    <cellStyle name="Normal 33 4 12" xfId="19899"/>
    <cellStyle name="Normal 33 4 13" xfId="21892"/>
    <cellStyle name="Normal 33 4 2" xfId="4788"/>
    <cellStyle name="Normal 33 4 2 2" xfId="6728"/>
    <cellStyle name="Normal 33 4 2 3" xfId="16666"/>
    <cellStyle name="Normal 33 4 2 3 2" xfId="18688"/>
    <cellStyle name="Normal 33 4 2 3 2 2" xfId="19707"/>
    <cellStyle name="Normal 33 4 2 3 2 2 2" xfId="21717"/>
    <cellStyle name="Normal 33 4 2 3 2 2 3" xfId="23875"/>
    <cellStyle name="Normal 33 4 2 3 2 2_FC with allocations" xfId="25532"/>
    <cellStyle name="Normal 33 4 2 3 2 3" xfId="20841"/>
    <cellStyle name="Normal 33 4 2 3 2 4" xfId="22998"/>
    <cellStyle name="Normal 33 4 2 3 2_FC with allocations" xfId="25531"/>
    <cellStyle name="Normal 33 4 2 3 3" xfId="19175"/>
    <cellStyle name="Normal 33 4 2 3 3 2" xfId="21308"/>
    <cellStyle name="Normal 33 4 2 3 3 3" xfId="23465"/>
    <cellStyle name="Normal 33 4 2 3 3_FC with allocations" xfId="25533"/>
    <cellStyle name="Normal 33 4 2 3 4" xfId="20226"/>
    <cellStyle name="Normal 33 4 2 3 5" xfId="22343"/>
    <cellStyle name="Normal 33 4 2 3_FC with allocations" xfId="25530"/>
    <cellStyle name="Normal 33 4 2 4" xfId="18251"/>
    <cellStyle name="Normal 33 4 2 4 2" xfId="19542"/>
    <cellStyle name="Normal 33 4 2 4 2 2" xfId="21552"/>
    <cellStyle name="Normal 33 4 2 4 2 3" xfId="23710"/>
    <cellStyle name="Normal 33 4 2 4 2_FC with allocations" xfId="25535"/>
    <cellStyle name="Normal 33 4 2 4 3" xfId="20675"/>
    <cellStyle name="Normal 33 4 2 4 4" xfId="22817"/>
    <cellStyle name="Normal 33 4 2 4_FC with allocations" xfId="25534"/>
    <cellStyle name="Normal 33 4 2 5" xfId="17946"/>
    <cellStyle name="Normal 33 4 2 5 2" xfId="20403"/>
    <cellStyle name="Normal 33 4 2 5 3" xfId="22543"/>
    <cellStyle name="Normal 33 4 2 5_FC with allocations" xfId="25536"/>
    <cellStyle name="Normal 33 4 2 6" xfId="18907"/>
    <cellStyle name="Normal 33 4 2 6 2" xfId="21059"/>
    <cellStyle name="Normal 33 4 2 6 3" xfId="23216"/>
    <cellStyle name="Normal 33 4 2 6_FC with allocations" xfId="25537"/>
    <cellStyle name="Normal 33 4 2 7" xfId="20058"/>
    <cellStyle name="Normal 33 4 2 8" xfId="22053"/>
    <cellStyle name="Normal 33 4 2_FC with allocations" xfId="25529"/>
    <cellStyle name="Normal 33 4 3" xfId="6729"/>
    <cellStyle name="Normal 33 4 3 2" xfId="18339"/>
    <cellStyle name="Normal 33 4 3 3" xfId="18002"/>
    <cellStyle name="Normal 33 4 3 3 2" xfId="20456"/>
    <cellStyle name="Normal 33 4 3 3 3" xfId="22596"/>
    <cellStyle name="Normal 33 4 3 3_FC with allocations" xfId="25539"/>
    <cellStyle name="Normal 33 4 3_FC with allocations" xfId="25538"/>
    <cellStyle name="Normal 33 4 4" xfId="6727"/>
    <cellStyle name="Normal 33 4 5" xfId="16613"/>
    <cellStyle name="Normal 33 4 5 2" xfId="18635"/>
    <cellStyle name="Normal 33 4 5 2 2" xfId="19654"/>
    <cellStyle name="Normal 33 4 5 2 2 2" xfId="21664"/>
    <cellStyle name="Normal 33 4 5 2 2 3" xfId="23822"/>
    <cellStyle name="Normal 33 4 5 2 2_FC with allocations" xfId="25542"/>
    <cellStyle name="Normal 33 4 5 2 3" xfId="20788"/>
    <cellStyle name="Normal 33 4 5 2 4" xfId="22945"/>
    <cellStyle name="Normal 33 4 5 2_FC with allocations" xfId="25541"/>
    <cellStyle name="Normal 33 4 5 3" xfId="19121"/>
    <cellStyle name="Normal 33 4 5 3 2" xfId="21254"/>
    <cellStyle name="Normal 33 4 5 3 3" xfId="23411"/>
    <cellStyle name="Normal 33 4 5 3_FC with allocations" xfId="25543"/>
    <cellStyle name="Normal 33 4 5 4" xfId="20173"/>
    <cellStyle name="Normal 33 4 5 5" xfId="22290"/>
    <cellStyle name="Normal 33 4 5_FC with allocations" xfId="25540"/>
    <cellStyle name="Normal 33 4 6" xfId="4688"/>
    <cellStyle name="Normal 33 4 6 2" xfId="18198"/>
    <cellStyle name="Normal 33 4 6 2 2" xfId="19489"/>
    <cellStyle name="Normal 33 4 6 2 2 2" xfId="21499"/>
    <cellStyle name="Normal 33 4 6 2 2 3" xfId="23657"/>
    <cellStyle name="Normal 33 4 6 2 2_FC with allocations" xfId="25546"/>
    <cellStyle name="Normal 33 4 6 2 3" xfId="20622"/>
    <cellStyle name="Normal 33 4 6 2 4" xfId="22764"/>
    <cellStyle name="Normal 33 4 6 2_FC with allocations" xfId="25545"/>
    <cellStyle name="Normal 33 4 6 3" xfId="19209"/>
    <cellStyle name="Normal 33 4 6 3 2" xfId="21342"/>
    <cellStyle name="Normal 33 4 6 3 3" xfId="23499"/>
    <cellStyle name="Normal 33 4 6 3_FC with allocations" xfId="25547"/>
    <cellStyle name="Normal 33 4 6 4" xfId="20005"/>
    <cellStyle name="Normal 33 4 6 5" xfId="22000"/>
    <cellStyle name="Normal 33 4 6_FC with allocations" xfId="25544"/>
    <cellStyle name="Normal 33 4 7" xfId="16744"/>
    <cellStyle name="Normal 33 4 7 2" xfId="18748"/>
    <cellStyle name="Normal 33 4 7 2 2" xfId="20901"/>
    <cellStyle name="Normal 33 4 7 2 3" xfId="23058"/>
    <cellStyle name="Normal 33 4 7 2_FC with allocations" xfId="25549"/>
    <cellStyle name="Normal 33 4 7 3" xfId="19768"/>
    <cellStyle name="Normal 33 4 7 3 2" xfId="21778"/>
    <cellStyle name="Normal 33 4 7 3 3" xfId="23936"/>
    <cellStyle name="Normal 33 4 7 3_FC with allocations" xfId="25550"/>
    <cellStyle name="Normal 33 4 7 4" xfId="20287"/>
    <cellStyle name="Normal 33 4 7 5" xfId="22415"/>
    <cellStyle name="Normal 33 4 7_FC with allocations" xfId="25548"/>
    <cellStyle name="Normal 33 4 8" xfId="18064"/>
    <cellStyle name="Normal 33 4 8 2" xfId="19383"/>
    <cellStyle name="Normal 33 4 8 2 2" xfId="21393"/>
    <cellStyle name="Normal 33 4 8 2 3" xfId="23551"/>
    <cellStyle name="Normal 33 4 8 2_FC with allocations" xfId="25552"/>
    <cellStyle name="Normal 33 4 8 3" xfId="20516"/>
    <cellStyle name="Normal 33 4 8 4" xfId="22658"/>
    <cellStyle name="Normal 33 4 8_FC with allocations" xfId="25551"/>
    <cellStyle name="Normal 33 4 9" xfId="17132"/>
    <cellStyle name="Normal 33 4_FC with allocations" xfId="25526"/>
    <cellStyle name="Normal 33 5" xfId="4596"/>
    <cellStyle name="Normal 33 5 2" xfId="6731"/>
    <cellStyle name="Normal 33 5 3" xfId="6732"/>
    <cellStyle name="Normal 33 5 4" xfId="6730"/>
    <cellStyle name="Normal 33 5_FC with allocations" xfId="25553"/>
    <cellStyle name="Normal 33 6" xfId="6733"/>
    <cellStyle name="Normal 33 6 2" xfId="6734"/>
    <cellStyle name="Normal 33 6 3" xfId="6735"/>
    <cellStyle name="Normal 33 6_FC with allocations" xfId="25554"/>
    <cellStyle name="Normal 33 7" xfId="6736"/>
    <cellStyle name="Normal 33 7 2" xfId="6737"/>
    <cellStyle name="Normal 33 7 3" xfId="6738"/>
    <cellStyle name="Normal 33 7_FC with allocations" xfId="25555"/>
    <cellStyle name="Normal 33 8" xfId="6739"/>
    <cellStyle name="Normal 33 8 2" xfId="6740"/>
    <cellStyle name="Normal 33 8 3" xfId="6741"/>
    <cellStyle name="Normal 33 8_FC with allocations" xfId="25556"/>
    <cellStyle name="Normal 33 9" xfId="6742"/>
    <cellStyle name="Normal 33 9 2" xfId="6743"/>
    <cellStyle name="Normal 33 9 3" xfId="6744"/>
    <cellStyle name="Normal 33 9_FC with allocations" xfId="25557"/>
    <cellStyle name="Normal 33_FC with allocations" xfId="25512"/>
    <cellStyle name="Normal 330" xfId="4911"/>
    <cellStyle name="Normal 330 2" xfId="19233"/>
    <cellStyle name="Normal 330 3" xfId="22175"/>
    <cellStyle name="Normal 330_FC with allocations" xfId="25558"/>
    <cellStyle name="Normal 331" xfId="4913"/>
    <cellStyle name="Normal 331 2" xfId="19279"/>
    <cellStyle name="Normal 331 3" xfId="22177"/>
    <cellStyle name="Normal 331_FC with allocations" xfId="25559"/>
    <cellStyle name="Normal 332" xfId="4915"/>
    <cellStyle name="Normal 332 2" xfId="19235"/>
    <cellStyle name="Normal 332 3" xfId="22179"/>
    <cellStyle name="Normal 332_FC with allocations" xfId="25560"/>
    <cellStyle name="Normal 333" xfId="4917"/>
    <cellStyle name="Normal 333 2" xfId="19280"/>
    <cellStyle name="Normal 333 3" xfId="22181"/>
    <cellStyle name="Normal 333_FC with allocations" xfId="25561"/>
    <cellStyle name="Normal 334" xfId="4919"/>
    <cellStyle name="Normal 334 2" xfId="19229"/>
    <cellStyle name="Normal 334 3" xfId="22183"/>
    <cellStyle name="Normal 334_FC with allocations" xfId="25562"/>
    <cellStyle name="Normal 335" xfId="4921"/>
    <cellStyle name="Normal 335 2" xfId="19066"/>
    <cellStyle name="Normal 335 3" xfId="22185"/>
    <cellStyle name="Normal 335_FC with allocations" xfId="25563"/>
    <cellStyle name="Normal 336" xfId="4923"/>
    <cellStyle name="Normal 336 2" xfId="19231"/>
    <cellStyle name="Normal 336 3" xfId="22187"/>
    <cellStyle name="Normal 336_FC with allocations" xfId="25564"/>
    <cellStyle name="Normal 337" xfId="4925"/>
    <cellStyle name="Normal 337 2" xfId="19278"/>
    <cellStyle name="Normal 337 3" xfId="22189"/>
    <cellStyle name="Normal 337_FC with allocations" xfId="25565"/>
    <cellStyle name="Normal 338" xfId="4927"/>
    <cellStyle name="Normal 338 2" xfId="19227"/>
    <cellStyle name="Normal 338 3" xfId="22191"/>
    <cellStyle name="Normal 338_FC with allocations" xfId="25566"/>
    <cellStyle name="Normal 339" xfId="4929"/>
    <cellStyle name="Normal 339 2" xfId="19225"/>
    <cellStyle name="Normal 339 3" xfId="22193"/>
    <cellStyle name="Normal 339_FC with allocations" xfId="25567"/>
    <cellStyle name="Normal 34" xfId="2093"/>
    <cellStyle name="Normal 34 10" xfId="6746"/>
    <cellStyle name="Normal 34 11" xfId="6747"/>
    <cellStyle name="Normal 34 12" xfId="6748"/>
    <cellStyle name="Normal 34 13" xfId="6745"/>
    <cellStyle name="Normal 34 14" xfId="16555"/>
    <cellStyle name="Normal 34 14 2" xfId="18581"/>
    <cellStyle name="Normal 34 14 2 2" xfId="19600"/>
    <cellStyle name="Normal 34 14 2 2 2" xfId="21610"/>
    <cellStyle name="Normal 34 14 2 2 3" xfId="23768"/>
    <cellStyle name="Normal 34 14 2 2_FC with allocations" xfId="25571"/>
    <cellStyle name="Normal 34 14 2 3" xfId="20734"/>
    <cellStyle name="Normal 34 14 2 4" xfId="22891"/>
    <cellStyle name="Normal 34 14 2_FC with allocations" xfId="25570"/>
    <cellStyle name="Normal 34 14 3" xfId="19006"/>
    <cellStyle name="Normal 34 14 3 2" xfId="21158"/>
    <cellStyle name="Normal 34 14 3 3" xfId="23315"/>
    <cellStyle name="Normal 34 14 3_FC with allocations" xfId="25572"/>
    <cellStyle name="Normal 34 14 4" xfId="20119"/>
    <cellStyle name="Normal 34 14 5" xfId="22235"/>
    <cellStyle name="Normal 34 14_FC with allocations" xfId="25569"/>
    <cellStyle name="Normal 34 15" xfId="4540"/>
    <cellStyle name="Normal 34 15 2" xfId="18116"/>
    <cellStyle name="Normal 34 15 2 2" xfId="19435"/>
    <cellStyle name="Normal 34 15 2 2 2" xfId="21445"/>
    <cellStyle name="Normal 34 15 2 2 3" xfId="23603"/>
    <cellStyle name="Normal 34 15 2 2_FC with allocations" xfId="25575"/>
    <cellStyle name="Normal 34 15 2 3" xfId="20568"/>
    <cellStyle name="Normal 34 15 2 4" xfId="22710"/>
    <cellStyle name="Normal 34 15 2_FC with allocations" xfId="25574"/>
    <cellStyle name="Normal 34 15 3" xfId="18974"/>
    <cellStyle name="Normal 34 15 3 2" xfId="21126"/>
    <cellStyle name="Normal 34 15 3 3" xfId="23283"/>
    <cellStyle name="Normal 34 15 3_FC with allocations" xfId="25576"/>
    <cellStyle name="Normal 34 15 4" xfId="19951"/>
    <cellStyle name="Normal 34 15 5" xfId="21946"/>
    <cellStyle name="Normal 34 15_FC with allocations" xfId="25573"/>
    <cellStyle name="Normal 34 16" xfId="16837"/>
    <cellStyle name="Normal 34 16 2" xfId="20340"/>
    <cellStyle name="Normal 34 16 3" xfId="22480"/>
    <cellStyle name="Normal 34 16_FC with allocations" xfId="25577"/>
    <cellStyle name="Normal 34 17" xfId="18799"/>
    <cellStyle name="Normal 34 17 2" xfId="20952"/>
    <cellStyle name="Normal 34 17 3" xfId="23109"/>
    <cellStyle name="Normal 34 17_FC with allocations" xfId="25578"/>
    <cellStyle name="Normal 34 2" xfId="2094"/>
    <cellStyle name="Normal 34 2 2" xfId="6750"/>
    <cellStyle name="Normal 34 2 3" xfId="6751"/>
    <cellStyle name="Normal 34 2 4" xfId="6749"/>
    <cellStyle name="Normal 34 2_FC with allocations" xfId="25579"/>
    <cellStyle name="Normal 34 3" xfId="2095"/>
    <cellStyle name="Normal 34 3 2" xfId="4161"/>
    <cellStyle name="Normal 34 3 2 2" xfId="6753"/>
    <cellStyle name="Normal 34 3 2_FC with allocations" xfId="25581"/>
    <cellStyle name="Normal 34 3 3" xfId="6754"/>
    <cellStyle name="Normal 34 3 4" xfId="6752"/>
    <cellStyle name="Normal 34 3_FC with allocations" xfId="25580"/>
    <cellStyle name="Normal 34 4" xfId="4483"/>
    <cellStyle name="Normal 34 4 10" xfId="18855"/>
    <cellStyle name="Normal 34 4 10 2" xfId="21007"/>
    <cellStyle name="Normal 34 4 10 3" xfId="23164"/>
    <cellStyle name="Normal 34 4 10_FC with allocations" xfId="25583"/>
    <cellStyle name="Normal 34 4 11" xfId="19823"/>
    <cellStyle name="Normal 34 4 11 2" xfId="21832"/>
    <cellStyle name="Normal 34 4 11 3" xfId="23990"/>
    <cellStyle name="Normal 34 4 11_FC with allocations" xfId="25584"/>
    <cellStyle name="Normal 34 4 12" xfId="19900"/>
    <cellStyle name="Normal 34 4 13" xfId="21893"/>
    <cellStyle name="Normal 34 4 2" xfId="4789"/>
    <cellStyle name="Normal 34 4 2 2" xfId="6756"/>
    <cellStyle name="Normal 34 4 2 3" xfId="16667"/>
    <cellStyle name="Normal 34 4 2 3 2" xfId="18689"/>
    <cellStyle name="Normal 34 4 2 3 2 2" xfId="19708"/>
    <cellStyle name="Normal 34 4 2 3 2 2 2" xfId="21718"/>
    <cellStyle name="Normal 34 4 2 3 2 2 3" xfId="23876"/>
    <cellStyle name="Normal 34 4 2 3 2 2_FC with allocations" xfId="25588"/>
    <cellStyle name="Normal 34 4 2 3 2 3" xfId="20842"/>
    <cellStyle name="Normal 34 4 2 3 2 4" xfId="22999"/>
    <cellStyle name="Normal 34 4 2 3 2_FC with allocations" xfId="25587"/>
    <cellStyle name="Normal 34 4 2 3 3" xfId="19176"/>
    <cellStyle name="Normal 34 4 2 3 3 2" xfId="21309"/>
    <cellStyle name="Normal 34 4 2 3 3 3" xfId="23466"/>
    <cellStyle name="Normal 34 4 2 3 3_FC with allocations" xfId="25589"/>
    <cellStyle name="Normal 34 4 2 3 4" xfId="20227"/>
    <cellStyle name="Normal 34 4 2 3 5" xfId="22344"/>
    <cellStyle name="Normal 34 4 2 3_FC with allocations" xfId="25586"/>
    <cellStyle name="Normal 34 4 2 4" xfId="18252"/>
    <cellStyle name="Normal 34 4 2 4 2" xfId="19543"/>
    <cellStyle name="Normal 34 4 2 4 2 2" xfId="21553"/>
    <cellStyle name="Normal 34 4 2 4 2 3" xfId="23711"/>
    <cellStyle name="Normal 34 4 2 4 2_FC with allocations" xfId="25591"/>
    <cellStyle name="Normal 34 4 2 4 3" xfId="20676"/>
    <cellStyle name="Normal 34 4 2 4 4" xfId="22818"/>
    <cellStyle name="Normal 34 4 2 4_FC with allocations" xfId="25590"/>
    <cellStyle name="Normal 34 4 2 5" xfId="17947"/>
    <cellStyle name="Normal 34 4 2 5 2" xfId="20404"/>
    <cellStyle name="Normal 34 4 2 5 3" xfId="22544"/>
    <cellStyle name="Normal 34 4 2 5_FC with allocations" xfId="25592"/>
    <cellStyle name="Normal 34 4 2 6" xfId="18908"/>
    <cellStyle name="Normal 34 4 2 6 2" xfId="21060"/>
    <cellStyle name="Normal 34 4 2 6 3" xfId="23217"/>
    <cellStyle name="Normal 34 4 2 6_FC with allocations" xfId="25593"/>
    <cellStyle name="Normal 34 4 2 7" xfId="20059"/>
    <cellStyle name="Normal 34 4 2 8" xfId="22054"/>
    <cellStyle name="Normal 34 4 2_FC with allocations" xfId="25585"/>
    <cellStyle name="Normal 34 4 3" xfId="6757"/>
    <cellStyle name="Normal 34 4 3 2" xfId="18340"/>
    <cellStyle name="Normal 34 4 3 3" xfId="18003"/>
    <cellStyle name="Normal 34 4 3 3 2" xfId="20457"/>
    <cellStyle name="Normal 34 4 3 3 3" xfId="22597"/>
    <cellStyle name="Normal 34 4 3 3_FC with allocations" xfId="25595"/>
    <cellStyle name="Normal 34 4 3_FC with allocations" xfId="25594"/>
    <cellStyle name="Normal 34 4 4" xfId="6755"/>
    <cellStyle name="Normal 34 4 5" xfId="16614"/>
    <cellStyle name="Normal 34 4 5 2" xfId="18636"/>
    <cellStyle name="Normal 34 4 5 2 2" xfId="19655"/>
    <cellStyle name="Normal 34 4 5 2 2 2" xfId="21665"/>
    <cellStyle name="Normal 34 4 5 2 2 3" xfId="23823"/>
    <cellStyle name="Normal 34 4 5 2 2_FC with allocations" xfId="25598"/>
    <cellStyle name="Normal 34 4 5 2 3" xfId="20789"/>
    <cellStyle name="Normal 34 4 5 2 4" xfId="22946"/>
    <cellStyle name="Normal 34 4 5 2_FC with allocations" xfId="25597"/>
    <cellStyle name="Normal 34 4 5 3" xfId="19122"/>
    <cellStyle name="Normal 34 4 5 3 2" xfId="21255"/>
    <cellStyle name="Normal 34 4 5 3 3" xfId="23412"/>
    <cellStyle name="Normal 34 4 5 3_FC with allocations" xfId="25599"/>
    <cellStyle name="Normal 34 4 5 4" xfId="20174"/>
    <cellStyle name="Normal 34 4 5 5" xfId="22291"/>
    <cellStyle name="Normal 34 4 5_FC with allocations" xfId="25596"/>
    <cellStyle name="Normal 34 4 6" xfId="4689"/>
    <cellStyle name="Normal 34 4 6 2" xfId="18199"/>
    <cellStyle name="Normal 34 4 6 2 2" xfId="19490"/>
    <cellStyle name="Normal 34 4 6 2 2 2" xfId="21500"/>
    <cellStyle name="Normal 34 4 6 2 2 3" xfId="23658"/>
    <cellStyle name="Normal 34 4 6 2 2_FC with allocations" xfId="25602"/>
    <cellStyle name="Normal 34 4 6 2 3" xfId="20623"/>
    <cellStyle name="Normal 34 4 6 2 4" xfId="22765"/>
    <cellStyle name="Normal 34 4 6 2_FC with allocations" xfId="25601"/>
    <cellStyle name="Normal 34 4 6 3" xfId="19059"/>
    <cellStyle name="Normal 34 4 6 3 2" xfId="21200"/>
    <cellStyle name="Normal 34 4 6 3 3" xfId="23357"/>
    <cellStyle name="Normal 34 4 6 3_FC with allocations" xfId="25603"/>
    <cellStyle name="Normal 34 4 6 4" xfId="20006"/>
    <cellStyle name="Normal 34 4 6 5" xfId="22001"/>
    <cellStyle name="Normal 34 4 6_FC with allocations" xfId="25600"/>
    <cellStyle name="Normal 34 4 7" xfId="16745"/>
    <cellStyle name="Normal 34 4 7 2" xfId="18749"/>
    <cellStyle name="Normal 34 4 7 2 2" xfId="20902"/>
    <cellStyle name="Normal 34 4 7 2 3" xfId="23059"/>
    <cellStyle name="Normal 34 4 7 2_FC with allocations" xfId="25605"/>
    <cellStyle name="Normal 34 4 7 3" xfId="19769"/>
    <cellStyle name="Normal 34 4 7 3 2" xfId="21779"/>
    <cellStyle name="Normal 34 4 7 3 3" xfId="23937"/>
    <cellStyle name="Normal 34 4 7 3_FC with allocations" xfId="25606"/>
    <cellStyle name="Normal 34 4 7 4" xfId="20288"/>
    <cellStyle name="Normal 34 4 7 5" xfId="22416"/>
    <cellStyle name="Normal 34 4 7_FC with allocations" xfId="25604"/>
    <cellStyle name="Normal 34 4 8" xfId="18065"/>
    <cellStyle name="Normal 34 4 8 2" xfId="19384"/>
    <cellStyle name="Normal 34 4 8 2 2" xfId="21394"/>
    <cellStyle name="Normal 34 4 8 2 3" xfId="23552"/>
    <cellStyle name="Normal 34 4 8 2_FC with allocations" xfId="25608"/>
    <cellStyle name="Normal 34 4 8 3" xfId="20517"/>
    <cellStyle name="Normal 34 4 8 4" xfId="22659"/>
    <cellStyle name="Normal 34 4 8_FC with allocations" xfId="25607"/>
    <cellStyle name="Normal 34 4 9" xfId="17133"/>
    <cellStyle name="Normal 34 4_FC with allocations" xfId="25582"/>
    <cellStyle name="Normal 34 5" xfId="4597"/>
    <cellStyle name="Normal 34 5 2" xfId="6759"/>
    <cellStyle name="Normal 34 5 3" xfId="6760"/>
    <cellStyle name="Normal 34 5 4" xfId="6758"/>
    <cellStyle name="Normal 34 5_FC with allocations" xfId="25609"/>
    <cellStyle name="Normal 34 6" xfId="6761"/>
    <cellStyle name="Normal 34 6 2" xfId="6762"/>
    <cellStyle name="Normal 34 6 3" xfId="6763"/>
    <cellStyle name="Normal 34 6_FC with allocations" xfId="25610"/>
    <cellStyle name="Normal 34 7" xfId="6764"/>
    <cellStyle name="Normal 34 7 2" xfId="6765"/>
    <cellStyle name="Normal 34 7 3" xfId="6766"/>
    <cellStyle name="Normal 34 7_FC with allocations" xfId="25611"/>
    <cellStyle name="Normal 34 8" xfId="6767"/>
    <cellStyle name="Normal 34 8 2" xfId="6768"/>
    <cellStyle name="Normal 34 8 3" xfId="6769"/>
    <cellStyle name="Normal 34 8_FC with allocations" xfId="25612"/>
    <cellStyle name="Normal 34 9" xfId="6770"/>
    <cellStyle name="Normal 34 9 2" xfId="6771"/>
    <cellStyle name="Normal 34 9 3" xfId="6772"/>
    <cellStyle name="Normal 34 9_FC with allocations" xfId="25613"/>
    <cellStyle name="Normal 34_FC with allocations" xfId="25568"/>
    <cellStyle name="Normal 340" xfId="4873"/>
    <cellStyle name="Normal 340 2" xfId="16688"/>
    <cellStyle name="Normal 340 2 2" xfId="18710"/>
    <cellStyle name="Normal 340 2 2 2" xfId="19729"/>
    <cellStyle name="Normal 340 2 2 2 2" xfId="21739"/>
    <cellStyle name="Normal 340 2 2 2 3" xfId="23897"/>
    <cellStyle name="Normal 340 2 2 2_FC with allocations" xfId="25617"/>
    <cellStyle name="Normal 340 2 2 3" xfId="20863"/>
    <cellStyle name="Normal 340 2 2 4" xfId="23020"/>
    <cellStyle name="Normal 340 2 2_FC with allocations" xfId="25616"/>
    <cellStyle name="Normal 340 2 3" xfId="19198"/>
    <cellStyle name="Normal 340 2 3 2" xfId="21331"/>
    <cellStyle name="Normal 340 2 3 3" xfId="23488"/>
    <cellStyle name="Normal 340 2 3_FC with allocations" xfId="25618"/>
    <cellStyle name="Normal 340 2 4" xfId="20248"/>
    <cellStyle name="Normal 340 2 5" xfId="22365"/>
    <cellStyle name="Normal 340 2_FC with allocations" xfId="25615"/>
    <cellStyle name="Normal 340 3" xfId="18289"/>
    <cellStyle name="Normal 340 3 2" xfId="19564"/>
    <cellStyle name="Normal 340 3 2 2" xfId="21574"/>
    <cellStyle name="Normal 340 3 2 3" xfId="23732"/>
    <cellStyle name="Normal 340 3 2_FC with allocations" xfId="25620"/>
    <cellStyle name="Normal 340 3 3" xfId="20698"/>
    <cellStyle name="Normal 340 3 4" xfId="22855"/>
    <cellStyle name="Normal 340 3_FC with allocations" xfId="25619"/>
    <cellStyle name="Normal 340 4" xfId="18929"/>
    <cellStyle name="Normal 340 4 2" xfId="21081"/>
    <cellStyle name="Normal 340 4 3" xfId="23238"/>
    <cellStyle name="Normal 340 4_FC with allocations" xfId="25621"/>
    <cellStyle name="Normal 340 5" xfId="20080"/>
    <cellStyle name="Normal 340 6" xfId="22138"/>
    <cellStyle name="Normal 340_FC with allocations" xfId="25614"/>
    <cellStyle name="Normal 341" xfId="7530"/>
    <cellStyle name="Normal 341 2" xfId="16690"/>
    <cellStyle name="Normal 341 2 2" xfId="18712"/>
    <cellStyle name="Normal 341 2 2 2" xfId="19731"/>
    <cellStyle name="Normal 341 2 2 2 2" xfId="21741"/>
    <cellStyle name="Normal 341 2 2 2 3" xfId="23899"/>
    <cellStyle name="Normal 341 2 2 2_FC with allocations" xfId="25625"/>
    <cellStyle name="Normal 341 2 2 3" xfId="20865"/>
    <cellStyle name="Normal 341 2 2 4" xfId="23022"/>
    <cellStyle name="Normal 341 2 2_FC with allocations" xfId="25624"/>
    <cellStyle name="Normal 341 2 3" xfId="19218"/>
    <cellStyle name="Normal 341 2 3 2" xfId="21351"/>
    <cellStyle name="Normal 341 2 3 3" xfId="23508"/>
    <cellStyle name="Normal 341 2 3_FC with allocations" xfId="25626"/>
    <cellStyle name="Normal 341 2 4" xfId="20250"/>
    <cellStyle name="Normal 341 2 5" xfId="22367"/>
    <cellStyle name="Normal 341 2_FC with allocations" xfId="25623"/>
    <cellStyle name="Normal 341 3" xfId="18345"/>
    <cellStyle name="Normal 341 3 2" xfId="19566"/>
    <cellStyle name="Normal 341 3 2 2" xfId="21576"/>
    <cellStyle name="Normal 341 3 2 3" xfId="23734"/>
    <cellStyle name="Normal 341 3 2_FC with allocations" xfId="25628"/>
    <cellStyle name="Normal 341 3 3" xfId="20700"/>
    <cellStyle name="Normal 341 3 4" xfId="22857"/>
    <cellStyle name="Normal 341 3_FC with allocations" xfId="25627"/>
    <cellStyle name="Normal 341 4" xfId="18931"/>
    <cellStyle name="Normal 341 4 2" xfId="21083"/>
    <cellStyle name="Normal 341 4 3" xfId="23240"/>
    <cellStyle name="Normal 341 4_FC with allocations" xfId="25629"/>
    <cellStyle name="Normal 341 5" xfId="20083"/>
    <cellStyle name="Normal 341 6" xfId="22194"/>
    <cellStyle name="Normal 341_FC with allocations" xfId="25622"/>
    <cellStyle name="Normal 342" xfId="16512"/>
    <cellStyle name="Normal 342 2" xfId="16697"/>
    <cellStyle name="Normal 342 2 2" xfId="18713"/>
    <cellStyle name="Normal 342 2 2 2" xfId="19732"/>
    <cellStyle name="Normal 342 2 2 2 2" xfId="21742"/>
    <cellStyle name="Normal 342 2 2 2 3" xfId="23900"/>
    <cellStyle name="Normal 342 2 2 2_FC with allocations" xfId="25633"/>
    <cellStyle name="Normal 342 2 2 3" xfId="20866"/>
    <cellStyle name="Normal 342 2 2 4" xfId="23023"/>
    <cellStyle name="Normal 342 2 2_FC with allocations" xfId="25632"/>
    <cellStyle name="Normal 342 2 3" xfId="19320"/>
    <cellStyle name="Normal 342 2 3 2" xfId="21358"/>
    <cellStyle name="Normal 342 2 3 3" xfId="23515"/>
    <cellStyle name="Normal 342 2 3_FC with allocations" xfId="25634"/>
    <cellStyle name="Normal 342 2 4" xfId="20251"/>
    <cellStyle name="Normal 342 2 5" xfId="22374"/>
    <cellStyle name="Normal 342 2_FC with allocations" xfId="25631"/>
    <cellStyle name="Normal 342 3" xfId="18548"/>
    <cellStyle name="Normal 342 3 2" xfId="19567"/>
    <cellStyle name="Normal 342 3 2 2" xfId="21577"/>
    <cellStyle name="Normal 342 3 2 3" xfId="23735"/>
    <cellStyle name="Normal 342 3 2_FC with allocations" xfId="25636"/>
    <cellStyle name="Normal 342 3 3" xfId="20701"/>
    <cellStyle name="Normal 342 3 4" xfId="22858"/>
    <cellStyle name="Normal 342 3_FC with allocations" xfId="25635"/>
    <cellStyle name="Normal 342 4" xfId="18932"/>
    <cellStyle name="Normal 342 4 2" xfId="21084"/>
    <cellStyle name="Normal 342 4 3" xfId="23241"/>
    <cellStyle name="Normal 342 4_FC with allocations" xfId="25637"/>
    <cellStyle name="Normal 342 5" xfId="20086"/>
    <cellStyle name="Normal 342 6" xfId="22195"/>
    <cellStyle name="Normal 342_FC with allocations" xfId="25630"/>
    <cellStyle name="Normal 343" xfId="16513"/>
    <cellStyle name="Normal 343 2" xfId="16698"/>
    <cellStyle name="Normal 343 2 2" xfId="18714"/>
    <cellStyle name="Normal 343 2 2 2" xfId="19733"/>
    <cellStyle name="Normal 343 2 2 2 2" xfId="21743"/>
    <cellStyle name="Normal 343 2 2 2 3" xfId="23901"/>
    <cellStyle name="Normal 343 2 2 2_FC with allocations" xfId="25641"/>
    <cellStyle name="Normal 343 2 2 3" xfId="20867"/>
    <cellStyle name="Normal 343 2 2 4" xfId="23024"/>
    <cellStyle name="Normal 343 2 2_FC with allocations" xfId="25640"/>
    <cellStyle name="Normal 343 2 3" xfId="19321"/>
    <cellStyle name="Normal 343 2 3 2" xfId="21359"/>
    <cellStyle name="Normal 343 2 3 3" xfId="23516"/>
    <cellStyle name="Normal 343 2 3_FC with allocations" xfId="25642"/>
    <cellStyle name="Normal 343 2 4" xfId="20252"/>
    <cellStyle name="Normal 343 2 5" xfId="22375"/>
    <cellStyle name="Normal 343 2_FC with allocations" xfId="25639"/>
    <cellStyle name="Normal 343 3" xfId="18549"/>
    <cellStyle name="Normal 343 3 2" xfId="19568"/>
    <cellStyle name="Normal 343 3 2 2" xfId="21578"/>
    <cellStyle name="Normal 343 3 2 3" xfId="23736"/>
    <cellStyle name="Normal 343 3 2_FC with allocations" xfId="25644"/>
    <cellStyle name="Normal 343 3 3" xfId="20702"/>
    <cellStyle name="Normal 343 3 4" xfId="22859"/>
    <cellStyle name="Normal 343 3_FC with allocations" xfId="25643"/>
    <cellStyle name="Normal 343 4" xfId="18933"/>
    <cellStyle name="Normal 343 4 2" xfId="21085"/>
    <cellStyle name="Normal 343 4 3" xfId="23242"/>
    <cellStyle name="Normal 343 4_FC with allocations" xfId="25645"/>
    <cellStyle name="Normal 343 5" xfId="20087"/>
    <cellStyle name="Normal 343 6" xfId="22196"/>
    <cellStyle name="Normal 343_FC with allocations" xfId="25638"/>
    <cellStyle name="Normal 344" xfId="16514"/>
    <cellStyle name="Normal 344 2" xfId="16699"/>
    <cellStyle name="Normal 344 2 2" xfId="18715"/>
    <cellStyle name="Normal 344 2 2 2" xfId="19734"/>
    <cellStyle name="Normal 344 2 2 2 2" xfId="21744"/>
    <cellStyle name="Normal 344 2 2 2 3" xfId="23902"/>
    <cellStyle name="Normal 344 2 2 2_FC with allocations" xfId="25649"/>
    <cellStyle name="Normal 344 2 2 3" xfId="20868"/>
    <cellStyle name="Normal 344 2 2 4" xfId="23025"/>
    <cellStyle name="Normal 344 2 2_FC with allocations" xfId="25648"/>
    <cellStyle name="Normal 344 2 3" xfId="19322"/>
    <cellStyle name="Normal 344 2 3 2" xfId="21360"/>
    <cellStyle name="Normal 344 2 3 3" xfId="23517"/>
    <cellStyle name="Normal 344 2 3_FC with allocations" xfId="25650"/>
    <cellStyle name="Normal 344 2 4" xfId="20253"/>
    <cellStyle name="Normal 344 2 5" xfId="22376"/>
    <cellStyle name="Normal 344 2_FC with allocations" xfId="25647"/>
    <cellStyle name="Normal 344 3" xfId="18550"/>
    <cellStyle name="Normal 344 3 2" xfId="19569"/>
    <cellStyle name="Normal 344 3 2 2" xfId="21579"/>
    <cellStyle name="Normal 344 3 2 3" xfId="23737"/>
    <cellStyle name="Normal 344 3 2_FC with allocations" xfId="25652"/>
    <cellStyle name="Normal 344 3 3" xfId="20703"/>
    <cellStyle name="Normal 344 3 4" xfId="22860"/>
    <cellStyle name="Normal 344 3_FC with allocations" xfId="25651"/>
    <cellStyle name="Normal 344 4" xfId="18934"/>
    <cellStyle name="Normal 344 4 2" xfId="21086"/>
    <cellStyle name="Normal 344 4 3" xfId="23243"/>
    <cellStyle name="Normal 344 4_FC with allocations" xfId="25653"/>
    <cellStyle name="Normal 344 5" xfId="20088"/>
    <cellStyle name="Normal 344 6" xfId="22197"/>
    <cellStyle name="Normal 344_FC with allocations" xfId="25646"/>
    <cellStyle name="Normal 345" xfId="16515"/>
    <cellStyle name="Normal 345 2" xfId="19330"/>
    <cellStyle name="Normal 345 3" xfId="22198"/>
    <cellStyle name="Normal 345_FC with allocations" xfId="25654"/>
    <cellStyle name="Normal 346" xfId="16517"/>
    <cellStyle name="Normal 346 2" xfId="19332"/>
    <cellStyle name="Normal 346 3" xfId="22200"/>
    <cellStyle name="Normal 346_FC with allocations" xfId="25655"/>
    <cellStyle name="Normal 347" xfId="16700"/>
    <cellStyle name="Normal 347 2" xfId="19346"/>
    <cellStyle name="Normal 347 3" xfId="22377"/>
    <cellStyle name="Normal 347_FC with allocations" xfId="25656"/>
    <cellStyle name="Normal 348" xfId="16519"/>
    <cellStyle name="Normal 348 2" xfId="18551"/>
    <cellStyle name="Normal 348 2 2" xfId="19570"/>
    <cellStyle name="Normal 348 2 2 2" xfId="21580"/>
    <cellStyle name="Normal 348 2 2 3" xfId="23738"/>
    <cellStyle name="Normal 348 2 2_FC with allocations" xfId="25659"/>
    <cellStyle name="Normal 348 2 3" xfId="20704"/>
    <cellStyle name="Normal 348 2 4" xfId="22861"/>
    <cellStyle name="Normal 348 2_FC with allocations" xfId="25658"/>
    <cellStyle name="Normal 348 3" xfId="18935"/>
    <cellStyle name="Normal 348 3 2" xfId="21087"/>
    <cellStyle name="Normal 348 3 3" xfId="23244"/>
    <cellStyle name="Normal 348 3_FC with allocations" xfId="25660"/>
    <cellStyle name="Normal 348 4" xfId="20089"/>
    <cellStyle name="Normal 348 5" xfId="22202"/>
    <cellStyle name="Normal 348_FC with allocations" xfId="25657"/>
    <cellStyle name="Normal 349" xfId="16579"/>
    <cellStyle name="Normal 349 2" xfId="19337"/>
    <cellStyle name="Normal 349 3" xfId="22258"/>
    <cellStyle name="Normal 349_FC with allocations" xfId="25661"/>
    <cellStyle name="Normal 35" xfId="2096"/>
    <cellStyle name="Normal 35 10" xfId="6774"/>
    <cellStyle name="Normal 35 10 2" xfId="6775"/>
    <cellStyle name="Normal 35 10 2 2" xfId="6776"/>
    <cellStyle name="Normal 35 10 2 2 2" xfId="6777"/>
    <cellStyle name="Normal 35 10 2 2 2 2" xfId="6778"/>
    <cellStyle name="Normal 35 10 2 2 2 2 2" xfId="6779"/>
    <cellStyle name="Normal 35 10 2 2 2 2_FC with allocations" xfId="25667"/>
    <cellStyle name="Normal 35 10 2 2 2 3" xfId="6780"/>
    <cellStyle name="Normal 35 10 2 2 2_FC with allocations" xfId="25666"/>
    <cellStyle name="Normal 35 10 2 2 3" xfId="6781"/>
    <cellStyle name="Normal 35 10 2 2 3 2" xfId="6782"/>
    <cellStyle name="Normal 35 10 2 2 3_FC with allocations" xfId="25668"/>
    <cellStyle name="Normal 35 10 2 2 4" xfId="6783"/>
    <cellStyle name="Normal 35 10 2 2_FC with allocations" xfId="25665"/>
    <cellStyle name="Normal 35 10 2 3" xfId="6784"/>
    <cellStyle name="Normal 35 10 2 3 2" xfId="6785"/>
    <cellStyle name="Normal 35 10 2 3 2 2" xfId="6786"/>
    <cellStyle name="Normal 35 10 2 3 2_FC with allocations" xfId="25670"/>
    <cellStyle name="Normal 35 10 2 3 3" xfId="6787"/>
    <cellStyle name="Normal 35 10 2 3_FC with allocations" xfId="25669"/>
    <cellStyle name="Normal 35 10 2 4" xfId="6788"/>
    <cellStyle name="Normal 35 10 2 4 2" xfId="6789"/>
    <cellStyle name="Normal 35 10 2 4_FC with allocations" xfId="25671"/>
    <cellStyle name="Normal 35 10 2 5" xfId="6790"/>
    <cellStyle name="Normal 35 10 2_FC with allocations" xfId="25664"/>
    <cellStyle name="Normal 35 10 3" xfId="6791"/>
    <cellStyle name="Normal 35 10 3 2" xfId="6792"/>
    <cellStyle name="Normal 35 10 3 2 2" xfId="6793"/>
    <cellStyle name="Normal 35 10 3 2 2 2" xfId="6794"/>
    <cellStyle name="Normal 35 10 3 2 2 2 2" xfId="6795"/>
    <cellStyle name="Normal 35 10 3 2 2 2_FC with allocations" xfId="25675"/>
    <cellStyle name="Normal 35 10 3 2 2 3" xfId="6796"/>
    <cellStyle name="Normal 35 10 3 2 2_FC with allocations" xfId="25674"/>
    <cellStyle name="Normal 35 10 3 2 3" xfId="6797"/>
    <cellStyle name="Normal 35 10 3 2 3 2" xfId="6798"/>
    <cellStyle name="Normal 35 10 3 2 3_FC with allocations" xfId="25676"/>
    <cellStyle name="Normal 35 10 3 2 4" xfId="6799"/>
    <cellStyle name="Normal 35 10 3 2_FC with allocations" xfId="25673"/>
    <cellStyle name="Normal 35 10 3 3" xfId="6800"/>
    <cellStyle name="Normal 35 10 3 3 2" xfId="6801"/>
    <cellStyle name="Normal 35 10 3 3 2 2" xfId="6802"/>
    <cellStyle name="Normal 35 10 3 3 2_FC with allocations" xfId="25678"/>
    <cellStyle name="Normal 35 10 3 3 3" xfId="6803"/>
    <cellStyle name="Normal 35 10 3 3_FC with allocations" xfId="25677"/>
    <cellStyle name="Normal 35 10 3 4" xfId="6804"/>
    <cellStyle name="Normal 35 10 3 4 2" xfId="6805"/>
    <cellStyle name="Normal 35 10 3 4_FC with allocations" xfId="25679"/>
    <cellStyle name="Normal 35 10 3 5" xfId="6806"/>
    <cellStyle name="Normal 35 10 3_FC with allocations" xfId="25672"/>
    <cellStyle name="Normal 35 10 4" xfId="6807"/>
    <cellStyle name="Normal 35 10 4 2" xfId="6808"/>
    <cellStyle name="Normal 35 10 4 2 2" xfId="6809"/>
    <cellStyle name="Normal 35 10 4 2 2 2" xfId="6810"/>
    <cellStyle name="Normal 35 10 4 2 2 2 2" xfId="6811"/>
    <cellStyle name="Normal 35 10 4 2 2 2_FC with allocations" xfId="25683"/>
    <cellStyle name="Normal 35 10 4 2 2 3" xfId="6812"/>
    <cellStyle name="Normal 35 10 4 2 2_FC with allocations" xfId="25682"/>
    <cellStyle name="Normal 35 10 4 2 3" xfId="6813"/>
    <cellStyle name="Normal 35 10 4 2 3 2" xfId="6814"/>
    <cellStyle name="Normal 35 10 4 2 3_FC with allocations" xfId="25684"/>
    <cellStyle name="Normal 35 10 4 2 4" xfId="6815"/>
    <cellStyle name="Normal 35 10 4 2_FC with allocations" xfId="25681"/>
    <cellStyle name="Normal 35 10 4 3" xfId="6816"/>
    <cellStyle name="Normal 35 10 4 3 2" xfId="6817"/>
    <cellStyle name="Normal 35 10 4 3 2 2" xfId="6818"/>
    <cellStyle name="Normal 35 10 4 3 2_FC with allocations" xfId="25686"/>
    <cellStyle name="Normal 35 10 4 3 3" xfId="6819"/>
    <cellStyle name="Normal 35 10 4 3_FC with allocations" xfId="25685"/>
    <cellStyle name="Normal 35 10 4 4" xfId="6820"/>
    <cellStyle name="Normal 35 10 4 4 2" xfId="6821"/>
    <cellStyle name="Normal 35 10 4 4_FC with allocations" xfId="25687"/>
    <cellStyle name="Normal 35 10 4 5" xfId="6822"/>
    <cellStyle name="Normal 35 10 4_FC with allocations" xfId="25680"/>
    <cellStyle name="Normal 35 10 5" xfId="6823"/>
    <cellStyle name="Normal 35 10 5 2" xfId="6824"/>
    <cellStyle name="Normal 35 10 5 2 2" xfId="6825"/>
    <cellStyle name="Normal 35 10 5 2 2 2" xfId="6826"/>
    <cellStyle name="Normal 35 10 5 2 2_FC with allocations" xfId="25690"/>
    <cellStyle name="Normal 35 10 5 2 3" xfId="6827"/>
    <cellStyle name="Normal 35 10 5 2_FC with allocations" xfId="25689"/>
    <cellStyle name="Normal 35 10 5 3" xfId="6828"/>
    <cellStyle name="Normal 35 10 5 3 2" xfId="6829"/>
    <cellStyle name="Normal 35 10 5 3_FC with allocations" xfId="25691"/>
    <cellStyle name="Normal 35 10 5 4" xfId="6830"/>
    <cellStyle name="Normal 35 10 5_FC with allocations" xfId="25688"/>
    <cellStyle name="Normal 35 10 6" xfId="6831"/>
    <cellStyle name="Normal 35 10 6 2" xfId="6832"/>
    <cellStyle name="Normal 35 10 6 2 2" xfId="6833"/>
    <cellStyle name="Normal 35 10 6 2_FC with allocations" xfId="25693"/>
    <cellStyle name="Normal 35 10 6 3" xfId="6834"/>
    <cellStyle name="Normal 35 10 6_FC with allocations" xfId="25692"/>
    <cellStyle name="Normal 35 10 7" xfId="6835"/>
    <cellStyle name="Normal 35 10 7 2" xfId="6836"/>
    <cellStyle name="Normal 35 10 7 2 2" xfId="6837"/>
    <cellStyle name="Normal 35 10 7 2_FC with allocations" xfId="25695"/>
    <cellStyle name="Normal 35 10 7 3" xfId="6838"/>
    <cellStyle name="Normal 35 10 7_FC with allocations" xfId="25694"/>
    <cellStyle name="Normal 35 10 8" xfId="6839"/>
    <cellStyle name="Normal 35 10 8 2" xfId="6840"/>
    <cellStyle name="Normal 35 10 8_FC with allocations" xfId="25696"/>
    <cellStyle name="Normal 35 10 9" xfId="6841"/>
    <cellStyle name="Normal 35 10_FC with allocations" xfId="25663"/>
    <cellStyle name="Normal 35 11" xfId="6842"/>
    <cellStyle name="Normal 35 11 2" xfId="6843"/>
    <cellStyle name="Normal 35 11 2 2" xfId="6844"/>
    <cellStyle name="Normal 35 11 2 2 2" xfId="6845"/>
    <cellStyle name="Normal 35 11 2 2 2 2" xfId="6846"/>
    <cellStyle name="Normal 35 11 2 2 2 2 2" xfId="6847"/>
    <cellStyle name="Normal 35 11 2 2 2 2 2 2" xfId="6848"/>
    <cellStyle name="Normal 35 11 2 2 2 2 2_FC with allocations" xfId="25702"/>
    <cellStyle name="Normal 35 11 2 2 2 2 3" xfId="6849"/>
    <cellStyle name="Normal 35 11 2 2 2 2_FC with allocations" xfId="25701"/>
    <cellStyle name="Normal 35 11 2 2 2 3" xfId="6850"/>
    <cellStyle name="Normal 35 11 2 2 2 3 2" xfId="6851"/>
    <cellStyle name="Normal 35 11 2 2 2 3_FC with allocations" xfId="25703"/>
    <cellStyle name="Normal 35 11 2 2 2 4" xfId="6852"/>
    <cellStyle name="Normal 35 11 2 2 2_FC with allocations" xfId="25700"/>
    <cellStyle name="Normal 35 11 2 2 3" xfId="6853"/>
    <cellStyle name="Normal 35 11 2 2 3 2" xfId="6854"/>
    <cellStyle name="Normal 35 11 2 2 3 2 2" xfId="6855"/>
    <cellStyle name="Normal 35 11 2 2 3 2_FC with allocations" xfId="25705"/>
    <cellStyle name="Normal 35 11 2 2 3 3" xfId="6856"/>
    <cellStyle name="Normal 35 11 2 2 3_FC with allocations" xfId="25704"/>
    <cellStyle name="Normal 35 11 2 2 4" xfId="6857"/>
    <cellStyle name="Normal 35 11 2 2 4 2" xfId="6858"/>
    <cellStyle name="Normal 35 11 2 2 4_FC with allocations" xfId="25706"/>
    <cellStyle name="Normal 35 11 2 2 5" xfId="6859"/>
    <cellStyle name="Normal 35 11 2 2_FC with allocations" xfId="25699"/>
    <cellStyle name="Normal 35 11 2 3" xfId="6860"/>
    <cellStyle name="Normal 35 11 2 3 2" xfId="6861"/>
    <cellStyle name="Normal 35 11 2 3 2 2" xfId="6862"/>
    <cellStyle name="Normal 35 11 2 3 2 2 2" xfId="6863"/>
    <cellStyle name="Normal 35 11 2 3 2 2 2 2" xfId="6864"/>
    <cellStyle name="Normal 35 11 2 3 2 2 2_FC with allocations" xfId="25710"/>
    <cellStyle name="Normal 35 11 2 3 2 2 3" xfId="6865"/>
    <cellStyle name="Normal 35 11 2 3 2 2_FC with allocations" xfId="25709"/>
    <cellStyle name="Normal 35 11 2 3 2 3" xfId="6866"/>
    <cellStyle name="Normal 35 11 2 3 2 3 2" xfId="6867"/>
    <cellStyle name="Normal 35 11 2 3 2 3_FC with allocations" xfId="25711"/>
    <cellStyle name="Normal 35 11 2 3 2 4" xfId="6868"/>
    <cellStyle name="Normal 35 11 2 3 2_FC with allocations" xfId="25708"/>
    <cellStyle name="Normal 35 11 2 3 3" xfId="6869"/>
    <cellStyle name="Normal 35 11 2 3 3 2" xfId="6870"/>
    <cellStyle name="Normal 35 11 2 3 3 2 2" xfId="6871"/>
    <cellStyle name="Normal 35 11 2 3 3 2_FC with allocations" xfId="25713"/>
    <cellStyle name="Normal 35 11 2 3 3 3" xfId="6872"/>
    <cellStyle name="Normal 35 11 2 3 3_FC with allocations" xfId="25712"/>
    <cellStyle name="Normal 35 11 2 3 4" xfId="6873"/>
    <cellStyle name="Normal 35 11 2 3 4 2" xfId="6874"/>
    <cellStyle name="Normal 35 11 2 3 4_FC with allocations" xfId="25714"/>
    <cellStyle name="Normal 35 11 2 3 5" xfId="6875"/>
    <cellStyle name="Normal 35 11 2 3_FC with allocations" xfId="25707"/>
    <cellStyle name="Normal 35 11 2 4" xfId="6876"/>
    <cellStyle name="Normal 35 11 2 4 2" xfId="6877"/>
    <cellStyle name="Normal 35 11 2 4 2 2" xfId="6878"/>
    <cellStyle name="Normal 35 11 2 4 2 2 2" xfId="6879"/>
    <cellStyle name="Normal 35 11 2 4 2 2_FC with allocations" xfId="25717"/>
    <cellStyle name="Normal 35 11 2 4 2 3" xfId="6880"/>
    <cellStyle name="Normal 35 11 2 4 2_FC with allocations" xfId="25716"/>
    <cellStyle name="Normal 35 11 2 4 3" xfId="6881"/>
    <cellStyle name="Normal 35 11 2 4 3 2" xfId="6882"/>
    <cellStyle name="Normal 35 11 2 4 3_FC with allocations" xfId="25718"/>
    <cellStyle name="Normal 35 11 2 4 4" xfId="6883"/>
    <cellStyle name="Normal 35 11 2 4_FC with allocations" xfId="25715"/>
    <cellStyle name="Normal 35 11 2 5" xfId="6884"/>
    <cellStyle name="Normal 35 11 2 5 2" xfId="6885"/>
    <cellStyle name="Normal 35 11 2 5 2 2" xfId="6886"/>
    <cellStyle name="Normal 35 11 2 5 2_FC with allocations" xfId="25720"/>
    <cellStyle name="Normal 35 11 2 5 3" xfId="6887"/>
    <cellStyle name="Normal 35 11 2 5_FC with allocations" xfId="25719"/>
    <cellStyle name="Normal 35 11 2 6" xfId="6888"/>
    <cellStyle name="Normal 35 11 2 6 2" xfId="6889"/>
    <cellStyle name="Normal 35 11 2 6 2 2" xfId="6890"/>
    <cellStyle name="Normal 35 11 2 6 2_FC with allocations" xfId="25722"/>
    <cellStyle name="Normal 35 11 2 6 3" xfId="6891"/>
    <cellStyle name="Normal 35 11 2 6_FC with allocations" xfId="25721"/>
    <cellStyle name="Normal 35 11 2 7" xfId="6892"/>
    <cellStyle name="Normal 35 11 2 7 2" xfId="6893"/>
    <cellStyle name="Normal 35 11 2 7_FC with allocations" xfId="25723"/>
    <cellStyle name="Normal 35 11 2 8" xfId="6894"/>
    <cellStyle name="Normal 35 11 2_FC with allocations" xfId="25698"/>
    <cellStyle name="Normal 35 11 3" xfId="6895"/>
    <cellStyle name="Normal 35 11 4" xfId="6896"/>
    <cellStyle name="Normal 35 11 4 2" xfId="6897"/>
    <cellStyle name="Normal 35 11 4_FC with allocations" xfId="25724"/>
    <cellStyle name="Normal 35 11 5" xfId="6898"/>
    <cellStyle name="Normal 35 11_FC with allocations" xfId="25697"/>
    <cellStyle name="Normal 35 12" xfId="6899"/>
    <cellStyle name="Normal 35 12 2" xfId="6900"/>
    <cellStyle name="Normal 35 12 2 2" xfId="6901"/>
    <cellStyle name="Normal 35 12 2 2 2" xfId="6902"/>
    <cellStyle name="Normal 35 12 2 2_FC with allocations" xfId="25727"/>
    <cellStyle name="Normal 35 12 2 3" xfId="6903"/>
    <cellStyle name="Normal 35 12 2_FC with allocations" xfId="25726"/>
    <cellStyle name="Normal 35 12 3" xfId="6904"/>
    <cellStyle name="Normal 35 12 4" xfId="6905"/>
    <cellStyle name="Normal 35 12 4 2" xfId="6906"/>
    <cellStyle name="Normal 35 12 4_FC with allocations" xfId="25728"/>
    <cellStyle name="Normal 35 12 5" xfId="6907"/>
    <cellStyle name="Normal 35 12_FC with allocations" xfId="25725"/>
    <cellStyle name="Normal 35 13" xfId="6908"/>
    <cellStyle name="Normal 35 13 2" xfId="6909"/>
    <cellStyle name="Normal 35 13 2 2" xfId="6910"/>
    <cellStyle name="Normal 35 13 2 2 2" xfId="6911"/>
    <cellStyle name="Normal 35 13 2 2 2 2" xfId="6912"/>
    <cellStyle name="Normal 35 13 2 2 2 2 2" xfId="6913"/>
    <cellStyle name="Normal 35 13 2 2 2 2_FC with allocations" xfId="25733"/>
    <cellStyle name="Normal 35 13 2 2 2 3" xfId="6914"/>
    <cellStyle name="Normal 35 13 2 2 2_FC with allocations" xfId="25732"/>
    <cellStyle name="Normal 35 13 2 2 3" xfId="6915"/>
    <cellStyle name="Normal 35 13 2 2 3 2" xfId="6916"/>
    <cellStyle name="Normal 35 13 2 2 3_FC with allocations" xfId="25734"/>
    <cellStyle name="Normal 35 13 2 2 4" xfId="6917"/>
    <cellStyle name="Normal 35 13 2 2_FC with allocations" xfId="25731"/>
    <cellStyle name="Normal 35 13 2 3" xfId="6918"/>
    <cellStyle name="Normal 35 13 2 3 2" xfId="6919"/>
    <cellStyle name="Normal 35 13 2 3 2 2" xfId="6920"/>
    <cellStyle name="Normal 35 13 2 3 2_FC with allocations" xfId="25736"/>
    <cellStyle name="Normal 35 13 2 3 3" xfId="6921"/>
    <cellStyle name="Normal 35 13 2 3_FC with allocations" xfId="25735"/>
    <cellStyle name="Normal 35 13 2 4" xfId="6922"/>
    <cellStyle name="Normal 35 13 2 4 2" xfId="6923"/>
    <cellStyle name="Normal 35 13 2 4_FC with allocations" xfId="25737"/>
    <cellStyle name="Normal 35 13 2 5" xfId="6924"/>
    <cellStyle name="Normal 35 13 2_FC with allocations" xfId="25730"/>
    <cellStyle name="Normal 35 13 3" xfId="6925"/>
    <cellStyle name="Normal 35 13 3 2" xfId="6926"/>
    <cellStyle name="Normal 35 13 3 2 2" xfId="6927"/>
    <cellStyle name="Normal 35 13 3 2 2 2" xfId="6928"/>
    <cellStyle name="Normal 35 13 3 2 2 2 2" xfId="6929"/>
    <cellStyle name="Normal 35 13 3 2 2 2_FC with allocations" xfId="25741"/>
    <cellStyle name="Normal 35 13 3 2 2 3" xfId="6930"/>
    <cellStyle name="Normal 35 13 3 2 2_FC with allocations" xfId="25740"/>
    <cellStyle name="Normal 35 13 3 2 3" xfId="6931"/>
    <cellStyle name="Normal 35 13 3 2 3 2" xfId="6932"/>
    <cellStyle name="Normal 35 13 3 2 3_FC with allocations" xfId="25742"/>
    <cellStyle name="Normal 35 13 3 2 4" xfId="6933"/>
    <cellStyle name="Normal 35 13 3 2_FC with allocations" xfId="25739"/>
    <cellStyle name="Normal 35 13 3 3" xfId="6934"/>
    <cellStyle name="Normal 35 13 3 3 2" xfId="6935"/>
    <cellStyle name="Normal 35 13 3 3 2 2" xfId="6936"/>
    <cellStyle name="Normal 35 13 3 3 2_FC with allocations" xfId="25744"/>
    <cellStyle name="Normal 35 13 3 3 3" xfId="6937"/>
    <cellStyle name="Normal 35 13 3 3_FC with allocations" xfId="25743"/>
    <cellStyle name="Normal 35 13 3 4" xfId="6938"/>
    <cellStyle name="Normal 35 13 3 4 2" xfId="6939"/>
    <cellStyle name="Normal 35 13 3 4_FC with allocations" xfId="25745"/>
    <cellStyle name="Normal 35 13 3 5" xfId="6940"/>
    <cellStyle name="Normal 35 13 3_FC with allocations" xfId="25738"/>
    <cellStyle name="Normal 35 13 4" xfId="6941"/>
    <cellStyle name="Normal 35 13 4 2" xfId="6942"/>
    <cellStyle name="Normal 35 13 4 2 2" xfId="6943"/>
    <cellStyle name="Normal 35 13 4 2 2 2" xfId="6944"/>
    <cellStyle name="Normal 35 13 4 2 2_FC with allocations" xfId="25748"/>
    <cellStyle name="Normal 35 13 4 2 3" xfId="6945"/>
    <cellStyle name="Normal 35 13 4 2_FC with allocations" xfId="25747"/>
    <cellStyle name="Normal 35 13 4 3" xfId="6946"/>
    <cellStyle name="Normal 35 13 4 3 2" xfId="6947"/>
    <cellStyle name="Normal 35 13 4 3_FC with allocations" xfId="25749"/>
    <cellStyle name="Normal 35 13 4 4" xfId="6948"/>
    <cellStyle name="Normal 35 13 4_FC with allocations" xfId="25746"/>
    <cellStyle name="Normal 35 13 5" xfId="6949"/>
    <cellStyle name="Normal 35 13 5 2" xfId="6950"/>
    <cellStyle name="Normal 35 13 5 2 2" xfId="6951"/>
    <cellStyle name="Normal 35 13 5 2_FC with allocations" xfId="25751"/>
    <cellStyle name="Normal 35 13 5 3" xfId="6952"/>
    <cellStyle name="Normal 35 13 5_FC with allocations" xfId="25750"/>
    <cellStyle name="Normal 35 13 6" xfId="6953"/>
    <cellStyle name="Normal 35 13 6 2" xfId="6954"/>
    <cellStyle name="Normal 35 13 6 2 2" xfId="6955"/>
    <cellStyle name="Normal 35 13 6 2_FC with allocations" xfId="25753"/>
    <cellStyle name="Normal 35 13 6 3" xfId="6956"/>
    <cellStyle name="Normal 35 13 6_FC with allocations" xfId="25752"/>
    <cellStyle name="Normal 35 13 7" xfId="6957"/>
    <cellStyle name="Normal 35 13 7 2" xfId="6958"/>
    <cellStyle name="Normal 35 13 7_FC with allocations" xfId="25754"/>
    <cellStyle name="Normal 35 13 8" xfId="6959"/>
    <cellStyle name="Normal 35 13_FC with allocations" xfId="25729"/>
    <cellStyle name="Normal 35 14" xfId="6960"/>
    <cellStyle name="Normal 35 14 2" xfId="6961"/>
    <cellStyle name="Normal 35 14 2 2" xfId="6962"/>
    <cellStyle name="Normal 35 14 2 2 2" xfId="6963"/>
    <cellStyle name="Normal 35 14 2 2 2 2" xfId="6964"/>
    <cellStyle name="Normal 35 14 2 2 2 2 2" xfId="6965"/>
    <cellStyle name="Normal 35 14 2 2 2 2_FC with allocations" xfId="25759"/>
    <cellStyle name="Normal 35 14 2 2 2 3" xfId="6966"/>
    <cellStyle name="Normal 35 14 2 2 2_FC with allocations" xfId="25758"/>
    <cellStyle name="Normal 35 14 2 2 3" xfId="6967"/>
    <cellStyle name="Normal 35 14 2 2 3 2" xfId="6968"/>
    <cellStyle name="Normal 35 14 2 2 3_FC with allocations" xfId="25760"/>
    <cellStyle name="Normal 35 14 2 2 4" xfId="6969"/>
    <cellStyle name="Normal 35 14 2 2_FC with allocations" xfId="25757"/>
    <cellStyle name="Normal 35 14 2 3" xfId="6970"/>
    <cellStyle name="Normal 35 14 2 3 2" xfId="6971"/>
    <cellStyle name="Normal 35 14 2 3 2 2" xfId="6972"/>
    <cellStyle name="Normal 35 14 2 3 2_FC with allocations" xfId="25762"/>
    <cellStyle name="Normal 35 14 2 3 3" xfId="6973"/>
    <cellStyle name="Normal 35 14 2 3_FC with allocations" xfId="25761"/>
    <cellStyle name="Normal 35 14 2 4" xfId="6974"/>
    <cellStyle name="Normal 35 14 2 4 2" xfId="6975"/>
    <cellStyle name="Normal 35 14 2 4_FC with allocations" xfId="25763"/>
    <cellStyle name="Normal 35 14 2 5" xfId="6976"/>
    <cellStyle name="Normal 35 14 2_FC with allocations" xfId="25756"/>
    <cellStyle name="Normal 35 14 3" xfId="6977"/>
    <cellStyle name="Normal 35 14 3 2" xfId="6978"/>
    <cellStyle name="Normal 35 14 3 2 2" xfId="6979"/>
    <cellStyle name="Normal 35 14 3 2 2 2" xfId="6980"/>
    <cellStyle name="Normal 35 14 3 2 2 2 2" xfId="6981"/>
    <cellStyle name="Normal 35 14 3 2 2 2_FC with allocations" xfId="25767"/>
    <cellStyle name="Normal 35 14 3 2 2 3" xfId="6982"/>
    <cellStyle name="Normal 35 14 3 2 2_FC with allocations" xfId="25766"/>
    <cellStyle name="Normal 35 14 3 2 3" xfId="6983"/>
    <cellStyle name="Normal 35 14 3 2 3 2" xfId="6984"/>
    <cellStyle name="Normal 35 14 3 2 3_FC with allocations" xfId="25768"/>
    <cellStyle name="Normal 35 14 3 2 4" xfId="6985"/>
    <cellStyle name="Normal 35 14 3 2_FC with allocations" xfId="25765"/>
    <cellStyle name="Normal 35 14 3 3" xfId="6986"/>
    <cellStyle name="Normal 35 14 3 3 2" xfId="6987"/>
    <cellStyle name="Normal 35 14 3 3 2 2" xfId="6988"/>
    <cellStyle name="Normal 35 14 3 3 2_FC with allocations" xfId="25770"/>
    <cellStyle name="Normal 35 14 3 3 3" xfId="6989"/>
    <cellStyle name="Normal 35 14 3 3_FC with allocations" xfId="25769"/>
    <cellStyle name="Normal 35 14 3 4" xfId="6990"/>
    <cellStyle name="Normal 35 14 3 4 2" xfId="6991"/>
    <cellStyle name="Normal 35 14 3 4_FC with allocations" xfId="25771"/>
    <cellStyle name="Normal 35 14 3 5" xfId="6992"/>
    <cellStyle name="Normal 35 14 3_FC with allocations" xfId="25764"/>
    <cellStyle name="Normal 35 14 4" xfId="6993"/>
    <cellStyle name="Normal 35 14 4 2" xfId="6994"/>
    <cellStyle name="Normal 35 14 4 2 2" xfId="6995"/>
    <cellStyle name="Normal 35 14 4 2 2 2" xfId="6996"/>
    <cellStyle name="Normal 35 14 4 2 2_FC with allocations" xfId="25774"/>
    <cellStyle name="Normal 35 14 4 2 3" xfId="6997"/>
    <cellStyle name="Normal 35 14 4 2_FC with allocations" xfId="25773"/>
    <cellStyle name="Normal 35 14 4 3" xfId="6998"/>
    <cellStyle name="Normal 35 14 4 3 2" xfId="6999"/>
    <cellStyle name="Normal 35 14 4 3_FC with allocations" xfId="25775"/>
    <cellStyle name="Normal 35 14 4 4" xfId="7000"/>
    <cellStyle name="Normal 35 14 4_FC with allocations" xfId="25772"/>
    <cellStyle name="Normal 35 14 5" xfId="7001"/>
    <cellStyle name="Normal 35 14 5 2" xfId="7002"/>
    <cellStyle name="Normal 35 14 5 2 2" xfId="7003"/>
    <cellStyle name="Normal 35 14 5 2_FC with allocations" xfId="25777"/>
    <cellStyle name="Normal 35 14 5 3" xfId="7004"/>
    <cellStyle name="Normal 35 14 5_FC with allocations" xfId="25776"/>
    <cellStyle name="Normal 35 14 6" xfId="7005"/>
    <cellStyle name="Normal 35 14 6 2" xfId="7006"/>
    <cellStyle name="Normal 35 14 6 2 2" xfId="7007"/>
    <cellStyle name="Normal 35 14 6 2_FC with allocations" xfId="25779"/>
    <cellStyle name="Normal 35 14 6 3" xfId="7008"/>
    <cellStyle name="Normal 35 14 6_FC with allocations" xfId="25778"/>
    <cellStyle name="Normal 35 14 7" xfId="7009"/>
    <cellStyle name="Normal 35 14 7 2" xfId="7010"/>
    <cellStyle name="Normal 35 14 7_FC with allocations" xfId="25780"/>
    <cellStyle name="Normal 35 14 8" xfId="7011"/>
    <cellStyle name="Normal 35 14_FC with allocations" xfId="25755"/>
    <cellStyle name="Normal 35 15" xfId="7012"/>
    <cellStyle name="Normal 35 15 2" xfId="7013"/>
    <cellStyle name="Normal 35 15 2 2" xfId="7014"/>
    <cellStyle name="Normal 35 15 2 2 2" xfId="7015"/>
    <cellStyle name="Normal 35 15 2 2 2 2" xfId="7016"/>
    <cellStyle name="Normal 35 15 2 2 2 2 2" xfId="7017"/>
    <cellStyle name="Normal 35 15 2 2 2 2_FC with allocations" xfId="25785"/>
    <cellStyle name="Normal 35 15 2 2 2 3" xfId="7018"/>
    <cellStyle name="Normal 35 15 2 2 2_FC with allocations" xfId="25784"/>
    <cellStyle name="Normal 35 15 2 2 3" xfId="7019"/>
    <cellStyle name="Normal 35 15 2 2 3 2" xfId="7020"/>
    <cellStyle name="Normal 35 15 2 2 3_FC with allocations" xfId="25786"/>
    <cellStyle name="Normal 35 15 2 2 4" xfId="7021"/>
    <cellStyle name="Normal 35 15 2 2_FC with allocations" xfId="25783"/>
    <cellStyle name="Normal 35 15 2 3" xfId="7022"/>
    <cellStyle name="Normal 35 15 2 3 2" xfId="7023"/>
    <cellStyle name="Normal 35 15 2 3 2 2" xfId="7024"/>
    <cellStyle name="Normal 35 15 2 3 2_FC with allocations" xfId="25788"/>
    <cellStyle name="Normal 35 15 2 3 3" xfId="7025"/>
    <cellStyle name="Normal 35 15 2 3_FC with allocations" xfId="25787"/>
    <cellStyle name="Normal 35 15 2 4" xfId="7026"/>
    <cellStyle name="Normal 35 15 2 4 2" xfId="7027"/>
    <cellStyle name="Normal 35 15 2 4_FC with allocations" xfId="25789"/>
    <cellStyle name="Normal 35 15 2 5" xfId="7028"/>
    <cellStyle name="Normal 35 15 2_FC with allocations" xfId="25782"/>
    <cellStyle name="Normal 35 15 3" xfId="7029"/>
    <cellStyle name="Normal 35 15 3 2" xfId="7030"/>
    <cellStyle name="Normal 35 15 3 2 2" xfId="7031"/>
    <cellStyle name="Normal 35 15 3 2 2 2" xfId="7032"/>
    <cellStyle name="Normal 35 15 3 2 2 2 2" xfId="7033"/>
    <cellStyle name="Normal 35 15 3 2 2 2_FC with allocations" xfId="25793"/>
    <cellStyle name="Normal 35 15 3 2 2 3" xfId="7034"/>
    <cellStyle name="Normal 35 15 3 2 2_FC with allocations" xfId="25792"/>
    <cellStyle name="Normal 35 15 3 2 3" xfId="7035"/>
    <cellStyle name="Normal 35 15 3 2 3 2" xfId="7036"/>
    <cellStyle name="Normal 35 15 3 2 3_FC with allocations" xfId="25794"/>
    <cellStyle name="Normal 35 15 3 2 4" xfId="7037"/>
    <cellStyle name="Normal 35 15 3 2_FC with allocations" xfId="25791"/>
    <cellStyle name="Normal 35 15 3 3" xfId="7038"/>
    <cellStyle name="Normal 35 15 3 3 2" xfId="7039"/>
    <cellStyle name="Normal 35 15 3 3 2 2" xfId="7040"/>
    <cellStyle name="Normal 35 15 3 3 2_FC with allocations" xfId="25796"/>
    <cellStyle name="Normal 35 15 3 3 3" xfId="7041"/>
    <cellStyle name="Normal 35 15 3 3_FC with allocations" xfId="25795"/>
    <cellStyle name="Normal 35 15 3 4" xfId="7042"/>
    <cellStyle name="Normal 35 15 3 4 2" xfId="7043"/>
    <cellStyle name="Normal 35 15 3 4_FC with allocations" xfId="25797"/>
    <cellStyle name="Normal 35 15 3 5" xfId="7044"/>
    <cellStyle name="Normal 35 15 3_FC with allocations" xfId="25790"/>
    <cellStyle name="Normal 35 15 4" xfId="7045"/>
    <cellStyle name="Normal 35 15 4 2" xfId="7046"/>
    <cellStyle name="Normal 35 15 4 2 2" xfId="7047"/>
    <cellStyle name="Normal 35 15 4 2 2 2" xfId="7048"/>
    <cellStyle name="Normal 35 15 4 2 2_FC with allocations" xfId="25800"/>
    <cellStyle name="Normal 35 15 4 2 3" xfId="7049"/>
    <cellStyle name="Normal 35 15 4 2_FC with allocations" xfId="25799"/>
    <cellStyle name="Normal 35 15 4 3" xfId="7050"/>
    <cellStyle name="Normal 35 15 4 3 2" xfId="7051"/>
    <cellStyle name="Normal 35 15 4 3_FC with allocations" xfId="25801"/>
    <cellStyle name="Normal 35 15 4 4" xfId="7052"/>
    <cellStyle name="Normal 35 15 4_FC with allocations" xfId="25798"/>
    <cellStyle name="Normal 35 15 5" xfId="7053"/>
    <cellStyle name="Normal 35 15 5 2" xfId="7054"/>
    <cellStyle name="Normal 35 15 5 2 2" xfId="7055"/>
    <cellStyle name="Normal 35 15 5 2_FC with allocations" xfId="25803"/>
    <cellStyle name="Normal 35 15 5 3" xfId="7056"/>
    <cellStyle name="Normal 35 15 5_FC with allocations" xfId="25802"/>
    <cellStyle name="Normal 35 15 6" xfId="7057"/>
    <cellStyle name="Normal 35 15 6 2" xfId="7058"/>
    <cellStyle name="Normal 35 15 6 2 2" xfId="7059"/>
    <cellStyle name="Normal 35 15 6 2_FC with allocations" xfId="25805"/>
    <cellStyle name="Normal 35 15 6 3" xfId="7060"/>
    <cellStyle name="Normal 35 15 6_FC with allocations" xfId="25804"/>
    <cellStyle name="Normal 35 15 7" xfId="7061"/>
    <cellStyle name="Normal 35 15 7 2" xfId="7062"/>
    <cellStyle name="Normal 35 15 7_FC with allocations" xfId="25806"/>
    <cellStyle name="Normal 35 15 8" xfId="7063"/>
    <cellStyle name="Normal 35 15_FC with allocations" xfId="25781"/>
    <cellStyle name="Normal 35 16" xfId="7064"/>
    <cellStyle name="Normal 35 16 2" xfId="7065"/>
    <cellStyle name="Normal 35 16 2 2" xfId="7066"/>
    <cellStyle name="Normal 35 16 2 2 2" xfId="7067"/>
    <cellStyle name="Normal 35 16 2 2 2 2" xfId="7068"/>
    <cellStyle name="Normal 35 16 2 2 2 2 2" xfId="7069"/>
    <cellStyle name="Normal 35 16 2 2 2 2_FC with allocations" xfId="25811"/>
    <cellStyle name="Normal 35 16 2 2 2 3" xfId="7070"/>
    <cellStyle name="Normal 35 16 2 2 2_FC with allocations" xfId="25810"/>
    <cellStyle name="Normal 35 16 2 2 3" xfId="7071"/>
    <cellStyle name="Normal 35 16 2 2 3 2" xfId="7072"/>
    <cellStyle name="Normal 35 16 2 2 3_FC with allocations" xfId="25812"/>
    <cellStyle name="Normal 35 16 2 2 4" xfId="7073"/>
    <cellStyle name="Normal 35 16 2 2_FC with allocations" xfId="25809"/>
    <cellStyle name="Normal 35 16 2 3" xfId="7074"/>
    <cellStyle name="Normal 35 16 2 3 2" xfId="7075"/>
    <cellStyle name="Normal 35 16 2 3 2 2" xfId="7076"/>
    <cellStyle name="Normal 35 16 2 3 2_FC with allocations" xfId="25814"/>
    <cellStyle name="Normal 35 16 2 3 3" xfId="7077"/>
    <cellStyle name="Normal 35 16 2 3_FC with allocations" xfId="25813"/>
    <cellStyle name="Normal 35 16 2 4" xfId="7078"/>
    <cellStyle name="Normal 35 16 2 4 2" xfId="7079"/>
    <cellStyle name="Normal 35 16 2 4_FC with allocations" xfId="25815"/>
    <cellStyle name="Normal 35 16 2 5" xfId="7080"/>
    <cellStyle name="Normal 35 16 2_FC with allocations" xfId="25808"/>
    <cellStyle name="Normal 35 16 3" xfId="7081"/>
    <cellStyle name="Normal 35 16 3 2" xfId="7082"/>
    <cellStyle name="Normal 35 16 3 2 2" xfId="7083"/>
    <cellStyle name="Normal 35 16 3 2 2 2" xfId="7084"/>
    <cellStyle name="Normal 35 16 3 2 2 2 2" xfId="7085"/>
    <cellStyle name="Normal 35 16 3 2 2 2_FC with allocations" xfId="25819"/>
    <cellStyle name="Normal 35 16 3 2 2 3" xfId="7086"/>
    <cellStyle name="Normal 35 16 3 2 2_FC with allocations" xfId="25818"/>
    <cellStyle name="Normal 35 16 3 2 3" xfId="7087"/>
    <cellStyle name="Normal 35 16 3 2 3 2" xfId="7088"/>
    <cellStyle name="Normal 35 16 3 2 3_FC with allocations" xfId="25820"/>
    <cellStyle name="Normal 35 16 3 2 4" xfId="7089"/>
    <cellStyle name="Normal 35 16 3 2_FC with allocations" xfId="25817"/>
    <cellStyle name="Normal 35 16 3 3" xfId="7090"/>
    <cellStyle name="Normal 35 16 3 3 2" xfId="7091"/>
    <cellStyle name="Normal 35 16 3 3 2 2" xfId="7092"/>
    <cellStyle name="Normal 35 16 3 3 2_FC with allocations" xfId="25822"/>
    <cellStyle name="Normal 35 16 3 3 3" xfId="7093"/>
    <cellStyle name="Normal 35 16 3 3_FC with allocations" xfId="25821"/>
    <cellStyle name="Normal 35 16 3 4" xfId="7094"/>
    <cellStyle name="Normal 35 16 3 4 2" xfId="7095"/>
    <cellStyle name="Normal 35 16 3 4_FC with allocations" xfId="25823"/>
    <cellStyle name="Normal 35 16 3 5" xfId="7096"/>
    <cellStyle name="Normal 35 16 3_FC with allocations" xfId="25816"/>
    <cellStyle name="Normal 35 16 4" xfId="7097"/>
    <cellStyle name="Normal 35 16 4 2" xfId="7098"/>
    <cellStyle name="Normal 35 16 4 2 2" xfId="7099"/>
    <cellStyle name="Normal 35 16 4 2 2 2" xfId="7100"/>
    <cellStyle name="Normal 35 16 4 2 2_FC with allocations" xfId="25826"/>
    <cellStyle name="Normal 35 16 4 2 3" xfId="7101"/>
    <cellStyle name="Normal 35 16 4 2_FC with allocations" xfId="25825"/>
    <cellStyle name="Normal 35 16 4 3" xfId="7102"/>
    <cellStyle name="Normal 35 16 4 3 2" xfId="7103"/>
    <cellStyle name="Normal 35 16 4 3_FC with allocations" xfId="25827"/>
    <cellStyle name="Normal 35 16 4 4" xfId="7104"/>
    <cellStyle name="Normal 35 16 4_FC with allocations" xfId="25824"/>
    <cellStyle name="Normal 35 16 5" xfId="7105"/>
    <cellStyle name="Normal 35 16 5 2" xfId="7106"/>
    <cellStyle name="Normal 35 16 5 2 2" xfId="7107"/>
    <cellStyle name="Normal 35 16 5 2_FC with allocations" xfId="25829"/>
    <cellStyle name="Normal 35 16 5 3" xfId="7108"/>
    <cellStyle name="Normal 35 16 5_FC with allocations" xfId="25828"/>
    <cellStyle name="Normal 35 16 6" xfId="7109"/>
    <cellStyle name="Normal 35 16 6 2" xfId="7110"/>
    <cellStyle name="Normal 35 16 6 2 2" xfId="7111"/>
    <cellStyle name="Normal 35 16 6 2_FC with allocations" xfId="25831"/>
    <cellStyle name="Normal 35 16 6 3" xfId="7112"/>
    <cellStyle name="Normal 35 16 6_FC with allocations" xfId="25830"/>
    <cellStyle name="Normal 35 16 7" xfId="7113"/>
    <cellStyle name="Normal 35 16 7 2" xfId="7114"/>
    <cellStyle name="Normal 35 16 7_FC with allocations" xfId="25832"/>
    <cellStyle name="Normal 35 16 8" xfId="7115"/>
    <cellStyle name="Normal 35 16_FC with allocations" xfId="25807"/>
    <cellStyle name="Normal 35 17" xfId="7116"/>
    <cellStyle name="Normal 35 17 2" xfId="7117"/>
    <cellStyle name="Normal 35 17 2 2" xfId="7118"/>
    <cellStyle name="Normal 35 17 2 2 2" xfId="7119"/>
    <cellStyle name="Normal 35 17 2 2 2 2" xfId="7120"/>
    <cellStyle name="Normal 35 17 2 2 2 2 2" xfId="7121"/>
    <cellStyle name="Normal 35 17 2 2 2 2_FC with allocations" xfId="25837"/>
    <cellStyle name="Normal 35 17 2 2 2 3" xfId="7122"/>
    <cellStyle name="Normal 35 17 2 2 2_FC with allocations" xfId="25836"/>
    <cellStyle name="Normal 35 17 2 2 3" xfId="7123"/>
    <cellStyle name="Normal 35 17 2 2 3 2" xfId="7124"/>
    <cellStyle name="Normal 35 17 2 2 3_FC with allocations" xfId="25838"/>
    <cellStyle name="Normal 35 17 2 2 4" xfId="7125"/>
    <cellStyle name="Normal 35 17 2 2_FC with allocations" xfId="25835"/>
    <cellStyle name="Normal 35 17 2 3" xfId="7126"/>
    <cellStyle name="Normal 35 17 2 3 2" xfId="7127"/>
    <cellStyle name="Normal 35 17 2 3 2 2" xfId="7128"/>
    <cellStyle name="Normal 35 17 2 3 2_FC with allocations" xfId="25840"/>
    <cellStyle name="Normal 35 17 2 3 3" xfId="7129"/>
    <cellStyle name="Normal 35 17 2 3_FC with allocations" xfId="25839"/>
    <cellStyle name="Normal 35 17 2 4" xfId="7130"/>
    <cellStyle name="Normal 35 17 2 4 2" xfId="7131"/>
    <cellStyle name="Normal 35 17 2 4_FC with allocations" xfId="25841"/>
    <cellStyle name="Normal 35 17 2 5" xfId="7132"/>
    <cellStyle name="Normal 35 17 2_FC with allocations" xfId="25834"/>
    <cellStyle name="Normal 35 17 3" xfId="7133"/>
    <cellStyle name="Normal 35 17 3 2" xfId="7134"/>
    <cellStyle name="Normal 35 17 3 2 2" xfId="7135"/>
    <cellStyle name="Normal 35 17 3 2 2 2" xfId="7136"/>
    <cellStyle name="Normal 35 17 3 2 2 2 2" xfId="7137"/>
    <cellStyle name="Normal 35 17 3 2 2 2_FC with allocations" xfId="25845"/>
    <cellStyle name="Normal 35 17 3 2 2 3" xfId="7138"/>
    <cellStyle name="Normal 35 17 3 2 2_FC with allocations" xfId="25844"/>
    <cellStyle name="Normal 35 17 3 2 3" xfId="7139"/>
    <cellStyle name="Normal 35 17 3 2 3 2" xfId="7140"/>
    <cellStyle name="Normal 35 17 3 2 3_FC with allocations" xfId="25846"/>
    <cellStyle name="Normal 35 17 3 2 4" xfId="7141"/>
    <cellStyle name="Normal 35 17 3 2_FC with allocations" xfId="25843"/>
    <cellStyle name="Normal 35 17 3 3" xfId="7142"/>
    <cellStyle name="Normal 35 17 3 3 2" xfId="7143"/>
    <cellStyle name="Normal 35 17 3 3 2 2" xfId="7144"/>
    <cellStyle name="Normal 35 17 3 3 2_FC with allocations" xfId="25848"/>
    <cellStyle name="Normal 35 17 3 3 3" xfId="7145"/>
    <cellStyle name="Normal 35 17 3 3_FC with allocations" xfId="25847"/>
    <cellStyle name="Normal 35 17 3 4" xfId="7146"/>
    <cellStyle name="Normal 35 17 3 4 2" xfId="7147"/>
    <cellStyle name="Normal 35 17 3 4_FC with allocations" xfId="25849"/>
    <cellStyle name="Normal 35 17 3 5" xfId="7148"/>
    <cellStyle name="Normal 35 17 3_FC with allocations" xfId="25842"/>
    <cellStyle name="Normal 35 17 4" xfId="7149"/>
    <cellStyle name="Normal 35 17 4 2" xfId="7150"/>
    <cellStyle name="Normal 35 17 4 2 2" xfId="7151"/>
    <cellStyle name="Normal 35 17 4 2 2 2" xfId="7152"/>
    <cellStyle name="Normal 35 17 4 2 2_FC with allocations" xfId="25852"/>
    <cellStyle name="Normal 35 17 4 2 3" xfId="7153"/>
    <cellStyle name="Normal 35 17 4 2_FC with allocations" xfId="25851"/>
    <cellStyle name="Normal 35 17 4 3" xfId="7154"/>
    <cellStyle name="Normal 35 17 4 3 2" xfId="7155"/>
    <cellStyle name="Normal 35 17 4 3_FC with allocations" xfId="25853"/>
    <cellStyle name="Normal 35 17 4 4" xfId="7156"/>
    <cellStyle name="Normal 35 17 4_FC with allocations" xfId="25850"/>
    <cellStyle name="Normal 35 17 5" xfId="7157"/>
    <cellStyle name="Normal 35 17 5 2" xfId="7158"/>
    <cellStyle name="Normal 35 17 5 2 2" xfId="7159"/>
    <cellStyle name="Normal 35 17 5 2_FC with allocations" xfId="25855"/>
    <cellStyle name="Normal 35 17 5 3" xfId="7160"/>
    <cellStyle name="Normal 35 17 5_FC with allocations" xfId="25854"/>
    <cellStyle name="Normal 35 17 6" xfId="7161"/>
    <cellStyle name="Normal 35 17 6 2" xfId="7162"/>
    <cellStyle name="Normal 35 17 6 2 2" xfId="7163"/>
    <cellStyle name="Normal 35 17 6 2_FC with allocations" xfId="25857"/>
    <cellStyle name="Normal 35 17 6 3" xfId="7164"/>
    <cellStyle name="Normal 35 17 6_FC with allocations" xfId="25856"/>
    <cellStyle name="Normal 35 17 7" xfId="7165"/>
    <cellStyle name="Normal 35 17 7 2" xfId="7166"/>
    <cellStyle name="Normal 35 17 7_FC with allocations" xfId="25858"/>
    <cellStyle name="Normal 35 17 8" xfId="7167"/>
    <cellStyle name="Normal 35 17_FC with allocations" xfId="25833"/>
    <cellStyle name="Normal 35 18" xfId="7168"/>
    <cellStyle name="Normal 35 18 2" xfId="7169"/>
    <cellStyle name="Normal 35 18 2 2" xfId="7170"/>
    <cellStyle name="Normal 35 18 2 2 2" xfId="7171"/>
    <cellStyle name="Normal 35 18 2 2 2 2" xfId="7172"/>
    <cellStyle name="Normal 35 18 2 2 2 2 2" xfId="7173"/>
    <cellStyle name="Normal 35 18 2 2 2 2_FC with allocations" xfId="25863"/>
    <cellStyle name="Normal 35 18 2 2 2 3" xfId="7174"/>
    <cellStyle name="Normal 35 18 2 2 2_FC with allocations" xfId="25862"/>
    <cellStyle name="Normal 35 18 2 2 3" xfId="7175"/>
    <cellStyle name="Normal 35 18 2 2 3 2" xfId="7176"/>
    <cellStyle name="Normal 35 18 2 2 3_FC with allocations" xfId="25864"/>
    <cellStyle name="Normal 35 18 2 2 4" xfId="7177"/>
    <cellStyle name="Normal 35 18 2 2_FC with allocations" xfId="25861"/>
    <cellStyle name="Normal 35 18 2 3" xfId="7178"/>
    <cellStyle name="Normal 35 18 2 3 2" xfId="7179"/>
    <cellStyle name="Normal 35 18 2 3 2 2" xfId="7180"/>
    <cellStyle name="Normal 35 18 2 3 2_FC with allocations" xfId="25866"/>
    <cellStyle name="Normal 35 18 2 3 3" xfId="7181"/>
    <cellStyle name="Normal 35 18 2 3_FC with allocations" xfId="25865"/>
    <cellStyle name="Normal 35 18 2 4" xfId="7182"/>
    <cellStyle name="Normal 35 18 2 4 2" xfId="7183"/>
    <cellStyle name="Normal 35 18 2 4_FC with allocations" xfId="25867"/>
    <cellStyle name="Normal 35 18 2 5" xfId="7184"/>
    <cellStyle name="Normal 35 18 2_FC with allocations" xfId="25860"/>
    <cellStyle name="Normal 35 18 3" xfId="7185"/>
    <cellStyle name="Normal 35 18 3 2" xfId="7186"/>
    <cellStyle name="Normal 35 18 3 2 2" xfId="7187"/>
    <cellStyle name="Normal 35 18 3 2 2 2" xfId="7188"/>
    <cellStyle name="Normal 35 18 3 2 2 2 2" xfId="7189"/>
    <cellStyle name="Normal 35 18 3 2 2 2_FC with allocations" xfId="25871"/>
    <cellStyle name="Normal 35 18 3 2 2 3" xfId="7190"/>
    <cellStyle name="Normal 35 18 3 2 2_FC with allocations" xfId="25870"/>
    <cellStyle name="Normal 35 18 3 2 3" xfId="7191"/>
    <cellStyle name="Normal 35 18 3 2 3 2" xfId="7192"/>
    <cellStyle name="Normal 35 18 3 2 3_FC with allocations" xfId="25872"/>
    <cellStyle name="Normal 35 18 3 2 4" xfId="7193"/>
    <cellStyle name="Normal 35 18 3 2_FC with allocations" xfId="25869"/>
    <cellStyle name="Normal 35 18 3 3" xfId="7194"/>
    <cellStyle name="Normal 35 18 3 3 2" xfId="7195"/>
    <cellStyle name="Normal 35 18 3 3 2 2" xfId="7196"/>
    <cellStyle name="Normal 35 18 3 3 2_FC with allocations" xfId="25874"/>
    <cellStyle name="Normal 35 18 3 3 3" xfId="7197"/>
    <cellStyle name="Normal 35 18 3 3_FC with allocations" xfId="25873"/>
    <cellStyle name="Normal 35 18 3 4" xfId="7198"/>
    <cellStyle name="Normal 35 18 3 4 2" xfId="7199"/>
    <cellStyle name="Normal 35 18 3 4_FC with allocations" xfId="25875"/>
    <cellStyle name="Normal 35 18 3 5" xfId="7200"/>
    <cellStyle name="Normal 35 18 3_FC with allocations" xfId="25868"/>
    <cellStyle name="Normal 35 18 4" xfId="7201"/>
    <cellStyle name="Normal 35 18 4 2" xfId="7202"/>
    <cellStyle name="Normal 35 18 4 2 2" xfId="7203"/>
    <cellStyle name="Normal 35 18 4 2 2 2" xfId="7204"/>
    <cellStyle name="Normal 35 18 4 2 2_FC with allocations" xfId="25878"/>
    <cellStyle name="Normal 35 18 4 2 3" xfId="7205"/>
    <cellStyle name="Normal 35 18 4 2_FC with allocations" xfId="25877"/>
    <cellStyle name="Normal 35 18 4 3" xfId="7206"/>
    <cellStyle name="Normal 35 18 4 3 2" xfId="7207"/>
    <cellStyle name="Normal 35 18 4 3_FC with allocations" xfId="25879"/>
    <cellStyle name="Normal 35 18 4 4" xfId="7208"/>
    <cellStyle name="Normal 35 18 4_FC with allocations" xfId="25876"/>
    <cellStyle name="Normal 35 18 5" xfId="7209"/>
    <cellStyle name="Normal 35 18 5 2" xfId="7210"/>
    <cellStyle name="Normal 35 18 5 2 2" xfId="7211"/>
    <cellStyle name="Normal 35 18 5 2_FC with allocations" xfId="25881"/>
    <cellStyle name="Normal 35 18 5 3" xfId="7212"/>
    <cellStyle name="Normal 35 18 5_FC with allocations" xfId="25880"/>
    <cellStyle name="Normal 35 18 6" xfId="7213"/>
    <cellStyle name="Normal 35 18 6 2" xfId="7214"/>
    <cellStyle name="Normal 35 18 6 2 2" xfId="7215"/>
    <cellStyle name="Normal 35 18 6 2_FC with allocations" xfId="25883"/>
    <cellStyle name="Normal 35 18 6 3" xfId="7216"/>
    <cellStyle name="Normal 35 18 6_FC with allocations" xfId="25882"/>
    <cellStyle name="Normal 35 18 7" xfId="7217"/>
    <cellStyle name="Normal 35 18 7 2" xfId="7218"/>
    <cellStyle name="Normal 35 18 7_FC with allocations" xfId="25884"/>
    <cellStyle name="Normal 35 18 8" xfId="7219"/>
    <cellStyle name="Normal 35 18_FC with allocations" xfId="25859"/>
    <cellStyle name="Normal 35 19" xfId="7220"/>
    <cellStyle name="Normal 35 19 2" xfId="7221"/>
    <cellStyle name="Normal 35 19 2 2" xfId="7222"/>
    <cellStyle name="Normal 35 19 2 2 2" xfId="7223"/>
    <cellStyle name="Normal 35 19 2 2 2 2" xfId="7224"/>
    <cellStyle name="Normal 35 19 2 2 2 2 2" xfId="7225"/>
    <cellStyle name="Normal 35 19 2 2 2 2_FC with allocations" xfId="25889"/>
    <cellStyle name="Normal 35 19 2 2 2 3" xfId="7226"/>
    <cellStyle name="Normal 35 19 2 2 2_FC with allocations" xfId="25888"/>
    <cellStyle name="Normal 35 19 2 2 3" xfId="7227"/>
    <cellStyle name="Normal 35 19 2 2 3 2" xfId="7228"/>
    <cellStyle name="Normal 35 19 2 2 3_FC with allocations" xfId="25890"/>
    <cellStyle name="Normal 35 19 2 2 4" xfId="7229"/>
    <cellStyle name="Normal 35 19 2 2_FC with allocations" xfId="25887"/>
    <cellStyle name="Normal 35 19 2 3" xfId="7230"/>
    <cellStyle name="Normal 35 19 2 3 2" xfId="7231"/>
    <cellStyle name="Normal 35 19 2 3 2 2" xfId="7232"/>
    <cellStyle name="Normal 35 19 2 3 2_FC with allocations" xfId="25892"/>
    <cellStyle name="Normal 35 19 2 3 3" xfId="7233"/>
    <cellStyle name="Normal 35 19 2 3_FC with allocations" xfId="25891"/>
    <cellStyle name="Normal 35 19 2 4" xfId="7234"/>
    <cellStyle name="Normal 35 19 2 4 2" xfId="7235"/>
    <cellStyle name="Normal 35 19 2 4_FC with allocations" xfId="25893"/>
    <cellStyle name="Normal 35 19 2 5" xfId="7236"/>
    <cellStyle name="Normal 35 19 2_FC with allocations" xfId="25886"/>
    <cellStyle name="Normal 35 19 3" xfId="7237"/>
    <cellStyle name="Normal 35 19 3 2" xfId="7238"/>
    <cellStyle name="Normal 35 19 3 2 2" xfId="7239"/>
    <cellStyle name="Normal 35 19 3 2 2 2" xfId="7240"/>
    <cellStyle name="Normal 35 19 3 2 2 2 2" xfId="7241"/>
    <cellStyle name="Normal 35 19 3 2 2 2_FC with allocations" xfId="25897"/>
    <cellStyle name="Normal 35 19 3 2 2 3" xfId="7242"/>
    <cellStyle name="Normal 35 19 3 2 2_FC with allocations" xfId="25896"/>
    <cellStyle name="Normal 35 19 3 2 3" xfId="7243"/>
    <cellStyle name="Normal 35 19 3 2 3 2" xfId="7244"/>
    <cellStyle name="Normal 35 19 3 2 3_FC with allocations" xfId="25898"/>
    <cellStyle name="Normal 35 19 3 2 4" xfId="7245"/>
    <cellStyle name="Normal 35 19 3 2_FC with allocations" xfId="25895"/>
    <cellStyle name="Normal 35 19 3 3" xfId="7246"/>
    <cellStyle name="Normal 35 19 3 3 2" xfId="7247"/>
    <cellStyle name="Normal 35 19 3 3 2 2" xfId="7248"/>
    <cellStyle name="Normal 35 19 3 3 2_FC with allocations" xfId="25900"/>
    <cellStyle name="Normal 35 19 3 3 3" xfId="7249"/>
    <cellStyle name="Normal 35 19 3 3_FC with allocations" xfId="25899"/>
    <cellStyle name="Normal 35 19 3 4" xfId="7250"/>
    <cellStyle name="Normal 35 19 3 4 2" xfId="7251"/>
    <cellStyle name="Normal 35 19 3 4_FC with allocations" xfId="25901"/>
    <cellStyle name="Normal 35 19 3 5" xfId="7252"/>
    <cellStyle name="Normal 35 19 3_FC with allocations" xfId="25894"/>
    <cellStyle name="Normal 35 19 4" xfId="7253"/>
    <cellStyle name="Normal 35 19 4 2" xfId="7254"/>
    <cellStyle name="Normal 35 19 4 2 2" xfId="7255"/>
    <cellStyle name="Normal 35 19 4 2 2 2" xfId="7256"/>
    <cellStyle name="Normal 35 19 4 2 2_FC with allocations" xfId="25904"/>
    <cellStyle name="Normal 35 19 4 2 3" xfId="7257"/>
    <cellStyle name="Normal 35 19 4 2_FC with allocations" xfId="25903"/>
    <cellStyle name="Normal 35 19 4 3" xfId="7258"/>
    <cellStyle name="Normal 35 19 4 3 2" xfId="7259"/>
    <cellStyle name="Normal 35 19 4 3_FC with allocations" xfId="25905"/>
    <cellStyle name="Normal 35 19 4 4" xfId="7260"/>
    <cellStyle name="Normal 35 19 4_FC with allocations" xfId="25902"/>
    <cellStyle name="Normal 35 19 5" xfId="7261"/>
    <cellStyle name="Normal 35 19 5 2" xfId="7262"/>
    <cellStyle name="Normal 35 19 5 2 2" xfId="7263"/>
    <cellStyle name="Normal 35 19 5 2_FC with allocations" xfId="25907"/>
    <cellStyle name="Normal 35 19 5 3" xfId="7264"/>
    <cellStyle name="Normal 35 19 5_FC with allocations" xfId="25906"/>
    <cellStyle name="Normal 35 19 6" xfId="7265"/>
    <cellStyle name="Normal 35 19 6 2" xfId="7266"/>
    <cellStyle name="Normal 35 19 6 2 2" xfId="7267"/>
    <cellStyle name="Normal 35 19 6 2_FC with allocations" xfId="25909"/>
    <cellStyle name="Normal 35 19 6 3" xfId="7268"/>
    <cellStyle name="Normal 35 19 6_FC with allocations" xfId="25908"/>
    <cellStyle name="Normal 35 19 7" xfId="7269"/>
    <cellStyle name="Normal 35 19 7 2" xfId="7270"/>
    <cellStyle name="Normal 35 19 7_FC with allocations" xfId="25910"/>
    <cellStyle name="Normal 35 19 8" xfId="7271"/>
    <cellStyle name="Normal 35 19_FC with allocations" xfId="25885"/>
    <cellStyle name="Normal 35 2" xfId="2097"/>
    <cellStyle name="Normal 35 2 2" xfId="7273"/>
    <cellStyle name="Normal 35 2 3" xfId="7274"/>
    <cellStyle name="Normal 35 2 4" xfId="7272"/>
    <cellStyle name="Normal 35 2_FC with allocations" xfId="25911"/>
    <cellStyle name="Normal 35 20" xfId="7275"/>
    <cellStyle name="Normal 35 20 2" xfId="7276"/>
    <cellStyle name="Normal 35 20 2 2" xfId="7277"/>
    <cellStyle name="Normal 35 20 2 2 2" xfId="7278"/>
    <cellStyle name="Normal 35 20 2 2 2 2" xfId="7279"/>
    <cellStyle name="Normal 35 20 2 2 2 2 2" xfId="7280"/>
    <cellStyle name="Normal 35 20 2 2 2 2_FC with allocations" xfId="25916"/>
    <cellStyle name="Normal 35 20 2 2 2 3" xfId="7281"/>
    <cellStyle name="Normal 35 20 2 2 2_FC with allocations" xfId="25915"/>
    <cellStyle name="Normal 35 20 2 2 3" xfId="7282"/>
    <cellStyle name="Normal 35 20 2 2 3 2" xfId="7283"/>
    <cellStyle name="Normal 35 20 2 2 3_FC with allocations" xfId="25917"/>
    <cellStyle name="Normal 35 20 2 2 4" xfId="7284"/>
    <cellStyle name="Normal 35 20 2 2_FC with allocations" xfId="25914"/>
    <cellStyle name="Normal 35 20 2 3" xfId="7285"/>
    <cellStyle name="Normal 35 20 2 3 2" xfId="7286"/>
    <cellStyle name="Normal 35 20 2 3 2 2" xfId="7287"/>
    <cellStyle name="Normal 35 20 2 3 2_FC with allocations" xfId="25919"/>
    <cellStyle name="Normal 35 20 2 3 3" xfId="7288"/>
    <cellStyle name="Normal 35 20 2 3_FC with allocations" xfId="25918"/>
    <cellStyle name="Normal 35 20 2 4" xfId="7289"/>
    <cellStyle name="Normal 35 20 2 4 2" xfId="7290"/>
    <cellStyle name="Normal 35 20 2 4_FC with allocations" xfId="25920"/>
    <cellStyle name="Normal 35 20 2 5" xfId="7291"/>
    <cellStyle name="Normal 35 20 2_FC with allocations" xfId="25913"/>
    <cellStyle name="Normal 35 20 3" xfId="7292"/>
    <cellStyle name="Normal 35 20 3 2" xfId="7293"/>
    <cellStyle name="Normal 35 20 3 2 2" xfId="7294"/>
    <cellStyle name="Normal 35 20 3 2 2 2" xfId="7295"/>
    <cellStyle name="Normal 35 20 3 2 2 2 2" xfId="7296"/>
    <cellStyle name="Normal 35 20 3 2 2 2_FC with allocations" xfId="25924"/>
    <cellStyle name="Normal 35 20 3 2 2 3" xfId="7297"/>
    <cellStyle name="Normal 35 20 3 2 2_FC with allocations" xfId="25923"/>
    <cellStyle name="Normal 35 20 3 2 3" xfId="7298"/>
    <cellStyle name="Normal 35 20 3 2 3 2" xfId="7299"/>
    <cellStyle name="Normal 35 20 3 2 3_FC with allocations" xfId="25925"/>
    <cellStyle name="Normal 35 20 3 2 4" xfId="7300"/>
    <cellStyle name="Normal 35 20 3 2_FC with allocations" xfId="25922"/>
    <cellStyle name="Normal 35 20 3 3" xfId="7301"/>
    <cellStyle name="Normal 35 20 3 3 2" xfId="7302"/>
    <cellStyle name="Normal 35 20 3 3 2 2" xfId="7303"/>
    <cellStyle name="Normal 35 20 3 3 2_FC with allocations" xfId="25927"/>
    <cellStyle name="Normal 35 20 3 3 3" xfId="7304"/>
    <cellStyle name="Normal 35 20 3 3_FC with allocations" xfId="25926"/>
    <cellStyle name="Normal 35 20 3 4" xfId="7305"/>
    <cellStyle name="Normal 35 20 3 4 2" xfId="7306"/>
    <cellStyle name="Normal 35 20 3 4_FC with allocations" xfId="25928"/>
    <cellStyle name="Normal 35 20 3 5" xfId="7307"/>
    <cellStyle name="Normal 35 20 3_FC with allocations" xfId="25921"/>
    <cellStyle name="Normal 35 20 4" xfId="7308"/>
    <cellStyle name="Normal 35 20 4 2" xfId="7309"/>
    <cellStyle name="Normal 35 20 4 2 2" xfId="7310"/>
    <cellStyle name="Normal 35 20 4 2 2 2" xfId="7311"/>
    <cellStyle name="Normal 35 20 4 2 2_FC with allocations" xfId="25931"/>
    <cellStyle name="Normal 35 20 4 2 3" xfId="7312"/>
    <cellStyle name="Normal 35 20 4 2_FC with allocations" xfId="25930"/>
    <cellStyle name="Normal 35 20 4 3" xfId="7313"/>
    <cellStyle name="Normal 35 20 4 3 2" xfId="7314"/>
    <cellStyle name="Normal 35 20 4 3_FC with allocations" xfId="25932"/>
    <cellStyle name="Normal 35 20 4 4" xfId="7315"/>
    <cellStyle name="Normal 35 20 4_FC with allocations" xfId="25929"/>
    <cellStyle name="Normal 35 20 5" xfId="7316"/>
    <cellStyle name="Normal 35 20 5 2" xfId="7317"/>
    <cellStyle name="Normal 35 20 5 2 2" xfId="7318"/>
    <cellStyle name="Normal 35 20 5 2_FC with allocations" xfId="25934"/>
    <cellStyle name="Normal 35 20 5 3" xfId="7319"/>
    <cellStyle name="Normal 35 20 5_FC with allocations" xfId="25933"/>
    <cellStyle name="Normal 35 20 6" xfId="7320"/>
    <cellStyle name="Normal 35 20 6 2" xfId="7321"/>
    <cellStyle name="Normal 35 20 6 2 2" xfId="7322"/>
    <cellStyle name="Normal 35 20 6 2_FC with allocations" xfId="25936"/>
    <cellStyle name="Normal 35 20 6 3" xfId="7323"/>
    <cellStyle name="Normal 35 20 6_FC with allocations" xfId="25935"/>
    <cellStyle name="Normal 35 20 7" xfId="7324"/>
    <cellStyle name="Normal 35 20 7 2" xfId="7325"/>
    <cellStyle name="Normal 35 20 7_FC with allocations" xfId="25937"/>
    <cellStyle name="Normal 35 20 8" xfId="7326"/>
    <cellStyle name="Normal 35 20_FC with allocations" xfId="25912"/>
    <cellStyle name="Normal 35 21" xfId="7327"/>
    <cellStyle name="Normal 35 21 2" xfId="7328"/>
    <cellStyle name="Normal 35 21 2 2" xfId="7329"/>
    <cellStyle name="Normal 35 21 2 2 2" xfId="7330"/>
    <cellStyle name="Normal 35 21 2 2 2 2" xfId="7331"/>
    <cellStyle name="Normal 35 21 2 2 2 2 2" xfId="7332"/>
    <cellStyle name="Normal 35 21 2 2 2 2_FC with allocations" xfId="25942"/>
    <cellStyle name="Normal 35 21 2 2 2 3" xfId="7333"/>
    <cellStyle name="Normal 35 21 2 2 2_FC with allocations" xfId="25941"/>
    <cellStyle name="Normal 35 21 2 2 3" xfId="7334"/>
    <cellStyle name="Normal 35 21 2 2 3 2" xfId="7335"/>
    <cellStyle name="Normal 35 21 2 2 3_FC with allocations" xfId="25943"/>
    <cellStyle name="Normal 35 21 2 2 4" xfId="7336"/>
    <cellStyle name="Normal 35 21 2 2_FC with allocations" xfId="25940"/>
    <cellStyle name="Normal 35 21 2 3" xfId="7337"/>
    <cellStyle name="Normal 35 21 2 3 2" xfId="7338"/>
    <cellStyle name="Normal 35 21 2 3 2 2" xfId="7339"/>
    <cellStyle name="Normal 35 21 2 3 2_FC with allocations" xfId="25945"/>
    <cellStyle name="Normal 35 21 2 3 3" xfId="7340"/>
    <cellStyle name="Normal 35 21 2 3_FC with allocations" xfId="25944"/>
    <cellStyle name="Normal 35 21 2 4" xfId="7341"/>
    <cellStyle name="Normal 35 21 2 4 2" xfId="7342"/>
    <cellStyle name="Normal 35 21 2 4_FC with allocations" xfId="25946"/>
    <cellStyle name="Normal 35 21 2 5" xfId="7343"/>
    <cellStyle name="Normal 35 21 2_FC with allocations" xfId="25939"/>
    <cellStyle name="Normal 35 21 3" xfId="7344"/>
    <cellStyle name="Normal 35 21 3 2" xfId="7345"/>
    <cellStyle name="Normal 35 21 3 2 2" xfId="7346"/>
    <cellStyle name="Normal 35 21 3 2 2 2" xfId="7347"/>
    <cellStyle name="Normal 35 21 3 2 2 2 2" xfId="7348"/>
    <cellStyle name="Normal 35 21 3 2 2 2_FC with allocations" xfId="25950"/>
    <cellStyle name="Normal 35 21 3 2 2 3" xfId="7349"/>
    <cellStyle name="Normal 35 21 3 2 2_FC with allocations" xfId="25949"/>
    <cellStyle name="Normal 35 21 3 2 3" xfId="7350"/>
    <cellStyle name="Normal 35 21 3 2 3 2" xfId="7351"/>
    <cellStyle name="Normal 35 21 3 2 3_FC with allocations" xfId="25951"/>
    <cellStyle name="Normal 35 21 3 2 4" xfId="7352"/>
    <cellStyle name="Normal 35 21 3 2_FC with allocations" xfId="25948"/>
    <cellStyle name="Normal 35 21 3 3" xfId="7353"/>
    <cellStyle name="Normal 35 21 3 3 2" xfId="7354"/>
    <cellStyle name="Normal 35 21 3 3 2 2" xfId="7355"/>
    <cellStyle name="Normal 35 21 3 3 2_FC with allocations" xfId="25953"/>
    <cellStyle name="Normal 35 21 3 3 3" xfId="7356"/>
    <cellStyle name="Normal 35 21 3 3_FC with allocations" xfId="25952"/>
    <cellStyle name="Normal 35 21 3 4" xfId="7357"/>
    <cellStyle name="Normal 35 21 3 4 2" xfId="7358"/>
    <cellStyle name="Normal 35 21 3 4_FC with allocations" xfId="25954"/>
    <cellStyle name="Normal 35 21 3 5" xfId="7359"/>
    <cellStyle name="Normal 35 21 3_FC with allocations" xfId="25947"/>
    <cellStyle name="Normal 35 21 4" xfId="7360"/>
    <cellStyle name="Normal 35 21 4 2" xfId="7361"/>
    <cellStyle name="Normal 35 21 4 2 2" xfId="7362"/>
    <cellStyle name="Normal 35 21 4 2 2 2" xfId="7363"/>
    <cellStyle name="Normal 35 21 4 2 2_FC with allocations" xfId="25957"/>
    <cellStyle name="Normal 35 21 4 2 3" xfId="7364"/>
    <cellStyle name="Normal 35 21 4 2_FC with allocations" xfId="25956"/>
    <cellStyle name="Normal 35 21 4 3" xfId="7365"/>
    <cellStyle name="Normal 35 21 4 3 2" xfId="7366"/>
    <cellStyle name="Normal 35 21 4 3_FC with allocations" xfId="25958"/>
    <cellStyle name="Normal 35 21 4 4" xfId="7367"/>
    <cellStyle name="Normal 35 21 4_FC with allocations" xfId="25955"/>
    <cellStyle name="Normal 35 21 5" xfId="7368"/>
    <cellStyle name="Normal 35 21 5 2" xfId="7369"/>
    <cellStyle name="Normal 35 21 5 2 2" xfId="7370"/>
    <cellStyle name="Normal 35 21 5 2_FC with allocations" xfId="25960"/>
    <cellStyle name="Normal 35 21 5 3" xfId="7371"/>
    <cellStyle name="Normal 35 21 5_FC with allocations" xfId="25959"/>
    <cellStyle name="Normal 35 21 6" xfId="7372"/>
    <cellStyle name="Normal 35 21 6 2" xfId="7373"/>
    <cellStyle name="Normal 35 21 6 2 2" xfId="7374"/>
    <cellStyle name="Normal 35 21 6 2_FC with allocations" xfId="25962"/>
    <cellStyle name="Normal 35 21 6 3" xfId="7375"/>
    <cellStyle name="Normal 35 21 6_FC with allocations" xfId="25961"/>
    <cellStyle name="Normal 35 21 7" xfId="7376"/>
    <cellStyle name="Normal 35 21 7 2" xfId="7377"/>
    <cellStyle name="Normal 35 21 7_FC with allocations" xfId="25963"/>
    <cellStyle name="Normal 35 21 8" xfId="7378"/>
    <cellStyle name="Normal 35 21_FC with allocations" xfId="25938"/>
    <cellStyle name="Normal 35 22" xfId="7379"/>
    <cellStyle name="Normal 35 22 2" xfId="7380"/>
    <cellStyle name="Normal 35 22 2 2" xfId="7381"/>
    <cellStyle name="Normal 35 22 2 2 2" xfId="7382"/>
    <cellStyle name="Normal 35 22 2 2 2 2" xfId="7383"/>
    <cellStyle name="Normal 35 22 2 2 2 2 2" xfId="7384"/>
    <cellStyle name="Normal 35 22 2 2 2 2_FC with allocations" xfId="25968"/>
    <cellStyle name="Normal 35 22 2 2 2 3" xfId="7385"/>
    <cellStyle name="Normal 35 22 2 2 2_FC with allocations" xfId="25967"/>
    <cellStyle name="Normal 35 22 2 2 3" xfId="7386"/>
    <cellStyle name="Normal 35 22 2 2 3 2" xfId="7387"/>
    <cellStyle name="Normal 35 22 2 2 3_FC with allocations" xfId="25969"/>
    <cellStyle name="Normal 35 22 2 2 4" xfId="7388"/>
    <cellStyle name="Normal 35 22 2 2_FC with allocations" xfId="25966"/>
    <cellStyle name="Normal 35 22 2 3" xfId="7389"/>
    <cellStyle name="Normal 35 22 2 3 2" xfId="7390"/>
    <cellStyle name="Normal 35 22 2 3 2 2" xfId="7391"/>
    <cellStyle name="Normal 35 22 2 3 2_FC with allocations" xfId="25971"/>
    <cellStyle name="Normal 35 22 2 3 3" xfId="7392"/>
    <cellStyle name="Normal 35 22 2 3_FC with allocations" xfId="25970"/>
    <cellStyle name="Normal 35 22 2 4" xfId="7393"/>
    <cellStyle name="Normal 35 22 2 4 2" xfId="7394"/>
    <cellStyle name="Normal 35 22 2 4_FC with allocations" xfId="25972"/>
    <cellStyle name="Normal 35 22 2 5" xfId="7395"/>
    <cellStyle name="Normal 35 22 2_FC with allocations" xfId="25965"/>
    <cellStyle name="Normal 35 22 3" xfId="7396"/>
    <cellStyle name="Normal 35 22 3 2" xfId="7397"/>
    <cellStyle name="Normal 35 22 3 2 2" xfId="7398"/>
    <cellStyle name="Normal 35 22 3 2 2 2" xfId="7399"/>
    <cellStyle name="Normal 35 22 3 2 2 2 2" xfId="7400"/>
    <cellStyle name="Normal 35 22 3 2 2 2_FC with allocations" xfId="25976"/>
    <cellStyle name="Normal 35 22 3 2 2 3" xfId="7401"/>
    <cellStyle name="Normal 35 22 3 2 2_FC with allocations" xfId="25975"/>
    <cellStyle name="Normal 35 22 3 2 3" xfId="7402"/>
    <cellStyle name="Normal 35 22 3 2 3 2" xfId="7403"/>
    <cellStyle name="Normal 35 22 3 2 3_FC with allocations" xfId="25977"/>
    <cellStyle name="Normal 35 22 3 2 4" xfId="7404"/>
    <cellStyle name="Normal 35 22 3 2_FC with allocations" xfId="25974"/>
    <cellStyle name="Normal 35 22 3 3" xfId="7405"/>
    <cellStyle name="Normal 35 22 3 3 2" xfId="7406"/>
    <cellStyle name="Normal 35 22 3 3 2 2" xfId="7407"/>
    <cellStyle name="Normal 35 22 3 3 2_FC with allocations" xfId="25979"/>
    <cellStyle name="Normal 35 22 3 3 3" xfId="7408"/>
    <cellStyle name="Normal 35 22 3 3_FC with allocations" xfId="25978"/>
    <cellStyle name="Normal 35 22 3 4" xfId="7409"/>
    <cellStyle name="Normal 35 22 3 4 2" xfId="7410"/>
    <cellStyle name="Normal 35 22 3 4_FC with allocations" xfId="25980"/>
    <cellStyle name="Normal 35 22 3 5" xfId="7411"/>
    <cellStyle name="Normal 35 22 3_FC with allocations" xfId="25973"/>
    <cellStyle name="Normal 35 22 4" xfId="7412"/>
    <cellStyle name="Normal 35 22 4 2" xfId="7413"/>
    <cellStyle name="Normal 35 22 4 2 2" xfId="7414"/>
    <cellStyle name="Normal 35 22 4 2 2 2" xfId="7415"/>
    <cellStyle name="Normal 35 22 4 2 2_FC with allocations" xfId="25983"/>
    <cellStyle name="Normal 35 22 4 2 3" xfId="7416"/>
    <cellStyle name="Normal 35 22 4 2_FC with allocations" xfId="25982"/>
    <cellStyle name="Normal 35 22 4 3" xfId="7417"/>
    <cellStyle name="Normal 35 22 4 3 2" xfId="7418"/>
    <cellStyle name="Normal 35 22 4 3_FC with allocations" xfId="25984"/>
    <cellStyle name="Normal 35 22 4 4" xfId="7419"/>
    <cellStyle name="Normal 35 22 4_FC with allocations" xfId="25981"/>
    <cellStyle name="Normal 35 22 5" xfId="7420"/>
    <cellStyle name="Normal 35 22 5 2" xfId="7421"/>
    <cellStyle name="Normal 35 22 5 2 2" xfId="7422"/>
    <cellStyle name="Normal 35 22 5 2_FC with allocations" xfId="25986"/>
    <cellStyle name="Normal 35 22 5 3" xfId="7423"/>
    <cellStyle name="Normal 35 22 5_FC with allocations" xfId="25985"/>
    <cellStyle name="Normal 35 22 6" xfId="7424"/>
    <cellStyle name="Normal 35 22 6 2" xfId="7425"/>
    <cellStyle name="Normal 35 22 6 2 2" xfId="7426"/>
    <cellStyle name="Normal 35 22 6 2_FC with allocations" xfId="25988"/>
    <cellStyle name="Normal 35 22 6 3" xfId="7427"/>
    <cellStyle name="Normal 35 22 6_FC with allocations" xfId="25987"/>
    <cellStyle name="Normal 35 22 7" xfId="7428"/>
    <cellStyle name="Normal 35 22 7 2" xfId="7429"/>
    <cellStyle name="Normal 35 22 7_FC with allocations" xfId="25989"/>
    <cellStyle name="Normal 35 22 8" xfId="7430"/>
    <cellStyle name="Normal 35 22_FC with allocations" xfId="25964"/>
    <cellStyle name="Normal 35 23" xfId="7431"/>
    <cellStyle name="Normal 35 23 2" xfId="7432"/>
    <cellStyle name="Normal 35 23 2 2" xfId="7433"/>
    <cellStyle name="Normal 35 23 2 2 2" xfId="7434"/>
    <cellStyle name="Normal 35 23 2 2 2 2" xfId="7435"/>
    <cellStyle name="Normal 35 23 2 2 2 2 2" xfId="7436"/>
    <cellStyle name="Normal 35 23 2 2 2 2_FC with allocations" xfId="25994"/>
    <cellStyle name="Normal 35 23 2 2 2 3" xfId="7437"/>
    <cellStyle name="Normal 35 23 2 2 2_FC with allocations" xfId="25993"/>
    <cellStyle name="Normal 35 23 2 2 3" xfId="7438"/>
    <cellStyle name="Normal 35 23 2 2 3 2" xfId="7439"/>
    <cellStyle name="Normal 35 23 2 2 3_FC with allocations" xfId="25995"/>
    <cellStyle name="Normal 35 23 2 2 4" xfId="7440"/>
    <cellStyle name="Normal 35 23 2 2_FC with allocations" xfId="25992"/>
    <cellStyle name="Normal 35 23 2 3" xfId="7441"/>
    <cellStyle name="Normal 35 23 2 3 2" xfId="7442"/>
    <cellStyle name="Normal 35 23 2 3 2 2" xfId="7443"/>
    <cellStyle name="Normal 35 23 2 3 2_FC with allocations" xfId="25997"/>
    <cellStyle name="Normal 35 23 2 3 3" xfId="7444"/>
    <cellStyle name="Normal 35 23 2 3_FC with allocations" xfId="25996"/>
    <cellStyle name="Normal 35 23 2 4" xfId="7445"/>
    <cellStyle name="Normal 35 23 2 4 2" xfId="7446"/>
    <cellStyle name="Normal 35 23 2 4_FC with allocations" xfId="25998"/>
    <cellStyle name="Normal 35 23 2 5" xfId="7447"/>
    <cellStyle name="Normal 35 23 2_FC with allocations" xfId="25991"/>
    <cellStyle name="Normal 35 23 3" xfId="7448"/>
    <cellStyle name="Normal 35 23 3 2" xfId="7449"/>
    <cellStyle name="Normal 35 23 3 2 2" xfId="7450"/>
    <cellStyle name="Normal 35 23 3 2 2 2" xfId="7451"/>
    <cellStyle name="Normal 35 23 3 2 2 2 2" xfId="7452"/>
    <cellStyle name="Normal 35 23 3 2 2 2_FC with allocations" xfId="26002"/>
    <cellStyle name="Normal 35 23 3 2 2 3" xfId="7453"/>
    <cellStyle name="Normal 35 23 3 2 2_FC with allocations" xfId="26001"/>
    <cellStyle name="Normal 35 23 3 2 3" xfId="7454"/>
    <cellStyle name="Normal 35 23 3 2 3 2" xfId="7455"/>
    <cellStyle name="Normal 35 23 3 2 3_FC with allocations" xfId="26003"/>
    <cellStyle name="Normal 35 23 3 2 4" xfId="7456"/>
    <cellStyle name="Normal 35 23 3 2_FC with allocations" xfId="26000"/>
    <cellStyle name="Normal 35 23 3 3" xfId="7457"/>
    <cellStyle name="Normal 35 23 3 3 2" xfId="7458"/>
    <cellStyle name="Normal 35 23 3 3 2 2" xfId="7459"/>
    <cellStyle name="Normal 35 23 3 3 2_FC with allocations" xfId="26005"/>
    <cellStyle name="Normal 35 23 3 3 3" xfId="7460"/>
    <cellStyle name="Normal 35 23 3 3_FC with allocations" xfId="26004"/>
    <cellStyle name="Normal 35 23 3 4" xfId="7461"/>
    <cellStyle name="Normal 35 23 3 4 2" xfId="7462"/>
    <cellStyle name="Normal 35 23 3 4_FC with allocations" xfId="26006"/>
    <cellStyle name="Normal 35 23 3 5" xfId="7463"/>
    <cellStyle name="Normal 35 23 3_FC with allocations" xfId="25999"/>
    <cellStyle name="Normal 35 23 4" xfId="7464"/>
    <cellStyle name="Normal 35 23 4 2" xfId="7465"/>
    <cellStyle name="Normal 35 23 4 2 2" xfId="7466"/>
    <cellStyle name="Normal 35 23 4 2 2 2" xfId="7467"/>
    <cellStyle name="Normal 35 23 4 2 2_FC with allocations" xfId="26009"/>
    <cellStyle name="Normal 35 23 4 2 3" xfId="7468"/>
    <cellStyle name="Normal 35 23 4 2_FC with allocations" xfId="26008"/>
    <cellStyle name="Normal 35 23 4 3" xfId="7469"/>
    <cellStyle name="Normal 35 23 4 3 2" xfId="7470"/>
    <cellStyle name="Normal 35 23 4 3_FC with allocations" xfId="26010"/>
    <cellStyle name="Normal 35 23 4 4" xfId="7471"/>
    <cellStyle name="Normal 35 23 4_FC with allocations" xfId="26007"/>
    <cellStyle name="Normal 35 23 5" xfId="7472"/>
    <cellStyle name="Normal 35 23 5 2" xfId="7473"/>
    <cellStyle name="Normal 35 23 5 2 2" xfId="7474"/>
    <cellStyle name="Normal 35 23 5 2_FC with allocations" xfId="26012"/>
    <cellStyle name="Normal 35 23 5 3" xfId="7475"/>
    <cellStyle name="Normal 35 23 5_FC with allocations" xfId="26011"/>
    <cellStyle name="Normal 35 23 6" xfId="7476"/>
    <cellStyle name="Normal 35 23 6 2" xfId="7477"/>
    <cellStyle name="Normal 35 23 6 2 2" xfId="7478"/>
    <cellStyle name="Normal 35 23 6 2_FC with allocations" xfId="26014"/>
    <cellStyle name="Normal 35 23 6 3" xfId="7479"/>
    <cellStyle name="Normal 35 23 6_FC with allocations" xfId="26013"/>
    <cellStyle name="Normal 35 23 7" xfId="7480"/>
    <cellStyle name="Normal 35 23 7 2" xfId="7481"/>
    <cellStyle name="Normal 35 23 7_FC with allocations" xfId="26015"/>
    <cellStyle name="Normal 35 23 8" xfId="7482"/>
    <cellStyle name="Normal 35 23_FC with allocations" xfId="25990"/>
    <cellStyle name="Normal 35 24" xfId="7483"/>
    <cellStyle name="Normal 35 24 2" xfId="7484"/>
    <cellStyle name="Normal 35 24 2 2" xfId="7485"/>
    <cellStyle name="Normal 35 24 2_FC with allocations" xfId="26017"/>
    <cellStyle name="Normal 35 24 3" xfId="7486"/>
    <cellStyle name="Normal 35 24_FC with allocations" xfId="26016"/>
    <cellStyle name="Normal 35 25" xfId="7487"/>
    <cellStyle name="Normal 35 25 2" xfId="7488"/>
    <cellStyle name="Normal 35 25_FC with allocations" xfId="26018"/>
    <cellStyle name="Normal 35 26" xfId="7489"/>
    <cellStyle name="Normal 35 27" xfId="6773"/>
    <cellStyle name="Normal 35 28" xfId="16556"/>
    <cellStyle name="Normal 35 28 2" xfId="18582"/>
    <cellStyle name="Normal 35 28 2 2" xfId="19601"/>
    <cellStyle name="Normal 35 28 2 2 2" xfId="21611"/>
    <cellStyle name="Normal 35 28 2 2 3" xfId="23769"/>
    <cellStyle name="Normal 35 28 2 2_FC with allocations" xfId="26021"/>
    <cellStyle name="Normal 35 28 2 3" xfId="20735"/>
    <cellStyle name="Normal 35 28 2 4" xfId="22892"/>
    <cellStyle name="Normal 35 28 2_FC with allocations" xfId="26020"/>
    <cellStyle name="Normal 35 28 3" xfId="19007"/>
    <cellStyle name="Normal 35 28 3 2" xfId="21159"/>
    <cellStyle name="Normal 35 28 3 3" xfId="23316"/>
    <cellStyle name="Normal 35 28 3_FC with allocations" xfId="26022"/>
    <cellStyle name="Normal 35 28 4" xfId="20120"/>
    <cellStyle name="Normal 35 28 5" xfId="22236"/>
    <cellStyle name="Normal 35 28_FC with allocations" xfId="26019"/>
    <cellStyle name="Normal 35 29" xfId="4541"/>
    <cellStyle name="Normal 35 29 2" xfId="18117"/>
    <cellStyle name="Normal 35 29 2 2" xfId="19436"/>
    <cellStyle name="Normal 35 29 2 2 2" xfId="21446"/>
    <cellStyle name="Normal 35 29 2 2 3" xfId="23604"/>
    <cellStyle name="Normal 35 29 2 2_FC with allocations" xfId="26025"/>
    <cellStyle name="Normal 35 29 2 3" xfId="20569"/>
    <cellStyle name="Normal 35 29 2 4" xfId="22711"/>
    <cellStyle name="Normal 35 29 2_FC with allocations" xfId="26024"/>
    <cellStyle name="Normal 35 29 3" xfId="19048"/>
    <cellStyle name="Normal 35 29 3 2" xfId="21189"/>
    <cellStyle name="Normal 35 29 3 3" xfId="23346"/>
    <cellStyle name="Normal 35 29 3_FC with allocations" xfId="26026"/>
    <cellStyle name="Normal 35 29 4" xfId="19952"/>
    <cellStyle name="Normal 35 29 5" xfId="21947"/>
    <cellStyle name="Normal 35 29_FC with allocations" xfId="26023"/>
    <cellStyle name="Normal 35 3" xfId="2098"/>
    <cellStyle name="Normal 35 3 2" xfId="4162"/>
    <cellStyle name="Normal 35 3 2 2" xfId="7491"/>
    <cellStyle name="Normal 35 3 2_FC with allocations" xfId="26028"/>
    <cellStyle name="Normal 35 3 3" xfId="7492"/>
    <cellStyle name="Normal 35 3 4" xfId="7490"/>
    <cellStyle name="Normal 35 3_FC with allocations" xfId="26027"/>
    <cellStyle name="Normal 35 30" xfId="16838"/>
    <cellStyle name="Normal 35 30 2" xfId="20341"/>
    <cellStyle name="Normal 35 30 3" xfId="22481"/>
    <cellStyle name="Normal 35 30_FC with allocations" xfId="26029"/>
    <cellStyle name="Normal 35 31" xfId="18800"/>
    <cellStyle name="Normal 35 31 2" xfId="20953"/>
    <cellStyle name="Normal 35 31 3" xfId="23110"/>
    <cellStyle name="Normal 35 31_FC with allocations" xfId="26030"/>
    <cellStyle name="Normal 35 4" xfId="4484"/>
    <cellStyle name="Normal 35 4 10" xfId="18856"/>
    <cellStyle name="Normal 35 4 10 2" xfId="21008"/>
    <cellStyle name="Normal 35 4 10 3" xfId="23165"/>
    <cellStyle name="Normal 35 4 10_FC with allocations" xfId="26032"/>
    <cellStyle name="Normal 35 4 11" xfId="19824"/>
    <cellStyle name="Normal 35 4 11 2" xfId="21833"/>
    <cellStyle name="Normal 35 4 11 3" xfId="23991"/>
    <cellStyle name="Normal 35 4 11_FC with allocations" xfId="26033"/>
    <cellStyle name="Normal 35 4 12" xfId="19901"/>
    <cellStyle name="Normal 35 4 13" xfId="21894"/>
    <cellStyle name="Normal 35 4 2" xfId="4790"/>
    <cellStyle name="Normal 35 4 2 2" xfId="7494"/>
    <cellStyle name="Normal 35 4 2 3" xfId="16668"/>
    <cellStyle name="Normal 35 4 2 3 2" xfId="18690"/>
    <cellStyle name="Normal 35 4 2 3 2 2" xfId="19709"/>
    <cellStyle name="Normal 35 4 2 3 2 2 2" xfId="21719"/>
    <cellStyle name="Normal 35 4 2 3 2 2 3" xfId="23877"/>
    <cellStyle name="Normal 35 4 2 3 2 2_FC with allocations" xfId="26037"/>
    <cellStyle name="Normal 35 4 2 3 2 3" xfId="20843"/>
    <cellStyle name="Normal 35 4 2 3 2 4" xfId="23000"/>
    <cellStyle name="Normal 35 4 2 3 2_FC with allocations" xfId="26036"/>
    <cellStyle name="Normal 35 4 2 3 3" xfId="19177"/>
    <cellStyle name="Normal 35 4 2 3 3 2" xfId="21310"/>
    <cellStyle name="Normal 35 4 2 3 3 3" xfId="23467"/>
    <cellStyle name="Normal 35 4 2 3 3_FC with allocations" xfId="26038"/>
    <cellStyle name="Normal 35 4 2 3 4" xfId="20228"/>
    <cellStyle name="Normal 35 4 2 3 5" xfId="22345"/>
    <cellStyle name="Normal 35 4 2 3_FC with allocations" xfId="26035"/>
    <cellStyle name="Normal 35 4 2 4" xfId="18253"/>
    <cellStyle name="Normal 35 4 2 4 2" xfId="19544"/>
    <cellStyle name="Normal 35 4 2 4 2 2" xfId="21554"/>
    <cellStyle name="Normal 35 4 2 4 2 3" xfId="23712"/>
    <cellStyle name="Normal 35 4 2 4 2_FC with allocations" xfId="26040"/>
    <cellStyle name="Normal 35 4 2 4 3" xfId="20677"/>
    <cellStyle name="Normal 35 4 2 4 4" xfId="22819"/>
    <cellStyle name="Normal 35 4 2 4_FC with allocations" xfId="26039"/>
    <cellStyle name="Normal 35 4 2 5" xfId="17948"/>
    <cellStyle name="Normal 35 4 2 5 2" xfId="20405"/>
    <cellStyle name="Normal 35 4 2 5 3" xfId="22545"/>
    <cellStyle name="Normal 35 4 2 5_FC with allocations" xfId="26041"/>
    <cellStyle name="Normal 35 4 2 6" xfId="18909"/>
    <cellStyle name="Normal 35 4 2 6 2" xfId="21061"/>
    <cellStyle name="Normal 35 4 2 6 3" xfId="23218"/>
    <cellStyle name="Normal 35 4 2 6_FC with allocations" xfId="26042"/>
    <cellStyle name="Normal 35 4 2 7" xfId="20060"/>
    <cellStyle name="Normal 35 4 2 8" xfId="22055"/>
    <cellStyle name="Normal 35 4 2_FC with allocations" xfId="26034"/>
    <cellStyle name="Normal 35 4 3" xfId="7495"/>
    <cellStyle name="Normal 35 4 3 2" xfId="18341"/>
    <cellStyle name="Normal 35 4 3 3" xfId="18004"/>
    <cellStyle name="Normal 35 4 3 3 2" xfId="20458"/>
    <cellStyle name="Normal 35 4 3 3 3" xfId="22598"/>
    <cellStyle name="Normal 35 4 3 3_FC with allocations" xfId="26044"/>
    <cellStyle name="Normal 35 4 3_FC with allocations" xfId="26043"/>
    <cellStyle name="Normal 35 4 4" xfId="7493"/>
    <cellStyle name="Normal 35 4 5" xfId="16615"/>
    <cellStyle name="Normal 35 4 5 2" xfId="18637"/>
    <cellStyle name="Normal 35 4 5 2 2" xfId="19656"/>
    <cellStyle name="Normal 35 4 5 2 2 2" xfId="21666"/>
    <cellStyle name="Normal 35 4 5 2 2 3" xfId="23824"/>
    <cellStyle name="Normal 35 4 5 2 2_FC with allocations" xfId="26047"/>
    <cellStyle name="Normal 35 4 5 2 3" xfId="20790"/>
    <cellStyle name="Normal 35 4 5 2 4" xfId="22947"/>
    <cellStyle name="Normal 35 4 5 2_FC with allocations" xfId="26046"/>
    <cellStyle name="Normal 35 4 5 3" xfId="19123"/>
    <cellStyle name="Normal 35 4 5 3 2" xfId="21256"/>
    <cellStyle name="Normal 35 4 5 3 3" xfId="23413"/>
    <cellStyle name="Normal 35 4 5 3_FC with allocations" xfId="26048"/>
    <cellStyle name="Normal 35 4 5 4" xfId="20175"/>
    <cellStyle name="Normal 35 4 5 5" xfId="22292"/>
    <cellStyle name="Normal 35 4 5_FC with allocations" xfId="26045"/>
    <cellStyle name="Normal 35 4 6" xfId="4690"/>
    <cellStyle name="Normal 35 4 6 2" xfId="18200"/>
    <cellStyle name="Normal 35 4 6 2 2" xfId="19491"/>
    <cellStyle name="Normal 35 4 6 2 2 2" xfId="21501"/>
    <cellStyle name="Normal 35 4 6 2 2 3" xfId="23659"/>
    <cellStyle name="Normal 35 4 6 2 2_FC with allocations" xfId="26051"/>
    <cellStyle name="Normal 35 4 6 2 3" xfId="20624"/>
    <cellStyle name="Normal 35 4 6 2 4" xfId="22766"/>
    <cellStyle name="Normal 35 4 6 2_FC with allocations" xfId="26050"/>
    <cellStyle name="Normal 35 4 6 3" xfId="19060"/>
    <cellStyle name="Normal 35 4 6 3 2" xfId="21201"/>
    <cellStyle name="Normal 35 4 6 3 3" xfId="23358"/>
    <cellStyle name="Normal 35 4 6 3_FC with allocations" xfId="26052"/>
    <cellStyle name="Normal 35 4 6 4" xfId="20007"/>
    <cellStyle name="Normal 35 4 6 5" xfId="22002"/>
    <cellStyle name="Normal 35 4 6_FC with allocations" xfId="26049"/>
    <cellStyle name="Normal 35 4 7" xfId="16746"/>
    <cellStyle name="Normal 35 4 7 2" xfId="18750"/>
    <cellStyle name="Normal 35 4 7 2 2" xfId="20903"/>
    <cellStyle name="Normal 35 4 7 2 3" xfId="23060"/>
    <cellStyle name="Normal 35 4 7 2_FC with allocations" xfId="26054"/>
    <cellStyle name="Normal 35 4 7 3" xfId="19770"/>
    <cellStyle name="Normal 35 4 7 3 2" xfId="21780"/>
    <cellStyle name="Normal 35 4 7 3 3" xfId="23938"/>
    <cellStyle name="Normal 35 4 7 3_FC with allocations" xfId="26055"/>
    <cellStyle name="Normal 35 4 7 4" xfId="20289"/>
    <cellStyle name="Normal 35 4 7 5" xfId="22417"/>
    <cellStyle name="Normal 35 4 7_FC with allocations" xfId="26053"/>
    <cellStyle name="Normal 35 4 8" xfId="18066"/>
    <cellStyle name="Normal 35 4 8 2" xfId="19385"/>
    <cellStyle name="Normal 35 4 8 2 2" xfId="21395"/>
    <cellStyle name="Normal 35 4 8 2 3" xfId="23553"/>
    <cellStyle name="Normal 35 4 8 2_FC with allocations" xfId="26057"/>
    <cellStyle name="Normal 35 4 8 3" xfId="20518"/>
    <cellStyle name="Normal 35 4 8 4" xfId="22660"/>
    <cellStyle name="Normal 35 4 8_FC with allocations" xfId="26056"/>
    <cellStyle name="Normal 35 4 9" xfId="17134"/>
    <cellStyle name="Normal 35 4_FC with allocations" xfId="26031"/>
    <cellStyle name="Normal 35 5" xfId="4598"/>
    <cellStyle name="Normal 35 5 2" xfId="7497"/>
    <cellStyle name="Normal 35 5 3" xfId="7498"/>
    <cellStyle name="Normal 35 5 4" xfId="7496"/>
    <cellStyle name="Normal 35 5_FC with allocations" xfId="26058"/>
    <cellStyle name="Normal 35 6" xfId="7499"/>
    <cellStyle name="Normal 35 6 2" xfId="7500"/>
    <cellStyle name="Normal 35 6 3" xfId="7501"/>
    <cellStyle name="Normal 35 6_FC with allocations" xfId="26059"/>
    <cellStyle name="Normal 35 7" xfId="7502"/>
    <cellStyle name="Normal 35 7 2" xfId="7503"/>
    <cellStyle name="Normal 35 7 3" xfId="7504"/>
    <cellStyle name="Normal 35 7_FC with allocations" xfId="26060"/>
    <cellStyle name="Normal 35 8" xfId="7505"/>
    <cellStyle name="Normal 35 8 2" xfId="7506"/>
    <cellStyle name="Normal 35 8 3" xfId="7507"/>
    <cellStyle name="Normal 35 8_FC with allocations" xfId="26061"/>
    <cellStyle name="Normal 35 9" xfId="7508"/>
    <cellStyle name="Normal 35 9 2" xfId="7509"/>
    <cellStyle name="Normal 35 9 3" xfId="7510"/>
    <cellStyle name="Normal 35 9_FC with allocations" xfId="26062"/>
    <cellStyle name="Normal 35_FC with allocations" xfId="25662"/>
    <cellStyle name="Normal 350" xfId="4507"/>
    <cellStyle name="Normal 350 2" xfId="19345"/>
    <cellStyle name="Normal 350 3" xfId="21916"/>
    <cellStyle name="Normal 350_FC with allocations" xfId="26063"/>
    <cellStyle name="Normal 351" xfId="16702"/>
    <cellStyle name="Normal 351 2" xfId="19347"/>
    <cellStyle name="Normal 351 3" xfId="22378"/>
    <cellStyle name="Normal 351_FC with allocations" xfId="26064"/>
    <cellStyle name="Normal 352" xfId="16704"/>
    <cellStyle name="Normal 352 2" xfId="19328"/>
    <cellStyle name="Normal 352 2 2" xfId="19348"/>
    <cellStyle name="Normal 352 2 3" xfId="23518"/>
    <cellStyle name="Normal 352 2_FC with allocations" xfId="26066"/>
    <cellStyle name="Normal 352 3" xfId="19319"/>
    <cellStyle name="Normal 352 3 2" xfId="21357"/>
    <cellStyle name="Normal 352 3 3" xfId="23514"/>
    <cellStyle name="Normal 352 3_FC with allocations" xfId="26067"/>
    <cellStyle name="Normal 352 4" xfId="22379"/>
    <cellStyle name="Normal 352_FC with allocations" xfId="26065"/>
    <cellStyle name="Normal 353" xfId="16707"/>
    <cellStyle name="Normal 353 2" xfId="19349"/>
    <cellStyle name="Normal 353 3" xfId="22380"/>
    <cellStyle name="Normal 353_FC with allocations" xfId="26068"/>
    <cellStyle name="Normal 354" xfId="16709"/>
    <cellStyle name="Normal 354 2" xfId="19350"/>
    <cellStyle name="Normal 354 3" xfId="22381"/>
    <cellStyle name="Normal 354_FC with allocations" xfId="26069"/>
    <cellStyle name="Normal 355" xfId="4505"/>
    <cellStyle name="Normal 355 2" xfId="18086"/>
    <cellStyle name="Normal 355 2 2" xfId="19405"/>
    <cellStyle name="Normal 355 2 2 2" xfId="21415"/>
    <cellStyle name="Normal 355 2 2 3" xfId="23573"/>
    <cellStyle name="Normal 355 2 2_FC with allocations" xfId="26072"/>
    <cellStyle name="Normal 355 2 3" xfId="20538"/>
    <cellStyle name="Normal 355 2 4" xfId="22680"/>
    <cellStyle name="Normal 355 2_FC with allocations" xfId="26071"/>
    <cellStyle name="Normal 355 3" xfId="18951"/>
    <cellStyle name="Normal 355 3 2" xfId="21103"/>
    <cellStyle name="Normal 355 3 3" xfId="23260"/>
    <cellStyle name="Normal 355 3_FC with allocations" xfId="26073"/>
    <cellStyle name="Normal 355 4" xfId="19921"/>
    <cellStyle name="Normal 355 5" xfId="21914"/>
    <cellStyle name="Normal 355_FC with allocations" xfId="26070"/>
    <cellStyle name="Normal 356" xfId="16710"/>
    <cellStyle name="Normal 356 2" xfId="18716"/>
    <cellStyle name="Normal 356 2 2" xfId="19735"/>
    <cellStyle name="Normal 356 2 2 2" xfId="21745"/>
    <cellStyle name="Normal 356 2 2 3" xfId="23903"/>
    <cellStyle name="Normal 356 2 2_FC with allocations" xfId="26076"/>
    <cellStyle name="Normal 356 2 3" xfId="20869"/>
    <cellStyle name="Normal 356 2 4" xfId="23026"/>
    <cellStyle name="Normal 356 2_FC with allocations" xfId="26075"/>
    <cellStyle name="Normal 356 3" xfId="19219"/>
    <cellStyle name="Normal 356 3 2" xfId="21352"/>
    <cellStyle name="Normal 356 3 3" xfId="23509"/>
    <cellStyle name="Normal 356 3_FC with allocations" xfId="26077"/>
    <cellStyle name="Normal 356 4" xfId="20254"/>
    <cellStyle name="Normal 356 5" xfId="22382"/>
    <cellStyle name="Normal 356_FC with allocations" xfId="26074"/>
    <cellStyle name="Normal 357" xfId="19318"/>
    <cellStyle name="Normal 358" xfId="19040"/>
    <cellStyle name="Normal 359" xfId="19351"/>
    <cellStyle name="Normal 36" xfId="2099"/>
    <cellStyle name="Normal 36 10" xfId="18801"/>
    <cellStyle name="Normal 36 10 2" xfId="20954"/>
    <cellStyle name="Normal 36 10 3" xfId="23111"/>
    <cellStyle name="Normal 36 10_FC with allocations" xfId="26079"/>
    <cellStyle name="Normal 36 2" xfId="2100"/>
    <cellStyle name="Normal 36 2 2" xfId="7512"/>
    <cellStyle name="Normal 36 2_FC with allocations" xfId="26080"/>
    <cellStyle name="Normal 36 3" xfId="2101"/>
    <cellStyle name="Normal 36 3 2" xfId="4163"/>
    <cellStyle name="Normal 36 3 3" xfId="7513"/>
    <cellStyle name="Normal 36 3_FC with allocations" xfId="26081"/>
    <cellStyle name="Normal 36 4" xfId="4485"/>
    <cellStyle name="Normal 36 4 10" xfId="19902"/>
    <cellStyle name="Normal 36 4 11" xfId="21895"/>
    <cellStyle name="Normal 36 4 2" xfId="4791"/>
    <cellStyle name="Normal 36 4 2 2" xfId="16669"/>
    <cellStyle name="Normal 36 4 2 2 2" xfId="18691"/>
    <cellStyle name="Normal 36 4 2 2 2 2" xfId="19710"/>
    <cellStyle name="Normal 36 4 2 2 2 2 2" xfId="21720"/>
    <cellStyle name="Normal 36 4 2 2 2 2 3" xfId="23878"/>
    <cellStyle name="Normal 36 4 2 2 2 2_FC with allocations" xfId="26086"/>
    <cellStyle name="Normal 36 4 2 2 2 3" xfId="20844"/>
    <cellStyle name="Normal 36 4 2 2 2 4" xfId="23001"/>
    <cellStyle name="Normal 36 4 2 2 2_FC with allocations" xfId="26085"/>
    <cellStyle name="Normal 36 4 2 2 3" xfId="19178"/>
    <cellStyle name="Normal 36 4 2 2 3 2" xfId="21311"/>
    <cellStyle name="Normal 36 4 2 2 3 3" xfId="23468"/>
    <cellStyle name="Normal 36 4 2 2 3_FC with allocations" xfId="26087"/>
    <cellStyle name="Normal 36 4 2 2 4" xfId="20229"/>
    <cellStyle name="Normal 36 4 2 2 5" xfId="22346"/>
    <cellStyle name="Normal 36 4 2 2_FC with allocations" xfId="26084"/>
    <cellStyle name="Normal 36 4 2 3" xfId="18254"/>
    <cellStyle name="Normal 36 4 2 3 2" xfId="19545"/>
    <cellStyle name="Normal 36 4 2 3 2 2" xfId="21555"/>
    <cellStyle name="Normal 36 4 2 3 2 3" xfId="23713"/>
    <cellStyle name="Normal 36 4 2 3 2_FC with allocations" xfId="26089"/>
    <cellStyle name="Normal 36 4 2 3 3" xfId="20678"/>
    <cellStyle name="Normal 36 4 2 3 4" xfId="22820"/>
    <cellStyle name="Normal 36 4 2 3_FC with allocations" xfId="26088"/>
    <cellStyle name="Normal 36 4 2 4" xfId="17949"/>
    <cellStyle name="Normal 36 4 2 4 2" xfId="20406"/>
    <cellStyle name="Normal 36 4 2 4 3" xfId="22546"/>
    <cellStyle name="Normal 36 4 2 4_FC with allocations" xfId="26090"/>
    <cellStyle name="Normal 36 4 2 5" xfId="18910"/>
    <cellStyle name="Normal 36 4 2 5 2" xfId="21062"/>
    <cellStyle name="Normal 36 4 2 5 3" xfId="23219"/>
    <cellStyle name="Normal 36 4 2 5_FC with allocations" xfId="26091"/>
    <cellStyle name="Normal 36 4 2 6" xfId="20061"/>
    <cellStyle name="Normal 36 4 2 7" xfId="22056"/>
    <cellStyle name="Normal 36 4 2_FC with allocations" xfId="26083"/>
    <cellStyle name="Normal 36 4 3" xfId="16616"/>
    <cellStyle name="Normal 36 4 3 2" xfId="18638"/>
    <cellStyle name="Normal 36 4 3 2 2" xfId="19657"/>
    <cellStyle name="Normal 36 4 3 2 2 2" xfId="21667"/>
    <cellStyle name="Normal 36 4 3 2 2 3" xfId="23825"/>
    <cellStyle name="Normal 36 4 3 2 2_FC with allocations" xfId="26094"/>
    <cellStyle name="Normal 36 4 3 2 3" xfId="20791"/>
    <cellStyle name="Normal 36 4 3 2 4" xfId="22948"/>
    <cellStyle name="Normal 36 4 3 2_FC with allocations" xfId="26093"/>
    <cellStyle name="Normal 36 4 3 3" xfId="18005"/>
    <cellStyle name="Normal 36 4 3 3 2" xfId="20459"/>
    <cellStyle name="Normal 36 4 3 3 3" xfId="22599"/>
    <cellStyle name="Normal 36 4 3 3_FC with allocations" xfId="26095"/>
    <cellStyle name="Normal 36 4 3 4" xfId="19124"/>
    <cellStyle name="Normal 36 4 3 4 2" xfId="21257"/>
    <cellStyle name="Normal 36 4 3 4 3" xfId="23414"/>
    <cellStyle name="Normal 36 4 3 4_FC with allocations" xfId="26096"/>
    <cellStyle name="Normal 36 4 3 5" xfId="20176"/>
    <cellStyle name="Normal 36 4 3 6" xfId="22293"/>
    <cellStyle name="Normal 36 4 3_FC with allocations" xfId="26092"/>
    <cellStyle name="Normal 36 4 4" xfId="4691"/>
    <cellStyle name="Normal 36 4 4 2" xfId="18201"/>
    <cellStyle name="Normal 36 4 4 2 2" xfId="19492"/>
    <cellStyle name="Normal 36 4 4 2 2 2" xfId="21502"/>
    <cellStyle name="Normal 36 4 4 2 2 3" xfId="23660"/>
    <cellStyle name="Normal 36 4 4 2 2_FC with allocations" xfId="26099"/>
    <cellStyle name="Normal 36 4 4 2 3" xfId="20625"/>
    <cellStyle name="Normal 36 4 4 2 4" xfId="22767"/>
    <cellStyle name="Normal 36 4 4 2_FC with allocations" xfId="26098"/>
    <cellStyle name="Normal 36 4 4 3" xfId="19082"/>
    <cellStyle name="Normal 36 4 4 3 2" xfId="21217"/>
    <cellStyle name="Normal 36 4 4 3 3" xfId="23374"/>
    <cellStyle name="Normal 36 4 4 3_FC with allocations" xfId="26100"/>
    <cellStyle name="Normal 36 4 4 4" xfId="20008"/>
    <cellStyle name="Normal 36 4 4 5" xfId="22003"/>
    <cellStyle name="Normal 36 4 4_FC with allocations" xfId="26097"/>
    <cellStyle name="Normal 36 4 5" xfId="16747"/>
    <cellStyle name="Normal 36 4 5 2" xfId="18751"/>
    <cellStyle name="Normal 36 4 5 2 2" xfId="20904"/>
    <cellStyle name="Normal 36 4 5 2 3" xfId="23061"/>
    <cellStyle name="Normal 36 4 5 2_FC with allocations" xfId="26102"/>
    <cellStyle name="Normal 36 4 5 3" xfId="19771"/>
    <cellStyle name="Normal 36 4 5 3 2" xfId="21781"/>
    <cellStyle name="Normal 36 4 5 3 3" xfId="23939"/>
    <cellStyle name="Normal 36 4 5 3_FC with allocations" xfId="26103"/>
    <cellStyle name="Normal 36 4 5 4" xfId="20290"/>
    <cellStyle name="Normal 36 4 5 5" xfId="22418"/>
    <cellStyle name="Normal 36 4 5_FC with allocations" xfId="26101"/>
    <cellStyle name="Normal 36 4 6" xfId="18067"/>
    <cellStyle name="Normal 36 4 6 2" xfId="19386"/>
    <cellStyle name="Normal 36 4 6 2 2" xfId="21396"/>
    <cellStyle name="Normal 36 4 6 2 3" xfId="23554"/>
    <cellStyle name="Normal 36 4 6 2_FC with allocations" xfId="26105"/>
    <cellStyle name="Normal 36 4 6 3" xfId="20519"/>
    <cellStyle name="Normal 36 4 6 4" xfId="22661"/>
    <cellStyle name="Normal 36 4 6_FC with allocations" xfId="26104"/>
    <cellStyle name="Normal 36 4 7" xfId="17135"/>
    <cellStyle name="Normal 36 4 8" xfId="18857"/>
    <cellStyle name="Normal 36 4 8 2" xfId="21009"/>
    <cellStyle name="Normal 36 4 8 3" xfId="23166"/>
    <cellStyle name="Normal 36 4 8_FC with allocations" xfId="26106"/>
    <cellStyle name="Normal 36 4 9" xfId="19825"/>
    <cellStyle name="Normal 36 4 9 2" xfId="21834"/>
    <cellStyle name="Normal 36 4 9 3" xfId="23992"/>
    <cellStyle name="Normal 36 4 9_FC with allocations" xfId="26107"/>
    <cellStyle name="Normal 36 4_FC with allocations" xfId="26082"/>
    <cellStyle name="Normal 36 5" xfId="4599"/>
    <cellStyle name="Normal 36 6" xfId="7511"/>
    <cellStyle name="Normal 36 7" xfId="16557"/>
    <cellStyle name="Normal 36 7 2" xfId="18583"/>
    <cellStyle name="Normal 36 7 2 2" xfId="19602"/>
    <cellStyle name="Normal 36 7 2 2 2" xfId="21612"/>
    <cellStyle name="Normal 36 7 2 2 3" xfId="23770"/>
    <cellStyle name="Normal 36 7 2 2_FC with allocations" xfId="26110"/>
    <cellStyle name="Normal 36 7 2 3" xfId="20736"/>
    <cellStyle name="Normal 36 7 2 4" xfId="22893"/>
    <cellStyle name="Normal 36 7 2_FC with allocations" xfId="26109"/>
    <cellStyle name="Normal 36 7 3" xfId="19008"/>
    <cellStyle name="Normal 36 7 3 2" xfId="21160"/>
    <cellStyle name="Normal 36 7 3 3" xfId="23317"/>
    <cellStyle name="Normal 36 7 3_FC with allocations" xfId="26111"/>
    <cellStyle name="Normal 36 7 4" xfId="20121"/>
    <cellStyle name="Normal 36 7 5" xfId="22237"/>
    <cellStyle name="Normal 36 7_FC with allocations" xfId="26108"/>
    <cellStyle name="Normal 36 8" xfId="4542"/>
    <cellStyle name="Normal 36 8 2" xfId="18118"/>
    <cellStyle name="Normal 36 8 2 2" xfId="19437"/>
    <cellStyle name="Normal 36 8 2 2 2" xfId="21447"/>
    <cellStyle name="Normal 36 8 2 2 3" xfId="23605"/>
    <cellStyle name="Normal 36 8 2 2_FC with allocations" xfId="26114"/>
    <cellStyle name="Normal 36 8 2 3" xfId="20570"/>
    <cellStyle name="Normal 36 8 2 4" xfId="22712"/>
    <cellStyle name="Normal 36 8 2_FC with allocations" xfId="26113"/>
    <cellStyle name="Normal 36 8 3" xfId="19143"/>
    <cellStyle name="Normal 36 8 3 2" xfId="21276"/>
    <cellStyle name="Normal 36 8 3 3" xfId="23433"/>
    <cellStyle name="Normal 36 8 3_FC with allocations" xfId="26115"/>
    <cellStyle name="Normal 36 8 4" xfId="19953"/>
    <cellStyle name="Normal 36 8 5" xfId="21948"/>
    <cellStyle name="Normal 36 8_FC with allocations" xfId="26112"/>
    <cellStyle name="Normal 36 9" xfId="16839"/>
    <cellStyle name="Normal 36 9 2" xfId="20342"/>
    <cellStyle name="Normal 36 9 3" xfId="22482"/>
    <cellStyle name="Normal 36 9_FC with allocations" xfId="26116"/>
    <cellStyle name="Normal 36_FC with allocations" xfId="26078"/>
    <cellStyle name="Normal 360" xfId="19037"/>
    <cellStyle name="Normal 360 2" xfId="21180"/>
    <cellStyle name="Normal 360 3" xfId="23337"/>
    <cellStyle name="Normal 360_FC with allocations" xfId="26117"/>
    <cellStyle name="Normal 361" xfId="19329"/>
    <cellStyle name="Normal 361 2" xfId="21361"/>
    <cellStyle name="Normal 361 3" xfId="23519"/>
    <cellStyle name="Normal 361_FC with allocations" xfId="26118"/>
    <cellStyle name="Normal 362" xfId="19860"/>
    <cellStyle name="Normal 363" xfId="19844"/>
    <cellStyle name="Normal 364" xfId="19865"/>
    <cellStyle name="Normal 365" xfId="20082"/>
    <cellStyle name="Normal 366" xfId="21856"/>
    <cellStyle name="Normal 367" xfId="21857"/>
    <cellStyle name="Normal 368" xfId="21859"/>
    <cellStyle name="Normal 369" xfId="19845"/>
    <cellStyle name="Normal 37" xfId="2102"/>
    <cellStyle name="Normal 37 2" xfId="2103"/>
    <cellStyle name="Normal 37 3" xfId="2104"/>
    <cellStyle name="Normal 37 3 2" xfId="7514"/>
    <cellStyle name="Normal 37 3_FC with allocations" xfId="26120"/>
    <cellStyle name="Normal 37 4" xfId="2105"/>
    <cellStyle name="Normal 37 4 2" xfId="4164"/>
    <cellStyle name="Normal 37 4 3" xfId="17644"/>
    <cellStyle name="Normal 37 4 4" xfId="17136"/>
    <cellStyle name="Normal 37 4_FC with allocations" xfId="26121"/>
    <cellStyle name="Normal 37_FC with allocations" xfId="26119"/>
    <cellStyle name="Normal 371" xfId="24011"/>
    <cellStyle name="Normal 38" xfId="2106"/>
    <cellStyle name="Normal 38 2" xfId="2107"/>
    <cellStyle name="Normal 38 2 2" xfId="7516"/>
    <cellStyle name="Normal 38 2_FC with allocations" xfId="26123"/>
    <cellStyle name="Normal 38 3" xfId="2108"/>
    <cellStyle name="Normal 38 3 2" xfId="4165"/>
    <cellStyle name="Normal 38 3 3" xfId="7517"/>
    <cellStyle name="Normal 38 3 3 2" xfId="18342"/>
    <cellStyle name="Normal 38 3 3 3" xfId="17645"/>
    <cellStyle name="Normal 38 3 3_FC with allocations" xfId="26125"/>
    <cellStyle name="Normal 38 3 4" xfId="17137"/>
    <cellStyle name="Normal 38 3_FC with allocations" xfId="26124"/>
    <cellStyle name="Normal 38 4" xfId="7515"/>
    <cellStyle name="Normal 38_FC with allocations" xfId="26122"/>
    <cellStyle name="Normal 39" xfId="2109"/>
    <cellStyle name="Normal 39 2" xfId="2110"/>
    <cellStyle name="Normal 39 2 2" xfId="7518"/>
    <cellStyle name="Normal 39 2_FC with allocations" xfId="26127"/>
    <cellStyle name="Normal 39 3" xfId="2111"/>
    <cellStyle name="Normal 39_FC with allocations" xfId="26126"/>
    <cellStyle name="Normal 4" xfId="2112"/>
    <cellStyle name="Normal 4 10" xfId="7520"/>
    <cellStyle name="Normal 4 10 2" xfId="7521"/>
    <cellStyle name="Normal 4 10_FC with allocations" xfId="26128"/>
    <cellStyle name="Normal 4 11" xfId="7522"/>
    <cellStyle name="Normal 4 12" xfId="7523"/>
    <cellStyle name="Normal 4 13" xfId="7519"/>
    <cellStyle name="Normal 4 2" xfId="2113"/>
    <cellStyle name="Normal 4 2 2" xfId="2114"/>
    <cellStyle name="Normal 4 2 2 2" xfId="7525"/>
    <cellStyle name="Normal 4 2 2 3" xfId="7524"/>
    <cellStyle name="Normal 4 2 2_FC with allocations" xfId="26130"/>
    <cellStyle name="Normal 4 2 3" xfId="7526"/>
    <cellStyle name="Normal 4 2_FC with allocations" xfId="26129"/>
    <cellStyle name="Normal 4 3" xfId="2115"/>
    <cellStyle name="Normal 4 3 10" xfId="7527"/>
    <cellStyle name="Normal 4 3 11" xfId="16558"/>
    <cellStyle name="Normal 4 3 11 2" xfId="18584"/>
    <cellStyle name="Normal 4 3 11 2 2" xfId="19603"/>
    <cellStyle name="Normal 4 3 11 2 2 2" xfId="21613"/>
    <cellStyle name="Normal 4 3 11 2 2 3" xfId="23771"/>
    <cellStyle name="Normal 4 3 11 2 2_FC with allocations" xfId="26134"/>
    <cellStyle name="Normal 4 3 11 2 3" xfId="20737"/>
    <cellStyle name="Normal 4 3 11 2 4" xfId="22894"/>
    <cellStyle name="Normal 4 3 11 2_FC with allocations" xfId="26133"/>
    <cellStyle name="Normal 4 3 11 3" xfId="19009"/>
    <cellStyle name="Normal 4 3 11 3 2" xfId="21161"/>
    <cellStyle name="Normal 4 3 11 3 3" xfId="23318"/>
    <cellStyle name="Normal 4 3 11 3_FC with allocations" xfId="26135"/>
    <cellStyle name="Normal 4 3 11 4" xfId="20122"/>
    <cellStyle name="Normal 4 3 11 5" xfId="22238"/>
    <cellStyle name="Normal 4 3 11_FC with allocations" xfId="26132"/>
    <cellStyle name="Normal 4 3 12" xfId="4543"/>
    <cellStyle name="Normal 4 3 12 2" xfId="18119"/>
    <cellStyle name="Normal 4 3 12 2 2" xfId="19438"/>
    <cellStyle name="Normal 4 3 12 2 2 2" xfId="21448"/>
    <cellStyle name="Normal 4 3 12 2 2 3" xfId="23606"/>
    <cellStyle name="Normal 4 3 12 2 2_FC with allocations" xfId="26138"/>
    <cellStyle name="Normal 4 3 12 2 3" xfId="20571"/>
    <cellStyle name="Normal 4 3 12 2 4" xfId="22713"/>
    <cellStyle name="Normal 4 3 12 2_FC with allocations" xfId="26137"/>
    <cellStyle name="Normal 4 3 12 3" xfId="19072"/>
    <cellStyle name="Normal 4 3 12 3 2" xfId="21207"/>
    <cellStyle name="Normal 4 3 12 3 3" xfId="23364"/>
    <cellStyle name="Normal 4 3 12 3_FC with allocations" xfId="26139"/>
    <cellStyle name="Normal 4 3 12 4" xfId="19954"/>
    <cellStyle name="Normal 4 3 12 5" xfId="21949"/>
    <cellStyle name="Normal 4 3 12_FC with allocations" xfId="26136"/>
    <cellStyle name="Normal 4 3 13" xfId="16840"/>
    <cellStyle name="Normal 4 3 13 2" xfId="20343"/>
    <cellStyle name="Normal 4 3 13 3" xfId="22483"/>
    <cellStyle name="Normal 4 3 13_FC with allocations" xfId="26140"/>
    <cellStyle name="Normal 4 3 14" xfId="18802"/>
    <cellStyle name="Normal 4 3 14 2" xfId="20955"/>
    <cellStyle name="Normal 4 3 14 3" xfId="23112"/>
    <cellStyle name="Normal 4 3 14_FC with allocations" xfId="26141"/>
    <cellStyle name="Normal 4 3 2" xfId="2116"/>
    <cellStyle name="Normal 4 3 2 2" xfId="2117"/>
    <cellStyle name="Normal 4 3 2 2 2" xfId="2118"/>
    <cellStyle name="Normal 4 3 2 2 2 2" xfId="2119"/>
    <cellStyle name="Normal 4 3 2 2 2 2 2" xfId="4169"/>
    <cellStyle name="Normal 4 3 2 2 2 2 3" xfId="17649"/>
    <cellStyle name="Normal 4 3 2 2 2 2 4" xfId="17142"/>
    <cellStyle name="Normal 4 3 2 2 2 2_FC with allocations" xfId="26145"/>
    <cellStyle name="Normal 4 3 2 2 2 3" xfId="4168"/>
    <cellStyle name="Normal 4 3 2 2 2 4" xfId="17648"/>
    <cellStyle name="Normal 4 3 2 2 2 5" xfId="17141"/>
    <cellStyle name="Normal 4 3 2 2 2_FC with allocations" xfId="26144"/>
    <cellStyle name="Normal 4 3 2 2 3" xfId="2120"/>
    <cellStyle name="Normal 4 3 2 2 3 2" xfId="4170"/>
    <cellStyle name="Normal 4 3 2 2 3 3" xfId="17650"/>
    <cellStyle name="Normal 4 3 2 2 3 4" xfId="17143"/>
    <cellStyle name="Normal 4 3 2 2 3_FC with allocations" xfId="26146"/>
    <cellStyle name="Normal 4 3 2 2 4" xfId="4167"/>
    <cellStyle name="Normal 4 3 2 2 5" xfId="17647"/>
    <cellStyle name="Normal 4 3 2 2 6" xfId="17140"/>
    <cellStyle name="Normal 4 3 2 2_FC with allocations" xfId="26143"/>
    <cellStyle name="Normal 4 3 2 3" xfId="2121"/>
    <cellStyle name="Normal 4 3 2 3 2" xfId="2122"/>
    <cellStyle name="Normal 4 3 2 3 2 2" xfId="4172"/>
    <cellStyle name="Normal 4 3 2 3 2 3" xfId="17652"/>
    <cellStyle name="Normal 4 3 2 3 2 4" xfId="17145"/>
    <cellStyle name="Normal 4 3 2 3 2_FC with allocations" xfId="26148"/>
    <cellStyle name="Normal 4 3 2 3 3" xfId="4171"/>
    <cellStyle name="Normal 4 3 2 3 4" xfId="17651"/>
    <cellStyle name="Normal 4 3 2 3 5" xfId="17144"/>
    <cellStyle name="Normal 4 3 2 3_FC with allocations" xfId="26147"/>
    <cellStyle name="Normal 4 3 2 4" xfId="2123"/>
    <cellStyle name="Normal 4 3 2 4 2" xfId="4173"/>
    <cellStyle name="Normal 4 3 2 4 3" xfId="17653"/>
    <cellStyle name="Normal 4 3 2 4 4" xfId="17146"/>
    <cellStyle name="Normal 4 3 2 4_FC with allocations" xfId="26149"/>
    <cellStyle name="Normal 4 3 2 5" xfId="4166"/>
    <cellStyle name="Normal 4 3 2 6" xfId="7528"/>
    <cellStyle name="Normal 4 3 2 6 2" xfId="18343"/>
    <cellStyle name="Normal 4 3 2 6 3" xfId="17646"/>
    <cellStyle name="Normal 4 3 2 6_FC with allocations" xfId="26150"/>
    <cellStyle name="Normal 4 3 2 7" xfId="17139"/>
    <cellStyle name="Normal 4 3 2_FC with allocations" xfId="26142"/>
    <cellStyle name="Normal 4 3 3" xfId="2124"/>
    <cellStyle name="Normal 4 3 3 2" xfId="2125"/>
    <cellStyle name="Normal 4 3 3 2 2" xfId="2126"/>
    <cellStyle name="Normal 4 3 3 2 2 2" xfId="4176"/>
    <cellStyle name="Normal 4 3 3 2 2 3" xfId="17656"/>
    <cellStyle name="Normal 4 3 3 2 2 4" xfId="17149"/>
    <cellStyle name="Normal 4 3 3 2 2_FC with allocations" xfId="26153"/>
    <cellStyle name="Normal 4 3 3 2 3" xfId="4175"/>
    <cellStyle name="Normal 4 3 3 2 4" xfId="17655"/>
    <cellStyle name="Normal 4 3 3 2 5" xfId="17148"/>
    <cellStyle name="Normal 4 3 3 2_FC with allocations" xfId="26152"/>
    <cellStyle name="Normal 4 3 3 3" xfId="2127"/>
    <cellStyle name="Normal 4 3 3 3 2" xfId="4177"/>
    <cellStyle name="Normal 4 3 3 3 3" xfId="17657"/>
    <cellStyle name="Normal 4 3 3 3 4" xfId="17150"/>
    <cellStyle name="Normal 4 3 3 3_FC with allocations" xfId="26154"/>
    <cellStyle name="Normal 4 3 3 4" xfId="4174"/>
    <cellStyle name="Normal 4 3 3 5" xfId="7529"/>
    <cellStyle name="Normal 4 3 3 5 2" xfId="18344"/>
    <cellStyle name="Normal 4 3 3 5 3" xfId="17654"/>
    <cellStyle name="Normal 4 3 3 5_FC with allocations" xfId="26155"/>
    <cellStyle name="Normal 4 3 3 6" xfId="17147"/>
    <cellStyle name="Normal 4 3 3_FC with allocations" xfId="26151"/>
    <cellStyle name="Normal 4 3 4" xfId="2128"/>
    <cellStyle name="Normal 4 3 4 2" xfId="2129"/>
    <cellStyle name="Normal 4 3 4 2 2" xfId="2130"/>
    <cellStyle name="Normal 4 3 4 2 2 2" xfId="4180"/>
    <cellStyle name="Normal 4 3 4 2 2 3" xfId="17660"/>
    <cellStyle name="Normal 4 3 4 2 2 4" xfId="17153"/>
    <cellStyle name="Normal 4 3 4 2 2_FC with allocations" xfId="26158"/>
    <cellStyle name="Normal 4 3 4 2 3" xfId="4179"/>
    <cellStyle name="Normal 4 3 4 2 4" xfId="17659"/>
    <cellStyle name="Normal 4 3 4 2 5" xfId="17152"/>
    <cellStyle name="Normal 4 3 4 2_FC with allocations" xfId="26157"/>
    <cellStyle name="Normal 4 3 4 3" xfId="2131"/>
    <cellStyle name="Normal 4 3 4 3 2" xfId="4181"/>
    <cellStyle name="Normal 4 3 4 3 3" xfId="17661"/>
    <cellStyle name="Normal 4 3 4 3 4" xfId="17154"/>
    <cellStyle name="Normal 4 3 4 3_FC with allocations" xfId="26159"/>
    <cellStyle name="Normal 4 3 4 4" xfId="4178"/>
    <cellStyle name="Normal 4 3 4 5" xfId="17658"/>
    <cellStyle name="Normal 4 3 4 6" xfId="17151"/>
    <cellStyle name="Normal 4 3 4_FC with allocations" xfId="26156"/>
    <cellStyle name="Normal 4 3 5" xfId="2132"/>
    <cellStyle name="Normal 4 3 5 2" xfId="2133"/>
    <cellStyle name="Normal 4 3 5 2 2" xfId="4183"/>
    <cellStyle name="Normal 4 3 5 2 3" xfId="17663"/>
    <cellStyle name="Normal 4 3 5 2 4" xfId="17156"/>
    <cellStyle name="Normal 4 3 5 2_FC with allocations" xfId="26161"/>
    <cellStyle name="Normal 4 3 5 3" xfId="4182"/>
    <cellStyle name="Normal 4 3 5 4" xfId="17662"/>
    <cellStyle name="Normal 4 3 5 5" xfId="17155"/>
    <cellStyle name="Normal 4 3 5_FC with allocations" xfId="26160"/>
    <cellStyle name="Normal 4 3 6" xfId="2134"/>
    <cellStyle name="Normal 4 3 6 2" xfId="4184"/>
    <cellStyle name="Normal 4 3 6 3" xfId="17664"/>
    <cellStyle name="Normal 4 3 6 4" xfId="17157"/>
    <cellStyle name="Normal 4 3 6_FC with allocations" xfId="26162"/>
    <cellStyle name="Normal 4 3 7" xfId="2135"/>
    <cellStyle name="Normal 4 3 7 2" xfId="4185"/>
    <cellStyle name="Normal 4 3 7_FC with allocations" xfId="26163"/>
    <cellStyle name="Normal 4 3 8" xfId="4486"/>
    <cellStyle name="Normal 4 3 8 10" xfId="19903"/>
    <cellStyle name="Normal 4 3 8 11" xfId="21896"/>
    <cellStyle name="Normal 4 3 8 2" xfId="4792"/>
    <cellStyle name="Normal 4 3 8 2 2" xfId="16670"/>
    <cellStyle name="Normal 4 3 8 2 2 2" xfId="18692"/>
    <cellStyle name="Normal 4 3 8 2 2 2 2" xfId="19711"/>
    <cellStyle name="Normal 4 3 8 2 2 2 2 2" xfId="21721"/>
    <cellStyle name="Normal 4 3 8 2 2 2 2 3" xfId="23879"/>
    <cellStyle name="Normal 4 3 8 2 2 2 2_FC with allocations" xfId="26168"/>
    <cellStyle name="Normal 4 3 8 2 2 2 3" xfId="20845"/>
    <cellStyle name="Normal 4 3 8 2 2 2 4" xfId="23002"/>
    <cellStyle name="Normal 4 3 8 2 2 2_FC with allocations" xfId="26167"/>
    <cellStyle name="Normal 4 3 8 2 2 3" xfId="19179"/>
    <cellStyle name="Normal 4 3 8 2 2 3 2" xfId="21312"/>
    <cellStyle name="Normal 4 3 8 2 2 3 3" xfId="23469"/>
    <cellStyle name="Normal 4 3 8 2 2 3_FC with allocations" xfId="26169"/>
    <cellStyle name="Normal 4 3 8 2 2 4" xfId="20230"/>
    <cellStyle name="Normal 4 3 8 2 2 5" xfId="22347"/>
    <cellStyle name="Normal 4 3 8 2 2_FC with allocations" xfId="26166"/>
    <cellStyle name="Normal 4 3 8 2 3" xfId="18255"/>
    <cellStyle name="Normal 4 3 8 2 3 2" xfId="19546"/>
    <cellStyle name="Normal 4 3 8 2 3 2 2" xfId="21556"/>
    <cellStyle name="Normal 4 3 8 2 3 2 3" xfId="23714"/>
    <cellStyle name="Normal 4 3 8 2 3 2_FC with allocations" xfId="26171"/>
    <cellStyle name="Normal 4 3 8 2 3 3" xfId="20679"/>
    <cellStyle name="Normal 4 3 8 2 3 4" xfId="22821"/>
    <cellStyle name="Normal 4 3 8 2 3_FC with allocations" xfId="26170"/>
    <cellStyle name="Normal 4 3 8 2 4" xfId="17950"/>
    <cellStyle name="Normal 4 3 8 2 4 2" xfId="20407"/>
    <cellStyle name="Normal 4 3 8 2 4 3" xfId="22547"/>
    <cellStyle name="Normal 4 3 8 2 4_FC with allocations" xfId="26172"/>
    <cellStyle name="Normal 4 3 8 2 5" xfId="18911"/>
    <cellStyle name="Normal 4 3 8 2 5 2" xfId="21063"/>
    <cellStyle name="Normal 4 3 8 2 5 3" xfId="23220"/>
    <cellStyle name="Normal 4 3 8 2 5_FC with allocations" xfId="26173"/>
    <cellStyle name="Normal 4 3 8 2 6" xfId="20062"/>
    <cellStyle name="Normal 4 3 8 2 7" xfId="22057"/>
    <cellStyle name="Normal 4 3 8 2_FC with allocations" xfId="26165"/>
    <cellStyle name="Normal 4 3 8 3" xfId="16617"/>
    <cellStyle name="Normal 4 3 8 3 2" xfId="18639"/>
    <cellStyle name="Normal 4 3 8 3 2 2" xfId="19658"/>
    <cellStyle name="Normal 4 3 8 3 2 2 2" xfId="21668"/>
    <cellStyle name="Normal 4 3 8 3 2 2 3" xfId="23826"/>
    <cellStyle name="Normal 4 3 8 3 2 2_FC with allocations" xfId="26176"/>
    <cellStyle name="Normal 4 3 8 3 2 3" xfId="20792"/>
    <cellStyle name="Normal 4 3 8 3 2 4" xfId="22949"/>
    <cellStyle name="Normal 4 3 8 3 2_FC with allocations" xfId="26175"/>
    <cellStyle name="Normal 4 3 8 3 3" xfId="18006"/>
    <cellStyle name="Normal 4 3 8 3 3 2" xfId="20460"/>
    <cellStyle name="Normal 4 3 8 3 3 3" xfId="22600"/>
    <cellStyle name="Normal 4 3 8 3 3_FC with allocations" xfId="26177"/>
    <cellStyle name="Normal 4 3 8 3 4" xfId="19125"/>
    <cellStyle name="Normal 4 3 8 3 4 2" xfId="21258"/>
    <cellStyle name="Normal 4 3 8 3 4 3" xfId="23415"/>
    <cellStyle name="Normal 4 3 8 3 4_FC with allocations" xfId="26178"/>
    <cellStyle name="Normal 4 3 8 3 5" xfId="20177"/>
    <cellStyle name="Normal 4 3 8 3 6" xfId="22294"/>
    <cellStyle name="Normal 4 3 8 3_FC with allocations" xfId="26174"/>
    <cellStyle name="Normal 4 3 8 4" xfId="4692"/>
    <cellStyle name="Normal 4 3 8 4 2" xfId="18202"/>
    <cellStyle name="Normal 4 3 8 4 2 2" xfId="19493"/>
    <cellStyle name="Normal 4 3 8 4 2 2 2" xfId="21503"/>
    <cellStyle name="Normal 4 3 8 4 2 2 3" xfId="23661"/>
    <cellStyle name="Normal 4 3 8 4 2 2_FC with allocations" xfId="26181"/>
    <cellStyle name="Normal 4 3 8 4 2 3" xfId="20626"/>
    <cellStyle name="Normal 4 3 8 4 2 4" xfId="22768"/>
    <cellStyle name="Normal 4 3 8 4 2_FC with allocations" xfId="26180"/>
    <cellStyle name="Normal 4 3 8 4 3" xfId="19081"/>
    <cellStyle name="Normal 4 3 8 4 3 2" xfId="21216"/>
    <cellStyle name="Normal 4 3 8 4 3 3" xfId="23373"/>
    <cellStyle name="Normal 4 3 8 4 3_FC with allocations" xfId="26182"/>
    <cellStyle name="Normal 4 3 8 4 4" xfId="20009"/>
    <cellStyle name="Normal 4 3 8 4 5" xfId="22004"/>
    <cellStyle name="Normal 4 3 8 4_FC with allocations" xfId="26179"/>
    <cellStyle name="Normal 4 3 8 5" xfId="16748"/>
    <cellStyle name="Normal 4 3 8 5 2" xfId="18752"/>
    <cellStyle name="Normal 4 3 8 5 2 2" xfId="20905"/>
    <cellStyle name="Normal 4 3 8 5 2 3" xfId="23062"/>
    <cellStyle name="Normal 4 3 8 5 2_FC with allocations" xfId="26184"/>
    <cellStyle name="Normal 4 3 8 5 3" xfId="19772"/>
    <cellStyle name="Normal 4 3 8 5 3 2" xfId="21782"/>
    <cellStyle name="Normal 4 3 8 5 3 3" xfId="23940"/>
    <cellStyle name="Normal 4 3 8 5 3_FC with allocations" xfId="26185"/>
    <cellStyle name="Normal 4 3 8 5 4" xfId="20291"/>
    <cellStyle name="Normal 4 3 8 5 5" xfId="22419"/>
    <cellStyle name="Normal 4 3 8 5_FC with allocations" xfId="26183"/>
    <cellStyle name="Normal 4 3 8 6" xfId="18068"/>
    <cellStyle name="Normal 4 3 8 6 2" xfId="19387"/>
    <cellStyle name="Normal 4 3 8 6 2 2" xfId="21397"/>
    <cellStyle name="Normal 4 3 8 6 2 3" xfId="23555"/>
    <cellStyle name="Normal 4 3 8 6 2_FC with allocations" xfId="26187"/>
    <cellStyle name="Normal 4 3 8 6 3" xfId="20520"/>
    <cellStyle name="Normal 4 3 8 6 4" xfId="22662"/>
    <cellStyle name="Normal 4 3 8 6_FC with allocations" xfId="26186"/>
    <cellStyle name="Normal 4 3 8 7" xfId="17138"/>
    <cellStyle name="Normal 4 3 8 8" xfId="18858"/>
    <cellStyle name="Normal 4 3 8 8 2" xfId="21010"/>
    <cellStyle name="Normal 4 3 8 8 3" xfId="23167"/>
    <cellStyle name="Normal 4 3 8 8_FC with allocations" xfId="26188"/>
    <cellStyle name="Normal 4 3 8 9" xfId="19826"/>
    <cellStyle name="Normal 4 3 8 9 2" xfId="21835"/>
    <cellStyle name="Normal 4 3 8 9 3" xfId="23993"/>
    <cellStyle name="Normal 4 3 8 9_FC with allocations" xfId="26189"/>
    <cellStyle name="Normal 4 3 8_FC with allocations" xfId="26164"/>
    <cellStyle name="Normal 4 3 9" xfId="4600"/>
    <cellStyle name="Normal 4 3_FC with allocations" xfId="26131"/>
    <cellStyle name="Normal 4 4" xfId="2136"/>
    <cellStyle name="Normal 4 4 2" xfId="7531"/>
    <cellStyle name="Normal 4 4 3" xfId="7532"/>
    <cellStyle name="Normal 4 4_FC with allocations" xfId="26190"/>
    <cellStyle name="Normal 4 5" xfId="2137"/>
    <cellStyle name="Normal 4 5 2" xfId="2138"/>
    <cellStyle name="Normal 4 5 2 2" xfId="2139"/>
    <cellStyle name="Normal 4 5 2 2 2" xfId="2140"/>
    <cellStyle name="Normal 4 5 2 2 2 2" xfId="4189"/>
    <cellStyle name="Normal 4 5 2 2 2 3" xfId="17668"/>
    <cellStyle name="Normal 4 5 2 2 2 4" xfId="17161"/>
    <cellStyle name="Normal 4 5 2 2 2_FC with allocations" xfId="26194"/>
    <cellStyle name="Normal 4 5 2 2 3" xfId="4188"/>
    <cellStyle name="Normal 4 5 2 2 4" xfId="17667"/>
    <cellStyle name="Normal 4 5 2 2 5" xfId="17160"/>
    <cellStyle name="Normal 4 5 2 2_FC with allocations" xfId="26193"/>
    <cellStyle name="Normal 4 5 2 3" xfId="2141"/>
    <cellStyle name="Normal 4 5 2 3 2" xfId="4190"/>
    <cellStyle name="Normal 4 5 2 3 3" xfId="17669"/>
    <cellStyle name="Normal 4 5 2 3 4" xfId="17162"/>
    <cellStyle name="Normal 4 5 2 3_FC with allocations" xfId="26195"/>
    <cellStyle name="Normal 4 5 2 4" xfId="4187"/>
    <cellStyle name="Normal 4 5 2 5" xfId="7534"/>
    <cellStyle name="Normal 4 5 2 5 2" xfId="18347"/>
    <cellStyle name="Normal 4 5 2 5 3" xfId="17666"/>
    <cellStyle name="Normal 4 5 2 5_FC with allocations" xfId="26196"/>
    <cellStyle name="Normal 4 5 2 6" xfId="17159"/>
    <cellStyle name="Normal 4 5 2_FC with allocations" xfId="26192"/>
    <cellStyle name="Normal 4 5 3" xfId="2142"/>
    <cellStyle name="Normal 4 5 3 2" xfId="2143"/>
    <cellStyle name="Normal 4 5 3 2 2" xfId="4192"/>
    <cellStyle name="Normal 4 5 3 2 3" xfId="17671"/>
    <cellStyle name="Normal 4 5 3 2 4" xfId="17164"/>
    <cellStyle name="Normal 4 5 3 2_FC with allocations" xfId="26198"/>
    <cellStyle name="Normal 4 5 3 3" xfId="4191"/>
    <cellStyle name="Normal 4 5 3 4" xfId="7535"/>
    <cellStyle name="Normal 4 5 3 4 2" xfId="18348"/>
    <cellStyle name="Normal 4 5 3 4 3" xfId="17670"/>
    <cellStyle name="Normal 4 5 3 4_FC with allocations" xfId="26199"/>
    <cellStyle name="Normal 4 5 3 5" xfId="17163"/>
    <cellStyle name="Normal 4 5 3_FC with allocations" xfId="26197"/>
    <cellStyle name="Normal 4 5 4" xfId="2144"/>
    <cellStyle name="Normal 4 5 4 2" xfId="4193"/>
    <cellStyle name="Normal 4 5 4 3" xfId="17672"/>
    <cellStyle name="Normal 4 5 4 4" xfId="17165"/>
    <cellStyle name="Normal 4 5 4_FC with allocations" xfId="26200"/>
    <cellStyle name="Normal 4 5 5" xfId="4186"/>
    <cellStyle name="Normal 4 5 6" xfId="7533"/>
    <cellStyle name="Normal 4 5 6 2" xfId="18346"/>
    <cellStyle name="Normal 4 5 6 3" xfId="17665"/>
    <cellStyle name="Normal 4 5 6_FC with allocations" xfId="26201"/>
    <cellStyle name="Normal 4 5 7" xfId="17158"/>
    <cellStyle name="Normal 4 5_FC with allocations" xfId="26191"/>
    <cellStyle name="Normal 4 6" xfId="2145"/>
    <cellStyle name="Normal 4 6 2" xfId="2146"/>
    <cellStyle name="Normal 4 6 2 2" xfId="2147"/>
    <cellStyle name="Normal 4 6 2 2 2" xfId="4196"/>
    <cellStyle name="Normal 4 6 2 2 3" xfId="17675"/>
    <cellStyle name="Normal 4 6 2 2 4" xfId="17168"/>
    <cellStyle name="Normal 4 6 2 2_FC with allocations" xfId="26204"/>
    <cellStyle name="Normal 4 6 2 3" xfId="4195"/>
    <cellStyle name="Normal 4 6 2 4" xfId="7537"/>
    <cellStyle name="Normal 4 6 2 4 2" xfId="18350"/>
    <cellStyle name="Normal 4 6 2 4 3" xfId="17674"/>
    <cellStyle name="Normal 4 6 2 4_FC with allocations" xfId="26205"/>
    <cellStyle name="Normal 4 6 2 5" xfId="17167"/>
    <cellStyle name="Normal 4 6 2_FC with allocations" xfId="26203"/>
    <cellStyle name="Normal 4 6 3" xfId="2148"/>
    <cellStyle name="Normal 4 6 3 2" xfId="4197"/>
    <cellStyle name="Normal 4 6 3 3" xfId="7538"/>
    <cellStyle name="Normal 4 6 3 3 2" xfId="18351"/>
    <cellStyle name="Normal 4 6 3 3 3" xfId="17676"/>
    <cellStyle name="Normal 4 6 3 3_FC with allocations" xfId="26207"/>
    <cellStyle name="Normal 4 6 3 4" xfId="17169"/>
    <cellStyle name="Normal 4 6 3_FC with allocations" xfId="26206"/>
    <cellStyle name="Normal 4 6 4" xfId="4194"/>
    <cellStyle name="Normal 4 6 5" xfId="7536"/>
    <cellStyle name="Normal 4 6 5 2" xfId="18349"/>
    <cellStyle name="Normal 4 6 5 3" xfId="17673"/>
    <cellStyle name="Normal 4 6 5_FC with allocations" xfId="26208"/>
    <cellStyle name="Normal 4 6 6" xfId="17166"/>
    <cellStyle name="Normal 4 6_FC with allocations" xfId="26202"/>
    <cellStyle name="Normal 4 7" xfId="2149"/>
    <cellStyle name="Normal 4 7 2" xfId="2150"/>
    <cellStyle name="Normal 4 7 2 2" xfId="2151"/>
    <cellStyle name="Normal 4 7 2 2 2" xfId="4200"/>
    <cellStyle name="Normal 4 7 2 2 3" xfId="17679"/>
    <cellStyle name="Normal 4 7 2 2 4" xfId="17172"/>
    <cellStyle name="Normal 4 7 2 2_FC with allocations" xfId="26211"/>
    <cellStyle name="Normal 4 7 2 3" xfId="4199"/>
    <cellStyle name="Normal 4 7 2 4" xfId="7540"/>
    <cellStyle name="Normal 4 7 2 4 2" xfId="18353"/>
    <cellStyle name="Normal 4 7 2 4 3" xfId="17678"/>
    <cellStyle name="Normal 4 7 2 4_FC with allocations" xfId="26212"/>
    <cellStyle name="Normal 4 7 2 5" xfId="17171"/>
    <cellStyle name="Normal 4 7 2_FC with allocations" xfId="26210"/>
    <cellStyle name="Normal 4 7 3" xfId="2152"/>
    <cellStyle name="Normal 4 7 3 2" xfId="4201"/>
    <cellStyle name="Normal 4 7 3 3" xfId="7541"/>
    <cellStyle name="Normal 4 7 3 3 2" xfId="18354"/>
    <cellStyle name="Normal 4 7 3 3 3" xfId="17680"/>
    <cellStyle name="Normal 4 7 3 3_FC with allocations" xfId="26214"/>
    <cellStyle name="Normal 4 7 3 4" xfId="17173"/>
    <cellStyle name="Normal 4 7 3_FC with allocations" xfId="26213"/>
    <cellStyle name="Normal 4 7 4" xfId="4198"/>
    <cellStyle name="Normal 4 7 5" xfId="7539"/>
    <cellStyle name="Normal 4 7 5 2" xfId="18352"/>
    <cellStyle name="Normal 4 7 5 3" xfId="17677"/>
    <cellStyle name="Normal 4 7 5_FC with allocations" xfId="26215"/>
    <cellStyle name="Normal 4 7 6" xfId="17170"/>
    <cellStyle name="Normal 4 7_FC with allocations" xfId="26209"/>
    <cellStyle name="Normal 4 8" xfId="2153"/>
    <cellStyle name="Normal 4 8 2" xfId="2154"/>
    <cellStyle name="Normal 4 8 2 2" xfId="4203"/>
    <cellStyle name="Normal 4 8 2 3" xfId="7543"/>
    <cellStyle name="Normal 4 8 2 3 2" xfId="18356"/>
    <cellStyle name="Normal 4 8 2 3 3" xfId="17682"/>
    <cellStyle name="Normal 4 8 2 3_FC with allocations" xfId="26218"/>
    <cellStyle name="Normal 4 8 2 4" xfId="17175"/>
    <cellStyle name="Normal 4 8 2_FC with allocations" xfId="26217"/>
    <cellStyle name="Normal 4 8 3" xfId="4202"/>
    <cellStyle name="Normal 4 8 3 2" xfId="7544"/>
    <cellStyle name="Normal 4 8 3_FC with allocations" xfId="26219"/>
    <cellStyle name="Normal 4 8 4" xfId="7542"/>
    <cellStyle name="Normal 4 8 4 2" xfId="18355"/>
    <cellStyle name="Normal 4 8 4 3" xfId="17681"/>
    <cellStyle name="Normal 4 8 4_FC with allocations" xfId="26220"/>
    <cellStyle name="Normal 4 8 5" xfId="17174"/>
    <cellStyle name="Normal 4 8_FC with allocations" xfId="26216"/>
    <cellStyle name="Normal 4 9" xfId="2155"/>
    <cellStyle name="Normal 4 9 2" xfId="4204"/>
    <cellStyle name="Normal 4 9 2 2" xfId="7546"/>
    <cellStyle name="Normal 4 9 2_FC with allocations" xfId="26222"/>
    <cellStyle name="Normal 4 9 3" xfId="7547"/>
    <cellStyle name="Normal 4 9 3 2" xfId="18357"/>
    <cellStyle name="Normal 4 9 3 3" xfId="17683"/>
    <cellStyle name="Normal 4 9 3_FC with allocations" xfId="26223"/>
    <cellStyle name="Normal 4 9 4" xfId="7545"/>
    <cellStyle name="Normal 4 9 5" xfId="17176"/>
    <cellStyle name="Normal 4 9_FC with allocations" xfId="26221"/>
    <cellStyle name="Normal 4_Customers" xfId="2156"/>
    <cellStyle name="Normal 40" xfId="2157"/>
    <cellStyle name="Normal 40 2" xfId="2158"/>
    <cellStyle name="Normal 40 2 2" xfId="7549"/>
    <cellStyle name="Normal 40 2_FC with allocations" xfId="26225"/>
    <cellStyle name="Normal 40 3" xfId="2159"/>
    <cellStyle name="Normal 40 3 2" xfId="4205"/>
    <cellStyle name="Normal 40 3 3" xfId="7550"/>
    <cellStyle name="Normal 40 3 3 2" xfId="18358"/>
    <cellStyle name="Normal 40 3 3 3" xfId="17684"/>
    <cellStyle name="Normal 40 3 3_FC with allocations" xfId="26227"/>
    <cellStyle name="Normal 40 3 4" xfId="17177"/>
    <cellStyle name="Normal 40 3_FC with allocations" xfId="26226"/>
    <cellStyle name="Normal 40 4" xfId="7548"/>
    <cellStyle name="Normal 40_FC with allocations" xfId="26224"/>
    <cellStyle name="Normal 41" xfId="2160"/>
    <cellStyle name="Normal 41 2" xfId="2161"/>
    <cellStyle name="Normal 41 2 2" xfId="7553"/>
    <cellStyle name="Normal 41 2 3" xfId="7552"/>
    <cellStyle name="Normal 41 2_FC with allocations" xfId="26229"/>
    <cellStyle name="Normal 41 3" xfId="2162"/>
    <cellStyle name="Normal 41 3 2" xfId="4206"/>
    <cellStyle name="Normal 41 3 3" xfId="7554"/>
    <cellStyle name="Normal 41 3 3 2" xfId="18359"/>
    <cellStyle name="Normal 41 3 3 3" xfId="17685"/>
    <cellStyle name="Normal 41 3 3_FC with allocations" xfId="26231"/>
    <cellStyle name="Normal 41 3 4" xfId="17178"/>
    <cellStyle name="Normal 41 3_FC with allocations" xfId="26230"/>
    <cellStyle name="Normal 41 4" xfId="7551"/>
    <cellStyle name="Normal 41_FC with allocations" xfId="26228"/>
    <cellStyle name="Normal 42" xfId="2163"/>
    <cellStyle name="Normal 42 2" xfId="2164"/>
    <cellStyle name="Normal 42 2 2" xfId="7556"/>
    <cellStyle name="Normal 42 2_FC with allocations" xfId="26233"/>
    <cellStyle name="Normal 42 3" xfId="2165"/>
    <cellStyle name="Normal 42 3 2" xfId="4207"/>
    <cellStyle name="Normal 42 3 3" xfId="7557"/>
    <cellStyle name="Normal 42 3 3 2" xfId="18360"/>
    <cellStyle name="Normal 42 3 3 3" xfId="17686"/>
    <cellStyle name="Normal 42 3 3_FC with allocations" xfId="26235"/>
    <cellStyle name="Normal 42 3 4" xfId="17179"/>
    <cellStyle name="Normal 42 3_FC with allocations" xfId="26234"/>
    <cellStyle name="Normal 42 4" xfId="7555"/>
    <cellStyle name="Normal 42_FC with allocations" xfId="26232"/>
    <cellStyle name="Normal 43" xfId="2166"/>
    <cellStyle name="Normal 43 2" xfId="2167"/>
    <cellStyle name="Normal 43 2 2" xfId="7559"/>
    <cellStyle name="Normal 43 2_FC with allocations" xfId="26237"/>
    <cellStyle name="Normal 43 3" xfId="2168"/>
    <cellStyle name="Normal 43 3 2" xfId="4208"/>
    <cellStyle name="Normal 43 3 3" xfId="7560"/>
    <cellStyle name="Normal 43 3 3 2" xfId="18361"/>
    <cellStyle name="Normal 43 3 3 3" xfId="17687"/>
    <cellStyle name="Normal 43 3 3_FC with allocations" xfId="26239"/>
    <cellStyle name="Normal 43 3 4" xfId="17180"/>
    <cellStyle name="Normal 43 3_FC with allocations" xfId="26238"/>
    <cellStyle name="Normal 43 4" xfId="7558"/>
    <cellStyle name="Normal 43_FC with allocations" xfId="26236"/>
    <cellStyle name="Normal 44" xfId="2169"/>
    <cellStyle name="Normal 44 2" xfId="2170"/>
    <cellStyle name="Normal 44 2 2" xfId="7562"/>
    <cellStyle name="Normal 44 2_FC with allocations" xfId="26241"/>
    <cellStyle name="Normal 44 3" xfId="2171"/>
    <cellStyle name="Normal 44 3 2" xfId="4209"/>
    <cellStyle name="Normal 44 3 3" xfId="7563"/>
    <cellStyle name="Normal 44 3 3 2" xfId="18362"/>
    <cellStyle name="Normal 44 3 3 3" xfId="17688"/>
    <cellStyle name="Normal 44 3 3_FC with allocations" xfId="26243"/>
    <cellStyle name="Normal 44 3 4" xfId="17181"/>
    <cellStyle name="Normal 44 3_FC with allocations" xfId="26242"/>
    <cellStyle name="Normal 44 4" xfId="7561"/>
    <cellStyle name="Normal 44_FC with allocations" xfId="26240"/>
    <cellStyle name="Normal 45" xfId="2172"/>
    <cellStyle name="Normal 45 10" xfId="7565"/>
    <cellStyle name="Normal 45 10 2" xfId="7566"/>
    <cellStyle name="Normal 45 10 2 2" xfId="7567"/>
    <cellStyle name="Normal 45 10 2 2 2" xfId="7568"/>
    <cellStyle name="Normal 45 10 2 2 2 2" xfId="7569"/>
    <cellStyle name="Normal 45 10 2 2 2 2 2" xfId="7570"/>
    <cellStyle name="Normal 45 10 2 2 2 2_FC with allocations" xfId="26249"/>
    <cellStyle name="Normal 45 10 2 2 2 3" xfId="7571"/>
    <cellStyle name="Normal 45 10 2 2 2_FC with allocations" xfId="26248"/>
    <cellStyle name="Normal 45 10 2 2 3" xfId="7572"/>
    <cellStyle name="Normal 45 10 2 2 3 2" xfId="7573"/>
    <cellStyle name="Normal 45 10 2 2 3_FC with allocations" xfId="26250"/>
    <cellStyle name="Normal 45 10 2 2 4" xfId="7574"/>
    <cellStyle name="Normal 45 10 2 2_FC with allocations" xfId="26247"/>
    <cellStyle name="Normal 45 10 2 3" xfId="7575"/>
    <cellStyle name="Normal 45 10 2 3 2" xfId="7576"/>
    <cellStyle name="Normal 45 10 2 3 2 2" xfId="7577"/>
    <cellStyle name="Normal 45 10 2 3 2_FC with allocations" xfId="26252"/>
    <cellStyle name="Normal 45 10 2 3 3" xfId="7578"/>
    <cellStyle name="Normal 45 10 2 3_FC with allocations" xfId="26251"/>
    <cellStyle name="Normal 45 10 2 4" xfId="7579"/>
    <cellStyle name="Normal 45 10 2 4 2" xfId="7580"/>
    <cellStyle name="Normal 45 10 2 4_FC with allocations" xfId="26253"/>
    <cellStyle name="Normal 45 10 2 5" xfId="7581"/>
    <cellStyle name="Normal 45 10 2_FC with allocations" xfId="26246"/>
    <cellStyle name="Normal 45 10 3" xfId="7582"/>
    <cellStyle name="Normal 45 10 3 2" xfId="7583"/>
    <cellStyle name="Normal 45 10 3 2 2" xfId="7584"/>
    <cellStyle name="Normal 45 10 3 2 2 2" xfId="7585"/>
    <cellStyle name="Normal 45 10 3 2 2 2 2" xfId="7586"/>
    <cellStyle name="Normal 45 10 3 2 2 2_FC with allocations" xfId="26257"/>
    <cellStyle name="Normal 45 10 3 2 2 3" xfId="7587"/>
    <cellStyle name="Normal 45 10 3 2 2_FC with allocations" xfId="26256"/>
    <cellStyle name="Normal 45 10 3 2 3" xfId="7588"/>
    <cellStyle name="Normal 45 10 3 2 3 2" xfId="7589"/>
    <cellStyle name="Normal 45 10 3 2 3_FC with allocations" xfId="26258"/>
    <cellStyle name="Normal 45 10 3 2 4" xfId="7590"/>
    <cellStyle name="Normal 45 10 3 2_FC with allocations" xfId="26255"/>
    <cellStyle name="Normal 45 10 3 3" xfId="7591"/>
    <cellStyle name="Normal 45 10 3 3 2" xfId="7592"/>
    <cellStyle name="Normal 45 10 3 3 2 2" xfId="7593"/>
    <cellStyle name="Normal 45 10 3 3 2_FC with allocations" xfId="26260"/>
    <cellStyle name="Normal 45 10 3 3 3" xfId="7594"/>
    <cellStyle name="Normal 45 10 3 3_FC with allocations" xfId="26259"/>
    <cellStyle name="Normal 45 10 3 4" xfId="7595"/>
    <cellStyle name="Normal 45 10 3 4 2" xfId="7596"/>
    <cellStyle name="Normal 45 10 3 4_FC with allocations" xfId="26261"/>
    <cellStyle name="Normal 45 10 3 5" xfId="7597"/>
    <cellStyle name="Normal 45 10 3_FC with allocations" xfId="26254"/>
    <cellStyle name="Normal 45 10 4" xfId="7598"/>
    <cellStyle name="Normal 45 10 4 2" xfId="7599"/>
    <cellStyle name="Normal 45 10 4 2 2" xfId="7600"/>
    <cellStyle name="Normal 45 10 4 2 2 2" xfId="7601"/>
    <cellStyle name="Normal 45 10 4 2 2_FC with allocations" xfId="26264"/>
    <cellStyle name="Normal 45 10 4 2 3" xfId="7602"/>
    <cellStyle name="Normal 45 10 4 2_FC with allocations" xfId="26263"/>
    <cellStyle name="Normal 45 10 4 3" xfId="7603"/>
    <cellStyle name="Normal 45 10 4 3 2" xfId="7604"/>
    <cellStyle name="Normal 45 10 4 3_FC with allocations" xfId="26265"/>
    <cellStyle name="Normal 45 10 4 4" xfId="7605"/>
    <cellStyle name="Normal 45 10 4_FC with allocations" xfId="26262"/>
    <cellStyle name="Normal 45 10 5" xfId="7606"/>
    <cellStyle name="Normal 45 10 5 2" xfId="7607"/>
    <cellStyle name="Normal 45 10 5 2 2" xfId="7608"/>
    <cellStyle name="Normal 45 10 5 2_FC with allocations" xfId="26267"/>
    <cellStyle name="Normal 45 10 5 3" xfId="7609"/>
    <cellStyle name="Normal 45 10 5_FC with allocations" xfId="26266"/>
    <cellStyle name="Normal 45 10 6" xfId="7610"/>
    <cellStyle name="Normal 45 10 6 2" xfId="7611"/>
    <cellStyle name="Normal 45 10 6 2 2" xfId="7612"/>
    <cellStyle name="Normal 45 10 6 2_FC with allocations" xfId="26269"/>
    <cellStyle name="Normal 45 10 6 3" xfId="7613"/>
    <cellStyle name="Normal 45 10 6_FC with allocations" xfId="26268"/>
    <cellStyle name="Normal 45 10 7" xfId="7614"/>
    <cellStyle name="Normal 45 10 7 2" xfId="7615"/>
    <cellStyle name="Normal 45 10 7_FC with allocations" xfId="26270"/>
    <cellStyle name="Normal 45 10 8" xfId="7616"/>
    <cellStyle name="Normal 45 10_FC with allocations" xfId="26245"/>
    <cellStyle name="Normal 45 11" xfId="7617"/>
    <cellStyle name="Normal 45 11 2" xfId="7618"/>
    <cellStyle name="Normal 45 11 2 2" xfId="7619"/>
    <cellStyle name="Normal 45 11 2 2 2" xfId="7620"/>
    <cellStyle name="Normal 45 11 2 2 2 2" xfId="7621"/>
    <cellStyle name="Normal 45 11 2 2 2 2 2" xfId="7622"/>
    <cellStyle name="Normal 45 11 2 2 2 2_FC with allocations" xfId="26275"/>
    <cellStyle name="Normal 45 11 2 2 2 3" xfId="7623"/>
    <cellStyle name="Normal 45 11 2 2 2_FC with allocations" xfId="26274"/>
    <cellStyle name="Normal 45 11 2 2 3" xfId="7624"/>
    <cellStyle name="Normal 45 11 2 2 3 2" xfId="7625"/>
    <cellStyle name="Normal 45 11 2 2 3_FC with allocations" xfId="26276"/>
    <cellStyle name="Normal 45 11 2 2 4" xfId="7626"/>
    <cellStyle name="Normal 45 11 2 2_FC with allocations" xfId="26273"/>
    <cellStyle name="Normal 45 11 2 3" xfId="7627"/>
    <cellStyle name="Normal 45 11 2 3 2" xfId="7628"/>
    <cellStyle name="Normal 45 11 2 3 2 2" xfId="7629"/>
    <cellStyle name="Normal 45 11 2 3 2_FC with allocations" xfId="26278"/>
    <cellStyle name="Normal 45 11 2 3 3" xfId="7630"/>
    <cellStyle name="Normal 45 11 2 3_FC with allocations" xfId="26277"/>
    <cellStyle name="Normal 45 11 2 4" xfId="7631"/>
    <cellStyle name="Normal 45 11 2 4 2" xfId="7632"/>
    <cellStyle name="Normal 45 11 2 4_FC with allocations" xfId="26279"/>
    <cellStyle name="Normal 45 11 2 5" xfId="7633"/>
    <cellStyle name="Normal 45 11 2_FC with allocations" xfId="26272"/>
    <cellStyle name="Normal 45 11 3" xfId="7634"/>
    <cellStyle name="Normal 45 11 3 2" xfId="7635"/>
    <cellStyle name="Normal 45 11 3 2 2" xfId="7636"/>
    <cellStyle name="Normal 45 11 3 2 2 2" xfId="7637"/>
    <cellStyle name="Normal 45 11 3 2 2 2 2" xfId="7638"/>
    <cellStyle name="Normal 45 11 3 2 2 2_FC with allocations" xfId="26283"/>
    <cellStyle name="Normal 45 11 3 2 2 3" xfId="7639"/>
    <cellStyle name="Normal 45 11 3 2 2_FC with allocations" xfId="26282"/>
    <cellStyle name="Normal 45 11 3 2 3" xfId="7640"/>
    <cellStyle name="Normal 45 11 3 2 3 2" xfId="7641"/>
    <cellStyle name="Normal 45 11 3 2 3_FC with allocations" xfId="26284"/>
    <cellStyle name="Normal 45 11 3 2 4" xfId="7642"/>
    <cellStyle name="Normal 45 11 3 2_FC with allocations" xfId="26281"/>
    <cellStyle name="Normal 45 11 3 3" xfId="7643"/>
    <cellStyle name="Normal 45 11 3 3 2" xfId="7644"/>
    <cellStyle name="Normal 45 11 3 3 2 2" xfId="7645"/>
    <cellStyle name="Normal 45 11 3 3 2_FC with allocations" xfId="26286"/>
    <cellStyle name="Normal 45 11 3 3 3" xfId="7646"/>
    <cellStyle name="Normal 45 11 3 3_FC with allocations" xfId="26285"/>
    <cellStyle name="Normal 45 11 3 4" xfId="7647"/>
    <cellStyle name="Normal 45 11 3 4 2" xfId="7648"/>
    <cellStyle name="Normal 45 11 3 4_FC with allocations" xfId="26287"/>
    <cellStyle name="Normal 45 11 3 5" xfId="7649"/>
    <cellStyle name="Normal 45 11 3_FC with allocations" xfId="26280"/>
    <cellStyle name="Normal 45 11 4" xfId="7650"/>
    <cellStyle name="Normal 45 11 4 2" xfId="7651"/>
    <cellStyle name="Normal 45 11 4 2 2" xfId="7652"/>
    <cellStyle name="Normal 45 11 4 2 2 2" xfId="7653"/>
    <cellStyle name="Normal 45 11 4 2 2_FC with allocations" xfId="26290"/>
    <cellStyle name="Normal 45 11 4 2 3" xfId="7654"/>
    <cellStyle name="Normal 45 11 4 2_FC with allocations" xfId="26289"/>
    <cellStyle name="Normal 45 11 4 3" xfId="7655"/>
    <cellStyle name="Normal 45 11 4 3 2" xfId="7656"/>
    <cellStyle name="Normal 45 11 4 3_FC with allocations" xfId="26291"/>
    <cellStyle name="Normal 45 11 4 4" xfId="7657"/>
    <cellStyle name="Normal 45 11 4_FC with allocations" xfId="26288"/>
    <cellStyle name="Normal 45 11 5" xfId="7658"/>
    <cellStyle name="Normal 45 11 5 2" xfId="7659"/>
    <cellStyle name="Normal 45 11 5 2 2" xfId="7660"/>
    <cellStyle name="Normal 45 11 5 2_FC with allocations" xfId="26293"/>
    <cellStyle name="Normal 45 11 5 3" xfId="7661"/>
    <cellStyle name="Normal 45 11 5_FC with allocations" xfId="26292"/>
    <cellStyle name="Normal 45 11 6" xfId="7662"/>
    <cellStyle name="Normal 45 11 6 2" xfId="7663"/>
    <cellStyle name="Normal 45 11 6 2 2" xfId="7664"/>
    <cellStyle name="Normal 45 11 6 2_FC with allocations" xfId="26295"/>
    <cellStyle name="Normal 45 11 6 3" xfId="7665"/>
    <cellStyle name="Normal 45 11 6_FC with allocations" xfId="26294"/>
    <cellStyle name="Normal 45 11 7" xfId="7666"/>
    <cellStyle name="Normal 45 11 7 2" xfId="7667"/>
    <cellStyle name="Normal 45 11 7_FC with allocations" xfId="26296"/>
    <cellStyle name="Normal 45 11 8" xfId="7668"/>
    <cellStyle name="Normal 45 11_FC with allocations" xfId="26271"/>
    <cellStyle name="Normal 45 12" xfId="7669"/>
    <cellStyle name="Normal 45 12 2" xfId="7670"/>
    <cellStyle name="Normal 45 12 2 2" xfId="7671"/>
    <cellStyle name="Normal 45 12 2 2 2" xfId="7672"/>
    <cellStyle name="Normal 45 12 2 2 2 2" xfId="7673"/>
    <cellStyle name="Normal 45 12 2 2 2 2 2" xfId="7674"/>
    <cellStyle name="Normal 45 12 2 2 2 2_FC with allocations" xfId="26301"/>
    <cellStyle name="Normal 45 12 2 2 2 3" xfId="7675"/>
    <cellStyle name="Normal 45 12 2 2 2_FC with allocations" xfId="26300"/>
    <cellStyle name="Normal 45 12 2 2 3" xfId="7676"/>
    <cellStyle name="Normal 45 12 2 2 3 2" xfId="7677"/>
    <cellStyle name="Normal 45 12 2 2 3_FC with allocations" xfId="26302"/>
    <cellStyle name="Normal 45 12 2 2 4" xfId="7678"/>
    <cellStyle name="Normal 45 12 2 2_FC with allocations" xfId="26299"/>
    <cellStyle name="Normal 45 12 2 3" xfId="7679"/>
    <cellStyle name="Normal 45 12 2 3 2" xfId="7680"/>
    <cellStyle name="Normal 45 12 2 3 2 2" xfId="7681"/>
    <cellStyle name="Normal 45 12 2 3 2_FC with allocations" xfId="26304"/>
    <cellStyle name="Normal 45 12 2 3 3" xfId="7682"/>
    <cellStyle name="Normal 45 12 2 3_FC with allocations" xfId="26303"/>
    <cellStyle name="Normal 45 12 2 4" xfId="7683"/>
    <cellStyle name="Normal 45 12 2 4 2" xfId="7684"/>
    <cellStyle name="Normal 45 12 2 4_FC with allocations" xfId="26305"/>
    <cellStyle name="Normal 45 12 2 5" xfId="7685"/>
    <cellStyle name="Normal 45 12 2_FC with allocations" xfId="26298"/>
    <cellStyle name="Normal 45 12 3" xfId="7686"/>
    <cellStyle name="Normal 45 12 3 2" xfId="7687"/>
    <cellStyle name="Normal 45 12 3 2 2" xfId="7688"/>
    <cellStyle name="Normal 45 12 3 2 2 2" xfId="7689"/>
    <cellStyle name="Normal 45 12 3 2 2 2 2" xfId="7690"/>
    <cellStyle name="Normal 45 12 3 2 2 2_FC with allocations" xfId="26309"/>
    <cellStyle name="Normal 45 12 3 2 2 3" xfId="7691"/>
    <cellStyle name="Normal 45 12 3 2 2_FC with allocations" xfId="26308"/>
    <cellStyle name="Normal 45 12 3 2 3" xfId="7692"/>
    <cellStyle name="Normal 45 12 3 2 3 2" xfId="7693"/>
    <cellStyle name="Normal 45 12 3 2 3_FC with allocations" xfId="26310"/>
    <cellStyle name="Normal 45 12 3 2 4" xfId="7694"/>
    <cellStyle name="Normal 45 12 3 2_FC with allocations" xfId="26307"/>
    <cellStyle name="Normal 45 12 3 3" xfId="7695"/>
    <cellStyle name="Normal 45 12 3 3 2" xfId="7696"/>
    <cellStyle name="Normal 45 12 3 3 2 2" xfId="7697"/>
    <cellStyle name="Normal 45 12 3 3 2_FC with allocations" xfId="26312"/>
    <cellStyle name="Normal 45 12 3 3 3" xfId="7698"/>
    <cellStyle name="Normal 45 12 3 3_FC with allocations" xfId="26311"/>
    <cellStyle name="Normal 45 12 3 4" xfId="7699"/>
    <cellStyle name="Normal 45 12 3 4 2" xfId="7700"/>
    <cellStyle name="Normal 45 12 3 4_FC with allocations" xfId="26313"/>
    <cellStyle name="Normal 45 12 3 5" xfId="7701"/>
    <cellStyle name="Normal 45 12 3_FC with allocations" xfId="26306"/>
    <cellStyle name="Normal 45 12 4" xfId="7702"/>
    <cellStyle name="Normal 45 12 4 2" xfId="7703"/>
    <cellStyle name="Normal 45 12 4 2 2" xfId="7704"/>
    <cellStyle name="Normal 45 12 4 2 2 2" xfId="7705"/>
    <cellStyle name="Normal 45 12 4 2 2_FC with allocations" xfId="26316"/>
    <cellStyle name="Normal 45 12 4 2 3" xfId="7706"/>
    <cellStyle name="Normal 45 12 4 2_FC with allocations" xfId="26315"/>
    <cellStyle name="Normal 45 12 4 3" xfId="7707"/>
    <cellStyle name="Normal 45 12 4 3 2" xfId="7708"/>
    <cellStyle name="Normal 45 12 4 3_FC with allocations" xfId="26317"/>
    <cellStyle name="Normal 45 12 4 4" xfId="7709"/>
    <cellStyle name="Normal 45 12 4_FC with allocations" xfId="26314"/>
    <cellStyle name="Normal 45 12 5" xfId="7710"/>
    <cellStyle name="Normal 45 12 5 2" xfId="7711"/>
    <cellStyle name="Normal 45 12 5 2 2" xfId="7712"/>
    <cellStyle name="Normal 45 12 5 2_FC with allocations" xfId="26319"/>
    <cellStyle name="Normal 45 12 5 3" xfId="7713"/>
    <cellStyle name="Normal 45 12 5_FC with allocations" xfId="26318"/>
    <cellStyle name="Normal 45 12 6" xfId="7714"/>
    <cellStyle name="Normal 45 12 6 2" xfId="7715"/>
    <cellStyle name="Normal 45 12 6 2 2" xfId="7716"/>
    <cellStyle name="Normal 45 12 6 2_FC with allocations" xfId="26321"/>
    <cellStyle name="Normal 45 12 6 3" xfId="7717"/>
    <cellStyle name="Normal 45 12 6_FC with allocations" xfId="26320"/>
    <cellStyle name="Normal 45 12 7" xfId="7718"/>
    <cellStyle name="Normal 45 12 7 2" xfId="7719"/>
    <cellStyle name="Normal 45 12 7_FC with allocations" xfId="26322"/>
    <cellStyle name="Normal 45 12 8" xfId="7720"/>
    <cellStyle name="Normal 45 12_FC with allocations" xfId="26297"/>
    <cellStyle name="Normal 45 13" xfId="7721"/>
    <cellStyle name="Normal 45 13 2" xfId="7722"/>
    <cellStyle name="Normal 45 13 2 2" xfId="7723"/>
    <cellStyle name="Normal 45 13 2 2 2" xfId="7724"/>
    <cellStyle name="Normal 45 13 2 2 2 2" xfId="7725"/>
    <cellStyle name="Normal 45 13 2 2 2 2 2" xfId="7726"/>
    <cellStyle name="Normal 45 13 2 2 2 2_FC with allocations" xfId="26327"/>
    <cellStyle name="Normal 45 13 2 2 2 3" xfId="7727"/>
    <cellStyle name="Normal 45 13 2 2 2_FC with allocations" xfId="26326"/>
    <cellStyle name="Normal 45 13 2 2 3" xfId="7728"/>
    <cellStyle name="Normal 45 13 2 2 3 2" xfId="7729"/>
    <cellStyle name="Normal 45 13 2 2 3_FC with allocations" xfId="26328"/>
    <cellStyle name="Normal 45 13 2 2 4" xfId="7730"/>
    <cellStyle name="Normal 45 13 2 2_FC with allocations" xfId="26325"/>
    <cellStyle name="Normal 45 13 2 3" xfId="7731"/>
    <cellStyle name="Normal 45 13 2 3 2" xfId="7732"/>
    <cellStyle name="Normal 45 13 2 3 2 2" xfId="7733"/>
    <cellStyle name="Normal 45 13 2 3 2_FC with allocations" xfId="26330"/>
    <cellStyle name="Normal 45 13 2 3 3" xfId="7734"/>
    <cellStyle name="Normal 45 13 2 3_FC with allocations" xfId="26329"/>
    <cellStyle name="Normal 45 13 2 4" xfId="7735"/>
    <cellStyle name="Normal 45 13 2 4 2" xfId="7736"/>
    <cellStyle name="Normal 45 13 2 4_FC with allocations" xfId="26331"/>
    <cellStyle name="Normal 45 13 2 5" xfId="7737"/>
    <cellStyle name="Normal 45 13 2_FC with allocations" xfId="26324"/>
    <cellStyle name="Normal 45 13 3" xfId="7738"/>
    <cellStyle name="Normal 45 13 3 2" xfId="7739"/>
    <cellStyle name="Normal 45 13 3 2 2" xfId="7740"/>
    <cellStyle name="Normal 45 13 3 2 2 2" xfId="7741"/>
    <cellStyle name="Normal 45 13 3 2 2 2 2" xfId="7742"/>
    <cellStyle name="Normal 45 13 3 2 2 2_FC with allocations" xfId="26335"/>
    <cellStyle name="Normal 45 13 3 2 2 3" xfId="7743"/>
    <cellStyle name="Normal 45 13 3 2 2_FC with allocations" xfId="26334"/>
    <cellStyle name="Normal 45 13 3 2 3" xfId="7744"/>
    <cellStyle name="Normal 45 13 3 2 3 2" xfId="7745"/>
    <cellStyle name="Normal 45 13 3 2 3_FC with allocations" xfId="26336"/>
    <cellStyle name="Normal 45 13 3 2 4" xfId="7746"/>
    <cellStyle name="Normal 45 13 3 2_FC with allocations" xfId="26333"/>
    <cellStyle name="Normal 45 13 3 3" xfId="7747"/>
    <cellStyle name="Normal 45 13 3 3 2" xfId="7748"/>
    <cellStyle name="Normal 45 13 3 3 2 2" xfId="7749"/>
    <cellStyle name="Normal 45 13 3 3 2_FC with allocations" xfId="26338"/>
    <cellStyle name="Normal 45 13 3 3 3" xfId="7750"/>
    <cellStyle name="Normal 45 13 3 3_FC with allocations" xfId="26337"/>
    <cellStyle name="Normal 45 13 3 4" xfId="7751"/>
    <cellStyle name="Normal 45 13 3 4 2" xfId="7752"/>
    <cellStyle name="Normal 45 13 3 4_FC with allocations" xfId="26339"/>
    <cellStyle name="Normal 45 13 3 5" xfId="7753"/>
    <cellStyle name="Normal 45 13 3_FC with allocations" xfId="26332"/>
    <cellStyle name="Normal 45 13 4" xfId="7754"/>
    <cellStyle name="Normal 45 13 4 2" xfId="7755"/>
    <cellStyle name="Normal 45 13 4 2 2" xfId="7756"/>
    <cellStyle name="Normal 45 13 4 2 2 2" xfId="7757"/>
    <cellStyle name="Normal 45 13 4 2 2_FC with allocations" xfId="26342"/>
    <cellStyle name="Normal 45 13 4 2 3" xfId="7758"/>
    <cellStyle name="Normal 45 13 4 2_FC with allocations" xfId="26341"/>
    <cellStyle name="Normal 45 13 4 3" xfId="7759"/>
    <cellStyle name="Normal 45 13 4 3 2" xfId="7760"/>
    <cellStyle name="Normal 45 13 4 3_FC with allocations" xfId="26343"/>
    <cellStyle name="Normal 45 13 4 4" xfId="7761"/>
    <cellStyle name="Normal 45 13 4_FC with allocations" xfId="26340"/>
    <cellStyle name="Normal 45 13 5" xfId="7762"/>
    <cellStyle name="Normal 45 13 5 2" xfId="7763"/>
    <cellStyle name="Normal 45 13 5 2 2" xfId="7764"/>
    <cellStyle name="Normal 45 13 5 2_FC with allocations" xfId="26345"/>
    <cellStyle name="Normal 45 13 5 3" xfId="7765"/>
    <cellStyle name="Normal 45 13 5_FC with allocations" xfId="26344"/>
    <cellStyle name="Normal 45 13 6" xfId="7766"/>
    <cellStyle name="Normal 45 13 6 2" xfId="7767"/>
    <cellStyle name="Normal 45 13 6 2 2" xfId="7768"/>
    <cellStyle name="Normal 45 13 6 2_FC with allocations" xfId="26347"/>
    <cellStyle name="Normal 45 13 6 3" xfId="7769"/>
    <cellStyle name="Normal 45 13 6_FC with allocations" xfId="26346"/>
    <cellStyle name="Normal 45 13 7" xfId="7770"/>
    <cellStyle name="Normal 45 13 7 2" xfId="7771"/>
    <cellStyle name="Normal 45 13 7_FC with allocations" xfId="26348"/>
    <cellStyle name="Normal 45 13 8" xfId="7772"/>
    <cellStyle name="Normal 45 13_FC with allocations" xfId="26323"/>
    <cellStyle name="Normal 45 14" xfId="7773"/>
    <cellStyle name="Normal 45 14 2" xfId="7774"/>
    <cellStyle name="Normal 45 14 2 2" xfId="7775"/>
    <cellStyle name="Normal 45 14 2 2 2" xfId="7776"/>
    <cellStyle name="Normal 45 14 2 2 2 2" xfId="7777"/>
    <cellStyle name="Normal 45 14 2 2 2 2 2" xfId="7778"/>
    <cellStyle name="Normal 45 14 2 2 2 2_FC with allocations" xfId="26353"/>
    <cellStyle name="Normal 45 14 2 2 2 3" xfId="7779"/>
    <cellStyle name="Normal 45 14 2 2 2_FC with allocations" xfId="26352"/>
    <cellStyle name="Normal 45 14 2 2 3" xfId="7780"/>
    <cellStyle name="Normal 45 14 2 2 3 2" xfId="7781"/>
    <cellStyle name="Normal 45 14 2 2 3_FC with allocations" xfId="26354"/>
    <cellStyle name="Normal 45 14 2 2 4" xfId="7782"/>
    <cellStyle name="Normal 45 14 2 2_FC with allocations" xfId="26351"/>
    <cellStyle name="Normal 45 14 2 3" xfId="7783"/>
    <cellStyle name="Normal 45 14 2 3 2" xfId="7784"/>
    <cellStyle name="Normal 45 14 2 3 2 2" xfId="7785"/>
    <cellStyle name="Normal 45 14 2 3 2_FC with allocations" xfId="26356"/>
    <cellStyle name="Normal 45 14 2 3 3" xfId="7786"/>
    <cellStyle name="Normal 45 14 2 3_FC with allocations" xfId="26355"/>
    <cellStyle name="Normal 45 14 2 4" xfId="7787"/>
    <cellStyle name="Normal 45 14 2 4 2" xfId="7788"/>
    <cellStyle name="Normal 45 14 2 4_FC with allocations" xfId="26357"/>
    <cellStyle name="Normal 45 14 2 5" xfId="7789"/>
    <cellStyle name="Normal 45 14 2_FC with allocations" xfId="26350"/>
    <cellStyle name="Normal 45 14 3" xfId="7790"/>
    <cellStyle name="Normal 45 14 3 2" xfId="7791"/>
    <cellStyle name="Normal 45 14 3 2 2" xfId="7792"/>
    <cellStyle name="Normal 45 14 3 2 2 2" xfId="7793"/>
    <cellStyle name="Normal 45 14 3 2 2 2 2" xfId="7794"/>
    <cellStyle name="Normal 45 14 3 2 2 2_FC with allocations" xfId="26361"/>
    <cellStyle name="Normal 45 14 3 2 2 3" xfId="7795"/>
    <cellStyle name="Normal 45 14 3 2 2_FC with allocations" xfId="26360"/>
    <cellStyle name="Normal 45 14 3 2 3" xfId="7796"/>
    <cellStyle name="Normal 45 14 3 2 3 2" xfId="7797"/>
    <cellStyle name="Normal 45 14 3 2 3_FC with allocations" xfId="26362"/>
    <cellStyle name="Normal 45 14 3 2 4" xfId="7798"/>
    <cellStyle name="Normal 45 14 3 2_FC with allocations" xfId="26359"/>
    <cellStyle name="Normal 45 14 3 3" xfId="7799"/>
    <cellStyle name="Normal 45 14 3 3 2" xfId="7800"/>
    <cellStyle name="Normal 45 14 3 3 2 2" xfId="7801"/>
    <cellStyle name="Normal 45 14 3 3 2_FC with allocations" xfId="26364"/>
    <cellStyle name="Normal 45 14 3 3 3" xfId="7802"/>
    <cellStyle name="Normal 45 14 3 3_FC with allocations" xfId="26363"/>
    <cellStyle name="Normal 45 14 3 4" xfId="7803"/>
    <cellStyle name="Normal 45 14 3 4 2" xfId="7804"/>
    <cellStyle name="Normal 45 14 3 4_FC with allocations" xfId="26365"/>
    <cellStyle name="Normal 45 14 3 5" xfId="7805"/>
    <cellStyle name="Normal 45 14 3_FC with allocations" xfId="26358"/>
    <cellStyle name="Normal 45 14 4" xfId="7806"/>
    <cellStyle name="Normal 45 14 4 2" xfId="7807"/>
    <cellStyle name="Normal 45 14 4 2 2" xfId="7808"/>
    <cellStyle name="Normal 45 14 4 2 2 2" xfId="7809"/>
    <cellStyle name="Normal 45 14 4 2 2_FC with allocations" xfId="26368"/>
    <cellStyle name="Normal 45 14 4 2 3" xfId="7810"/>
    <cellStyle name="Normal 45 14 4 2_FC with allocations" xfId="26367"/>
    <cellStyle name="Normal 45 14 4 3" xfId="7811"/>
    <cellStyle name="Normal 45 14 4 3 2" xfId="7812"/>
    <cellStyle name="Normal 45 14 4 3_FC with allocations" xfId="26369"/>
    <cellStyle name="Normal 45 14 4 4" xfId="7813"/>
    <cellStyle name="Normal 45 14 4_FC with allocations" xfId="26366"/>
    <cellStyle name="Normal 45 14 5" xfId="7814"/>
    <cellStyle name="Normal 45 14 5 2" xfId="7815"/>
    <cellStyle name="Normal 45 14 5 2 2" xfId="7816"/>
    <cellStyle name="Normal 45 14 5 2_FC with allocations" xfId="26371"/>
    <cellStyle name="Normal 45 14 5 3" xfId="7817"/>
    <cellStyle name="Normal 45 14 5_FC with allocations" xfId="26370"/>
    <cellStyle name="Normal 45 14 6" xfId="7818"/>
    <cellStyle name="Normal 45 14 6 2" xfId="7819"/>
    <cellStyle name="Normal 45 14 6 2 2" xfId="7820"/>
    <cellStyle name="Normal 45 14 6 2_FC with allocations" xfId="26373"/>
    <cellStyle name="Normal 45 14 6 3" xfId="7821"/>
    <cellStyle name="Normal 45 14 6_FC with allocations" xfId="26372"/>
    <cellStyle name="Normal 45 14 7" xfId="7822"/>
    <cellStyle name="Normal 45 14 7 2" xfId="7823"/>
    <cellStyle name="Normal 45 14 7_FC with allocations" xfId="26374"/>
    <cellStyle name="Normal 45 14 8" xfId="7824"/>
    <cellStyle name="Normal 45 14_FC with allocations" xfId="26349"/>
    <cellStyle name="Normal 45 15" xfId="7825"/>
    <cellStyle name="Normal 45 15 2" xfId="7826"/>
    <cellStyle name="Normal 45 15 2 2" xfId="7827"/>
    <cellStyle name="Normal 45 15 2 2 2" xfId="7828"/>
    <cellStyle name="Normal 45 15 2 2 2 2" xfId="7829"/>
    <cellStyle name="Normal 45 15 2 2 2 2 2" xfId="7830"/>
    <cellStyle name="Normal 45 15 2 2 2 2_FC with allocations" xfId="26379"/>
    <cellStyle name="Normal 45 15 2 2 2 3" xfId="7831"/>
    <cellStyle name="Normal 45 15 2 2 2_FC with allocations" xfId="26378"/>
    <cellStyle name="Normal 45 15 2 2 3" xfId="7832"/>
    <cellStyle name="Normal 45 15 2 2 3 2" xfId="7833"/>
    <cellStyle name="Normal 45 15 2 2 3_FC with allocations" xfId="26380"/>
    <cellStyle name="Normal 45 15 2 2 4" xfId="7834"/>
    <cellStyle name="Normal 45 15 2 2_FC with allocations" xfId="26377"/>
    <cellStyle name="Normal 45 15 2 3" xfId="7835"/>
    <cellStyle name="Normal 45 15 2 3 2" xfId="7836"/>
    <cellStyle name="Normal 45 15 2 3 2 2" xfId="7837"/>
    <cellStyle name="Normal 45 15 2 3 2_FC with allocations" xfId="26382"/>
    <cellStyle name="Normal 45 15 2 3 3" xfId="7838"/>
    <cellStyle name="Normal 45 15 2 3_FC with allocations" xfId="26381"/>
    <cellStyle name="Normal 45 15 2 4" xfId="7839"/>
    <cellStyle name="Normal 45 15 2 4 2" xfId="7840"/>
    <cellStyle name="Normal 45 15 2 4_FC with allocations" xfId="26383"/>
    <cellStyle name="Normal 45 15 2 5" xfId="7841"/>
    <cellStyle name="Normal 45 15 2_FC with allocations" xfId="26376"/>
    <cellStyle name="Normal 45 15 3" xfId="7842"/>
    <cellStyle name="Normal 45 15 3 2" xfId="7843"/>
    <cellStyle name="Normal 45 15 3 2 2" xfId="7844"/>
    <cellStyle name="Normal 45 15 3 2 2 2" xfId="7845"/>
    <cellStyle name="Normal 45 15 3 2 2 2 2" xfId="7846"/>
    <cellStyle name="Normal 45 15 3 2 2 2_FC with allocations" xfId="26387"/>
    <cellStyle name="Normal 45 15 3 2 2 3" xfId="7847"/>
    <cellStyle name="Normal 45 15 3 2 2_FC with allocations" xfId="26386"/>
    <cellStyle name="Normal 45 15 3 2 3" xfId="7848"/>
    <cellStyle name="Normal 45 15 3 2 3 2" xfId="7849"/>
    <cellStyle name="Normal 45 15 3 2 3_FC with allocations" xfId="26388"/>
    <cellStyle name="Normal 45 15 3 2 4" xfId="7850"/>
    <cellStyle name="Normal 45 15 3 2_FC with allocations" xfId="26385"/>
    <cellStyle name="Normal 45 15 3 3" xfId="7851"/>
    <cellStyle name="Normal 45 15 3 3 2" xfId="7852"/>
    <cellStyle name="Normal 45 15 3 3 2 2" xfId="7853"/>
    <cellStyle name="Normal 45 15 3 3 2_FC with allocations" xfId="26390"/>
    <cellStyle name="Normal 45 15 3 3 3" xfId="7854"/>
    <cellStyle name="Normal 45 15 3 3_FC with allocations" xfId="26389"/>
    <cellStyle name="Normal 45 15 3 4" xfId="7855"/>
    <cellStyle name="Normal 45 15 3 4 2" xfId="7856"/>
    <cellStyle name="Normal 45 15 3 4_FC with allocations" xfId="26391"/>
    <cellStyle name="Normal 45 15 3 5" xfId="7857"/>
    <cellStyle name="Normal 45 15 3_FC with allocations" xfId="26384"/>
    <cellStyle name="Normal 45 15 4" xfId="7858"/>
    <cellStyle name="Normal 45 15 4 2" xfId="7859"/>
    <cellStyle name="Normal 45 15 4 2 2" xfId="7860"/>
    <cellStyle name="Normal 45 15 4 2 2 2" xfId="7861"/>
    <cellStyle name="Normal 45 15 4 2 2_FC with allocations" xfId="26394"/>
    <cellStyle name="Normal 45 15 4 2 3" xfId="7862"/>
    <cellStyle name="Normal 45 15 4 2_FC with allocations" xfId="26393"/>
    <cellStyle name="Normal 45 15 4 3" xfId="7863"/>
    <cellStyle name="Normal 45 15 4 3 2" xfId="7864"/>
    <cellStyle name="Normal 45 15 4 3_FC with allocations" xfId="26395"/>
    <cellStyle name="Normal 45 15 4 4" xfId="7865"/>
    <cellStyle name="Normal 45 15 4_FC with allocations" xfId="26392"/>
    <cellStyle name="Normal 45 15 5" xfId="7866"/>
    <cellStyle name="Normal 45 15 5 2" xfId="7867"/>
    <cellStyle name="Normal 45 15 5 2 2" xfId="7868"/>
    <cellStyle name="Normal 45 15 5 2_FC with allocations" xfId="26397"/>
    <cellStyle name="Normal 45 15 5 3" xfId="7869"/>
    <cellStyle name="Normal 45 15 5_FC with allocations" xfId="26396"/>
    <cellStyle name="Normal 45 15 6" xfId="7870"/>
    <cellStyle name="Normal 45 15 6 2" xfId="7871"/>
    <cellStyle name="Normal 45 15 6 2 2" xfId="7872"/>
    <cellStyle name="Normal 45 15 6 2_FC with allocations" xfId="26399"/>
    <cellStyle name="Normal 45 15 6 3" xfId="7873"/>
    <cellStyle name="Normal 45 15 6_FC with allocations" xfId="26398"/>
    <cellStyle name="Normal 45 15 7" xfId="7874"/>
    <cellStyle name="Normal 45 15 7 2" xfId="7875"/>
    <cellStyle name="Normal 45 15 7_FC with allocations" xfId="26400"/>
    <cellStyle name="Normal 45 15 8" xfId="7876"/>
    <cellStyle name="Normal 45 15_FC with allocations" xfId="26375"/>
    <cellStyle name="Normal 45 16" xfId="7877"/>
    <cellStyle name="Normal 45 16 2" xfId="7878"/>
    <cellStyle name="Normal 45 16 2 2" xfId="7879"/>
    <cellStyle name="Normal 45 16 2 2 2" xfId="7880"/>
    <cellStyle name="Normal 45 16 2 2 2 2" xfId="7881"/>
    <cellStyle name="Normal 45 16 2 2 2_FC with allocations" xfId="26404"/>
    <cellStyle name="Normal 45 16 2 2 3" xfId="7882"/>
    <cellStyle name="Normal 45 16 2 2_FC with allocations" xfId="26403"/>
    <cellStyle name="Normal 45 16 2 3" xfId="7883"/>
    <cellStyle name="Normal 45 16 2 3 2" xfId="7884"/>
    <cellStyle name="Normal 45 16 2 3_FC with allocations" xfId="26405"/>
    <cellStyle name="Normal 45 16 2 4" xfId="7885"/>
    <cellStyle name="Normal 45 16 2_FC with allocations" xfId="26402"/>
    <cellStyle name="Normal 45 16 3" xfId="7886"/>
    <cellStyle name="Normal 45 16 3 2" xfId="7887"/>
    <cellStyle name="Normal 45 16 3 2 2" xfId="7888"/>
    <cellStyle name="Normal 45 16 3 2_FC with allocations" xfId="26407"/>
    <cellStyle name="Normal 45 16 3 3" xfId="7889"/>
    <cellStyle name="Normal 45 16 3_FC with allocations" xfId="26406"/>
    <cellStyle name="Normal 45 16 4" xfId="7890"/>
    <cellStyle name="Normal 45 16 4 2" xfId="7891"/>
    <cellStyle name="Normal 45 16 4_FC with allocations" xfId="26408"/>
    <cellStyle name="Normal 45 16 5" xfId="7892"/>
    <cellStyle name="Normal 45 16_FC with allocations" xfId="26401"/>
    <cellStyle name="Normal 45 17" xfId="7893"/>
    <cellStyle name="Normal 45 17 2" xfId="7894"/>
    <cellStyle name="Normal 45 17 2 2" xfId="7895"/>
    <cellStyle name="Normal 45 17 2 2 2" xfId="7896"/>
    <cellStyle name="Normal 45 17 2 2 2 2" xfId="7897"/>
    <cellStyle name="Normal 45 17 2 2 2_FC with allocations" xfId="26412"/>
    <cellStyle name="Normal 45 17 2 2 3" xfId="7898"/>
    <cellStyle name="Normal 45 17 2 2_FC with allocations" xfId="26411"/>
    <cellStyle name="Normal 45 17 2 3" xfId="7899"/>
    <cellStyle name="Normal 45 17 2 3 2" xfId="7900"/>
    <cellStyle name="Normal 45 17 2 3_FC with allocations" xfId="26413"/>
    <cellStyle name="Normal 45 17 2 4" xfId="7901"/>
    <cellStyle name="Normal 45 17 2_FC with allocations" xfId="26410"/>
    <cellStyle name="Normal 45 17 3" xfId="7902"/>
    <cellStyle name="Normal 45 17 3 2" xfId="7903"/>
    <cellStyle name="Normal 45 17 3 2 2" xfId="7904"/>
    <cellStyle name="Normal 45 17 3 2_FC with allocations" xfId="26415"/>
    <cellStyle name="Normal 45 17 3 3" xfId="7905"/>
    <cellStyle name="Normal 45 17 3_FC with allocations" xfId="26414"/>
    <cellStyle name="Normal 45 17 4" xfId="7906"/>
    <cellStyle name="Normal 45 17 4 2" xfId="7907"/>
    <cellStyle name="Normal 45 17 4 2 2" xfId="7908"/>
    <cellStyle name="Normal 45 17 4 2_FC with allocations" xfId="26417"/>
    <cellStyle name="Normal 45 17 4 3" xfId="7909"/>
    <cellStyle name="Normal 45 17 4_FC with allocations" xfId="26416"/>
    <cellStyle name="Normal 45 17_FC with allocations" xfId="26409"/>
    <cellStyle name="Normal 45 18" xfId="7910"/>
    <cellStyle name="Normal 45 18 2" xfId="7911"/>
    <cellStyle name="Normal 45 18 2 2" xfId="7912"/>
    <cellStyle name="Normal 45 18 2 2 2" xfId="7913"/>
    <cellStyle name="Normal 45 18 2 2 2 2" xfId="7914"/>
    <cellStyle name="Normal 45 18 2 2 2_FC with allocations" xfId="26421"/>
    <cellStyle name="Normal 45 18 2 2 3" xfId="7915"/>
    <cellStyle name="Normal 45 18 2 2_FC with allocations" xfId="26420"/>
    <cellStyle name="Normal 45 18 2 3" xfId="7916"/>
    <cellStyle name="Normal 45 18 2 3 2" xfId="7917"/>
    <cellStyle name="Normal 45 18 2 3_FC with allocations" xfId="26422"/>
    <cellStyle name="Normal 45 18 2 4" xfId="7918"/>
    <cellStyle name="Normal 45 18 2_FC with allocations" xfId="26419"/>
    <cellStyle name="Normal 45 18 3" xfId="7919"/>
    <cellStyle name="Normal 45 18 3 2" xfId="7920"/>
    <cellStyle name="Normal 45 18 3 2 2" xfId="7921"/>
    <cellStyle name="Normal 45 18 3 2_FC with allocations" xfId="26424"/>
    <cellStyle name="Normal 45 18 3 3" xfId="7922"/>
    <cellStyle name="Normal 45 18 3_FC with allocations" xfId="26423"/>
    <cellStyle name="Normal 45 18 4" xfId="7923"/>
    <cellStyle name="Normal 45 18 4 2" xfId="7924"/>
    <cellStyle name="Normal 45 18 4_FC with allocations" xfId="26425"/>
    <cellStyle name="Normal 45 18 5" xfId="7925"/>
    <cellStyle name="Normal 45 18_FC with allocations" xfId="26418"/>
    <cellStyle name="Normal 45 19" xfId="7926"/>
    <cellStyle name="Normal 45 19 2" xfId="7927"/>
    <cellStyle name="Normal 45 19 2 2" xfId="7928"/>
    <cellStyle name="Normal 45 19 2 2 2" xfId="7929"/>
    <cellStyle name="Normal 45 19 2 2_FC with allocations" xfId="26428"/>
    <cellStyle name="Normal 45 19 2 3" xfId="7930"/>
    <cellStyle name="Normal 45 19 2_FC with allocations" xfId="26427"/>
    <cellStyle name="Normal 45 19 3" xfId="7931"/>
    <cellStyle name="Normal 45 19 3 2" xfId="7932"/>
    <cellStyle name="Normal 45 19 3_FC with allocations" xfId="26429"/>
    <cellStyle name="Normal 45 19 4" xfId="7933"/>
    <cellStyle name="Normal 45 19_FC with allocations" xfId="26426"/>
    <cellStyle name="Normal 45 2" xfId="2173"/>
    <cellStyle name="Normal 45 2 2" xfId="7935"/>
    <cellStyle name="Normal 45 2 2 2" xfId="7936"/>
    <cellStyle name="Normal 45 2 2 2 2" xfId="7937"/>
    <cellStyle name="Normal 45 2 2 2 2 2" xfId="7938"/>
    <cellStyle name="Normal 45 2 2 2 2 2 2" xfId="7939"/>
    <cellStyle name="Normal 45 2 2 2 2 2_FC with allocations" xfId="26434"/>
    <cellStyle name="Normal 45 2 2 2 2 3" xfId="7940"/>
    <cellStyle name="Normal 45 2 2 2 2_FC with allocations" xfId="26433"/>
    <cellStyle name="Normal 45 2 2 2 3" xfId="7941"/>
    <cellStyle name="Normal 45 2 2 2 3 2" xfId="7942"/>
    <cellStyle name="Normal 45 2 2 2 3_FC with allocations" xfId="26435"/>
    <cellStyle name="Normal 45 2 2 2 4" xfId="7943"/>
    <cellStyle name="Normal 45 2 2 2_FC with allocations" xfId="26432"/>
    <cellStyle name="Normal 45 2 2 3" xfId="7944"/>
    <cellStyle name="Normal 45 2 2 3 2" xfId="7945"/>
    <cellStyle name="Normal 45 2 2 3 2 2" xfId="7946"/>
    <cellStyle name="Normal 45 2 2 3 2_FC with allocations" xfId="26437"/>
    <cellStyle name="Normal 45 2 2 3 3" xfId="7947"/>
    <cellStyle name="Normal 45 2 2 3_FC with allocations" xfId="26436"/>
    <cellStyle name="Normal 45 2 2 4" xfId="7948"/>
    <cellStyle name="Normal 45 2 2 4 2" xfId="7949"/>
    <cellStyle name="Normal 45 2 2 4_FC with allocations" xfId="26438"/>
    <cellStyle name="Normal 45 2 2 5" xfId="7950"/>
    <cellStyle name="Normal 45 2 2_FC with allocations" xfId="26431"/>
    <cellStyle name="Normal 45 2 3" xfId="7951"/>
    <cellStyle name="Normal 45 2 3 2" xfId="7952"/>
    <cellStyle name="Normal 45 2 3 2 2" xfId="7953"/>
    <cellStyle name="Normal 45 2 3 2 2 2" xfId="7954"/>
    <cellStyle name="Normal 45 2 3 2 2 2 2" xfId="7955"/>
    <cellStyle name="Normal 45 2 3 2 2 2_FC with allocations" xfId="26442"/>
    <cellStyle name="Normal 45 2 3 2 2 3" xfId="7956"/>
    <cellStyle name="Normal 45 2 3 2 2_FC with allocations" xfId="26441"/>
    <cellStyle name="Normal 45 2 3 2 3" xfId="7957"/>
    <cellStyle name="Normal 45 2 3 2 3 2" xfId="7958"/>
    <cellStyle name="Normal 45 2 3 2 3_FC with allocations" xfId="26443"/>
    <cellStyle name="Normal 45 2 3 2 4" xfId="7959"/>
    <cellStyle name="Normal 45 2 3 2_FC with allocations" xfId="26440"/>
    <cellStyle name="Normal 45 2 3 3" xfId="7960"/>
    <cellStyle name="Normal 45 2 3 3 2" xfId="7961"/>
    <cellStyle name="Normal 45 2 3 3 2 2" xfId="7962"/>
    <cellStyle name="Normal 45 2 3 3 2_FC with allocations" xfId="26445"/>
    <cellStyle name="Normal 45 2 3 3 3" xfId="7963"/>
    <cellStyle name="Normal 45 2 3 3_FC with allocations" xfId="26444"/>
    <cellStyle name="Normal 45 2 3 4" xfId="7964"/>
    <cellStyle name="Normal 45 2 3 4 2" xfId="7965"/>
    <cellStyle name="Normal 45 2 3 4_FC with allocations" xfId="26446"/>
    <cellStyle name="Normal 45 2 3 5" xfId="7966"/>
    <cellStyle name="Normal 45 2 3_FC with allocations" xfId="26439"/>
    <cellStyle name="Normal 45 2 4" xfId="7967"/>
    <cellStyle name="Normal 45 2 4 2" xfId="7968"/>
    <cellStyle name="Normal 45 2 4 2 2" xfId="7969"/>
    <cellStyle name="Normal 45 2 4 2 2 2" xfId="7970"/>
    <cellStyle name="Normal 45 2 4 2 2_FC with allocations" xfId="26449"/>
    <cellStyle name="Normal 45 2 4 2 3" xfId="7971"/>
    <cellStyle name="Normal 45 2 4 2_FC with allocations" xfId="26448"/>
    <cellStyle name="Normal 45 2 4 3" xfId="7972"/>
    <cellStyle name="Normal 45 2 4 3 2" xfId="7973"/>
    <cellStyle name="Normal 45 2 4 3_FC with allocations" xfId="26450"/>
    <cellStyle name="Normal 45 2 4 4" xfId="7974"/>
    <cellStyle name="Normal 45 2 4_FC with allocations" xfId="26447"/>
    <cellStyle name="Normal 45 2 5" xfId="7975"/>
    <cellStyle name="Normal 45 2 5 2" xfId="7976"/>
    <cellStyle name="Normal 45 2 5 2 2" xfId="7977"/>
    <cellStyle name="Normal 45 2 5 2_FC with allocations" xfId="26452"/>
    <cellStyle name="Normal 45 2 5 3" xfId="7978"/>
    <cellStyle name="Normal 45 2 5_FC with allocations" xfId="26451"/>
    <cellStyle name="Normal 45 2 6" xfId="7979"/>
    <cellStyle name="Normal 45 2 6 2" xfId="7980"/>
    <cellStyle name="Normal 45 2 6 2 2" xfId="7981"/>
    <cellStyle name="Normal 45 2 6 2_FC with allocations" xfId="26454"/>
    <cellStyle name="Normal 45 2 6 3" xfId="7982"/>
    <cellStyle name="Normal 45 2 6_FC with allocations" xfId="26453"/>
    <cellStyle name="Normal 45 2 7" xfId="7983"/>
    <cellStyle name="Normal 45 2 7 2" xfId="7984"/>
    <cellStyle name="Normal 45 2 7_FC with allocations" xfId="26455"/>
    <cellStyle name="Normal 45 2 8" xfId="7985"/>
    <cellStyle name="Normal 45 2 9" xfId="7934"/>
    <cellStyle name="Normal 45 2_FC with allocations" xfId="26430"/>
    <cellStyle name="Normal 45 20" xfId="7986"/>
    <cellStyle name="Normal 45 20 2" xfId="7987"/>
    <cellStyle name="Normal 45 20 2 2" xfId="7988"/>
    <cellStyle name="Normal 45 20 2_FC with allocations" xfId="26457"/>
    <cellStyle name="Normal 45 20 3" xfId="7989"/>
    <cellStyle name="Normal 45 20_FC with allocations" xfId="26456"/>
    <cellStyle name="Normal 45 21" xfId="7990"/>
    <cellStyle name="Normal 45 21 2" xfId="7991"/>
    <cellStyle name="Normal 45 21 2 2" xfId="7992"/>
    <cellStyle name="Normal 45 21 2_FC with allocations" xfId="26459"/>
    <cellStyle name="Normal 45 21 3" xfId="7993"/>
    <cellStyle name="Normal 45 21_FC with allocations" xfId="26458"/>
    <cellStyle name="Normal 45 22" xfId="7994"/>
    <cellStyle name="Normal 45 22 2" xfId="7995"/>
    <cellStyle name="Normal 45 22_FC with allocations" xfId="26460"/>
    <cellStyle name="Normal 45 23" xfId="7996"/>
    <cellStyle name="Normal 45 24" xfId="7564"/>
    <cellStyle name="Normal 45 3" xfId="2174"/>
    <cellStyle name="Normal 45 3 10" xfId="17182"/>
    <cellStyle name="Normal 45 3 2" xfId="4210"/>
    <cellStyle name="Normal 45 3 2 2" xfId="7999"/>
    <cellStyle name="Normal 45 3 2 2 2" xfId="8000"/>
    <cellStyle name="Normal 45 3 2 2 2 2" xfId="8001"/>
    <cellStyle name="Normal 45 3 2 2 2 2 2" xfId="8002"/>
    <cellStyle name="Normal 45 3 2 2 2 2_FC with allocations" xfId="26465"/>
    <cellStyle name="Normal 45 3 2 2 2 3" xfId="8003"/>
    <cellStyle name="Normal 45 3 2 2 2_FC with allocations" xfId="26464"/>
    <cellStyle name="Normal 45 3 2 2 3" xfId="8004"/>
    <cellStyle name="Normal 45 3 2 2 3 2" xfId="8005"/>
    <cellStyle name="Normal 45 3 2 2 3_FC with allocations" xfId="26466"/>
    <cellStyle name="Normal 45 3 2 2 4" xfId="8006"/>
    <cellStyle name="Normal 45 3 2 2_FC with allocations" xfId="26463"/>
    <cellStyle name="Normal 45 3 2 3" xfId="8007"/>
    <cellStyle name="Normal 45 3 2 3 2" xfId="8008"/>
    <cellStyle name="Normal 45 3 2 3 2 2" xfId="8009"/>
    <cellStyle name="Normal 45 3 2 3 2_FC with allocations" xfId="26468"/>
    <cellStyle name="Normal 45 3 2 3 3" xfId="8010"/>
    <cellStyle name="Normal 45 3 2 3_FC with allocations" xfId="26467"/>
    <cellStyle name="Normal 45 3 2 4" xfId="8011"/>
    <cellStyle name="Normal 45 3 2 4 2" xfId="8012"/>
    <cellStyle name="Normal 45 3 2 4_FC with allocations" xfId="26469"/>
    <cellStyle name="Normal 45 3 2 5" xfId="8013"/>
    <cellStyle name="Normal 45 3 2 6" xfId="7998"/>
    <cellStyle name="Normal 45 3 2_FC with allocations" xfId="26462"/>
    <cellStyle name="Normal 45 3 3" xfId="8014"/>
    <cellStyle name="Normal 45 3 3 2" xfId="8015"/>
    <cellStyle name="Normal 45 3 3 2 2" xfId="8016"/>
    <cellStyle name="Normal 45 3 3 2 2 2" xfId="8017"/>
    <cellStyle name="Normal 45 3 3 2 2 2 2" xfId="8018"/>
    <cellStyle name="Normal 45 3 3 2 2 2_FC with allocations" xfId="26473"/>
    <cellStyle name="Normal 45 3 3 2 2 3" xfId="8019"/>
    <cellStyle name="Normal 45 3 3 2 2_FC with allocations" xfId="26472"/>
    <cellStyle name="Normal 45 3 3 2 3" xfId="8020"/>
    <cellStyle name="Normal 45 3 3 2 3 2" xfId="8021"/>
    <cellStyle name="Normal 45 3 3 2 3_FC with allocations" xfId="26474"/>
    <cellStyle name="Normal 45 3 3 2 4" xfId="8022"/>
    <cellStyle name="Normal 45 3 3 2_FC with allocations" xfId="26471"/>
    <cellStyle name="Normal 45 3 3 3" xfId="8023"/>
    <cellStyle name="Normal 45 3 3 3 2" xfId="8024"/>
    <cellStyle name="Normal 45 3 3 3 2 2" xfId="8025"/>
    <cellStyle name="Normal 45 3 3 3 2_FC with allocations" xfId="26476"/>
    <cellStyle name="Normal 45 3 3 3 3" xfId="8026"/>
    <cellStyle name="Normal 45 3 3 3_FC with allocations" xfId="26475"/>
    <cellStyle name="Normal 45 3 3 4" xfId="8027"/>
    <cellStyle name="Normal 45 3 3 4 2" xfId="8028"/>
    <cellStyle name="Normal 45 3 3 4_FC with allocations" xfId="26477"/>
    <cellStyle name="Normal 45 3 3 5" xfId="8029"/>
    <cellStyle name="Normal 45 3 3 6" xfId="18363"/>
    <cellStyle name="Normal 45 3 3 7" xfId="17689"/>
    <cellStyle name="Normal 45 3 3_FC with allocations" xfId="26470"/>
    <cellStyle name="Normal 45 3 4" xfId="8030"/>
    <cellStyle name="Normal 45 3 4 2" xfId="8031"/>
    <cellStyle name="Normal 45 3 4 2 2" xfId="8032"/>
    <cellStyle name="Normal 45 3 4 2 2 2" xfId="8033"/>
    <cellStyle name="Normal 45 3 4 2 2_FC with allocations" xfId="26480"/>
    <cellStyle name="Normal 45 3 4 2 3" xfId="8034"/>
    <cellStyle name="Normal 45 3 4 2_FC with allocations" xfId="26479"/>
    <cellStyle name="Normal 45 3 4 3" xfId="8035"/>
    <cellStyle name="Normal 45 3 4 3 2" xfId="8036"/>
    <cellStyle name="Normal 45 3 4 3_FC with allocations" xfId="26481"/>
    <cellStyle name="Normal 45 3 4 4" xfId="8037"/>
    <cellStyle name="Normal 45 3 4_FC with allocations" xfId="26478"/>
    <cellStyle name="Normal 45 3 5" xfId="8038"/>
    <cellStyle name="Normal 45 3 5 2" xfId="8039"/>
    <cellStyle name="Normal 45 3 5 2 2" xfId="8040"/>
    <cellStyle name="Normal 45 3 5 2_FC with allocations" xfId="26483"/>
    <cellStyle name="Normal 45 3 5 3" xfId="8041"/>
    <cellStyle name="Normal 45 3 5_FC with allocations" xfId="26482"/>
    <cellStyle name="Normal 45 3 6" xfId="8042"/>
    <cellStyle name="Normal 45 3 6 2" xfId="8043"/>
    <cellStyle name="Normal 45 3 6 2 2" xfId="8044"/>
    <cellStyle name="Normal 45 3 6 2_FC with allocations" xfId="26485"/>
    <cellStyle name="Normal 45 3 6 3" xfId="8045"/>
    <cellStyle name="Normal 45 3 6_FC with allocations" xfId="26484"/>
    <cellStyle name="Normal 45 3 7" xfId="8046"/>
    <cellStyle name="Normal 45 3 7 2" xfId="8047"/>
    <cellStyle name="Normal 45 3 7_FC with allocations" xfId="26486"/>
    <cellStyle name="Normal 45 3 8" xfId="8048"/>
    <cellStyle name="Normal 45 3 9" xfId="7997"/>
    <cellStyle name="Normal 45 3_FC with allocations" xfId="26461"/>
    <cellStyle name="Normal 45 4" xfId="8049"/>
    <cellStyle name="Normal 45 4 2" xfId="8050"/>
    <cellStyle name="Normal 45 4 2 2" xfId="8051"/>
    <cellStyle name="Normal 45 4 2 2 2" xfId="8052"/>
    <cellStyle name="Normal 45 4 2 2 2 2" xfId="8053"/>
    <cellStyle name="Normal 45 4 2 2 2 2 2" xfId="8054"/>
    <cellStyle name="Normal 45 4 2 2 2 2_FC with allocations" xfId="26491"/>
    <cellStyle name="Normal 45 4 2 2 2 3" xfId="8055"/>
    <cellStyle name="Normal 45 4 2 2 2_FC with allocations" xfId="26490"/>
    <cellStyle name="Normal 45 4 2 2 3" xfId="8056"/>
    <cellStyle name="Normal 45 4 2 2 3 2" xfId="8057"/>
    <cellStyle name="Normal 45 4 2 2 3_FC with allocations" xfId="26492"/>
    <cellStyle name="Normal 45 4 2 2 4" xfId="8058"/>
    <cellStyle name="Normal 45 4 2 2_FC with allocations" xfId="26489"/>
    <cellStyle name="Normal 45 4 2 3" xfId="8059"/>
    <cellStyle name="Normal 45 4 2 3 2" xfId="8060"/>
    <cellStyle name="Normal 45 4 2 3 2 2" xfId="8061"/>
    <cellStyle name="Normal 45 4 2 3 2_FC with allocations" xfId="26494"/>
    <cellStyle name="Normal 45 4 2 3 3" xfId="8062"/>
    <cellStyle name="Normal 45 4 2 3_FC with allocations" xfId="26493"/>
    <cellStyle name="Normal 45 4 2 4" xfId="8063"/>
    <cellStyle name="Normal 45 4 2 4 2" xfId="8064"/>
    <cellStyle name="Normal 45 4 2 4_FC with allocations" xfId="26495"/>
    <cellStyle name="Normal 45 4 2 5" xfId="8065"/>
    <cellStyle name="Normal 45 4 2_FC with allocations" xfId="26488"/>
    <cellStyle name="Normal 45 4 3" xfId="8066"/>
    <cellStyle name="Normal 45 4 3 2" xfId="8067"/>
    <cellStyle name="Normal 45 4 3 2 2" xfId="8068"/>
    <cellStyle name="Normal 45 4 3 2 2 2" xfId="8069"/>
    <cellStyle name="Normal 45 4 3 2 2 2 2" xfId="8070"/>
    <cellStyle name="Normal 45 4 3 2 2 2_FC with allocations" xfId="26499"/>
    <cellStyle name="Normal 45 4 3 2 2 3" xfId="8071"/>
    <cellStyle name="Normal 45 4 3 2 2_FC with allocations" xfId="26498"/>
    <cellStyle name="Normal 45 4 3 2 3" xfId="8072"/>
    <cellStyle name="Normal 45 4 3 2 3 2" xfId="8073"/>
    <cellStyle name="Normal 45 4 3 2 3_FC with allocations" xfId="26500"/>
    <cellStyle name="Normal 45 4 3 2 4" xfId="8074"/>
    <cellStyle name="Normal 45 4 3 2_FC with allocations" xfId="26497"/>
    <cellStyle name="Normal 45 4 3 3" xfId="8075"/>
    <cellStyle name="Normal 45 4 3 3 2" xfId="8076"/>
    <cellStyle name="Normal 45 4 3 3 2 2" xfId="8077"/>
    <cellStyle name="Normal 45 4 3 3 2_FC with allocations" xfId="26502"/>
    <cellStyle name="Normal 45 4 3 3 3" xfId="8078"/>
    <cellStyle name="Normal 45 4 3 3_FC with allocations" xfId="26501"/>
    <cellStyle name="Normal 45 4 3 4" xfId="8079"/>
    <cellStyle name="Normal 45 4 3 4 2" xfId="8080"/>
    <cellStyle name="Normal 45 4 3 4_FC with allocations" xfId="26503"/>
    <cellStyle name="Normal 45 4 3 5" xfId="8081"/>
    <cellStyle name="Normal 45 4 3_FC with allocations" xfId="26496"/>
    <cellStyle name="Normal 45 4 4" xfId="8082"/>
    <cellStyle name="Normal 45 4 4 2" xfId="8083"/>
    <cellStyle name="Normal 45 4 4 2 2" xfId="8084"/>
    <cellStyle name="Normal 45 4 4 2 2 2" xfId="8085"/>
    <cellStyle name="Normal 45 4 4 2 2_FC with allocations" xfId="26506"/>
    <cellStyle name="Normal 45 4 4 2 3" xfId="8086"/>
    <cellStyle name="Normal 45 4 4 2_FC with allocations" xfId="26505"/>
    <cellStyle name="Normal 45 4 4 3" xfId="8087"/>
    <cellStyle name="Normal 45 4 4 3 2" xfId="8088"/>
    <cellStyle name="Normal 45 4 4 3_FC with allocations" xfId="26507"/>
    <cellStyle name="Normal 45 4 4 4" xfId="8089"/>
    <cellStyle name="Normal 45 4 4_FC with allocations" xfId="26504"/>
    <cellStyle name="Normal 45 4 5" xfId="8090"/>
    <cellStyle name="Normal 45 4 5 2" xfId="8091"/>
    <cellStyle name="Normal 45 4 5 2 2" xfId="8092"/>
    <cellStyle name="Normal 45 4 5 2_FC with allocations" xfId="26509"/>
    <cellStyle name="Normal 45 4 5 3" xfId="8093"/>
    <cellStyle name="Normal 45 4 5_FC with allocations" xfId="26508"/>
    <cellStyle name="Normal 45 4 6" xfId="8094"/>
    <cellStyle name="Normal 45 4 6 2" xfId="8095"/>
    <cellStyle name="Normal 45 4 6 2 2" xfId="8096"/>
    <cellStyle name="Normal 45 4 6 2_FC with allocations" xfId="26511"/>
    <cellStyle name="Normal 45 4 6 3" xfId="8097"/>
    <cellStyle name="Normal 45 4 6_FC with allocations" xfId="26510"/>
    <cellStyle name="Normal 45 4 7" xfId="8098"/>
    <cellStyle name="Normal 45 4 7 2" xfId="8099"/>
    <cellStyle name="Normal 45 4 7_FC with allocations" xfId="26512"/>
    <cellStyle name="Normal 45 4 8" xfId="8100"/>
    <cellStyle name="Normal 45 4_FC with allocations" xfId="26487"/>
    <cellStyle name="Normal 45 5" xfId="8101"/>
    <cellStyle name="Normal 45 5 2" xfId="8102"/>
    <cellStyle name="Normal 45 5 2 2" xfId="8103"/>
    <cellStyle name="Normal 45 5 2 2 2" xfId="8104"/>
    <cellStyle name="Normal 45 5 2 2 2 2" xfId="8105"/>
    <cellStyle name="Normal 45 5 2 2 2 2 2" xfId="8106"/>
    <cellStyle name="Normal 45 5 2 2 2 2_FC with allocations" xfId="26517"/>
    <cellStyle name="Normal 45 5 2 2 2 3" xfId="8107"/>
    <cellStyle name="Normal 45 5 2 2 2_FC with allocations" xfId="26516"/>
    <cellStyle name="Normal 45 5 2 2 3" xfId="8108"/>
    <cellStyle name="Normal 45 5 2 2 3 2" xfId="8109"/>
    <cellStyle name="Normal 45 5 2 2 3_FC with allocations" xfId="26518"/>
    <cellStyle name="Normal 45 5 2 2 4" xfId="8110"/>
    <cellStyle name="Normal 45 5 2 2_FC with allocations" xfId="26515"/>
    <cellStyle name="Normal 45 5 2 3" xfId="8111"/>
    <cellStyle name="Normal 45 5 2 3 2" xfId="8112"/>
    <cellStyle name="Normal 45 5 2 3 2 2" xfId="8113"/>
    <cellStyle name="Normal 45 5 2 3 2_FC with allocations" xfId="26520"/>
    <cellStyle name="Normal 45 5 2 3 3" xfId="8114"/>
    <cellStyle name="Normal 45 5 2 3_FC with allocations" xfId="26519"/>
    <cellStyle name="Normal 45 5 2 4" xfId="8115"/>
    <cellStyle name="Normal 45 5 2 4 2" xfId="8116"/>
    <cellStyle name="Normal 45 5 2 4_FC with allocations" xfId="26521"/>
    <cellStyle name="Normal 45 5 2 5" xfId="8117"/>
    <cellStyle name="Normal 45 5 2_FC with allocations" xfId="26514"/>
    <cellStyle name="Normal 45 5 3" xfId="8118"/>
    <cellStyle name="Normal 45 5 3 2" xfId="8119"/>
    <cellStyle name="Normal 45 5 3 2 2" xfId="8120"/>
    <cellStyle name="Normal 45 5 3 2 2 2" xfId="8121"/>
    <cellStyle name="Normal 45 5 3 2 2 2 2" xfId="8122"/>
    <cellStyle name="Normal 45 5 3 2 2 2_FC with allocations" xfId="26525"/>
    <cellStyle name="Normal 45 5 3 2 2 3" xfId="8123"/>
    <cellStyle name="Normal 45 5 3 2 2_FC with allocations" xfId="26524"/>
    <cellStyle name="Normal 45 5 3 2 3" xfId="8124"/>
    <cellStyle name="Normal 45 5 3 2 3 2" xfId="8125"/>
    <cellStyle name="Normal 45 5 3 2 3_FC with allocations" xfId="26526"/>
    <cellStyle name="Normal 45 5 3 2 4" xfId="8126"/>
    <cellStyle name="Normal 45 5 3 2_FC with allocations" xfId="26523"/>
    <cellStyle name="Normal 45 5 3 3" xfId="8127"/>
    <cellStyle name="Normal 45 5 3 3 2" xfId="8128"/>
    <cellStyle name="Normal 45 5 3 3 2 2" xfId="8129"/>
    <cellStyle name="Normal 45 5 3 3 2_FC with allocations" xfId="26528"/>
    <cellStyle name="Normal 45 5 3 3 3" xfId="8130"/>
    <cellStyle name="Normal 45 5 3 3_FC with allocations" xfId="26527"/>
    <cellStyle name="Normal 45 5 3 4" xfId="8131"/>
    <cellStyle name="Normal 45 5 3 4 2" xfId="8132"/>
    <cellStyle name="Normal 45 5 3 4_FC with allocations" xfId="26529"/>
    <cellStyle name="Normal 45 5 3 5" xfId="8133"/>
    <cellStyle name="Normal 45 5 3_FC with allocations" xfId="26522"/>
    <cellStyle name="Normal 45 5 4" xfId="8134"/>
    <cellStyle name="Normal 45 5 4 2" xfId="8135"/>
    <cellStyle name="Normal 45 5 4 2 2" xfId="8136"/>
    <cellStyle name="Normal 45 5 4 2 2 2" xfId="8137"/>
    <cellStyle name="Normal 45 5 4 2 2_FC with allocations" xfId="26532"/>
    <cellStyle name="Normal 45 5 4 2 3" xfId="8138"/>
    <cellStyle name="Normal 45 5 4 2_FC with allocations" xfId="26531"/>
    <cellStyle name="Normal 45 5 4 3" xfId="8139"/>
    <cellStyle name="Normal 45 5 4 3 2" xfId="8140"/>
    <cellStyle name="Normal 45 5 4 3_FC with allocations" xfId="26533"/>
    <cellStyle name="Normal 45 5 4 4" xfId="8141"/>
    <cellStyle name="Normal 45 5 4_FC with allocations" xfId="26530"/>
    <cellStyle name="Normal 45 5 5" xfId="8142"/>
    <cellStyle name="Normal 45 5 5 2" xfId="8143"/>
    <cellStyle name="Normal 45 5 5 2 2" xfId="8144"/>
    <cellStyle name="Normal 45 5 5 2_FC with allocations" xfId="26535"/>
    <cellStyle name="Normal 45 5 5 3" xfId="8145"/>
    <cellStyle name="Normal 45 5 5_FC with allocations" xfId="26534"/>
    <cellStyle name="Normal 45 5 6" xfId="8146"/>
    <cellStyle name="Normal 45 5 6 2" xfId="8147"/>
    <cellStyle name="Normal 45 5 6 2 2" xfId="8148"/>
    <cellStyle name="Normal 45 5 6 2_FC with allocations" xfId="26537"/>
    <cellStyle name="Normal 45 5 6 3" xfId="8149"/>
    <cellStyle name="Normal 45 5 6_FC with allocations" xfId="26536"/>
    <cellStyle name="Normal 45 5 7" xfId="8150"/>
    <cellStyle name="Normal 45 5 7 2" xfId="8151"/>
    <cellStyle name="Normal 45 5 7_FC with allocations" xfId="26538"/>
    <cellStyle name="Normal 45 5 8" xfId="8152"/>
    <cellStyle name="Normal 45 5_FC with allocations" xfId="26513"/>
    <cellStyle name="Normal 45 6" xfId="8153"/>
    <cellStyle name="Normal 45 6 2" xfId="8154"/>
    <cellStyle name="Normal 45 6 2 2" xfId="8155"/>
    <cellStyle name="Normal 45 6 2 2 2" xfId="8156"/>
    <cellStyle name="Normal 45 6 2 2 2 2" xfId="8157"/>
    <cellStyle name="Normal 45 6 2 2 2 2 2" xfId="8158"/>
    <cellStyle name="Normal 45 6 2 2 2 2_FC with allocations" xfId="26543"/>
    <cellStyle name="Normal 45 6 2 2 2 3" xfId="8159"/>
    <cellStyle name="Normal 45 6 2 2 2_FC with allocations" xfId="26542"/>
    <cellStyle name="Normal 45 6 2 2 3" xfId="8160"/>
    <cellStyle name="Normal 45 6 2 2 3 2" xfId="8161"/>
    <cellStyle name="Normal 45 6 2 2 3_FC with allocations" xfId="26544"/>
    <cellStyle name="Normal 45 6 2 2 4" xfId="8162"/>
    <cellStyle name="Normal 45 6 2 2_FC with allocations" xfId="26541"/>
    <cellStyle name="Normal 45 6 2 3" xfId="8163"/>
    <cellStyle name="Normal 45 6 2 3 2" xfId="8164"/>
    <cellStyle name="Normal 45 6 2 3 2 2" xfId="8165"/>
    <cellStyle name="Normal 45 6 2 3 2_FC with allocations" xfId="26546"/>
    <cellStyle name="Normal 45 6 2 3 3" xfId="8166"/>
    <cellStyle name="Normal 45 6 2 3_FC with allocations" xfId="26545"/>
    <cellStyle name="Normal 45 6 2 4" xfId="8167"/>
    <cellStyle name="Normal 45 6 2 4 2" xfId="8168"/>
    <cellStyle name="Normal 45 6 2 4_FC with allocations" xfId="26547"/>
    <cellStyle name="Normal 45 6 2 5" xfId="8169"/>
    <cellStyle name="Normal 45 6 2_FC with allocations" xfId="26540"/>
    <cellStyle name="Normal 45 6 3" xfId="8170"/>
    <cellStyle name="Normal 45 6 3 2" xfId="8171"/>
    <cellStyle name="Normal 45 6 3 2 2" xfId="8172"/>
    <cellStyle name="Normal 45 6 3 2 2 2" xfId="8173"/>
    <cellStyle name="Normal 45 6 3 2 2 2 2" xfId="8174"/>
    <cellStyle name="Normal 45 6 3 2 2 2_FC with allocations" xfId="26551"/>
    <cellStyle name="Normal 45 6 3 2 2 3" xfId="8175"/>
    <cellStyle name="Normal 45 6 3 2 2_FC with allocations" xfId="26550"/>
    <cellStyle name="Normal 45 6 3 2 3" xfId="8176"/>
    <cellStyle name="Normal 45 6 3 2 3 2" xfId="8177"/>
    <cellStyle name="Normal 45 6 3 2 3_FC with allocations" xfId="26552"/>
    <cellStyle name="Normal 45 6 3 2 4" xfId="8178"/>
    <cellStyle name="Normal 45 6 3 2_FC with allocations" xfId="26549"/>
    <cellStyle name="Normal 45 6 3 3" xfId="8179"/>
    <cellStyle name="Normal 45 6 3 3 2" xfId="8180"/>
    <cellStyle name="Normal 45 6 3 3 2 2" xfId="8181"/>
    <cellStyle name="Normal 45 6 3 3 2_FC with allocations" xfId="26554"/>
    <cellStyle name="Normal 45 6 3 3 3" xfId="8182"/>
    <cellStyle name="Normal 45 6 3 3_FC with allocations" xfId="26553"/>
    <cellStyle name="Normal 45 6 3 4" xfId="8183"/>
    <cellStyle name="Normal 45 6 3 4 2" xfId="8184"/>
    <cellStyle name="Normal 45 6 3 4_FC with allocations" xfId="26555"/>
    <cellStyle name="Normal 45 6 3 5" xfId="8185"/>
    <cellStyle name="Normal 45 6 3_FC with allocations" xfId="26548"/>
    <cellStyle name="Normal 45 6 4" xfId="8186"/>
    <cellStyle name="Normal 45 6 4 2" xfId="8187"/>
    <cellStyle name="Normal 45 6 4 2 2" xfId="8188"/>
    <cellStyle name="Normal 45 6 4 2 2 2" xfId="8189"/>
    <cellStyle name="Normal 45 6 4 2 2_FC with allocations" xfId="26558"/>
    <cellStyle name="Normal 45 6 4 2 3" xfId="8190"/>
    <cellStyle name="Normal 45 6 4 2_FC with allocations" xfId="26557"/>
    <cellStyle name="Normal 45 6 4 3" xfId="8191"/>
    <cellStyle name="Normal 45 6 4 3 2" xfId="8192"/>
    <cellStyle name="Normal 45 6 4 3_FC with allocations" xfId="26559"/>
    <cellStyle name="Normal 45 6 4 4" xfId="8193"/>
    <cellStyle name="Normal 45 6 4_FC with allocations" xfId="26556"/>
    <cellStyle name="Normal 45 6 5" xfId="8194"/>
    <cellStyle name="Normal 45 6 5 2" xfId="8195"/>
    <cellStyle name="Normal 45 6 5 2 2" xfId="8196"/>
    <cellStyle name="Normal 45 6 5 2_FC with allocations" xfId="26561"/>
    <cellStyle name="Normal 45 6 5 3" xfId="8197"/>
    <cellStyle name="Normal 45 6 5_FC with allocations" xfId="26560"/>
    <cellStyle name="Normal 45 6 6" xfId="8198"/>
    <cellStyle name="Normal 45 6 6 2" xfId="8199"/>
    <cellStyle name="Normal 45 6 6 2 2" xfId="8200"/>
    <cellStyle name="Normal 45 6 6 2_FC with allocations" xfId="26563"/>
    <cellStyle name="Normal 45 6 6 3" xfId="8201"/>
    <cellStyle name="Normal 45 6 6_FC with allocations" xfId="26562"/>
    <cellStyle name="Normal 45 6 7" xfId="8202"/>
    <cellStyle name="Normal 45 6 7 2" xfId="8203"/>
    <cellStyle name="Normal 45 6 7_FC with allocations" xfId="26564"/>
    <cellStyle name="Normal 45 6 8" xfId="8204"/>
    <cellStyle name="Normal 45 6_FC with allocations" xfId="26539"/>
    <cellStyle name="Normal 45 7" xfId="8205"/>
    <cellStyle name="Normal 45 7 2" xfId="8206"/>
    <cellStyle name="Normal 45 7 2 2" xfId="8207"/>
    <cellStyle name="Normal 45 7 2 2 2" xfId="8208"/>
    <cellStyle name="Normal 45 7 2 2 2 2" xfId="8209"/>
    <cellStyle name="Normal 45 7 2 2 2 2 2" xfId="8210"/>
    <cellStyle name="Normal 45 7 2 2 2 2_FC with allocations" xfId="26569"/>
    <cellStyle name="Normal 45 7 2 2 2 3" xfId="8211"/>
    <cellStyle name="Normal 45 7 2 2 2_FC with allocations" xfId="26568"/>
    <cellStyle name="Normal 45 7 2 2 3" xfId="8212"/>
    <cellStyle name="Normal 45 7 2 2 3 2" xfId="8213"/>
    <cellStyle name="Normal 45 7 2 2 3_FC with allocations" xfId="26570"/>
    <cellStyle name="Normal 45 7 2 2 4" xfId="8214"/>
    <cellStyle name="Normal 45 7 2 2_FC with allocations" xfId="26567"/>
    <cellStyle name="Normal 45 7 2 3" xfId="8215"/>
    <cellStyle name="Normal 45 7 2 3 2" xfId="8216"/>
    <cellStyle name="Normal 45 7 2 3 2 2" xfId="8217"/>
    <cellStyle name="Normal 45 7 2 3 2_FC with allocations" xfId="26572"/>
    <cellStyle name="Normal 45 7 2 3 3" xfId="8218"/>
    <cellStyle name="Normal 45 7 2 3_FC with allocations" xfId="26571"/>
    <cellStyle name="Normal 45 7 2 4" xfId="8219"/>
    <cellStyle name="Normal 45 7 2 4 2" xfId="8220"/>
    <cellStyle name="Normal 45 7 2 4_FC with allocations" xfId="26573"/>
    <cellStyle name="Normal 45 7 2 5" xfId="8221"/>
    <cellStyle name="Normal 45 7 2_FC with allocations" xfId="26566"/>
    <cellStyle name="Normal 45 7 3" xfId="8222"/>
    <cellStyle name="Normal 45 7 3 2" xfId="8223"/>
    <cellStyle name="Normal 45 7 3 2 2" xfId="8224"/>
    <cellStyle name="Normal 45 7 3 2 2 2" xfId="8225"/>
    <cellStyle name="Normal 45 7 3 2 2 2 2" xfId="8226"/>
    <cellStyle name="Normal 45 7 3 2 2 2_FC with allocations" xfId="26577"/>
    <cellStyle name="Normal 45 7 3 2 2 3" xfId="8227"/>
    <cellStyle name="Normal 45 7 3 2 2_FC with allocations" xfId="26576"/>
    <cellStyle name="Normal 45 7 3 2 3" xfId="8228"/>
    <cellStyle name="Normal 45 7 3 2 3 2" xfId="8229"/>
    <cellStyle name="Normal 45 7 3 2 3_FC with allocations" xfId="26578"/>
    <cellStyle name="Normal 45 7 3 2 4" xfId="8230"/>
    <cellStyle name="Normal 45 7 3 2_FC with allocations" xfId="26575"/>
    <cellStyle name="Normal 45 7 3 3" xfId="8231"/>
    <cellStyle name="Normal 45 7 3 3 2" xfId="8232"/>
    <cellStyle name="Normal 45 7 3 3 2 2" xfId="8233"/>
    <cellStyle name="Normal 45 7 3 3 2_FC with allocations" xfId="26580"/>
    <cellStyle name="Normal 45 7 3 3 3" xfId="8234"/>
    <cellStyle name="Normal 45 7 3 3_FC with allocations" xfId="26579"/>
    <cellStyle name="Normal 45 7 3 4" xfId="8235"/>
    <cellStyle name="Normal 45 7 3 4 2" xfId="8236"/>
    <cellStyle name="Normal 45 7 3 4_FC with allocations" xfId="26581"/>
    <cellStyle name="Normal 45 7 3 5" xfId="8237"/>
    <cellStyle name="Normal 45 7 3_FC with allocations" xfId="26574"/>
    <cellStyle name="Normal 45 7 4" xfId="8238"/>
    <cellStyle name="Normal 45 7 4 2" xfId="8239"/>
    <cellStyle name="Normal 45 7 4 2 2" xfId="8240"/>
    <cellStyle name="Normal 45 7 4 2 2 2" xfId="8241"/>
    <cellStyle name="Normal 45 7 4 2 2_FC with allocations" xfId="26584"/>
    <cellStyle name="Normal 45 7 4 2 3" xfId="8242"/>
    <cellStyle name="Normal 45 7 4 2_FC with allocations" xfId="26583"/>
    <cellStyle name="Normal 45 7 4 3" xfId="8243"/>
    <cellStyle name="Normal 45 7 4 3 2" xfId="8244"/>
    <cellStyle name="Normal 45 7 4 3_FC with allocations" xfId="26585"/>
    <cellStyle name="Normal 45 7 4 4" xfId="8245"/>
    <cellStyle name="Normal 45 7 4_FC with allocations" xfId="26582"/>
    <cellStyle name="Normal 45 7 5" xfId="8246"/>
    <cellStyle name="Normal 45 7 5 2" xfId="8247"/>
    <cellStyle name="Normal 45 7 5 2 2" xfId="8248"/>
    <cellStyle name="Normal 45 7 5 2_FC with allocations" xfId="26587"/>
    <cellStyle name="Normal 45 7 5 3" xfId="8249"/>
    <cellStyle name="Normal 45 7 5_FC with allocations" xfId="26586"/>
    <cellStyle name="Normal 45 7 6" xfId="8250"/>
    <cellStyle name="Normal 45 7 6 2" xfId="8251"/>
    <cellStyle name="Normal 45 7 6 2 2" xfId="8252"/>
    <cellStyle name="Normal 45 7 6 2_FC with allocations" xfId="26589"/>
    <cellStyle name="Normal 45 7 6 3" xfId="8253"/>
    <cellStyle name="Normal 45 7 6_FC with allocations" xfId="26588"/>
    <cellStyle name="Normal 45 7 7" xfId="8254"/>
    <cellStyle name="Normal 45 7 7 2" xfId="8255"/>
    <cellStyle name="Normal 45 7 7_FC with allocations" xfId="26590"/>
    <cellStyle name="Normal 45 7 8" xfId="8256"/>
    <cellStyle name="Normal 45 7_FC with allocations" xfId="26565"/>
    <cellStyle name="Normal 45 8" xfId="8257"/>
    <cellStyle name="Normal 45 8 2" xfId="8258"/>
    <cellStyle name="Normal 45 8 2 2" xfId="8259"/>
    <cellStyle name="Normal 45 8 2 2 2" xfId="8260"/>
    <cellStyle name="Normal 45 8 2 2 2 2" xfId="8261"/>
    <cellStyle name="Normal 45 8 2 2 2 2 2" xfId="8262"/>
    <cellStyle name="Normal 45 8 2 2 2 2_FC with allocations" xfId="26595"/>
    <cellStyle name="Normal 45 8 2 2 2 3" xfId="8263"/>
    <cellStyle name="Normal 45 8 2 2 2_FC with allocations" xfId="26594"/>
    <cellStyle name="Normal 45 8 2 2 3" xfId="8264"/>
    <cellStyle name="Normal 45 8 2 2 3 2" xfId="8265"/>
    <cellStyle name="Normal 45 8 2 2 3_FC with allocations" xfId="26596"/>
    <cellStyle name="Normal 45 8 2 2 4" xfId="8266"/>
    <cellStyle name="Normal 45 8 2 2_FC with allocations" xfId="26593"/>
    <cellStyle name="Normal 45 8 2 3" xfId="8267"/>
    <cellStyle name="Normal 45 8 2 3 2" xfId="8268"/>
    <cellStyle name="Normal 45 8 2 3 2 2" xfId="8269"/>
    <cellStyle name="Normal 45 8 2 3 2_FC with allocations" xfId="26598"/>
    <cellStyle name="Normal 45 8 2 3 3" xfId="8270"/>
    <cellStyle name="Normal 45 8 2 3_FC with allocations" xfId="26597"/>
    <cellStyle name="Normal 45 8 2 4" xfId="8271"/>
    <cellStyle name="Normal 45 8 2 4 2" xfId="8272"/>
    <cellStyle name="Normal 45 8 2 4_FC with allocations" xfId="26599"/>
    <cellStyle name="Normal 45 8 2 5" xfId="8273"/>
    <cellStyle name="Normal 45 8 2_FC with allocations" xfId="26592"/>
    <cellStyle name="Normal 45 8 3" xfId="8274"/>
    <cellStyle name="Normal 45 8 3 2" xfId="8275"/>
    <cellStyle name="Normal 45 8 3 2 2" xfId="8276"/>
    <cellStyle name="Normal 45 8 3 2 2 2" xfId="8277"/>
    <cellStyle name="Normal 45 8 3 2 2 2 2" xfId="8278"/>
    <cellStyle name="Normal 45 8 3 2 2 2_FC with allocations" xfId="26603"/>
    <cellStyle name="Normal 45 8 3 2 2 3" xfId="8279"/>
    <cellStyle name="Normal 45 8 3 2 2_FC with allocations" xfId="26602"/>
    <cellStyle name="Normal 45 8 3 2 3" xfId="8280"/>
    <cellStyle name="Normal 45 8 3 2 3 2" xfId="8281"/>
    <cellStyle name="Normal 45 8 3 2 3_FC with allocations" xfId="26604"/>
    <cellStyle name="Normal 45 8 3 2 4" xfId="8282"/>
    <cellStyle name="Normal 45 8 3 2_FC with allocations" xfId="26601"/>
    <cellStyle name="Normal 45 8 3 3" xfId="8283"/>
    <cellStyle name="Normal 45 8 3 3 2" xfId="8284"/>
    <cellStyle name="Normal 45 8 3 3 2 2" xfId="8285"/>
    <cellStyle name="Normal 45 8 3 3 2_FC with allocations" xfId="26606"/>
    <cellStyle name="Normal 45 8 3 3 3" xfId="8286"/>
    <cellStyle name="Normal 45 8 3 3_FC with allocations" xfId="26605"/>
    <cellStyle name="Normal 45 8 3 4" xfId="8287"/>
    <cellStyle name="Normal 45 8 3 4 2" xfId="8288"/>
    <cellStyle name="Normal 45 8 3 4_FC with allocations" xfId="26607"/>
    <cellStyle name="Normal 45 8 3 5" xfId="8289"/>
    <cellStyle name="Normal 45 8 3_FC with allocations" xfId="26600"/>
    <cellStyle name="Normal 45 8 4" xfId="8290"/>
    <cellStyle name="Normal 45 8 4 2" xfId="8291"/>
    <cellStyle name="Normal 45 8 4 2 2" xfId="8292"/>
    <cellStyle name="Normal 45 8 4 2 2 2" xfId="8293"/>
    <cellStyle name="Normal 45 8 4 2 2_FC with allocations" xfId="26610"/>
    <cellStyle name="Normal 45 8 4 2 3" xfId="8294"/>
    <cellStyle name="Normal 45 8 4 2_FC with allocations" xfId="26609"/>
    <cellStyle name="Normal 45 8 4 3" xfId="8295"/>
    <cellStyle name="Normal 45 8 4 3 2" xfId="8296"/>
    <cellStyle name="Normal 45 8 4 3_FC with allocations" xfId="26611"/>
    <cellStyle name="Normal 45 8 4 4" xfId="8297"/>
    <cellStyle name="Normal 45 8 4_FC with allocations" xfId="26608"/>
    <cellStyle name="Normal 45 8 5" xfId="8298"/>
    <cellStyle name="Normal 45 8 5 2" xfId="8299"/>
    <cellStyle name="Normal 45 8 5 2 2" xfId="8300"/>
    <cellStyle name="Normal 45 8 5 2_FC with allocations" xfId="26613"/>
    <cellStyle name="Normal 45 8 5 3" xfId="8301"/>
    <cellStyle name="Normal 45 8 5_FC with allocations" xfId="26612"/>
    <cellStyle name="Normal 45 8 6" xfId="8302"/>
    <cellStyle name="Normal 45 8 6 2" xfId="8303"/>
    <cellStyle name="Normal 45 8 6 2 2" xfId="8304"/>
    <cellStyle name="Normal 45 8 6 2_FC with allocations" xfId="26615"/>
    <cellStyle name="Normal 45 8 6 3" xfId="8305"/>
    <cellStyle name="Normal 45 8 6_FC with allocations" xfId="26614"/>
    <cellStyle name="Normal 45 8 7" xfId="8306"/>
    <cellStyle name="Normal 45 8 7 2" xfId="8307"/>
    <cellStyle name="Normal 45 8 7_FC with allocations" xfId="26616"/>
    <cellStyle name="Normal 45 8 8" xfId="8308"/>
    <cellStyle name="Normal 45 8_FC with allocations" xfId="26591"/>
    <cellStyle name="Normal 45 9" xfId="8309"/>
    <cellStyle name="Normal 45 9 2" xfId="8310"/>
    <cellStyle name="Normal 45 9 2 2" xfId="8311"/>
    <cellStyle name="Normal 45 9 2 2 2" xfId="8312"/>
    <cellStyle name="Normal 45 9 2 2 2 2" xfId="8313"/>
    <cellStyle name="Normal 45 9 2 2 2 2 2" xfId="8314"/>
    <cellStyle name="Normal 45 9 2 2 2 2_FC with allocations" xfId="26621"/>
    <cellStyle name="Normal 45 9 2 2 2 3" xfId="8315"/>
    <cellStyle name="Normal 45 9 2 2 2_FC with allocations" xfId="26620"/>
    <cellStyle name="Normal 45 9 2 2 3" xfId="8316"/>
    <cellStyle name="Normal 45 9 2 2 3 2" xfId="8317"/>
    <cellStyle name="Normal 45 9 2 2 3_FC with allocations" xfId="26622"/>
    <cellStyle name="Normal 45 9 2 2 4" xfId="8318"/>
    <cellStyle name="Normal 45 9 2 2_FC with allocations" xfId="26619"/>
    <cellStyle name="Normal 45 9 2 3" xfId="8319"/>
    <cellStyle name="Normal 45 9 2 3 2" xfId="8320"/>
    <cellStyle name="Normal 45 9 2 3 2 2" xfId="8321"/>
    <cellStyle name="Normal 45 9 2 3 2_FC with allocations" xfId="26624"/>
    <cellStyle name="Normal 45 9 2 3 3" xfId="8322"/>
    <cellStyle name="Normal 45 9 2 3_FC with allocations" xfId="26623"/>
    <cellStyle name="Normal 45 9 2 4" xfId="8323"/>
    <cellStyle name="Normal 45 9 2 4 2" xfId="8324"/>
    <cellStyle name="Normal 45 9 2 4_FC with allocations" xfId="26625"/>
    <cellStyle name="Normal 45 9 2 5" xfId="8325"/>
    <cellStyle name="Normal 45 9 2_FC with allocations" xfId="26618"/>
    <cellStyle name="Normal 45 9 3" xfId="8326"/>
    <cellStyle name="Normal 45 9 3 2" xfId="8327"/>
    <cellStyle name="Normal 45 9 3 2 2" xfId="8328"/>
    <cellStyle name="Normal 45 9 3 2 2 2" xfId="8329"/>
    <cellStyle name="Normal 45 9 3 2 2 2 2" xfId="8330"/>
    <cellStyle name="Normal 45 9 3 2 2 2_FC with allocations" xfId="26629"/>
    <cellStyle name="Normal 45 9 3 2 2 3" xfId="8331"/>
    <cellStyle name="Normal 45 9 3 2 2_FC with allocations" xfId="26628"/>
    <cellStyle name="Normal 45 9 3 2 3" xfId="8332"/>
    <cellStyle name="Normal 45 9 3 2 3 2" xfId="8333"/>
    <cellStyle name="Normal 45 9 3 2 3_FC with allocations" xfId="26630"/>
    <cellStyle name="Normal 45 9 3 2 4" xfId="8334"/>
    <cellStyle name="Normal 45 9 3 2_FC with allocations" xfId="26627"/>
    <cellStyle name="Normal 45 9 3 3" xfId="8335"/>
    <cellStyle name="Normal 45 9 3 3 2" xfId="8336"/>
    <cellStyle name="Normal 45 9 3 3 2 2" xfId="8337"/>
    <cellStyle name="Normal 45 9 3 3 2_FC with allocations" xfId="26632"/>
    <cellStyle name="Normal 45 9 3 3 3" xfId="8338"/>
    <cellStyle name="Normal 45 9 3 3_FC with allocations" xfId="26631"/>
    <cellStyle name="Normal 45 9 3 4" xfId="8339"/>
    <cellStyle name="Normal 45 9 3 4 2" xfId="8340"/>
    <cellStyle name="Normal 45 9 3 4_FC with allocations" xfId="26633"/>
    <cellStyle name="Normal 45 9 3 5" xfId="8341"/>
    <cellStyle name="Normal 45 9 3_FC with allocations" xfId="26626"/>
    <cellStyle name="Normal 45 9 4" xfId="8342"/>
    <cellStyle name="Normal 45 9 4 2" xfId="8343"/>
    <cellStyle name="Normal 45 9 4 2 2" xfId="8344"/>
    <cellStyle name="Normal 45 9 4 2 2 2" xfId="8345"/>
    <cellStyle name="Normal 45 9 4 2 2_FC with allocations" xfId="26636"/>
    <cellStyle name="Normal 45 9 4 2 3" xfId="8346"/>
    <cellStyle name="Normal 45 9 4 2_FC with allocations" xfId="26635"/>
    <cellStyle name="Normal 45 9 4 3" xfId="8347"/>
    <cellStyle name="Normal 45 9 4 3 2" xfId="8348"/>
    <cellStyle name="Normal 45 9 4 3_FC with allocations" xfId="26637"/>
    <cellStyle name="Normal 45 9 4 4" xfId="8349"/>
    <cellStyle name="Normal 45 9 4_FC with allocations" xfId="26634"/>
    <cellStyle name="Normal 45 9 5" xfId="8350"/>
    <cellStyle name="Normal 45 9 5 2" xfId="8351"/>
    <cellStyle name="Normal 45 9 5 2 2" xfId="8352"/>
    <cellStyle name="Normal 45 9 5 2_FC with allocations" xfId="26639"/>
    <cellStyle name="Normal 45 9 5 3" xfId="8353"/>
    <cellStyle name="Normal 45 9 5_FC with allocations" xfId="26638"/>
    <cellStyle name="Normal 45 9 6" xfId="8354"/>
    <cellStyle name="Normal 45 9 6 2" xfId="8355"/>
    <cellStyle name="Normal 45 9 6 2 2" xfId="8356"/>
    <cellStyle name="Normal 45 9 6 2_FC with allocations" xfId="26641"/>
    <cellStyle name="Normal 45 9 6 3" xfId="8357"/>
    <cellStyle name="Normal 45 9 6_FC with allocations" xfId="26640"/>
    <cellStyle name="Normal 45 9 7" xfId="8358"/>
    <cellStyle name="Normal 45 9 7 2" xfId="8359"/>
    <cellStyle name="Normal 45 9 7_FC with allocations" xfId="26642"/>
    <cellStyle name="Normal 45 9 8" xfId="8360"/>
    <cellStyle name="Normal 45 9_FC with allocations" xfId="26617"/>
    <cellStyle name="Normal 45_FC with allocations" xfId="26244"/>
    <cellStyle name="Normal 46" xfId="2175"/>
    <cellStyle name="Normal 46 10" xfId="8362"/>
    <cellStyle name="Normal 46 10 2" xfId="8363"/>
    <cellStyle name="Normal 46 10 2 2" xfId="8364"/>
    <cellStyle name="Normal 46 10 2 2 2" xfId="8365"/>
    <cellStyle name="Normal 46 10 2 2 2 2" xfId="8366"/>
    <cellStyle name="Normal 46 10 2 2 2 2 2" xfId="8367"/>
    <cellStyle name="Normal 46 10 2 2 2 2_FC with allocations" xfId="26648"/>
    <cellStyle name="Normal 46 10 2 2 2 3" xfId="8368"/>
    <cellStyle name="Normal 46 10 2 2 2_FC with allocations" xfId="26647"/>
    <cellStyle name="Normal 46 10 2 2 3" xfId="8369"/>
    <cellStyle name="Normal 46 10 2 2 3 2" xfId="8370"/>
    <cellStyle name="Normal 46 10 2 2 3_FC with allocations" xfId="26649"/>
    <cellStyle name="Normal 46 10 2 2 4" xfId="8371"/>
    <cellStyle name="Normal 46 10 2 2_FC with allocations" xfId="26646"/>
    <cellStyle name="Normal 46 10 2 3" xfId="8372"/>
    <cellStyle name="Normal 46 10 2 3 2" xfId="8373"/>
    <cellStyle name="Normal 46 10 2 3 2 2" xfId="8374"/>
    <cellStyle name="Normal 46 10 2 3 2_FC with allocations" xfId="26651"/>
    <cellStyle name="Normal 46 10 2 3 3" xfId="8375"/>
    <cellStyle name="Normal 46 10 2 3_FC with allocations" xfId="26650"/>
    <cellStyle name="Normal 46 10 2 4" xfId="8376"/>
    <cellStyle name="Normal 46 10 2 4 2" xfId="8377"/>
    <cellStyle name="Normal 46 10 2 4_FC with allocations" xfId="26652"/>
    <cellStyle name="Normal 46 10 2 5" xfId="8378"/>
    <cellStyle name="Normal 46 10 2_FC with allocations" xfId="26645"/>
    <cellStyle name="Normal 46 10 3" xfId="8379"/>
    <cellStyle name="Normal 46 10 3 2" xfId="8380"/>
    <cellStyle name="Normal 46 10 3 2 2" xfId="8381"/>
    <cellStyle name="Normal 46 10 3 2 2 2" xfId="8382"/>
    <cellStyle name="Normal 46 10 3 2 2 2 2" xfId="8383"/>
    <cellStyle name="Normal 46 10 3 2 2 2_FC with allocations" xfId="26656"/>
    <cellStyle name="Normal 46 10 3 2 2 3" xfId="8384"/>
    <cellStyle name="Normal 46 10 3 2 2_FC with allocations" xfId="26655"/>
    <cellStyle name="Normal 46 10 3 2 3" xfId="8385"/>
    <cellStyle name="Normal 46 10 3 2 3 2" xfId="8386"/>
    <cellStyle name="Normal 46 10 3 2 3_FC with allocations" xfId="26657"/>
    <cellStyle name="Normal 46 10 3 2 4" xfId="8387"/>
    <cellStyle name="Normal 46 10 3 2_FC with allocations" xfId="26654"/>
    <cellStyle name="Normal 46 10 3 3" xfId="8388"/>
    <cellStyle name="Normal 46 10 3 3 2" xfId="8389"/>
    <cellStyle name="Normal 46 10 3 3 2 2" xfId="8390"/>
    <cellStyle name="Normal 46 10 3 3 2_FC with allocations" xfId="26659"/>
    <cellStyle name="Normal 46 10 3 3 3" xfId="8391"/>
    <cellStyle name="Normal 46 10 3 3_FC with allocations" xfId="26658"/>
    <cellStyle name="Normal 46 10 3 4" xfId="8392"/>
    <cellStyle name="Normal 46 10 3 4 2" xfId="8393"/>
    <cellStyle name="Normal 46 10 3 4_FC with allocations" xfId="26660"/>
    <cellStyle name="Normal 46 10 3 5" xfId="8394"/>
    <cellStyle name="Normal 46 10 3_FC with allocations" xfId="26653"/>
    <cellStyle name="Normal 46 10 4" xfId="8395"/>
    <cellStyle name="Normal 46 10 4 2" xfId="8396"/>
    <cellStyle name="Normal 46 10 4 2 2" xfId="8397"/>
    <cellStyle name="Normal 46 10 4 2 2 2" xfId="8398"/>
    <cellStyle name="Normal 46 10 4 2 2_FC with allocations" xfId="26663"/>
    <cellStyle name="Normal 46 10 4 2 3" xfId="8399"/>
    <cellStyle name="Normal 46 10 4 2_FC with allocations" xfId="26662"/>
    <cellStyle name="Normal 46 10 4 3" xfId="8400"/>
    <cellStyle name="Normal 46 10 4 3 2" xfId="8401"/>
    <cellStyle name="Normal 46 10 4 3_FC with allocations" xfId="26664"/>
    <cellStyle name="Normal 46 10 4 4" xfId="8402"/>
    <cellStyle name="Normal 46 10 4_FC with allocations" xfId="26661"/>
    <cellStyle name="Normal 46 10 5" xfId="8403"/>
    <cellStyle name="Normal 46 10 5 2" xfId="8404"/>
    <cellStyle name="Normal 46 10 5 2 2" xfId="8405"/>
    <cellStyle name="Normal 46 10 5 2_FC with allocations" xfId="26666"/>
    <cellStyle name="Normal 46 10 5 3" xfId="8406"/>
    <cellStyle name="Normal 46 10 5_FC with allocations" xfId="26665"/>
    <cellStyle name="Normal 46 10 6" xfId="8407"/>
    <cellStyle name="Normal 46 10 6 2" xfId="8408"/>
    <cellStyle name="Normal 46 10 6 2 2" xfId="8409"/>
    <cellStyle name="Normal 46 10 6 2_FC with allocations" xfId="26668"/>
    <cellStyle name="Normal 46 10 6 3" xfId="8410"/>
    <cellStyle name="Normal 46 10 6_FC with allocations" xfId="26667"/>
    <cellStyle name="Normal 46 10 7" xfId="8411"/>
    <cellStyle name="Normal 46 10 7 2" xfId="8412"/>
    <cellStyle name="Normal 46 10 7_FC with allocations" xfId="26669"/>
    <cellStyle name="Normal 46 10 8" xfId="8413"/>
    <cellStyle name="Normal 46 10_FC with allocations" xfId="26644"/>
    <cellStyle name="Normal 46 11" xfId="8414"/>
    <cellStyle name="Normal 46 11 2" xfId="8415"/>
    <cellStyle name="Normal 46 11 2 2" xfId="8416"/>
    <cellStyle name="Normal 46 11 2 2 2" xfId="8417"/>
    <cellStyle name="Normal 46 11 2 2 2 2" xfId="8418"/>
    <cellStyle name="Normal 46 11 2 2 2 2 2" xfId="8419"/>
    <cellStyle name="Normal 46 11 2 2 2 2_FC with allocations" xfId="26674"/>
    <cellStyle name="Normal 46 11 2 2 2 3" xfId="8420"/>
    <cellStyle name="Normal 46 11 2 2 2_FC with allocations" xfId="26673"/>
    <cellStyle name="Normal 46 11 2 2 3" xfId="8421"/>
    <cellStyle name="Normal 46 11 2 2 3 2" xfId="8422"/>
    <cellStyle name="Normal 46 11 2 2 3_FC with allocations" xfId="26675"/>
    <cellStyle name="Normal 46 11 2 2 4" xfId="8423"/>
    <cellStyle name="Normal 46 11 2 2_FC with allocations" xfId="26672"/>
    <cellStyle name="Normal 46 11 2 3" xfId="8424"/>
    <cellStyle name="Normal 46 11 2 3 2" xfId="8425"/>
    <cellStyle name="Normal 46 11 2 3 2 2" xfId="8426"/>
    <cellStyle name="Normal 46 11 2 3 2_FC with allocations" xfId="26677"/>
    <cellStyle name="Normal 46 11 2 3 3" xfId="8427"/>
    <cellStyle name="Normal 46 11 2 3_FC with allocations" xfId="26676"/>
    <cellStyle name="Normal 46 11 2 4" xfId="8428"/>
    <cellStyle name="Normal 46 11 2 4 2" xfId="8429"/>
    <cellStyle name="Normal 46 11 2 4_FC with allocations" xfId="26678"/>
    <cellStyle name="Normal 46 11 2 5" xfId="8430"/>
    <cellStyle name="Normal 46 11 2_FC with allocations" xfId="26671"/>
    <cellStyle name="Normal 46 11 3" xfId="8431"/>
    <cellStyle name="Normal 46 11 3 2" xfId="8432"/>
    <cellStyle name="Normal 46 11 3 2 2" xfId="8433"/>
    <cellStyle name="Normal 46 11 3 2 2 2" xfId="8434"/>
    <cellStyle name="Normal 46 11 3 2 2 2 2" xfId="8435"/>
    <cellStyle name="Normal 46 11 3 2 2 2_FC with allocations" xfId="26682"/>
    <cellStyle name="Normal 46 11 3 2 2 3" xfId="8436"/>
    <cellStyle name="Normal 46 11 3 2 2_FC with allocations" xfId="26681"/>
    <cellStyle name="Normal 46 11 3 2 3" xfId="8437"/>
    <cellStyle name="Normal 46 11 3 2 3 2" xfId="8438"/>
    <cellStyle name="Normal 46 11 3 2 3_FC with allocations" xfId="26683"/>
    <cellStyle name="Normal 46 11 3 2 4" xfId="8439"/>
    <cellStyle name="Normal 46 11 3 2_FC with allocations" xfId="26680"/>
    <cellStyle name="Normal 46 11 3 3" xfId="8440"/>
    <cellStyle name="Normal 46 11 3 3 2" xfId="8441"/>
    <cellStyle name="Normal 46 11 3 3 2 2" xfId="8442"/>
    <cellStyle name="Normal 46 11 3 3 2_FC with allocations" xfId="26685"/>
    <cellStyle name="Normal 46 11 3 3 3" xfId="8443"/>
    <cellStyle name="Normal 46 11 3 3_FC with allocations" xfId="26684"/>
    <cellStyle name="Normal 46 11 3 4" xfId="8444"/>
    <cellStyle name="Normal 46 11 3 4 2" xfId="8445"/>
    <cellStyle name="Normal 46 11 3 4_FC with allocations" xfId="26686"/>
    <cellStyle name="Normal 46 11 3 5" xfId="8446"/>
    <cellStyle name="Normal 46 11 3_FC with allocations" xfId="26679"/>
    <cellStyle name="Normal 46 11 4" xfId="8447"/>
    <cellStyle name="Normal 46 11 4 2" xfId="8448"/>
    <cellStyle name="Normal 46 11 4 2 2" xfId="8449"/>
    <cellStyle name="Normal 46 11 4 2 2 2" xfId="8450"/>
    <cellStyle name="Normal 46 11 4 2 2_FC with allocations" xfId="26689"/>
    <cellStyle name="Normal 46 11 4 2 3" xfId="8451"/>
    <cellStyle name="Normal 46 11 4 2_FC with allocations" xfId="26688"/>
    <cellStyle name="Normal 46 11 4 3" xfId="8452"/>
    <cellStyle name="Normal 46 11 4 3 2" xfId="8453"/>
    <cellStyle name="Normal 46 11 4 3_FC with allocations" xfId="26690"/>
    <cellStyle name="Normal 46 11 4 4" xfId="8454"/>
    <cellStyle name="Normal 46 11 4_FC with allocations" xfId="26687"/>
    <cellStyle name="Normal 46 11 5" xfId="8455"/>
    <cellStyle name="Normal 46 11 5 2" xfId="8456"/>
    <cellStyle name="Normal 46 11 5 2 2" xfId="8457"/>
    <cellStyle name="Normal 46 11 5 2_FC with allocations" xfId="26692"/>
    <cellStyle name="Normal 46 11 5 3" xfId="8458"/>
    <cellStyle name="Normal 46 11 5_FC with allocations" xfId="26691"/>
    <cellStyle name="Normal 46 11 6" xfId="8459"/>
    <cellStyle name="Normal 46 11 6 2" xfId="8460"/>
    <cellStyle name="Normal 46 11 6 2 2" xfId="8461"/>
    <cellStyle name="Normal 46 11 6 2_FC with allocations" xfId="26694"/>
    <cellStyle name="Normal 46 11 6 3" xfId="8462"/>
    <cellStyle name="Normal 46 11 6_FC with allocations" xfId="26693"/>
    <cellStyle name="Normal 46 11 7" xfId="8463"/>
    <cellStyle name="Normal 46 11 7 2" xfId="8464"/>
    <cellStyle name="Normal 46 11 7_FC with allocations" xfId="26695"/>
    <cellStyle name="Normal 46 11 8" xfId="8465"/>
    <cellStyle name="Normal 46 11_FC with allocations" xfId="26670"/>
    <cellStyle name="Normal 46 12" xfId="8466"/>
    <cellStyle name="Normal 46 12 2" xfId="8467"/>
    <cellStyle name="Normal 46 12 2 2" xfId="8468"/>
    <cellStyle name="Normal 46 12 2 2 2" xfId="8469"/>
    <cellStyle name="Normal 46 12 2 2 2 2" xfId="8470"/>
    <cellStyle name="Normal 46 12 2 2 2 2 2" xfId="8471"/>
    <cellStyle name="Normal 46 12 2 2 2 2_FC with allocations" xfId="26700"/>
    <cellStyle name="Normal 46 12 2 2 2 3" xfId="8472"/>
    <cellStyle name="Normal 46 12 2 2 2_FC with allocations" xfId="26699"/>
    <cellStyle name="Normal 46 12 2 2 3" xfId="8473"/>
    <cellStyle name="Normal 46 12 2 2 3 2" xfId="8474"/>
    <cellStyle name="Normal 46 12 2 2 3_FC with allocations" xfId="26701"/>
    <cellStyle name="Normal 46 12 2 2 4" xfId="8475"/>
    <cellStyle name="Normal 46 12 2 2_FC with allocations" xfId="26698"/>
    <cellStyle name="Normal 46 12 2 3" xfId="8476"/>
    <cellStyle name="Normal 46 12 2 3 2" xfId="8477"/>
    <cellStyle name="Normal 46 12 2 3 2 2" xfId="8478"/>
    <cellStyle name="Normal 46 12 2 3 2_FC with allocations" xfId="26703"/>
    <cellStyle name="Normal 46 12 2 3 3" xfId="8479"/>
    <cellStyle name="Normal 46 12 2 3_FC with allocations" xfId="26702"/>
    <cellStyle name="Normal 46 12 2 4" xfId="8480"/>
    <cellStyle name="Normal 46 12 2 4 2" xfId="8481"/>
    <cellStyle name="Normal 46 12 2 4_FC with allocations" xfId="26704"/>
    <cellStyle name="Normal 46 12 2 5" xfId="8482"/>
    <cellStyle name="Normal 46 12 2_FC with allocations" xfId="26697"/>
    <cellStyle name="Normal 46 12 3" xfId="8483"/>
    <cellStyle name="Normal 46 12 3 2" xfId="8484"/>
    <cellStyle name="Normal 46 12 3 2 2" xfId="8485"/>
    <cellStyle name="Normal 46 12 3 2 2 2" xfId="8486"/>
    <cellStyle name="Normal 46 12 3 2 2 2 2" xfId="8487"/>
    <cellStyle name="Normal 46 12 3 2 2 2_FC with allocations" xfId="26708"/>
    <cellStyle name="Normal 46 12 3 2 2 3" xfId="8488"/>
    <cellStyle name="Normal 46 12 3 2 2_FC with allocations" xfId="26707"/>
    <cellStyle name="Normal 46 12 3 2 3" xfId="8489"/>
    <cellStyle name="Normal 46 12 3 2 3 2" xfId="8490"/>
    <cellStyle name="Normal 46 12 3 2 3_FC with allocations" xfId="26709"/>
    <cellStyle name="Normal 46 12 3 2 4" xfId="8491"/>
    <cellStyle name="Normal 46 12 3 2_FC with allocations" xfId="26706"/>
    <cellStyle name="Normal 46 12 3 3" xfId="8492"/>
    <cellStyle name="Normal 46 12 3 3 2" xfId="8493"/>
    <cellStyle name="Normal 46 12 3 3 2 2" xfId="8494"/>
    <cellStyle name="Normal 46 12 3 3 2_FC with allocations" xfId="26711"/>
    <cellStyle name="Normal 46 12 3 3 3" xfId="8495"/>
    <cellStyle name="Normal 46 12 3 3_FC with allocations" xfId="26710"/>
    <cellStyle name="Normal 46 12 3 4" xfId="8496"/>
    <cellStyle name="Normal 46 12 3 4 2" xfId="8497"/>
    <cellStyle name="Normal 46 12 3 4_FC with allocations" xfId="26712"/>
    <cellStyle name="Normal 46 12 3 5" xfId="8498"/>
    <cellStyle name="Normal 46 12 3_FC with allocations" xfId="26705"/>
    <cellStyle name="Normal 46 12 4" xfId="8499"/>
    <cellStyle name="Normal 46 12 4 2" xfId="8500"/>
    <cellStyle name="Normal 46 12 4 2 2" xfId="8501"/>
    <cellStyle name="Normal 46 12 4 2 2 2" xfId="8502"/>
    <cellStyle name="Normal 46 12 4 2 2_FC with allocations" xfId="26715"/>
    <cellStyle name="Normal 46 12 4 2 3" xfId="8503"/>
    <cellStyle name="Normal 46 12 4 2_FC with allocations" xfId="26714"/>
    <cellStyle name="Normal 46 12 4 3" xfId="8504"/>
    <cellStyle name="Normal 46 12 4 3 2" xfId="8505"/>
    <cellStyle name="Normal 46 12 4 3_FC with allocations" xfId="26716"/>
    <cellStyle name="Normal 46 12 4 4" xfId="8506"/>
    <cellStyle name="Normal 46 12 4_FC with allocations" xfId="26713"/>
    <cellStyle name="Normal 46 12 5" xfId="8507"/>
    <cellStyle name="Normal 46 12 5 2" xfId="8508"/>
    <cellStyle name="Normal 46 12 5 2 2" xfId="8509"/>
    <cellStyle name="Normal 46 12 5 2_FC with allocations" xfId="26718"/>
    <cellStyle name="Normal 46 12 5 3" xfId="8510"/>
    <cellStyle name="Normal 46 12 5_FC with allocations" xfId="26717"/>
    <cellStyle name="Normal 46 12 6" xfId="8511"/>
    <cellStyle name="Normal 46 12 6 2" xfId="8512"/>
    <cellStyle name="Normal 46 12 6 2 2" xfId="8513"/>
    <cellStyle name="Normal 46 12 6 2_FC with allocations" xfId="26720"/>
    <cellStyle name="Normal 46 12 6 3" xfId="8514"/>
    <cellStyle name="Normal 46 12 6_FC with allocations" xfId="26719"/>
    <cellStyle name="Normal 46 12 7" xfId="8515"/>
    <cellStyle name="Normal 46 12 7 2" xfId="8516"/>
    <cellStyle name="Normal 46 12 7_FC with allocations" xfId="26721"/>
    <cellStyle name="Normal 46 12 8" xfId="8517"/>
    <cellStyle name="Normal 46 12_FC with allocations" xfId="26696"/>
    <cellStyle name="Normal 46 13" xfId="8518"/>
    <cellStyle name="Normal 46 13 2" xfId="8519"/>
    <cellStyle name="Normal 46 13 2 2" xfId="8520"/>
    <cellStyle name="Normal 46 13 2 2 2" xfId="8521"/>
    <cellStyle name="Normal 46 13 2 2 2 2" xfId="8522"/>
    <cellStyle name="Normal 46 13 2 2 2 2 2" xfId="8523"/>
    <cellStyle name="Normal 46 13 2 2 2 2_FC with allocations" xfId="26726"/>
    <cellStyle name="Normal 46 13 2 2 2 3" xfId="8524"/>
    <cellStyle name="Normal 46 13 2 2 2_FC with allocations" xfId="26725"/>
    <cellStyle name="Normal 46 13 2 2 3" xfId="8525"/>
    <cellStyle name="Normal 46 13 2 2 3 2" xfId="8526"/>
    <cellStyle name="Normal 46 13 2 2 3_FC with allocations" xfId="26727"/>
    <cellStyle name="Normal 46 13 2 2 4" xfId="8527"/>
    <cellStyle name="Normal 46 13 2 2_FC with allocations" xfId="26724"/>
    <cellStyle name="Normal 46 13 2 3" xfId="8528"/>
    <cellStyle name="Normal 46 13 2 3 2" xfId="8529"/>
    <cellStyle name="Normal 46 13 2 3 2 2" xfId="8530"/>
    <cellStyle name="Normal 46 13 2 3 2_FC with allocations" xfId="26729"/>
    <cellStyle name="Normal 46 13 2 3 3" xfId="8531"/>
    <cellStyle name="Normal 46 13 2 3_FC with allocations" xfId="26728"/>
    <cellStyle name="Normal 46 13 2 4" xfId="8532"/>
    <cellStyle name="Normal 46 13 2 4 2" xfId="8533"/>
    <cellStyle name="Normal 46 13 2 4_FC with allocations" xfId="26730"/>
    <cellStyle name="Normal 46 13 2 5" xfId="8534"/>
    <cellStyle name="Normal 46 13 2_FC with allocations" xfId="26723"/>
    <cellStyle name="Normal 46 13 3" xfId="8535"/>
    <cellStyle name="Normal 46 13 3 2" xfId="8536"/>
    <cellStyle name="Normal 46 13 3 2 2" xfId="8537"/>
    <cellStyle name="Normal 46 13 3 2 2 2" xfId="8538"/>
    <cellStyle name="Normal 46 13 3 2 2 2 2" xfId="8539"/>
    <cellStyle name="Normal 46 13 3 2 2 2_FC with allocations" xfId="26734"/>
    <cellStyle name="Normal 46 13 3 2 2 3" xfId="8540"/>
    <cellStyle name="Normal 46 13 3 2 2_FC with allocations" xfId="26733"/>
    <cellStyle name="Normal 46 13 3 2 3" xfId="8541"/>
    <cellStyle name="Normal 46 13 3 2 3 2" xfId="8542"/>
    <cellStyle name="Normal 46 13 3 2 3_FC with allocations" xfId="26735"/>
    <cellStyle name="Normal 46 13 3 2 4" xfId="8543"/>
    <cellStyle name="Normal 46 13 3 2_FC with allocations" xfId="26732"/>
    <cellStyle name="Normal 46 13 3 3" xfId="8544"/>
    <cellStyle name="Normal 46 13 3 3 2" xfId="8545"/>
    <cellStyle name="Normal 46 13 3 3 2 2" xfId="8546"/>
    <cellStyle name="Normal 46 13 3 3 2_FC with allocations" xfId="26737"/>
    <cellStyle name="Normal 46 13 3 3 3" xfId="8547"/>
    <cellStyle name="Normal 46 13 3 3_FC with allocations" xfId="26736"/>
    <cellStyle name="Normal 46 13 3 4" xfId="8548"/>
    <cellStyle name="Normal 46 13 3 4 2" xfId="8549"/>
    <cellStyle name="Normal 46 13 3 4_FC with allocations" xfId="26738"/>
    <cellStyle name="Normal 46 13 3 5" xfId="8550"/>
    <cellStyle name="Normal 46 13 3_FC with allocations" xfId="26731"/>
    <cellStyle name="Normal 46 13 4" xfId="8551"/>
    <cellStyle name="Normal 46 13 4 2" xfId="8552"/>
    <cellStyle name="Normal 46 13 4 2 2" xfId="8553"/>
    <cellStyle name="Normal 46 13 4 2 2 2" xfId="8554"/>
    <cellStyle name="Normal 46 13 4 2 2_FC with allocations" xfId="26741"/>
    <cellStyle name="Normal 46 13 4 2 3" xfId="8555"/>
    <cellStyle name="Normal 46 13 4 2_FC with allocations" xfId="26740"/>
    <cellStyle name="Normal 46 13 4 3" xfId="8556"/>
    <cellStyle name="Normal 46 13 4 3 2" xfId="8557"/>
    <cellStyle name="Normal 46 13 4 3_FC with allocations" xfId="26742"/>
    <cellStyle name="Normal 46 13 4 4" xfId="8558"/>
    <cellStyle name="Normal 46 13 4_FC with allocations" xfId="26739"/>
    <cellStyle name="Normal 46 13 5" xfId="8559"/>
    <cellStyle name="Normal 46 13 5 2" xfId="8560"/>
    <cellStyle name="Normal 46 13 5 2 2" xfId="8561"/>
    <cellStyle name="Normal 46 13 5 2_FC with allocations" xfId="26744"/>
    <cellStyle name="Normal 46 13 5 3" xfId="8562"/>
    <cellStyle name="Normal 46 13 5_FC with allocations" xfId="26743"/>
    <cellStyle name="Normal 46 13 6" xfId="8563"/>
    <cellStyle name="Normal 46 13 6 2" xfId="8564"/>
    <cellStyle name="Normal 46 13 6 2 2" xfId="8565"/>
    <cellStyle name="Normal 46 13 6 2_FC with allocations" xfId="26746"/>
    <cellStyle name="Normal 46 13 6 3" xfId="8566"/>
    <cellStyle name="Normal 46 13 6_FC with allocations" xfId="26745"/>
    <cellStyle name="Normal 46 13 7" xfId="8567"/>
    <cellStyle name="Normal 46 13 7 2" xfId="8568"/>
    <cellStyle name="Normal 46 13 7_FC with allocations" xfId="26747"/>
    <cellStyle name="Normal 46 13 8" xfId="8569"/>
    <cellStyle name="Normal 46 13_FC with allocations" xfId="26722"/>
    <cellStyle name="Normal 46 14" xfId="8570"/>
    <cellStyle name="Normal 46 14 2" xfId="8571"/>
    <cellStyle name="Normal 46 14 2 2" xfId="8572"/>
    <cellStyle name="Normal 46 14 2 2 2" xfId="8573"/>
    <cellStyle name="Normal 46 14 2 2 2 2" xfId="8574"/>
    <cellStyle name="Normal 46 14 2 2 2 2 2" xfId="8575"/>
    <cellStyle name="Normal 46 14 2 2 2 2_FC with allocations" xfId="26752"/>
    <cellStyle name="Normal 46 14 2 2 2 3" xfId="8576"/>
    <cellStyle name="Normal 46 14 2 2 2_FC with allocations" xfId="26751"/>
    <cellStyle name="Normal 46 14 2 2 3" xfId="8577"/>
    <cellStyle name="Normal 46 14 2 2 3 2" xfId="8578"/>
    <cellStyle name="Normal 46 14 2 2 3_FC with allocations" xfId="26753"/>
    <cellStyle name="Normal 46 14 2 2 4" xfId="8579"/>
    <cellStyle name="Normal 46 14 2 2_FC with allocations" xfId="26750"/>
    <cellStyle name="Normal 46 14 2 3" xfId="8580"/>
    <cellStyle name="Normal 46 14 2 3 2" xfId="8581"/>
    <cellStyle name="Normal 46 14 2 3 2 2" xfId="8582"/>
    <cellStyle name="Normal 46 14 2 3 2_FC with allocations" xfId="26755"/>
    <cellStyle name="Normal 46 14 2 3 3" xfId="8583"/>
    <cellStyle name="Normal 46 14 2 3_FC with allocations" xfId="26754"/>
    <cellStyle name="Normal 46 14 2 4" xfId="8584"/>
    <cellStyle name="Normal 46 14 2 4 2" xfId="8585"/>
    <cellStyle name="Normal 46 14 2 4_FC with allocations" xfId="26756"/>
    <cellStyle name="Normal 46 14 2 5" xfId="8586"/>
    <cellStyle name="Normal 46 14 2_FC with allocations" xfId="26749"/>
    <cellStyle name="Normal 46 14 3" xfId="8587"/>
    <cellStyle name="Normal 46 14 3 2" xfId="8588"/>
    <cellStyle name="Normal 46 14 3 2 2" xfId="8589"/>
    <cellStyle name="Normal 46 14 3 2 2 2" xfId="8590"/>
    <cellStyle name="Normal 46 14 3 2 2 2 2" xfId="8591"/>
    <cellStyle name="Normal 46 14 3 2 2 2_FC with allocations" xfId="26760"/>
    <cellStyle name="Normal 46 14 3 2 2 3" xfId="8592"/>
    <cellStyle name="Normal 46 14 3 2 2_FC with allocations" xfId="26759"/>
    <cellStyle name="Normal 46 14 3 2 3" xfId="8593"/>
    <cellStyle name="Normal 46 14 3 2 3 2" xfId="8594"/>
    <cellStyle name="Normal 46 14 3 2 3_FC with allocations" xfId="26761"/>
    <cellStyle name="Normal 46 14 3 2 4" xfId="8595"/>
    <cellStyle name="Normal 46 14 3 2_FC with allocations" xfId="26758"/>
    <cellStyle name="Normal 46 14 3 3" xfId="8596"/>
    <cellStyle name="Normal 46 14 3 3 2" xfId="8597"/>
    <cellStyle name="Normal 46 14 3 3 2 2" xfId="8598"/>
    <cellStyle name="Normal 46 14 3 3 2_FC with allocations" xfId="26763"/>
    <cellStyle name="Normal 46 14 3 3 3" xfId="8599"/>
    <cellStyle name="Normal 46 14 3 3_FC with allocations" xfId="26762"/>
    <cellStyle name="Normal 46 14 3 4" xfId="8600"/>
    <cellStyle name="Normal 46 14 3 4 2" xfId="8601"/>
    <cellStyle name="Normal 46 14 3 4_FC with allocations" xfId="26764"/>
    <cellStyle name="Normal 46 14 3 5" xfId="8602"/>
    <cellStyle name="Normal 46 14 3_FC with allocations" xfId="26757"/>
    <cellStyle name="Normal 46 14 4" xfId="8603"/>
    <cellStyle name="Normal 46 14 4 2" xfId="8604"/>
    <cellStyle name="Normal 46 14 4 2 2" xfId="8605"/>
    <cellStyle name="Normal 46 14 4 2 2 2" xfId="8606"/>
    <cellStyle name="Normal 46 14 4 2 2_FC with allocations" xfId="26767"/>
    <cellStyle name="Normal 46 14 4 2 3" xfId="8607"/>
    <cellStyle name="Normal 46 14 4 2_FC with allocations" xfId="26766"/>
    <cellStyle name="Normal 46 14 4 3" xfId="8608"/>
    <cellStyle name="Normal 46 14 4 3 2" xfId="8609"/>
    <cellStyle name="Normal 46 14 4 3_FC with allocations" xfId="26768"/>
    <cellStyle name="Normal 46 14 4 4" xfId="8610"/>
    <cellStyle name="Normal 46 14 4_FC with allocations" xfId="26765"/>
    <cellStyle name="Normal 46 14 5" xfId="8611"/>
    <cellStyle name="Normal 46 14 5 2" xfId="8612"/>
    <cellStyle name="Normal 46 14 5 2 2" xfId="8613"/>
    <cellStyle name="Normal 46 14 5 2_FC with allocations" xfId="26770"/>
    <cellStyle name="Normal 46 14 5 3" xfId="8614"/>
    <cellStyle name="Normal 46 14 5_FC with allocations" xfId="26769"/>
    <cellStyle name="Normal 46 14 6" xfId="8615"/>
    <cellStyle name="Normal 46 14 6 2" xfId="8616"/>
    <cellStyle name="Normal 46 14 6 2 2" xfId="8617"/>
    <cellStyle name="Normal 46 14 6 2_FC with allocations" xfId="26772"/>
    <cellStyle name="Normal 46 14 6 3" xfId="8618"/>
    <cellStyle name="Normal 46 14 6_FC with allocations" xfId="26771"/>
    <cellStyle name="Normal 46 14 7" xfId="8619"/>
    <cellStyle name="Normal 46 14 7 2" xfId="8620"/>
    <cellStyle name="Normal 46 14 7_FC with allocations" xfId="26773"/>
    <cellStyle name="Normal 46 14 8" xfId="8621"/>
    <cellStyle name="Normal 46 14_FC with allocations" xfId="26748"/>
    <cellStyle name="Normal 46 15" xfId="8622"/>
    <cellStyle name="Normal 46 15 2" xfId="8623"/>
    <cellStyle name="Normal 46 15 2 2" xfId="8624"/>
    <cellStyle name="Normal 46 15 2 2 2" xfId="8625"/>
    <cellStyle name="Normal 46 15 2 2 2 2" xfId="8626"/>
    <cellStyle name="Normal 46 15 2 2 2 2 2" xfId="8627"/>
    <cellStyle name="Normal 46 15 2 2 2 2_FC with allocations" xfId="26778"/>
    <cellStyle name="Normal 46 15 2 2 2 3" xfId="8628"/>
    <cellStyle name="Normal 46 15 2 2 2_FC with allocations" xfId="26777"/>
    <cellStyle name="Normal 46 15 2 2 3" xfId="8629"/>
    <cellStyle name="Normal 46 15 2 2 3 2" xfId="8630"/>
    <cellStyle name="Normal 46 15 2 2 3_FC with allocations" xfId="26779"/>
    <cellStyle name="Normal 46 15 2 2 4" xfId="8631"/>
    <cellStyle name="Normal 46 15 2 2_FC with allocations" xfId="26776"/>
    <cellStyle name="Normal 46 15 2 3" xfId="8632"/>
    <cellStyle name="Normal 46 15 2 3 2" xfId="8633"/>
    <cellStyle name="Normal 46 15 2 3 2 2" xfId="8634"/>
    <cellStyle name="Normal 46 15 2 3 2_FC with allocations" xfId="26781"/>
    <cellStyle name="Normal 46 15 2 3 3" xfId="8635"/>
    <cellStyle name="Normal 46 15 2 3_FC with allocations" xfId="26780"/>
    <cellStyle name="Normal 46 15 2 4" xfId="8636"/>
    <cellStyle name="Normal 46 15 2 4 2" xfId="8637"/>
    <cellStyle name="Normal 46 15 2 4_FC with allocations" xfId="26782"/>
    <cellStyle name="Normal 46 15 2 5" xfId="8638"/>
    <cellStyle name="Normal 46 15 2_FC with allocations" xfId="26775"/>
    <cellStyle name="Normal 46 15 3" xfId="8639"/>
    <cellStyle name="Normal 46 15 3 2" xfId="8640"/>
    <cellStyle name="Normal 46 15 3 2 2" xfId="8641"/>
    <cellStyle name="Normal 46 15 3 2 2 2" xfId="8642"/>
    <cellStyle name="Normal 46 15 3 2 2 2 2" xfId="8643"/>
    <cellStyle name="Normal 46 15 3 2 2 2_FC with allocations" xfId="26786"/>
    <cellStyle name="Normal 46 15 3 2 2 3" xfId="8644"/>
    <cellStyle name="Normal 46 15 3 2 2_FC with allocations" xfId="26785"/>
    <cellStyle name="Normal 46 15 3 2 3" xfId="8645"/>
    <cellStyle name="Normal 46 15 3 2 3 2" xfId="8646"/>
    <cellStyle name="Normal 46 15 3 2 3_FC with allocations" xfId="26787"/>
    <cellStyle name="Normal 46 15 3 2 4" xfId="8647"/>
    <cellStyle name="Normal 46 15 3 2_FC with allocations" xfId="26784"/>
    <cellStyle name="Normal 46 15 3 3" xfId="8648"/>
    <cellStyle name="Normal 46 15 3 3 2" xfId="8649"/>
    <cellStyle name="Normal 46 15 3 3 2 2" xfId="8650"/>
    <cellStyle name="Normal 46 15 3 3 2_FC with allocations" xfId="26789"/>
    <cellStyle name="Normal 46 15 3 3 3" xfId="8651"/>
    <cellStyle name="Normal 46 15 3 3_FC with allocations" xfId="26788"/>
    <cellStyle name="Normal 46 15 3 4" xfId="8652"/>
    <cellStyle name="Normal 46 15 3 4 2" xfId="8653"/>
    <cellStyle name="Normal 46 15 3 4_FC with allocations" xfId="26790"/>
    <cellStyle name="Normal 46 15 3 5" xfId="8654"/>
    <cellStyle name="Normal 46 15 3_FC with allocations" xfId="26783"/>
    <cellStyle name="Normal 46 15 4" xfId="8655"/>
    <cellStyle name="Normal 46 15 4 2" xfId="8656"/>
    <cellStyle name="Normal 46 15 4 2 2" xfId="8657"/>
    <cellStyle name="Normal 46 15 4 2 2 2" xfId="8658"/>
    <cellStyle name="Normal 46 15 4 2 2_FC with allocations" xfId="26793"/>
    <cellStyle name="Normal 46 15 4 2 3" xfId="8659"/>
    <cellStyle name="Normal 46 15 4 2_FC with allocations" xfId="26792"/>
    <cellStyle name="Normal 46 15 4 3" xfId="8660"/>
    <cellStyle name="Normal 46 15 4 3 2" xfId="8661"/>
    <cellStyle name="Normal 46 15 4 3_FC with allocations" xfId="26794"/>
    <cellStyle name="Normal 46 15 4 4" xfId="8662"/>
    <cellStyle name="Normal 46 15 4_FC with allocations" xfId="26791"/>
    <cellStyle name="Normal 46 15 5" xfId="8663"/>
    <cellStyle name="Normal 46 15 5 2" xfId="8664"/>
    <cellStyle name="Normal 46 15 5 2 2" xfId="8665"/>
    <cellStyle name="Normal 46 15 5 2_FC with allocations" xfId="26796"/>
    <cellStyle name="Normal 46 15 5 3" xfId="8666"/>
    <cellStyle name="Normal 46 15 5_FC with allocations" xfId="26795"/>
    <cellStyle name="Normal 46 15 6" xfId="8667"/>
    <cellStyle name="Normal 46 15 6 2" xfId="8668"/>
    <cellStyle name="Normal 46 15 6 2 2" xfId="8669"/>
    <cellStyle name="Normal 46 15 6 2_FC with allocations" xfId="26798"/>
    <cellStyle name="Normal 46 15 6 3" xfId="8670"/>
    <cellStyle name="Normal 46 15 6_FC with allocations" xfId="26797"/>
    <cellStyle name="Normal 46 15 7" xfId="8671"/>
    <cellStyle name="Normal 46 15 7 2" xfId="8672"/>
    <cellStyle name="Normal 46 15 7_FC with allocations" xfId="26799"/>
    <cellStyle name="Normal 46 15 8" xfId="8673"/>
    <cellStyle name="Normal 46 15_FC with allocations" xfId="26774"/>
    <cellStyle name="Normal 46 16" xfId="8674"/>
    <cellStyle name="Normal 46 16 2" xfId="8675"/>
    <cellStyle name="Normal 46 16 2 2" xfId="8676"/>
    <cellStyle name="Normal 46 16 2 2 2" xfId="8677"/>
    <cellStyle name="Normal 46 16 2 2 2 2" xfId="8678"/>
    <cellStyle name="Normal 46 16 2 2 2_FC with allocations" xfId="26803"/>
    <cellStyle name="Normal 46 16 2 2 3" xfId="8679"/>
    <cellStyle name="Normal 46 16 2 2_FC with allocations" xfId="26802"/>
    <cellStyle name="Normal 46 16 2 3" xfId="8680"/>
    <cellStyle name="Normal 46 16 2 3 2" xfId="8681"/>
    <cellStyle name="Normal 46 16 2 3_FC with allocations" xfId="26804"/>
    <cellStyle name="Normal 46 16 2 4" xfId="8682"/>
    <cellStyle name="Normal 46 16 2_FC with allocations" xfId="26801"/>
    <cellStyle name="Normal 46 16 3" xfId="8683"/>
    <cellStyle name="Normal 46 16 3 2" xfId="8684"/>
    <cellStyle name="Normal 46 16 3 2 2" xfId="8685"/>
    <cellStyle name="Normal 46 16 3 2_FC with allocations" xfId="26806"/>
    <cellStyle name="Normal 46 16 3 3" xfId="8686"/>
    <cellStyle name="Normal 46 16 3_FC with allocations" xfId="26805"/>
    <cellStyle name="Normal 46 16 4" xfId="8687"/>
    <cellStyle name="Normal 46 16 4 2" xfId="8688"/>
    <cellStyle name="Normal 46 16 4_FC with allocations" xfId="26807"/>
    <cellStyle name="Normal 46 16 5" xfId="8689"/>
    <cellStyle name="Normal 46 16_FC with allocations" xfId="26800"/>
    <cellStyle name="Normal 46 17" xfId="8690"/>
    <cellStyle name="Normal 46 17 2" xfId="8691"/>
    <cellStyle name="Normal 46 17 2 2" xfId="8692"/>
    <cellStyle name="Normal 46 17 2 2 2" xfId="8693"/>
    <cellStyle name="Normal 46 17 2 2 2 2" xfId="8694"/>
    <cellStyle name="Normal 46 17 2 2 2_FC with allocations" xfId="26811"/>
    <cellStyle name="Normal 46 17 2 2 3" xfId="8695"/>
    <cellStyle name="Normal 46 17 2 2_FC with allocations" xfId="26810"/>
    <cellStyle name="Normal 46 17 2 3" xfId="8696"/>
    <cellStyle name="Normal 46 17 2 3 2" xfId="8697"/>
    <cellStyle name="Normal 46 17 2 3_FC with allocations" xfId="26812"/>
    <cellStyle name="Normal 46 17 2 4" xfId="8698"/>
    <cellStyle name="Normal 46 17 2_FC with allocations" xfId="26809"/>
    <cellStyle name="Normal 46 17 3" xfId="8699"/>
    <cellStyle name="Normal 46 17 3 2" xfId="8700"/>
    <cellStyle name="Normal 46 17 3 2 2" xfId="8701"/>
    <cellStyle name="Normal 46 17 3 2_FC with allocations" xfId="26814"/>
    <cellStyle name="Normal 46 17 3 3" xfId="8702"/>
    <cellStyle name="Normal 46 17 3_FC with allocations" xfId="26813"/>
    <cellStyle name="Normal 46 17 4" xfId="8703"/>
    <cellStyle name="Normal 46 17 4 2" xfId="8704"/>
    <cellStyle name="Normal 46 17 4_FC with allocations" xfId="26815"/>
    <cellStyle name="Normal 46 17 5" xfId="8705"/>
    <cellStyle name="Normal 46 17_FC with allocations" xfId="26808"/>
    <cellStyle name="Normal 46 18" xfId="8706"/>
    <cellStyle name="Normal 46 18 2" xfId="8707"/>
    <cellStyle name="Normal 46 18 2 2" xfId="8708"/>
    <cellStyle name="Normal 46 18 2 2 2" xfId="8709"/>
    <cellStyle name="Normal 46 18 2 2 2 2" xfId="8710"/>
    <cellStyle name="Normal 46 18 2 2 2_FC with allocations" xfId="26819"/>
    <cellStyle name="Normal 46 18 2 2 3" xfId="8711"/>
    <cellStyle name="Normal 46 18 2 2_FC with allocations" xfId="26818"/>
    <cellStyle name="Normal 46 18 2 3" xfId="8712"/>
    <cellStyle name="Normal 46 18 2 3 2" xfId="8713"/>
    <cellStyle name="Normal 46 18 2 3_FC with allocations" xfId="26820"/>
    <cellStyle name="Normal 46 18 2 4" xfId="8714"/>
    <cellStyle name="Normal 46 18 2_FC with allocations" xfId="26817"/>
    <cellStyle name="Normal 46 18 3" xfId="8715"/>
    <cellStyle name="Normal 46 18 3 2" xfId="8716"/>
    <cellStyle name="Normal 46 18 3 2 2" xfId="8717"/>
    <cellStyle name="Normal 46 18 3 2_FC with allocations" xfId="26822"/>
    <cellStyle name="Normal 46 18 3 3" xfId="8718"/>
    <cellStyle name="Normal 46 18 3_FC with allocations" xfId="26821"/>
    <cellStyle name="Normal 46 18 4" xfId="8719"/>
    <cellStyle name="Normal 46 18 4 2" xfId="8720"/>
    <cellStyle name="Normal 46 18 4_FC with allocations" xfId="26823"/>
    <cellStyle name="Normal 46 18 5" xfId="8721"/>
    <cellStyle name="Normal 46 18_FC with allocations" xfId="26816"/>
    <cellStyle name="Normal 46 19" xfId="8722"/>
    <cellStyle name="Normal 46 19 2" xfId="8723"/>
    <cellStyle name="Normal 46 19 2 2" xfId="8724"/>
    <cellStyle name="Normal 46 19 2 2 2" xfId="8725"/>
    <cellStyle name="Normal 46 19 2 2_FC with allocations" xfId="26826"/>
    <cellStyle name="Normal 46 19 2 3" xfId="8726"/>
    <cellStyle name="Normal 46 19 2_FC with allocations" xfId="26825"/>
    <cellStyle name="Normal 46 19 3" xfId="8727"/>
    <cellStyle name="Normal 46 19 3 2" xfId="8728"/>
    <cellStyle name="Normal 46 19 3_FC with allocations" xfId="26827"/>
    <cellStyle name="Normal 46 19 4" xfId="8729"/>
    <cellStyle name="Normal 46 19_FC with allocations" xfId="26824"/>
    <cellStyle name="Normal 46 2" xfId="2176"/>
    <cellStyle name="Normal 46 2 2" xfId="8731"/>
    <cellStyle name="Normal 46 2 2 2" xfId="8732"/>
    <cellStyle name="Normal 46 2 2 2 2" xfId="8733"/>
    <cellStyle name="Normal 46 2 2 2 2 2" xfId="8734"/>
    <cellStyle name="Normal 46 2 2 2 2 2 2" xfId="8735"/>
    <cellStyle name="Normal 46 2 2 2 2 2_FC with allocations" xfId="26832"/>
    <cellStyle name="Normal 46 2 2 2 2 3" xfId="8736"/>
    <cellStyle name="Normal 46 2 2 2 2_FC with allocations" xfId="26831"/>
    <cellStyle name="Normal 46 2 2 2 3" xfId="8737"/>
    <cellStyle name="Normal 46 2 2 2 3 2" xfId="8738"/>
    <cellStyle name="Normal 46 2 2 2 3_FC with allocations" xfId="26833"/>
    <cellStyle name="Normal 46 2 2 2 4" xfId="8739"/>
    <cellStyle name="Normal 46 2 2 2_FC with allocations" xfId="26830"/>
    <cellStyle name="Normal 46 2 2 3" xfId="8740"/>
    <cellStyle name="Normal 46 2 2 3 2" xfId="8741"/>
    <cellStyle name="Normal 46 2 2 3 2 2" xfId="8742"/>
    <cellStyle name="Normal 46 2 2 3 2_FC with allocations" xfId="26835"/>
    <cellStyle name="Normal 46 2 2 3 3" xfId="8743"/>
    <cellStyle name="Normal 46 2 2 3_FC with allocations" xfId="26834"/>
    <cellStyle name="Normal 46 2 2 4" xfId="8744"/>
    <cellStyle name="Normal 46 2 2 4 2" xfId="8745"/>
    <cellStyle name="Normal 46 2 2 4_FC with allocations" xfId="26836"/>
    <cellStyle name="Normal 46 2 2 5" xfId="8746"/>
    <cellStyle name="Normal 46 2 2_FC with allocations" xfId="26829"/>
    <cellStyle name="Normal 46 2 3" xfId="8747"/>
    <cellStyle name="Normal 46 2 3 2" xfId="8748"/>
    <cellStyle name="Normal 46 2 3 2 2" xfId="8749"/>
    <cellStyle name="Normal 46 2 3 2 2 2" xfId="8750"/>
    <cellStyle name="Normal 46 2 3 2 2 2 2" xfId="8751"/>
    <cellStyle name="Normal 46 2 3 2 2 2_FC with allocations" xfId="26840"/>
    <cellStyle name="Normal 46 2 3 2 2 3" xfId="8752"/>
    <cellStyle name="Normal 46 2 3 2 2_FC with allocations" xfId="26839"/>
    <cellStyle name="Normal 46 2 3 2 3" xfId="8753"/>
    <cellStyle name="Normal 46 2 3 2 3 2" xfId="8754"/>
    <cellStyle name="Normal 46 2 3 2 3_FC with allocations" xfId="26841"/>
    <cellStyle name="Normal 46 2 3 2 4" xfId="8755"/>
    <cellStyle name="Normal 46 2 3 2_FC with allocations" xfId="26838"/>
    <cellStyle name="Normal 46 2 3 3" xfId="8756"/>
    <cellStyle name="Normal 46 2 3 3 2" xfId="8757"/>
    <cellStyle name="Normal 46 2 3 3 2 2" xfId="8758"/>
    <cellStyle name="Normal 46 2 3 3 2_FC with allocations" xfId="26843"/>
    <cellStyle name="Normal 46 2 3 3 3" xfId="8759"/>
    <cellStyle name="Normal 46 2 3 3_FC with allocations" xfId="26842"/>
    <cellStyle name="Normal 46 2 3 4" xfId="8760"/>
    <cellStyle name="Normal 46 2 3 4 2" xfId="8761"/>
    <cellStyle name="Normal 46 2 3 4_FC with allocations" xfId="26844"/>
    <cellStyle name="Normal 46 2 3 5" xfId="8762"/>
    <cellStyle name="Normal 46 2 3_FC with allocations" xfId="26837"/>
    <cellStyle name="Normal 46 2 4" xfId="8763"/>
    <cellStyle name="Normal 46 2 4 2" xfId="8764"/>
    <cellStyle name="Normal 46 2 4 2 2" xfId="8765"/>
    <cellStyle name="Normal 46 2 4 2 2 2" xfId="8766"/>
    <cellStyle name="Normal 46 2 4 2 2_FC with allocations" xfId="26847"/>
    <cellStyle name="Normal 46 2 4 2 3" xfId="8767"/>
    <cellStyle name="Normal 46 2 4 2_FC with allocations" xfId="26846"/>
    <cellStyle name="Normal 46 2 4 3" xfId="8768"/>
    <cellStyle name="Normal 46 2 4 3 2" xfId="8769"/>
    <cellStyle name="Normal 46 2 4 3_FC with allocations" xfId="26848"/>
    <cellStyle name="Normal 46 2 4 4" xfId="8770"/>
    <cellStyle name="Normal 46 2 4_FC with allocations" xfId="26845"/>
    <cellStyle name="Normal 46 2 5" xfId="8771"/>
    <cellStyle name="Normal 46 2 5 2" xfId="8772"/>
    <cellStyle name="Normal 46 2 5 2 2" xfId="8773"/>
    <cellStyle name="Normal 46 2 5 2_FC with allocations" xfId="26850"/>
    <cellStyle name="Normal 46 2 5 3" xfId="8774"/>
    <cellStyle name="Normal 46 2 5_FC with allocations" xfId="26849"/>
    <cellStyle name="Normal 46 2 6" xfId="8775"/>
    <cellStyle name="Normal 46 2 6 2" xfId="8776"/>
    <cellStyle name="Normal 46 2 6 2 2" xfId="8777"/>
    <cellStyle name="Normal 46 2 6 2_FC with allocations" xfId="26852"/>
    <cellStyle name="Normal 46 2 6 3" xfId="8778"/>
    <cellStyle name="Normal 46 2 6_FC with allocations" xfId="26851"/>
    <cellStyle name="Normal 46 2 7" xfId="8779"/>
    <cellStyle name="Normal 46 2 7 2" xfId="8780"/>
    <cellStyle name="Normal 46 2 7_FC with allocations" xfId="26853"/>
    <cellStyle name="Normal 46 2 8" xfId="8781"/>
    <cellStyle name="Normal 46 2 9" xfId="8730"/>
    <cellStyle name="Normal 46 2_FC with allocations" xfId="26828"/>
    <cellStyle name="Normal 46 20" xfId="8782"/>
    <cellStyle name="Normal 46 20 2" xfId="8783"/>
    <cellStyle name="Normal 46 20 2 2" xfId="8784"/>
    <cellStyle name="Normal 46 20 2_FC with allocations" xfId="26855"/>
    <cellStyle name="Normal 46 20 3" xfId="8785"/>
    <cellStyle name="Normal 46 20_FC with allocations" xfId="26854"/>
    <cellStyle name="Normal 46 21" xfId="8786"/>
    <cellStyle name="Normal 46 21 2" xfId="8787"/>
    <cellStyle name="Normal 46 21 2 2" xfId="8788"/>
    <cellStyle name="Normal 46 21 2_FC with allocations" xfId="26857"/>
    <cellStyle name="Normal 46 21 3" xfId="8789"/>
    <cellStyle name="Normal 46 21_FC with allocations" xfId="26856"/>
    <cellStyle name="Normal 46 22" xfId="8790"/>
    <cellStyle name="Normal 46 22 2" xfId="8791"/>
    <cellStyle name="Normal 46 22_FC with allocations" xfId="26858"/>
    <cellStyle name="Normal 46 23" xfId="8792"/>
    <cellStyle name="Normal 46 24" xfId="8361"/>
    <cellStyle name="Normal 46 3" xfId="2177"/>
    <cellStyle name="Normal 46 3 2" xfId="8794"/>
    <cellStyle name="Normal 46 3 2 2" xfId="8795"/>
    <cellStyle name="Normal 46 3 2 2 2" xfId="8796"/>
    <cellStyle name="Normal 46 3 2 2 2 2" xfId="8797"/>
    <cellStyle name="Normal 46 3 2 2 2 2 2" xfId="8798"/>
    <cellStyle name="Normal 46 3 2 2 2 2_FC with allocations" xfId="26863"/>
    <cellStyle name="Normal 46 3 2 2 2 3" xfId="8799"/>
    <cellStyle name="Normal 46 3 2 2 2_FC with allocations" xfId="26862"/>
    <cellStyle name="Normal 46 3 2 2 3" xfId="8800"/>
    <cellStyle name="Normal 46 3 2 2 3 2" xfId="8801"/>
    <cellStyle name="Normal 46 3 2 2 3_FC with allocations" xfId="26864"/>
    <cellStyle name="Normal 46 3 2 2 4" xfId="8802"/>
    <cellStyle name="Normal 46 3 2 2_FC with allocations" xfId="26861"/>
    <cellStyle name="Normal 46 3 2 3" xfId="8803"/>
    <cellStyle name="Normal 46 3 2 3 2" xfId="8804"/>
    <cellStyle name="Normal 46 3 2 3 2 2" xfId="8805"/>
    <cellStyle name="Normal 46 3 2 3 2_FC with allocations" xfId="26866"/>
    <cellStyle name="Normal 46 3 2 3 3" xfId="8806"/>
    <cellStyle name="Normal 46 3 2 3_FC with allocations" xfId="26865"/>
    <cellStyle name="Normal 46 3 2 4" xfId="8807"/>
    <cellStyle name="Normal 46 3 2 4 2" xfId="8808"/>
    <cellStyle name="Normal 46 3 2 4_FC with allocations" xfId="26867"/>
    <cellStyle name="Normal 46 3 2 5" xfId="8809"/>
    <cellStyle name="Normal 46 3 2_FC with allocations" xfId="26860"/>
    <cellStyle name="Normal 46 3 3" xfId="8810"/>
    <cellStyle name="Normal 46 3 3 2" xfId="8811"/>
    <cellStyle name="Normal 46 3 3 2 2" xfId="8812"/>
    <cellStyle name="Normal 46 3 3 2 2 2" xfId="8813"/>
    <cellStyle name="Normal 46 3 3 2 2 2 2" xfId="8814"/>
    <cellStyle name="Normal 46 3 3 2 2 2_FC with allocations" xfId="26871"/>
    <cellStyle name="Normal 46 3 3 2 2 3" xfId="8815"/>
    <cellStyle name="Normal 46 3 3 2 2_FC with allocations" xfId="26870"/>
    <cellStyle name="Normal 46 3 3 2 3" xfId="8816"/>
    <cellStyle name="Normal 46 3 3 2 3 2" xfId="8817"/>
    <cellStyle name="Normal 46 3 3 2 3_FC with allocations" xfId="26872"/>
    <cellStyle name="Normal 46 3 3 2 4" xfId="8818"/>
    <cellStyle name="Normal 46 3 3 2_FC with allocations" xfId="26869"/>
    <cellStyle name="Normal 46 3 3 3" xfId="8819"/>
    <cellStyle name="Normal 46 3 3 3 2" xfId="8820"/>
    <cellStyle name="Normal 46 3 3 3 2 2" xfId="8821"/>
    <cellStyle name="Normal 46 3 3 3 2_FC with allocations" xfId="26874"/>
    <cellStyle name="Normal 46 3 3 3 3" xfId="8822"/>
    <cellStyle name="Normal 46 3 3 3_FC with allocations" xfId="26873"/>
    <cellStyle name="Normal 46 3 3 4" xfId="8823"/>
    <cellStyle name="Normal 46 3 3 4 2" xfId="8824"/>
    <cellStyle name="Normal 46 3 3 4_FC with allocations" xfId="26875"/>
    <cellStyle name="Normal 46 3 3 5" xfId="8825"/>
    <cellStyle name="Normal 46 3 3_FC with allocations" xfId="26868"/>
    <cellStyle name="Normal 46 3 4" xfId="8826"/>
    <cellStyle name="Normal 46 3 4 2" xfId="8827"/>
    <cellStyle name="Normal 46 3 4 2 2" xfId="8828"/>
    <cellStyle name="Normal 46 3 4 2 2 2" xfId="8829"/>
    <cellStyle name="Normal 46 3 4 2 2_FC with allocations" xfId="26878"/>
    <cellStyle name="Normal 46 3 4 2 3" xfId="8830"/>
    <cellStyle name="Normal 46 3 4 2_FC with allocations" xfId="26877"/>
    <cellStyle name="Normal 46 3 4 3" xfId="8831"/>
    <cellStyle name="Normal 46 3 4 3 2" xfId="8832"/>
    <cellStyle name="Normal 46 3 4 3_FC with allocations" xfId="26879"/>
    <cellStyle name="Normal 46 3 4 4" xfId="8833"/>
    <cellStyle name="Normal 46 3 4_FC with allocations" xfId="26876"/>
    <cellStyle name="Normal 46 3 5" xfId="8834"/>
    <cellStyle name="Normal 46 3 5 2" xfId="8835"/>
    <cellStyle name="Normal 46 3 5 2 2" xfId="8836"/>
    <cellStyle name="Normal 46 3 5 2_FC with allocations" xfId="26881"/>
    <cellStyle name="Normal 46 3 5 3" xfId="8837"/>
    <cellStyle name="Normal 46 3 5_FC with allocations" xfId="26880"/>
    <cellStyle name="Normal 46 3 6" xfId="8838"/>
    <cellStyle name="Normal 46 3 6 2" xfId="8839"/>
    <cellStyle name="Normal 46 3 6 2 2" xfId="8840"/>
    <cellStyle name="Normal 46 3 6 2_FC with allocations" xfId="26883"/>
    <cellStyle name="Normal 46 3 6 3" xfId="8841"/>
    <cellStyle name="Normal 46 3 6_FC with allocations" xfId="26882"/>
    <cellStyle name="Normal 46 3 7" xfId="8842"/>
    <cellStyle name="Normal 46 3 7 2" xfId="8843"/>
    <cellStyle name="Normal 46 3 7_FC with allocations" xfId="26884"/>
    <cellStyle name="Normal 46 3 8" xfId="8844"/>
    <cellStyle name="Normal 46 3 9" xfId="8793"/>
    <cellStyle name="Normal 46 3_FC with allocations" xfId="26859"/>
    <cellStyle name="Normal 46 4" xfId="8845"/>
    <cellStyle name="Normal 46 4 2" xfId="8846"/>
    <cellStyle name="Normal 46 4 2 2" xfId="8847"/>
    <cellStyle name="Normal 46 4 2 2 2" xfId="8848"/>
    <cellStyle name="Normal 46 4 2 2 2 2" xfId="8849"/>
    <cellStyle name="Normal 46 4 2 2 2 2 2" xfId="8850"/>
    <cellStyle name="Normal 46 4 2 2 2 2_FC with allocations" xfId="26889"/>
    <cellStyle name="Normal 46 4 2 2 2 3" xfId="8851"/>
    <cellStyle name="Normal 46 4 2 2 2_FC with allocations" xfId="26888"/>
    <cellStyle name="Normal 46 4 2 2 3" xfId="8852"/>
    <cellStyle name="Normal 46 4 2 2 3 2" xfId="8853"/>
    <cellStyle name="Normal 46 4 2 2 3_FC with allocations" xfId="26890"/>
    <cellStyle name="Normal 46 4 2 2 4" xfId="8854"/>
    <cellStyle name="Normal 46 4 2 2_FC with allocations" xfId="26887"/>
    <cellStyle name="Normal 46 4 2 3" xfId="8855"/>
    <cellStyle name="Normal 46 4 2 3 2" xfId="8856"/>
    <cellStyle name="Normal 46 4 2 3 2 2" xfId="8857"/>
    <cellStyle name="Normal 46 4 2 3 2_FC with allocations" xfId="26892"/>
    <cellStyle name="Normal 46 4 2 3 3" xfId="8858"/>
    <cellStyle name="Normal 46 4 2 3_FC with allocations" xfId="26891"/>
    <cellStyle name="Normal 46 4 2 4" xfId="8859"/>
    <cellStyle name="Normal 46 4 2 4 2" xfId="8860"/>
    <cellStyle name="Normal 46 4 2 4_FC with allocations" xfId="26893"/>
    <cellStyle name="Normal 46 4 2 5" xfId="8861"/>
    <cellStyle name="Normal 46 4 2_FC with allocations" xfId="26886"/>
    <cellStyle name="Normal 46 4 3" xfId="8862"/>
    <cellStyle name="Normal 46 4 3 2" xfId="8863"/>
    <cellStyle name="Normal 46 4 3 2 2" xfId="8864"/>
    <cellStyle name="Normal 46 4 3 2 2 2" xfId="8865"/>
    <cellStyle name="Normal 46 4 3 2 2 2 2" xfId="8866"/>
    <cellStyle name="Normal 46 4 3 2 2 2_FC with allocations" xfId="26897"/>
    <cellStyle name="Normal 46 4 3 2 2 3" xfId="8867"/>
    <cellStyle name="Normal 46 4 3 2 2_FC with allocations" xfId="26896"/>
    <cellStyle name="Normal 46 4 3 2 3" xfId="8868"/>
    <cellStyle name="Normal 46 4 3 2 3 2" xfId="8869"/>
    <cellStyle name="Normal 46 4 3 2 3_FC with allocations" xfId="26898"/>
    <cellStyle name="Normal 46 4 3 2 4" xfId="8870"/>
    <cellStyle name="Normal 46 4 3 2_FC with allocations" xfId="26895"/>
    <cellStyle name="Normal 46 4 3 3" xfId="8871"/>
    <cellStyle name="Normal 46 4 3 3 2" xfId="8872"/>
    <cellStyle name="Normal 46 4 3 3 2 2" xfId="8873"/>
    <cellStyle name="Normal 46 4 3 3 2_FC with allocations" xfId="26900"/>
    <cellStyle name="Normal 46 4 3 3 3" xfId="8874"/>
    <cellStyle name="Normal 46 4 3 3_FC with allocations" xfId="26899"/>
    <cellStyle name="Normal 46 4 3 4" xfId="8875"/>
    <cellStyle name="Normal 46 4 3 4 2" xfId="8876"/>
    <cellStyle name="Normal 46 4 3 4_FC with allocations" xfId="26901"/>
    <cellStyle name="Normal 46 4 3 5" xfId="8877"/>
    <cellStyle name="Normal 46 4 3_FC with allocations" xfId="26894"/>
    <cellStyle name="Normal 46 4 4" xfId="8878"/>
    <cellStyle name="Normal 46 4 4 2" xfId="8879"/>
    <cellStyle name="Normal 46 4 4 2 2" xfId="8880"/>
    <cellStyle name="Normal 46 4 4 2 2 2" xfId="8881"/>
    <cellStyle name="Normal 46 4 4 2 2_FC with allocations" xfId="26904"/>
    <cellStyle name="Normal 46 4 4 2 3" xfId="8882"/>
    <cellStyle name="Normal 46 4 4 2_FC with allocations" xfId="26903"/>
    <cellStyle name="Normal 46 4 4 3" xfId="8883"/>
    <cellStyle name="Normal 46 4 4 3 2" xfId="8884"/>
    <cellStyle name="Normal 46 4 4 3_FC with allocations" xfId="26905"/>
    <cellStyle name="Normal 46 4 4 4" xfId="8885"/>
    <cellStyle name="Normal 46 4 4_FC with allocations" xfId="26902"/>
    <cellStyle name="Normal 46 4 5" xfId="8886"/>
    <cellStyle name="Normal 46 4 5 2" xfId="8887"/>
    <cellStyle name="Normal 46 4 5 2 2" xfId="8888"/>
    <cellStyle name="Normal 46 4 5 2_FC with allocations" xfId="26907"/>
    <cellStyle name="Normal 46 4 5 3" xfId="8889"/>
    <cellStyle name="Normal 46 4 5_FC with allocations" xfId="26906"/>
    <cellStyle name="Normal 46 4 6" xfId="8890"/>
    <cellStyle name="Normal 46 4 6 2" xfId="8891"/>
    <cellStyle name="Normal 46 4 6 2 2" xfId="8892"/>
    <cellStyle name="Normal 46 4 6 2_FC with allocations" xfId="26909"/>
    <cellStyle name="Normal 46 4 6 3" xfId="8893"/>
    <cellStyle name="Normal 46 4 6_FC with allocations" xfId="26908"/>
    <cellStyle name="Normal 46 4 7" xfId="8894"/>
    <cellStyle name="Normal 46 4 7 2" xfId="8895"/>
    <cellStyle name="Normal 46 4 7_FC with allocations" xfId="26910"/>
    <cellStyle name="Normal 46 4 8" xfId="8896"/>
    <cellStyle name="Normal 46 4_FC with allocations" xfId="26885"/>
    <cellStyle name="Normal 46 5" xfId="8897"/>
    <cellStyle name="Normal 46 5 2" xfId="8898"/>
    <cellStyle name="Normal 46 5 2 2" xfId="8899"/>
    <cellStyle name="Normal 46 5 2 2 2" xfId="8900"/>
    <cellStyle name="Normal 46 5 2 2 2 2" xfId="8901"/>
    <cellStyle name="Normal 46 5 2 2 2 2 2" xfId="8902"/>
    <cellStyle name="Normal 46 5 2 2 2 2_FC with allocations" xfId="26915"/>
    <cellStyle name="Normal 46 5 2 2 2 3" xfId="8903"/>
    <cellStyle name="Normal 46 5 2 2 2_FC with allocations" xfId="26914"/>
    <cellStyle name="Normal 46 5 2 2 3" xfId="8904"/>
    <cellStyle name="Normal 46 5 2 2 3 2" xfId="8905"/>
    <cellStyle name="Normal 46 5 2 2 3_FC with allocations" xfId="26916"/>
    <cellStyle name="Normal 46 5 2 2 4" xfId="8906"/>
    <cellStyle name="Normal 46 5 2 2_FC with allocations" xfId="26913"/>
    <cellStyle name="Normal 46 5 2 3" xfId="8907"/>
    <cellStyle name="Normal 46 5 2 3 2" xfId="8908"/>
    <cellStyle name="Normal 46 5 2 3 2 2" xfId="8909"/>
    <cellStyle name="Normal 46 5 2 3 2_FC with allocations" xfId="26918"/>
    <cellStyle name="Normal 46 5 2 3 3" xfId="8910"/>
    <cellStyle name="Normal 46 5 2 3_FC with allocations" xfId="26917"/>
    <cellStyle name="Normal 46 5 2 4" xfId="8911"/>
    <cellStyle name="Normal 46 5 2 4 2" xfId="8912"/>
    <cellStyle name="Normal 46 5 2 4_FC with allocations" xfId="26919"/>
    <cellStyle name="Normal 46 5 2 5" xfId="8913"/>
    <cellStyle name="Normal 46 5 2_FC with allocations" xfId="26912"/>
    <cellStyle name="Normal 46 5 3" xfId="8914"/>
    <cellStyle name="Normal 46 5 3 2" xfId="8915"/>
    <cellStyle name="Normal 46 5 3 2 2" xfId="8916"/>
    <cellStyle name="Normal 46 5 3 2 2 2" xfId="8917"/>
    <cellStyle name="Normal 46 5 3 2 2 2 2" xfId="8918"/>
    <cellStyle name="Normal 46 5 3 2 2 2_FC with allocations" xfId="26923"/>
    <cellStyle name="Normal 46 5 3 2 2 3" xfId="8919"/>
    <cellStyle name="Normal 46 5 3 2 2_FC with allocations" xfId="26922"/>
    <cellStyle name="Normal 46 5 3 2 3" xfId="8920"/>
    <cellStyle name="Normal 46 5 3 2 3 2" xfId="8921"/>
    <cellStyle name="Normal 46 5 3 2 3_FC with allocations" xfId="26924"/>
    <cellStyle name="Normal 46 5 3 2 4" xfId="8922"/>
    <cellStyle name="Normal 46 5 3 2_FC with allocations" xfId="26921"/>
    <cellStyle name="Normal 46 5 3 3" xfId="8923"/>
    <cellStyle name="Normal 46 5 3 3 2" xfId="8924"/>
    <cellStyle name="Normal 46 5 3 3 2 2" xfId="8925"/>
    <cellStyle name="Normal 46 5 3 3 2_FC with allocations" xfId="26926"/>
    <cellStyle name="Normal 46 5 3 3 3" xfId="8926"/>
    <cellStyle name="Normal 46 5 3 3_FC with allocations" xfId="26925"/>
    <cellStyle name="Normal 46 5 3 4" xfId="8927"/>
    <cellStyle name="Normal 46 5 3 4 2" xfId="8928"/>
    <cellStyle name="Normal 46 5 3 4_FC with allocations" xfId="26927"/>
    <cellStyle name="Normal 46 5 3 5" xfId="8929"/>
    <cellStyle name="Normal 46 5 3_FC with allocations" xfId="26920"/>
    <cellStyle name="Normal 46 5 4" xfId="8930"/>
    <cellStyle name="Normal 46 5 4 2" xfId="8931"/>
    <cellStyle name="Normal 46 5 4 2 2" xfId="8932"/>
    <cellStyle name="Normal 46 5 4 2 2 2" xfId="8933"/>
    <cellStyle name="Normal 46 5 4 2 2_FC with allocations" xfId="26930"/>
    <cellStyle name="Normal 46 5 4 2 3" xfId="8934"/>
    <cellStyle name="Normal 46 5 4 2_FC with allocations" xfId="26929"/>
    <cellStyle name="Normal 46 5 4 3" xfId="8935"/>
    <cellStyle name="Normal 46 5 4 3 2" xfId="8936"/>
    <cellStyle name="Normal 46 5 4 3_FC with allocations" xfId="26931"/>
    <cellStyle name="Normal 46 5 4 4" xfId="8937"/>
    <cellStyle name="Normal 46 5 4_FC with allocations" xfId="26928"/>
    <cellStyle name="Normal 46 5 5" xfId="8938"/>
    <cellStyle name="Normal 46 5 5 2" xfId="8939"/>
    <cellStyle name="Normal 46 5 5 2 2" xfId="8940"/>
    <cellStyle name="Normal 46 5 5 2_FC with allocations" xfId="26933"/>
    <cellStyle name="Normal 46 5 5 3" xfId="8941"/>
    <cellStyle name="Normal 46 5 5_FC with allocations" xfId="26932"/>
    <cellStyle name="Normal 46 5 6" xfId="8942"/>
    <cellStyle name="Normal 46 5 6 2" xfId="8943"/>
    <cellStyle name="Normal 46 5 6 2 2" xfId="8944"/>
    <cellStyle name="Normal 46 5 6 2_FC with allocations" xfId="26935"/>
    <cellStyle name="Normal 46 5 6 3" xfId="8945"/>
    <cellStyle name="Normal 46 5 6_FC with allocations" xfId="26934"/>
    <cellStyle name="Normal 46 5 7" xfId="8946"/>
    <cellStyle name="Normal 46 5 7 2" xfId="8947"/>
    <cellStyle name="Normal 46 5 7_FC with allocations" xfId="26936"/>
    <cellStyle name="Normal 46 5 8" xfId="8948"/>
    <cellStyle name="Normal 46 5_FC with allocations" xfId="26911"/>
    <cellStyle name="Normal 46 6" xfId="8949"/>
    <cellStyle name="Normal 46 6 2" xfId="8950"/>
    <cellStyle name="Normal 46 6 2 2" xfId="8951"/>
    <cellStyle name="Normal 46 6 2 2 2" xfId="8952"/>
    <cellStyle name="Normal 46 6 2 2 2 2" xfId="8953"/>
    <cellStyle name="Normal 46 6 2 2 2 2 2" xfId="8954"/>
    <cellStyle name="Normal 46 6 2 2 2 2_FC with allocations" xfId="26941"/>
    <cellStyle name="Normal 46 6 2 2 2 3" xfId="8955"/>
    <cellStyle name="Normal 46 6 2 2 2_FC with allocations" xfId="26940"/>
    <cellStyle name="Normal 46 6 2 2 3" xfId="8956"/>
    <cellStyle name="Normal 46 6 2 2 3 2" xfId="8957"/>
    <cellStyle name="Normal 46 6 2 2 3_FC with allocations" xfId="26942"/>
    <cellStyle name="Normal 46 6 2 2 4" xfId="8958"/>
    <cellStyle name="Normal 46 6 2 2_FC with allocations" xfId="26939"/>
    <cellStyle name="Normal 46 6 2 3" xfId="8959"/>
    <cellStyle name="Normal 46 6 2 3 2" xfId="8960"/>
    <cellStyle name="Normal 46 6 2 3 2 2" xfId="8961"/>
    <cellStyle name="Normal 46 6 2 3 2_FC with allocations" xfId="26944"/>
    <cellStyle name="Normal 46 6 2 3 3" xfId="8962"/>
    <cellStyle name="Normal 46 6 2 3_FC with allocations" xfId="26943"/>
    <cellStyle name="Normal 46 6 2 4" xfId="8963"/>
    <cellStyle name="Normal 46 6 2 4 2" xfId="8964"/>
    <cellStyle name="Normal 46 6 2 4_FC with allocations" xfId="26945"/>
    <cellStyle name="Normal 46 6 2 5" xfId="8965"/>
    <cellStyle name="Normal 46 6 2_FC with allocations" xfId="26938"/>
    <cellStyle name="Normal 46 6 3" xfId="8966"/>
    <cellStyle name="Normal 46 6 3 2" xfId="8967"/>
    <cellStyle name="Normal 46 6 3 2 2" xfId="8968"/>
    <cellStyle name="Normal 46 6 3 2 2 2" xfId="8969"/>
    <cellStyle name="Normal 46 6 3 2 2 2 2" xfId="8970"/>
    <cellStyle name="Normal 46 6 3 2 2 2_FC with allocations" xfId="26949"/>
    <cellStyle name="Normal 46 6 3 2 2 3" xfId="8971"/>
    <cellStyle name="Normal 46 6 3 2 2_FC with allocations" xfId="26948"/>
    <cellStyle name="Normal 46 6 3 2 3" xfId="8972"/>
    <cellStyle name="Normal 46 6 3 2 3 2" xfId="8973"/>
    <cellStyle name="Normal 46 6 3 2 3_FC with allocations" xfId="26950"/>
    <cellStyle name="Normal 46 6 3 2 4" xfId="8974"/>
    <cellStyle name="Normal 46 6 3 2_FC with allocations" xfId="26947"/>
    <cellStyle name="Normal 46 6 3 3" xfId="8975"/>
    <cellStyle name="Normal 46 6 3 3 2" xfId="8976"/>
    <cellStyle name="Normal 46 6 3 3 2 2" xfId="8977"/>
    <cellStyle name="Normal 46 6 3 3 2_FC with allocations" xfId="26952"/>
    <cellStyle name="Normal 46 6 3 3 3" xfId="8978"/>
    <cellStyle name="Normal 46 6 3 3_FC with allocations" xfId="26951"/>
    <cellStyle name="Normal 46 6 3 4" xfId="8979"/>
    <cellStyle name="Normal 46 6 3 4 2" xfId="8980"/>
    <cellStyle name="Normal 46 6 3 4_FC with allocations" xfId="26953"/>
    <cellStyle name="Normal 46 6 3 5" xfId="8981"/>
    <cellStyle name="Normal 46 6 3_FC with allocations" xfId="26946"/>
    <cellStyle name="Normal 46 6 4" xfId="8982"/>
    <cellStyle name="Normal 46 6 4 2" xfId="8983"/>
    <cellStyle name="Normal 46 6 4 2 2" xfId="8984"/>
    <cellStyle name="Normal 46 6 4 2 2 2" xfId="8985"/>
    <cellStyle name="Normal 46 6 4 2 2_FC with allocations" xfId="26956"/>
    <cellStyle name="Normal 46 6 4 2 3" xfId="8986"/>
    <cellStyle name="Normal 46 6 4 2_FC with allocations" xfId="26955"/>
    <cellStyle name="Normal 46 6 4 3" xfId="8987"/>
    <cellStyle name="Normal 46 6 4 3 2" xfId="8988"/>
    <cellStyle name="Normal 46 6 4 3_FC with allocations" xfId="26957"/>
    <cellStyle name="Normal 46 6 4 4" xfId="8989"/>
    <cellStyle name="Normal 46 6 4_FC with allocations" xfId="26954"/>
    <cellStyle name="Normal 46 6 5" xfId="8990"/>
    <cellStyle name="Normal 46 6 5 2" xfId="8991"/>
    <cellStyle name="Normal 46 6 5 2 2" xfId="8992"/>
    <cellStyle name="Normal 46 6 5 2_FC with allocations" xfId="26959"/>
    <cellStyle name="Normal 46 6 5 3" xfId="8993"/>
    <cellStyle name="Normal 46 6 5_FC with allocations" xfId="26958"/>
    <cellStyle name="Normal 46 6 6" xfId="8994"/>
    <cellStyle name="Normal 46 6 6 2" xfId="8995"/>
    <cellStyle name="Normal 46 6 6 2 2" xfId="8996"/>
    <cellStyle name="Normal 46 6 6 2_FC with allocations" xfId="26961"/>
    <cellStyle name="Normal 46 6 6 3" xfId="8997"/>
    <cellStyle name="Normal 46 6 6_FC with allocations" xfId="26960"/>
    <cellStyle name="Normal 46 6 7" xfId="8998"/>
    <cellStyle name="Normal 46 6 7 2" xfId="8999"/>
    <cellStyle name="Normal 46 6 7_FC with allocations" xfId="26962"/>
    <cellStyle name="Normal 46 6 8" xfId="9000"/>
    <cellStyle name="Normal 46 6_FC with allocations" xfId="26937"/>
    <cellStyle name="Normal 46 7" xfId="9001"/>
    <cellStyle name="Normal 46 7 2" xfId="9002"/>
    <cellStyle name="Normal 46 7 2 2" xfId="9003"/>
    <cellStyle name="Normal 46 7 2 2 2" xfId="9004"/>
    <cellStyle name="Normal 46 7 2 2 2 2" xfId="9005"/>
    <cellStyle name="Normal 46 7 2 2 2 2 2" xfId="9006"/>
    <cellStyle name="Normal 46 7 2 2 2 2_FC with allocations" xfId="26967"/>
    <cellStyle name="Normal 46 7 2 2 2 3" xfId="9007"/>
    <cellStyle name="Normal 46 7 2 2 2_FC with allocations" xfId="26966"/>
    <cellStyle name="Normal 46 7 2 2 3" xfId="9008"/>
    <cellStyle name="Normal 46 7 2 2 3 2" xfId="9009"/>
    <cellStyle name="Normal 46 7 2 2 3_FC with allocations" xfId="26968"/>
    <cellStyle name="Normal 46 7 2 2 4" xfId="9010"/>
    <cellStyle name="Normal 46 7 2 2_FC with allocations" xfId="26965"/>
    <cellStyle name="Normal 46 7 2 3" xfId="9011"/>
    <cellStyle name="Normal 46 7 2 3 2" xfId="9012"/>
    <cellStyle name="Normal 46 7 2 3 2 2" xfId="9013"/>
    <cellStyle name="Normal 46 7 2 3 2_FC with allocations" xfId="26970"/>
    <cellStyle name="Normal 46 7 2 3 3" xfId="9014"/>
    <cellStyle name="Normal 46 7 2 3_FC with allocations" xfId="26969"/>
    <cellStyle name="Normal 46 7 2 4" xfId="9015"/>
    <cellStyle name="Normal 46 7 2 4 2" xfId="9016"/>
    <cellStyle name="Normal 46 7 2 4_FC with allocations" xfId="26971"/>
    <cellStyle name="Normal 46 7 2 5" xfId="9017"/>
    <cellStyle name="Normal 46 7 2_FC with allocations" xfId="26964"/>
    <cellStyle name="Normal 46 7 3" xfId="9018"/>
    <cellStyle name="Normal 46 7 3 2" xfId="9019"/>
    <cellStyle name="Normal 46 7 3 2 2" xfId="9020"/>
    <cellStyle name="Normal 46 7 3 2 2 2" xfId="9021"/>
    <cellStyle name="Normal 46 7 3 2 2 2 2" xfId="9022"/>
    <cellStyle name="Normal 46 7 3 2 2 2_FC with allocations" xfId="26975"/>
    <cellStyle name="Normal 46 7 3 2 2 3" xfId="9023"/>
    <cellStyle name="Normal 46 7 3 2 2_FC with allocations" xfId="26974"/>
    <cellStyle name="Normal 46 7 3 2 3" xfId="9024"/>
    <cellStyle name="Normal 46 7 3 2 3 2" xfId="9025"/>
    <cellStyle name="Normal 46 7 3 2 3_FC with allocations" xfId="26976"/>
    <cellStyle name="Normal 46 7 3 2 4" xfId="9026"/>
    <cellStyle name="Normal 46 7 3 2_FC with allocations" xfId="26973"/>
    <cellStyle name="Normal 46 7 3 3" xfId="9027"/>
    <cellStyle name="Normal 46 7 3 3 2" xfId="9028"/>
    <cellStyle name="Normal 46 7 3 3 2 2" xfId="9029"/>
    <cellStyle name="Normal 46 7 3 3 2_FC with allocations" xfId="26978"/>
    <cellStyle name="Normal 46 7 3 3 3" xfId="9030"/>
    <cellStyle name="Normal 46 7 3 3_FC with allocations" xfId="26977"/>
    <cellStyle name="Normal 46 7 3 4" xfId="9031"/>
    <cellStyle name="Normal 46 7 3 4 2" xfId="9032"/>
    <cellStyle name="Normal 46 7 3 4_FC with allocations" xfId="26979"/>
    <cellStyle name="Normal 46 7 3 5" xfId="9033"/>
    <cellStyle name="Normal 46 7 3_FC with allocations" xfId="26972"/>
    <cellStyle name="Normal 46 7 4" xfId="9034"/>
    <cellStyle name="Normal 46 7 4 2" xfId="9035"/>
    <cellStyle name="Normal 46 7 4 2 2" xfId="9036"/>
    <cellStyle name="Normal 46 7 4 2 2 2" xfId="9037"/>
    <cellStyle name="Normal 46 7 4 2 2_FC with allocations" xfId="26982"/>
    <cellStyle name="Normal 46 7 4 2 3" xfId="9038"/>
    <cellStyle name="Normal 46 7 4 2_FC with allocations" xfId="26981"/>
    <cellStyle name="Normal 46 7 4 3" xfId="9039"/>
    <cellStyle name="Normal 46 7 4 3 2" xfId="9040"/>
    <cellStyle name="Normal 46 7 4 3_FC with allocations" xfId="26983"/>
    <cellStyle name="Normal 46 7 4 4" xfId="9041"/>
    <cellStyle name="Normal 46 7 4_FC with allocations" xfId="26980"/>
    <cellStyle name="Normal 46 7 5" xfId="9042"/>
    <cellStyle name="Normal 46 7 5 2" xfId="9043"/>
    <cellStyle name="Normal 46 7 5 2 2" xfId="9044"/>
    <cellStyle name="Normal 46 7 5 2_FC with allocations" xfId="26985"/>
    <cellStyle name="Normal 46 7 5 3" xfId="9045"/>
    <cellStyle name="Normal 46 7 5_FC with allocations" xfId="26984"/>
    <cellStyle name="Normal 46 7 6" xfId="9046"/>
    <cellStyle name="Normal 46 7 6 2" xfId="9047"/>
    <cellStyle name="Normal 46 7 6 2 2" xfId="9048"/>
    <cellStyle name="Normal 46 7 6 2_FC with allocations" xfId="26987"/>
    <cellStyle name="Normal 46 7 6 3" xfId="9049"/>
    <cellStyle name="Normal 46 7 6_FC with allocations" xfId="26986"/>
    <cellStyle name="Normal 46 7 7" xfId="9050"/>
    <cellStyle name="Normal 46 7 7 2" xfId="9051"/>
    <cellStyle name="Normal 46 7 7_FC with allocations" xfId="26988"/>
    <cellStyle name="Normal 46 7 8" xfId="9052"/>
    <cellStyle name="Normal 46 7_FC with allocations" xfId="26963"/>
    <cellStyle name="Normal 46 8" xfId="9053"/>
    <cellStyle name="Normal 46 8 2" xfId="9054"/>
    <cellStyle name="Normal 46 8 2 2" xfId="9055"/>
    <cellStyle name="Normal 46 8 2 2 2" xfId="9056"/>
    <cellStyle name="Normal 46 8 2 2 2 2" xfId="9057"/>
    <cellStyle name="Normal 46 8 2 2 2 2 2" xfId="9058"/>
    <cellStyle name="Normal 46 8 2 2 2 2_FC with allocations" xfId="26993"/>
    <cellStyle name="Normal 46 8 2 2 2 3" xfId="9059"/>
    <cellStyle name="Normal 46 8 2 2 2_FC with allocations" xfId="26992"/>
    <cellStyle name="Normal 46 8 2 2 3" xfId="9060"/>
    <cellStyle name="Normal 46 8 2 2 3 2" xfId="9061"/>
    <cellStyle name="Normal 46 8 2 2 3_FC with allocations" xfId="26994"/>
    <cellStyle name="Normal 46 8 2 2 4" xfId="9062"/>
    <cellStyle name="Normal 46 8 2 2_FC with allocations" xfId="26991"/>
    <cellStyle name="Normal 46 8 2 3" xfId="9063"/>
    <cellStyle name="Normal 46 8 2 3 2" xfId="9064"/>
    <cellStyle name="Normal 46 8 2 3 2 2" xfId="9065"/>
    <cellStyle name="Normal 46 8 2 3 2_FC with allocations" xfId="26996"/>
    <cellStyle name="Normal 46 8 2 3 3" xfId="9066"/>
    <cellStyle name="Normal 46 8 2 3_FC with allocations" xfId="26995"/>
    <cellStyle name="Normal 46 8 2 4" xfId="9067"/>
    <cellStyle name="Normal 46 8 2 4 2" xfId="9068"/>
    <cellStyle name="Normal 46 8 2 4_FC with allocations" xfId="26997"/>
    <cellStyle name="Normal 46 8 2 5" xfId="9069"/>
    <cellStyle name="Normal 46 8 2_FC with allocations" xfId="26990"/>
    <cellStyle name="Normal 46 8 3" xfId="9070"/>
    <cellStyle name="Normal 46 8 3 2" xfId="9071"/>
    <cellStyle name="Normal 46 8 3 2 2" xfId="9072"/>
    <cellStyle name="Normal 46 8 3 2 2 2" xfId="9073"/>
    <cellStyle name="Normal 46 8 3 2 2 2 2" xfId="9074"/>
    <cellStyle name="Normal 46 8 3 2 2 2_FC with allocations" xfId="27001"/>
    <cellStyle name="Normal 46 8 3 2 2 3" xfId="9075"/>
    <cellStyle name="Normal 46 8 3 2 2_FC with allocations" xfId="27000"/>
    <cellStyle name="Normal 46 8 3 2 3" xfId="9076"/>
    <cellStyle name="Normal 46 8 3 2 3 2" xfId="9077"/>
    <cellStyle name="Normal 46 8 3 2 3_FC with allocations" xfId="27002"/>
    <cellStyle name="Normal 46 8 3 2 4" xfId="9078"/>
    <cellStyle name="Normal 46 8 3 2_FC with allocations" xfId="26999"/>
    <cellStyle name="Normal 46 8 3 3" xfId="9079"/>
    <cellStyle name="Normal 46 8 3 3 2" xfId="9080"/>
    <cellStyle name="Normal 46 8 3 3 2 2" xfId="9081"/>
    <cellStyle name="Normal 46 8 3 3 2_FC with allocations" xfId="27004"/>
    <cellStyle name="Normal 46 8 3 3 3" xfId="9082"/>
    <cellStyle name="Normal 46 8 3 3_FC with allocations" xfId="27003"/>
    <cellStyle name="Normal 46 8 3 4" xfId="9083"/>
    <cellStyle name="Normal 46 8 3 4 2" xfId="9084"/>
    <cellStyle name="Normal 46 8 3 4_FC with allocations" xfId="27005"/>
    <cellStyle name="Normal 46 8 3 5" xfId="9085"/>
    <cellStyle name="Normal 46 8 3_FC with allocations" xfId="26998"/>
    <cellStyle name="Normal 46 8 4" xfId="9086"/>
    <cellStyle name="Normal 46 8 4 2" xfId="9087"/>
    <cellStyle name="Normal 46 8 4 2 2" xfId="9088"/>
    <cellStyle name="Normal 46 8 4 2 2 2" xfId="9089"/>
    <cellStyle name="Normal 46 8 4 2 2_FC with allocations" xfId="27008"/>
    <cellStyle name="Normal 46 8 4 2 3" xfId="9090"/>
    <cellStyle name="Normal 46 8 4 2_FC with allocations" xfId="27007"/>
    <cellStyle name="Normal 46 8 4 3" xfId="9091"/>
    <cellStyle name="Normal 46 8 4 3 2" xfId="9092"/>
    <cellStyle name="Normal 46 8 4 3_FC with allocations" xfId="27009"/>
    <cellStyle name="Normal 46 8 4 4" xfId="9093"/>
    <cellStyle name="Normal 46 8 4_FC with allocations" xfId="27006"/>
    <cellStyle name="Normal 46 8 5" xfId="9094"/>
    <cellStyle name="Normal 46 8 5 2" xfId="9095"/>
    <cellStyle name="Normal 46 8 5 2 2" xfId="9096"/>
    <cellStyle name="Normal 46 8 5 2_FC with allocations" xfId="27011"/>
    <cellStyle name="Normal 46 8 5 3" xfId="9097"/>
    <cellStyle name="Normal 46 8 5_FC with allocations" xfId="27010"/>
    <cellStyle name="Normal 46 8 6" xfId="9098"/>
    <cellStyle name="Normal 46 8 6 2" xfId="9099"/>
    <cellStyle name="Normal 46 8 6 2 2" xfId="9100"/>
    <cellStyle name="Normal 46 8 6 2_FC with allocations" xfId="27013"/>
    <cellStyle name="Normal 46 8 6 3" xfId="9101"/>
    <cellStyle name="Normal 46 8 6_FC with allocations" xfId="27012"/>
    <cellStyle name="Normal 46 8 7" xfId="9102"/>
    <cellStyle name="Normal 46 8 7 2" xfId="9103"/>
    <cellStyle name="Normal 46 8 7_FC with allocations" xfId="27014"/>
    <cellStyle name="Normal 46 8 8" xfId="9104"/>
    <cellStyle name="Normal 46 8_FC with allocations" xfId="26989"/>
    <cellStyle name="Normal 46 9" xfId="9105"/>
    <cellStyle name="Normal 46 9 2" xfId="9106"/>
    <cellStyle name="Normal 46 9 2 2" xfId="9107"/>
    <cellStyle name="Normal 46 9 2 2 2" xfId="9108"/>
    <cellStyle name="Normal 46 9 2 2 2 2" xfId="9109"/>
    <cellStyle name="Normal 46 9 2 2 2 2 2" xfId="9110"/>
    <cellStyle name="Normal 46 9 2 2 2 2_FC with allocations" xfId="27019"/>
    <cellStyle name="Normal 46 9 2 2 2 3" xfId="9111"/>
    <cellStyle name="Normal 46 9 2 2 2_FC with allocations" xfId="27018"/>
    <cellStyle name="Normal 46 9 2 2 3" xfId="9112"/>
    <cellStyle name="Normal 46 9 2 2 3 2" xfId="9113"/>
    <cellStyle name="Normal 46 9 2 2 3_FC with allocations" xfId="27020"/>
    <cellStyle name="Normal 46 9 2 2 4" xfId="9114"/>
    <cellStyle name="Normal 46 9 2 2_FC with allocations" xfId="27017"/>
    <cellStyle name="Normal 46 9 2 3" xfId="9115"/>
    <cellStyle name="Normal 46 9 2 3 2" xfId="9116"/>
    <cellStyle name="Normal 46 9 2 3 2 2" xfId="9117"/>
    <cellStyle name="Normal 46 9 2 3 2_FC with allocations" xfId="27022"/>
    <cellStyle name="Normal 46 9 2 3 3" xfId="9118"/>
    <cellStyle name="Normal 46 9 2 3_FC with allocations" xfId="27021"/>
    <cellStyle name="Normal 46 9 2 4" xfId="9119"/>
    <cellStyle name="Normal 46 9 2 4 2" xfId="9120"/>
    <cellStyle name="Normal 46 9 2 4_FC with allocations" xfId="27023"/>
    <cellStyle name="Normal 46 9 2 5" xfId="9121"/>
    <cellStyle name="Normal 46 9 2_FC with allocations" xfId="27016"/>
    <cellStyle name="Normal 46 9 3" xfId="9122"/>
    <cellStyle name="Normal 46 9 3 2" xfId="9123"/>
    <cellStyle name="Normal 46 9 3 2 2" xfId="9124"/>
    <cellStyle name="Normal 46 9 3 2 2 2" xfId="9125"/>
    <cellStyle name="Normal 46 9 3 2 2 2 2" xfId="9126"/>
    <cellStyle name="Normal 46 9 3 2 2 2_FC with allocations" xfId="27027"/>
    <cellStyle name="Normal 46 9 3 2 2 3" xfId="9127"/>
    <cellStyle name="Normal 46 9 3 2 2_FC with allocations" xfId="27026"/>
    <cellStyle name="Normal 46 9 3 2 3" xfId="9128"/>
    <cellStyle name="Normal 46 9 3 2 3 2" xfId="9129"/>
    <cellStyle name="Normal 46 9 3 2 3_FC with allocations" xfId="27028"/>
    <cellStyle name="Normal 46 9 3 2 4" xfId="9130"/>
    <cellStyle name="Normal 46 9 3 2_FC with allocations" xfId="27025"/>
    <cellStyle name="Normal 46 9 3 3" xfId="9131"/>
    <cellStyle name="Normal 46 9 3 3 2" xfId="9132"/>
    <cellStyle name="Normal 46 9 3 3 2 2" xfId="9133"/>
    <cellStyle name="Normal 46 9 3 3 2_FC with allocations" xfId="27030"/>
    <cellStyle name="Normal 46 9 3 3 3" xfId="9134"/>
    <cellStyle name="Normal 46 9 3 3_FC with allocations" xfId="27029"/>
    <cellStyle name="Normal 46 9 3 4" xfId="9135"/>
    <cellStyle name="Normal 46 9 3 4 2" xfId="9136"/>
    <cellStyle name="Normal 46 9 3 4_FC with allocations" xfId="27031"/>
    <cellStyle name="Normal 46 9 3 5" xfId="9137"/>
    <cellStyle name="Normal 46 9 3_FC with allocations" xfId="27024"/>
    <cellStyle name="Normal 46 9 4" xfId="9138"/>
    <cellStyle name="Normal 46 9 4 2" xfId="9139"/>
    <cellStyle name="Normal 46 9 4 2 2" xfId="9140"/>
    <cellStyle name="Normal 46 9 4 2 2 2" xfId="9141"/>
    <cellStyle name="Normal 46 9 4 2 2_FC with allocations" xfId="27034"/>
    <cellStyle name="Normal 46 9 4 2 3" xfId="9142"/>
    <cellStyle name="Normal 46 9 4 2_FC with allocations" xfId="27033"/>
    <cellStyle name="Normal 46 9 4 3" xfId="9143"/>
    <cellStyle name="Normal 46 9 4 3 2" xfId="9144"/>
    <cellStyle name="Normal 46 9 4 3_FC with allocations" xfId="27035"/>
    <cellStyle name="Normal 46 9 4 4" xfId="9145"/>
    <cellStyle name="Normal 46 9 4_FC with allocations" xfId="27032"/>
    <cellStyle name="Normal 46 9 5" xfId="9146"/>
    <cellStyle name="Normal 46 9 5 2" xfId="9147"/>
    <cellStyle name="Normal 46 9 5 2 2" xfId="9148"/>
    <cellStyle name="Normal 46 9 5 2_FC with allocations" xfId="27037"/>
    <cellStyle name="Normal 46 9 5 3" xfId="9149"/>
    <cellStyle name="Normal 46 9 5_FC with allocations" xfId="27036"/>
    <cellStyle name="Normal 46 9 6" xfId="9150"/>
    <cellStyle name="Normal 46 9 6 2" xfId="9151"/>
    <cellStyle name="Normal 46 9 6 2 2" xfId="9152"/>
    <cellStyle name="Normal 46 9 6 2_FC with allocations" xfId="27039"/>
    <cellStyle name="Normal 46 9 6 3" xfId="9153"/>
    <cellStyle name="Normal 46 9 6_FC with allocations" xfId="27038"/>
    <cellStyle name="Normal 46 9 7" xfId="9154"/>
    <cellStyle name="Normal 46 9 7 2" xfId="9155"/>
    <cellStyle name="Normal 46 9 7_FC with allocations" xfId="27040"/>
    <cellStyle name="Normal 46 9 8" xfId="9156"/>
    <cellStyle name="Normal 46 9_FC with allocations" xfId="27015"/>
    <cellStyle name="Normal 46_FC with allocations" xfId="26643"/>
    <cellStyle name="Normal 47" xfId="2178"/>
    <cellStyle name="Normal 47 10" xfId="9158"/>
    <cellStyle name="Normal 47 10 2" xfId="9159"/>
    <cellStyle name="Normal 47 10 2 2" xfId="9160"/>
    <cellStyle name="Normal 47 10 2 2 2" xfId="9161"/>
    <cellStyle name="Normal 47 10 2 2 2 2" xfId="9162"/>
    <cellStyle name="Normal 47 10 2 2 2 2 2" xfId="9163"/>
    <cellStyle name="Normal 47 10 2 2 2 2_FC with allocations" xfId="27046"/>
    <cellStyle name="Normal 47 10 2 2 2 3" xfId="9164"/>
    <cellStyle name="Normal 47 10 2 2 2_FC with allocations" xfId="27045"/>
    <cellStyle name="Normal 47 10 2 2 3" xfId="9165"/>
    <cellStyle name="Normal 47 10 2 2 3 2" xfId="9166"/>
    <cellStyle name="Normal 47 10 2 2 3_FC with allocations" xfId="27047"/>
    <cellStyle name="Normal 47 10 2 2 4" xfId="9167"/>
    <cellStyle name="Normal 47 10 2 2_FC with allocations" xfId="27044"/>
    <cellStyle name="Normal 47 10 2 3" xfId="9168"/>
    <cellStyle name="Normal 47 10 2 3 2" xfId="9169"/>
    <cellStyle name="Normal 47 10 2 3 2 2" xfId="9170"/>
    <cellStyle name="Normal 47 10 2 3 2_FC with allocations" xfId="27049"/>
    <cellStyle name="Normal 47 10 2 3 3" xfId="9171"/>
    <cellStyle name="Normal 47 10 2 3_FC with allocations" xfId="27048"/>
    <cellStyle name="Normal 47 10 2 4" xfId="9172"/>
    <cellStyle name="Normal 47 10 2 4 2" xfId="9173"/>
    <cellStyle name="Normal 47 10 2 4_FC with allocations" xfId="27050"/>
    <cellStyle name="Normal 47 10 2 5" xfId="9174"/>
    <cellStyle name="Normal 47 10 2_FC with allocations" xfId="27043"/>
    <cellStyle name="Normal 47 10 3" xfId="9175"/>
    <cellStyle name="Normal 47 10 3 2" xfId="9176"/>
    <cellStyle name="Normal 47 10 3 2 2" xfId="9177"/>
    <cellStyle name="Normal 47 10 3 2 2 2" xfId="9178"/>
    <cellStyle name="Normal 47 10 3 2 2 2 2" xfId="9179"/>
    <cellStyle name="Normal 47 10 3 2 2 2_FC with allocations" xfId="27054"/>
    <cellStyle name="Normal 47 10 3 2 2 3" xfId="9180"/>
    <cellStyle name="Normal 47 10 3 2 2_FC with allocations" xfId="27053"/>
    <cellStyle name="Normal 47 10 3 2 3" xfId="9181"/>
    <cellStyle name="Normal 47 10 3 2 3 2" xfId="9182"/>
    <cellStyle name="Normal 47 10 3 2 3_FC with allocations" xfId="27055"/>
    <cellStyle name="Normal 47 10 3 2 4" xfId="9183"/>
    <cellStyle name="Normal 47 10 3 2_FC with allocations" xfId="27052"/>
    <cellStyle name="Normal 47 10 3 3" xfId="9184"/>
    <cellStyle name="Normal 47 10 3 3 2" xfId="9185"/>
    <cellStyle name="Normal 47 10 3 3 2 2" xfId="9186"/>
    <cellStyle name="Normal 47 10 3 3 2_FC with allocations" xfId="27057"/>
    <cellStyle name="Normal 47 10 3 3 3" xfId="9187"/>
    <cellStyle name="Normal 47 10 3 3_FC with allocations" xfId="27056"/>
    <cellStyle name="Normal 47 10 3 4" xfId="9188"/>
    <cellStyle name="Normal 47 10 3 4 2" xfId="9189"/>
    <cellStyle name="Normal 47 10 3 4_FC with allocations" xfId="27058"/>
    <cellStyle name="Normal 47 10 3 5" xfId="9190"/>
    <cellStyle name="Normal 47 10 3_FC with allocations" xfId="27051"/>
    <cellStyle name="Normal 47 10 4" xfId="9191"/>
    <cellStyle name="Normal 47 10 4 2" xfId="9192"/>
    <cellStyle name="Normal 47 10 4 2 2" xfId="9193"/>
    <cellStyle name="Normal 47 10 4 2 2 2" xfId="9194"/>
    <cellStyle name="Normal 47 10 4 2 2_FC with allocations" xfId="27061"/>
    <cellStyle name="Normal 47 10 4 2 3" xfId="9195"/>
    <cellStyle name="Normal 47 10 4 2_FC with allocations" xfId="27060"/>
    <cellStyle name="Normal 47 10 4 3" xfId="9196"/>
    <cellStyle name="Normal 47 10 4 3 2" xfId="9197"/>
    <cellStyle name="Normal 47 10 4 3_FC with allocations" xfId="27062"/>
    <cellStyle name="Normal 47 10 4 4" xfId="9198"/>
    <cellStyle name="Normal 47 10 4_FC with allocations" xfId="27059"/>
    <cellStyle name="Normal 47 10 5" xfId="9199"/>
    <cellStyle name="Normal 47 10 5 2" xfId="9200"/>
    <cellStyle name="Normal 47 10 5 2 2" xfId="9201"/>
    <cellStyle name="Normal 47 10 5 2_FC with allocations" xfId="27064"/>
    <cellStyle name="Normal 47 10 5 3" xfId="9202"/>
    <cellStyle name="Normal 47 10 5_FC with allocations" xfId="27063"/>
    <cellStyle name="Normal 47 10 6" xfId="9203"/>
    <cellStyle name="Normal 47 10 6 2" xfId="9204"/>
    <cellStyle name="Normal 47 10 6 2 2" xfId="9205"/>
    <cellStyle name="Normal 47 10 6 2_FC with allocations" xfId="27066"/>
    <cellStyle name="Normal 47 10 6 3" xfId="9206"/>
    <cellStyle name="Normal 47 10 6_FC with allocations" xfId="27065"/>
    <cellStyle name="Normal 47 10 7" xfId="9207"/>
    <cellStyle name="Normal 47 10 7 2" xfId="9208"/>
    <cellStyle name="Normal 47 10 7_FC with allocations" xfId="27067"/>
    <cellStyle name="Normal 47 10 8" xfId="9209"/>
    <cellStyle name="Normal 47 10_FC with allocations" xfId="27042"/>
    <cellStyle name="Normal 47 11" xfId="9210"/>
    <cellStyle name="Normal 47 11 2" xfId="9211"/>
    <cellStyle name="Normal 47 11 2 2" xfId="9212"/>
    <cellStyle name="Normal 47 11 2 2 2" xfId="9213"/>
    <cellStyle name="Normal 47 11 2 2 2 2" xfId="9214"/>
    <cellStyle name="Normal 47 11 2 2 2 2 2" xfId="9215"/>
    <cellStyle name="Normal 47 11 2 2 2 2_FC with allocations" xfId="27072"/>
    <cellStyle name="Normal 47 11 2 2 2 3" xfId="9216"/>
    <cellStyle name="Normal 47 11 2 2 2_FC with allocations" xfId="27071"/>
    <cellStyle name="Normal 47 11 2 2 3" xfId="9217"/>
    <cellStyle name="Normal 47 11 2 2 3 2" xfId="9218"/>
    <cellStyle name="Normal 47 11 2 2 3_FC with allocations" xfId="27073"/>
    <cellStyle name="Normal 47 11 2 2 4" xfId="9219"/>
    <cellStyle name="Normal 47 11 2 2_FC with allocations" xfId="27070"/>
    <cellStyle name="Normal 47 11 2 3" xfId="9220"/>
    <cellStyle name="Normal 47 11 2 3 2" xfId="9221"/>
    <cellStyle name="Normal 47 11 2 3 2 2" xfId="9222"/>
    <cellStyle name="Normal 47 11 2 3 2_FC with allocations" xfId="27075"/>
    <cellStyle name="Normal 47 11 2 3 3" xfId="9223"/>
    <cellStyle name="Normal 47 11 2 3_FC with allocations" xfId="27074"/>
    <cellStyle name="Normal 47 11 2 4" xfId="9224"/>
    <cellStyle name="Normal 47 11 2 4 2" xfId="9225"/>
    <cellStyle name="Normal 47 11 2 4_FC with allocations" xfId="27076"/>
    <cellStyle name="Normal 47 11 2 5" xfId="9226"/>
    <cellStyle name="Normal 47 11 2_FC with allocations" xfId="27069"/>
    <cellStyle name="Normal 47 11 3" xfId="9227"/>
    <cellStyle name="Normal 47 11 3 2" xfId="9228"/>
    <cellStyle name="Normal 47 11 3 2 2" xfId="9229"/>
    <cellStyle name="Normal 47 11 3 2 2 2" xfId="9230"/>
    <cellStyle name="Normal 47 11 3 2 2 2 2" xfId="9231"/>
    <cellStyle name="Normal 47 11 3 2 2 2_FC with allocations" xfId="27080"/>
    <cellStyle name="Normal 47 11 3 2 2 3" xfId="9232"/>
    <cellStyle name="Normal 47 11 3 2 2_FC with allocations" xfId="27079"/>
    <cellStyle name="Normal 47 11 3 2 3" xfId="9233"/>
    <cellStyle name="Normal 47 11 3 2 3 2" xfId="9234"/>
    <cellStyle name="Normal 47 11 3 2 3_FC with allocations" xfId="27081"/>
    <cellStyle name="Normal 47 11 3 2 4" xfId="9235"/>
    <cellStyle name="Normal 47 11 3 2_FC with allocations" xfId="27078"/>
    <cellStyle name="Normal 47 11 3 3" xfId="9236"/>
    <cellStyle name="Normal 47 11 3 3 2" xfId="9237"/>
    <cellStyle name="Normal 47 11 3 3 2 2" xfId="9238"/>
    <cellStyle name="Normal 47 11 3 3 2_FC with allocations" xfId="27083"/>
    <cellStyle name="Normal 47 11 3 3 3" xfId="9239"/>
    <cellStyle name="Normal 47 11 3 3_FC with allocations" xfId="27082"/>
    <cellStyle name="Normal 47 11 3 4" xfId="9240"/>
    <cellStyle name="Normal 47 11 3 4 2" xfId="9241"/>
    <cellStyle name="Normal 47 11 3 4_FC with allocations" xfId="27084"/>
    <cellStyle name="Normal 47 11 3 5" xfId="9242"/>
    <cellStyle name="Normal 47 11 3_FC with allocations" xfId="27077"/>
    <cellStyle name="Normal 47 11 4" xfId="9243"/>
    <cellStyle name="Normal 47 11 4 2" xfId="9244"/>
    <cellStyle name="Normal 47 11 4 2 2" xfId="9245"/>
    <cellStyle name="Normal 47 11 4 2 2 2" xfId="9246"/>
    <cellStyle name="Normal 47 11 4 2 2_FC with allocations" xfId="27087"/>
    <cellStyle name="Normal 47 11 4 2 3" xfId="9247"/>
    <cellStyle name="Normal 47 11 4 2_FC with allocations" xfId="27086"/>
    <cellStyle name="Normal 47 11 4 3" xfId="9248"/>
    <cellStyle name="Normal 47 11 4 3 2" xfId="9249"/>
    <cellStyle name="Normal 47 11 4 3_FC with allocations" xfId="27088"/>
    <cellStyle name="Normal 47 11 4 4" xfId="9250"/>
    <cellStyle name="Normal 47 11 4_FC with allocations" xfId="27085"/>
    <cellStyle name="Normal 47 11 5" xfId="9251"/>
    <cellStyle name="Normal 47 11 5 2" xfId="9252"/>
    <cellStyle name="Normal 47 11 5 2 2" xfId="9253"/>
    <cellStyle name="Normal 47 11 5 2_FC with allocations" xfId="27090"/>
    <cellStyle name="Normal 47 11 5 3" xfId="9254"/>
    <cellStyle name="Normal 47 11 5_FC with allocations" xfId="27089"/>
    <cellStyle name="Normal 47 11 6" xfId="9255"/>
    <cellStyle name="Normal 47 11 6 2" xfId="9256"/>
    <cellStyle name="Normal 47 11 6 2 2" xfId="9257"/>
    <cellStyle name="Normal 47 11 6 2_FC with allocations" xfId="27092"/>
    <cellStyle name="Normal 47 11 6 3" xfId="9258"/>
    <cellStyle name="Normal 47 11 6_FC with allocations" xfId="27091"/>
    <cellStyle name="Normal 47 11 7" xfId="9259"/>
    <cellStyle name="Normal 47 11 7 2" xfId="9260"/>
    <cellStyle name="Normal 47 11 7_FC with allocations" xfId="27093"/>
    <cellStyle name="Normal 47 11 8" xfId="9261"/>
    <cellStyle name="Normal 47 11_FC with allocations" xfId="27068"/>
    <cellStyle name="Normal 47 12" xfId="9262"/>
    <cellStyle name="Normal 47 12 2" xfId="9263"/>
    <cellStyle name="Normal 47 12 2 2" xfId="9264"/>
    <cellStyle name="Normal 47 12 2 2 2" xfId="9265"/>
    <cellStyle name="Normal 47 12 2 2 2 2" xfId="9266"/>
    <cellStyle name="Normal 47 12 2 2 2 2 2" xfId="9267"/>
    <cellStyle name="Normal 47 12 2 2 2 2_FC with allocations" xfId="27098"/>
    <cellStyle name="Normal 47 12 2 2 2 3" xfId="9268"/>
    <cellStyle name="Normal 47 12 2 2 2_FC with allocations" xfId="27097"/>
    <cellStyle name="Normal 47 12 2 2 3" xfId="9269"/>
    <cellStyle name="Normal 47 12 2 2 3 2" xfId="9270"/>
    <cellStyle name="Normal 47 12 2 2 3_FC with allocations" xfId="27099"/>
    <cellStyle name="Normal 47 12 2 2 4" xfId="9271"/>
    <cellStyle name="Normal 47 12 2 2_FC with allocations" xfId="27096"/>
    <cellStyle name="Normal 47 12 2 3" xfId="9272"/>
    <cellStyle name="Normal 47 12 2 3 2" xfId="9273"/>
    <cellStyle name="Normal 47 12 2 3 2 2" xfId="9274"/>
    <cellStyle name="Normal 47 12 2 3 2_FC with allocations" xfId="27101"/>
    <cellStyle name="Normal 47 12 2 3 3" xfId="9275"/>
    <cellStyle name="Normal 47 12 2 3_FC with allocations" xfId="27100"/>
    <cellStyle name="Normal 47 12 2 4" xfId="9276"/>
    <cellStyle name="Normal 47 12 2 4 2" xfId="9277"/>
    <cellStyle name="Normal 47 12 2 4_FC with allocations" xfId="27102"/>
    <cellStyle name="Normal 47 12 2 5" xfId="9278"/>
    <cellStyle name="Normal 47 12 2_FC with allocations" xfId="27095"/>
    <cellStyle name="Normal 47 12 3" xfId="9279"/>
    <cellStyle name="Normal 47 12 3 2" xfId="9280"/>
    <cellStyle name="Normal 47 12 3 2 2" xfId="9281"/>
    <cellStyle name="Normal 47 12 3 2 2 2" xfId="9282"/>
    <cellStyle name="Normal 47 12 3 2 2 2 2" xfId="9283"/>
    <cellStyle name="Normal 47 12 3 2 2 2_FC with allocations" xfId="27106"/>
    <cellStyle name="Normal 47 12 3 2 2 3" xfId="9284"/>
    <cellStyle name="Normal 47 12 3 2 2_FC with allocations" xfId="27105"/>
    <cellStyle name="Normal 47 12 3 2 3" xfId="9285"/>
    <cellStyle name="Normal 47 12 3 2 3 2" xfId="9286"/>
    <cellStyle name="Normal 47 12 3 2 3_FC with allocations" xfId="27107"/>
    <cellStyle name="Normal 47 12 3 2 4" xfId="9287"/>
    <cellStyle name="Normal 47 12 3 2_FC with allocations" xfId="27104"/>
    <cellStyle name="Normal 47 12 3 3" xfId="9288"/>
    <cellStyle name="Normal 47 12 3 3 2" xfId="9289"/>
    <cellStyle name="Normal 47 12 3 3 2 2" xfId="9290"/>
    <cellStyle name="Normal 47 12 3 3 2_FC with allocations" xfId="27109"/>
    <cellStyle name="Normal 47 12 3 3 3" xfId="9291"/>
    <cellStyle name="Normal 47 12 3 3_FC with allocations" xfId="27108"/>
    <cellStyle name="Normal 47 12 3 4" xfId="9292"/>
    <cellStyle name="Normal 47 12 3 4 2" xfId="9293"/>
    <cellStyle name="Normal 47 12 3 4_FC with allocations" xfId="27110"/>
    <cellStyle name="Normal 47 12 3 5" xfId="9294"/>
    <cellStyle name="Normal 47 12 3_FC with allocations" xfId="27103"/>
    <cellStyle name="Normal 47 12 4" xfId="9295"/>
    <cellStyle name="Normal 47 12 4 2" xfId="9296"/>
    <cellStyle name="Normal 47 12 4 2 2" xfId="9297"/>
    <cellStyle name="Normal 47 12 4 2 2 2" xfId="9298"/>
    <cellStyle name="Normal 47 12 4 2 2_FC with allocations" xfId="27113"/>
    <cellStyle name="Normal 47 12 4 2 3" xfId="9299"/>
    <cellStyle name="Normal 47 12 4 2_FC with allocations" xfId="27112"/>
    <cellStyle name="Normal 47 12 4 3" xfId="9300"/>
    <cellStyle name="Normal 47 12 4 3 2" xfId="9301"/>
    <cellStyle name="Normal 47 12 4 3_FC with allocations" xfId="27114"/>
    <cellStyle name="Normal 47 12 4 4" xfId="9302"/>
    <cellStyle name="Normal 47 12 4_FC with allocations" xfId="27111"/>
    <cellStyle name="Normal 47 12 5" xfId="9303"/>
    <cellStyle name="Normal 47 12 5 2" xfId="9304"/>
    <cellStyle name="Normal 47 12 5 2 2" xfId="9305"/>
    <cellStyle name="Normal 47 12 5 2_FC with allocations" xfId="27116"/>
    <cellStyle name="Normal 47 12 5 3" xfId="9306"/>
    <cellStyle name="Normal 47 12 5_FC with allocations" xfId="27115"/>
    <cellStyle name="Normal 47 12 6" xfId="9307"/>
    <cellStyle name="Normal 47 12 6 2" xfId="9308"/>
    <cellStyle name="Normal 47 12 6 2 2" xfId="9309"/>
    <cellStyle name="Normal 47 12 6 2_FC with allocations" xfId="27118"/>
    <cellStyle name="Normal 47 12 6 3" xfId="9310"/>
    <cellStyle name="Normal 47 12 6_FC with allocations" xfId="27117"/>
    <cellStyle name="Normal 47 12 7" xfId="9311"/>
    <cellStyle name="Normal 47 12 7 2" xfId="9312"/>
    <cellStyle name="Normal 47 12 7_FC with allocations" xfId="27119"/>
    <cellStyle name="Normal 47 12 8" xfId="9313"/>
    <cellStyle name="Normal 47 12_FC with allocations" xfId="27094"/>
    <cellStyle name="Normal 47 13" xfId="9314"/>
    <cellStyle name="Normal 47 13 2" xfId="9315"/>
    <cellStyle name="Normal 47 13 2 2" xfId="9316"/>
    <cellStyle name="Normal 47 13 2 2 2" xfId="9317"/>
    <cellStyle name="Normal 47 13 2 2 2 2" xfId="9318"/>
    <cellStyle name="Normal 47 13 2 2 2 2 2" xfId="9319"/>
    <cellStyle name="Normal 47 13 2 2 2 2_FC with allocations" xfId="27124"/>
    <cellStyle name="Normal 47 13 2 2 2 3" xfId="9320"/>
    <cellStyle name="Normal 47 13 2 2 2_FC with allocations" xfId="27123"/>
    <cellStyle name="Normal 47 13 2 2 3" xfId="9321"/>
    <cellStyle name="Normal 47 13 2 2 3 2" xfId="9322"/>
    <cellStyle name="Normal 47 13 2 2 3_FC with allocations" xfId="27125"/>
    <cellStyle name="Normal 47 13 2 2 4" xfId="9323"/>
    <cellStyle name="Normal 47 13 2 2_FC with allocations" xfId="27122"/>
    <cellStyle name="Normal 47 13 2 3" xfId="9324"/>
    <cellStyle name="Normal 47 13 2 3 2" xfId="9325"/>
    <cellStyle name="Normal 47 13 2 3 2 2" xfId="9326"/>
    <cellStyle name="Normal 47 13 2 3 2_FC with allocations" xfId="27127"/>
    <cellStyle name="Normal 47 13 2 3 3" xfId="9327"/>
    <cellStyle name="Normal 47 13 2 3_FC with allocations" xfId="27126"/>
    <cellStyle name="Normal 47 13 2 4" xfId="9328"/>
    <cellStyle name="Normal 47 13 2 4 2" xfId="9329"/>
    <cellStyle name="Normal 47 13 2 4_FC with allocations" xfId="27128"/>
    <cellStyle name="Normal 47 13 2 5" xfId="9330"/>
    <cellStyle name="Normal 47 13 2_FC with allocations" xfId="27121"/>
    <cellStyle name="Normal 47 13 3" xfId="9331"/>
    <cellStyle name="Normal 47 13 3 2" xfId="9332"/>
    <cellStyle name="Normal 47 13 3 2 2" xfId="9333"/>
    <cellStyle name="Normal 47 13 3 2 2 2" xfId="9334"/>
    <cellStyle name="Normal 47 13 3 2 2 2 2" xfId="9335"/>
    <cellStyle name="Normal 47 13 3 2 2 2_FC with allocations" xfId="27132"/>
    <cellStyle name="Normal 47 13 3 2 2 3" xfId="9336"/>
    <cellStyle name="Normal 47 13 3 2 2_FC with allocations" xfId="27131"/>
    <cellStyle name="Normal 47 13 3 2 3" xfId="9337"/>
    <cellStyle name="Normal 47 13 3 2 3 2" xfId="9338"/>
    <cellStyle name="Normal 47 13 3 2 3_FC with allocations" xfId="27133"/>
    <cellStyle name="Normal 47 13 3 2 4" xfId="9339"/>
    <cellStyle name="Normal 47 13 3 2_FC with allocations" xfId="27130"/>
    <cellStyle name="Normal 47 13 3 3" xfId="9340"/>
    <cellStyle name="Normal 47 13 3 3 2" xfId="9341"/>
    <cellStyle name="Normal 47 13 3 3 2 2" xfId="9342"/>
    <cellStyle name="Normal 47 13 3 3 2_FC with allocations" xfId="27135"/>
    <cellStyle name="Normal 47 13 3 3 3" xfId="9343"/>
    <cellStyle name="Normal 47 13 3 3_FC with allocations" xfId="27134"/>
    <cellStyle name="Normal 47 13 3 4" xfId="9344"/>
    <cellStyle name="Normal 47 13 3 4 2" xfId="9345"/>
    <cellStyle name="Normal 47 13 3 4_FC with allocations" xfId="27136"/>
    <cellStyle name="Normal 47 13 3 5" xfId="9346"/>
    <cellStyle name="Normal 47 13 3_FC with allocations" xfId="27129"/>
    <cellStyle name="Normal 47 13 4" xfId="9347"/>
    <cellStyle name="Normal 47 13 4 2" xfId="9348"/>
    <cellStyle name="Normal 47 13 4 2 2" xfId="9349"/>
    <cellStyle name="Normal 47 13 4 2 2 2" xfId="9350"/>
    <cellStyle name="Normal 47 13 4 2 2_FC with allocations" xfId="27139"/>
    <cellStyle name="Normal 47 13 4 2 3" xfId="9351"/>
    <cellStyle name="Normal 47 13 4 2_FC with allocations" xfId="27138"/>
    <cellStyle name="Normal 47 13 4 3" xfId="9352"/>
    <cellStyle name="Normal 47 13 4 3 2" xfId="9353"/>
    <cellStyle name="Normal 47 13 4 3_FC with allocations" xfId="27140"/>
    <cellStyle name="Normal 47 13 4 4" xfId="9354"/>
    <cellStyle name="Normal 47 13 4_FC with allocations" xfId="27137"/>
    <cellStyle name="Normal 47 13 5" xfId="9355"/>
    <cellStyle name="Normal 47 13 5 2" xfId="9356"/>
    <cellStyle name="Normal 47 13 5 2 2" xfId="9357"/>
    <cellStyle name="Normal 47 13 5 2_FC with allocations" xfId="27142"/>
    <cellStyle name="Normal 47 13 5 3" xfId="9358"/>
    <cellStyle name="Normal 47 13 5_FC with allocations" xfId="27141"/>
    <cellStyle name="Normal 47 13 6" xfId="9359"/>
    <cellStyle name="Normal 47 13 6 2" xfId="9360"/>
    <cellStyle name="Normal 47 13 6 2 2" xfId="9361"/>
    <cellStyle name="Normal 47 13 6 2_FC with allocations" xfId="27144"/>
    <cellStyle name="Normal 47 13 6 3" xfId="9362"/>
    <cellStyle name="Normal 47 13 6_FC with allocations" xfId="27143"/>
    <cellStyle name="Normal 47 13 7" xfId="9363"/>
    <cellStyle name="Normal 47 13 7 2" xfId="9364"/>
    <cellStyle name="Normal 47 13 7_FC with allocations" xfId="27145"/>
    <cellStyle name="Normal 47 13 8" xfId="9365"/>
    <cellStyle name="Normal 47 13_FC with allocations" xfId="27120"/>
    <cellStyle name="Normal 47 14" xfId="9366"/>
    <cellStyle name="Normal 47 14 2" xfId="9367"/>
    <cellStyle name="Normal 47 14 2 2" xfId="9368"/>
    <cellStyle name="Normal 47 14 2 2 2" xfId="9369"/>
    <cellStyle name="Normal 47 14 2 2 2 2" xfId="9370"/>
    <cellStyle name="Normal 47 14 2 2 2 2 2" xfId="9371"/>
    <cellStyle name="Normal 47 14 2 2 2 2_FC with allocations" xfId="27150"/>
    <cellStyle name="Normal 47 14 2 2 2 3" xfId="9372"/>
    <cellStyle name="Normal 47 14 2 2 2_FC with allocations" xfId="27149"/>
    <cellStyle name="Normal 47 14 2 2 3" xfId="9373"/>
    <cellStyle name="Normal 47 14 2 2 3 2" xfId="9374"/>
    <cellStyle name="Normal 47 14 2 2 3_FC with allocations" xfId="27151"/>
    <cellStyle name="Normal 47 14 2 2 4" xfId="9375"/>
    <cellStyle name="Normal 47 14 2 2_FC with allocations" xfId="27148"/>
    <cellStyle name="Normal 47 14 2 3" xfId="9376"/>
    <cellStyle name="Normal 47 14 2 3 2" xfId="9377"/>
    <cellStyle name="Normal 47 14 2 3 2 2" xfId="9378"/>
    <cellStyle name="Normal 47 14 2 3 2_FC with allocations" xfId="27153"/>
    <cellStyle name="Normal 47 14 2 3 3" xfId="9379"/>
    <cellStyle name="Normal 47 14 2 3_FC with allocations" xfId="27152"/>
    <cellStyle name="Normal 47 14 2 4" xfId="9380"/>
    <cellStyle name="Normal 47 14 2 4 2" xfId="9381"/>
    <cellStyle name="Normal 47 14 2 4_FC with allocations" xfId="27154"/>
    <cellStyle name="Normal 47 14 2 5" xfId="9382"/>
    <cellStyle name="Normal 47 14 2_FC with allocations" xfId="27147"/>
    <cellStyle name="Normal 47 14 3" xfId="9383"/>
    <cellStyle name="Normal 47 14 3 2" xfId="9384"/>
    <cellStyle name="Normal 47 14 3 2 2" xfId="9385"/>
    <cellStyle name="Normal 47 14 3 2 2 2" xfId="9386"/>
    <cellStyle name="Normal 47 14 3 2 2 2 2" xfId="9387"/>
    <cellStyle name="Normal 47 14 3 2 2 2_FC with allocations" xfId="27158"/>
    <cellStyle name="Normal 47 14 3 2 2 3" xfId="9388"/>
    <cellStyle name="Normal 47 14 3 2 2_FC with allocations" xfId="27157"/>
    <cellStyle name="Normal 47 14 3 2 3" xfId="9389"/>
    <cellStyle name="Normal 47 14 3 2 3 2" xfId="9390"/>
    <cellStyle name="Normal 47 14 3 2 3_FC with allocations" xfId="27159"/>
    <cellStyle name="Normal 47 14 3 2 4" xfId="9391"/>
    <cellStyle name="Normal 47 14 3 2_FC with allocations" xfId="27156"/>
    <cellStyle name="Normal 47 14 3 3" xfId="9392"/>
    <cellStyle name="Normal 47 14 3 3 2" xfId="9393"/>
    <cellStyle name="Normal 47 14 3 3 2 2" xfId="9394"/>
    <cellStyle name="Normal 47 14 3 3 2_FC with allocations" xfId="27161"/>
    <cellStyle name="Normal 47 14 3 3 3" xfId="9395"/>
    <cellStyle name="Normal 47 14 3 3_FC with allocations" xfId="27160"/>
    <cellStyle name="Normal 47 14 3 4" xfId="9396"/>
    <cellStyle name="Normal 47 14 3 4 2" xfId="9397"/>
    <cellStyle name="Normal 47 14 3 4_FC with allocations" xfId="27162"/>
    <cellStyle name="Normal 47 14 3 5" xfId="9398"/>
    <cellStyle name="Normal 47 14 3_FC with allocations" xfId="27155"/>
    <cellStyle name="Normal 47 14 4" xfId="9399"/>
    <cellStyle name="Normal 47 14 4 2" xfId="9400"/>
    <cellStyle name="Normal 47 14 4 2 2" xfId="9401"/>
    <cellStyle name="Normal 47 14 4 2 2 2" xfId="9402"/>
    <cellStyle name="Normal 47 14 4 2 2_FC with allocations" xfId="27165"/>
    <cellStyle name="Normal 47 14 4 2 3" xfId="9403"/>
    <cellStyle name="Normal 47 14 4 2_FC with allocations" xfId="27164"/>
    <cellStyle name="Normal 47 14 4 3" xfId="9404"/>
    <cellStyle name="Normal 47 14 4 3 2" xfId="9405"/>
    <cellStyle name="Normal 47 14 4 3_FC with allocations" xfId="27166"/>
    <cellStyle name="Normal 47 14 4 4" xfId="9406"/>
    <cellStyle name="Normal 47 14 4_FC with allocations" xfId="27163"/>
    <cellStyle name="Normal 47 14 5" xfId="9407"/>
    <cellStyle name="Normal 47 14 5 2" xfId="9408"/>
    <cellStyle name="Normal 47 14 5 2 2" xfId="9409"/>
    <cellStyle name="Normal 47 14 5 2_FC with allocations" xfId="27168"/>
    <cellStyle name="Normal 47 14 5 3" xfId="9410"/>
    <cellStyle name="Normal 47 14 5_FC with allocations" xfId="27167"/>
    <cellStyle name="Normal 47 14 6" xfId="9411"/>
    <cellStyle name="Normal 47 14 6 2" xfId="9412"/>
    <cellStyle name="Normal 47 14 6 2 2" xfId="9413"/>
    <cellStyle name="Normal 47 14 6 2_FC with allocations" xfId="27170"/>
    <cellStyle name="Normal 47 14 6 3" xfId="9414"/>
    <cellStyle name="Normal 47 14 6_FC with allocations" xfId="27169"/>
    <cellStyle name="Normal 47 14 7" xfId="9415"/>
    <cellStyle name="Normal 47 14 7 2" xfId="9416"/>
    <cellStyle name="Normal 47 14 7_FC with allocations" xfId="27171"/>
    <cellStyle name="Normal 47 14 8" xfId="9417"/>
    <cellStyle name="Normal 47 14_FC with allocations" xfId="27146"/>
    <cellStyle name="Normal 47 15" xfId="9418"/>
    <cellStyle name="Normal 47 15 2" xfId="9419"/>
    <cellStyle name="Normal 47 15 2 2" xfId="9420"/>
    <cellStyle name="Normal 47 15 2 2 2" xfId="9421"/>
    <cellStyle name="Normal 47 15 2 2 2 2" xfId="9422"/>
    <cellStyle name="Normal 47 15 2 2 2 2 2" xfId="9423"/>
    <cellStyle name="Normal 47 15 2 2 2 2_FC with allocations" xfId="27176"/>
    <cellStyle name="Normal 47 15 2 2 2 3" xfId="9424"/>
    <cellStyle name="Normal 47 15 2 2 2_FC with allocations" xfId="27175"/>
    <cellStyle name="Normal 47 15 2 2 3" xfId="9425"/>
    <cellStyle name="Normal 47 15 2 2 3 2" xfId="9426"/>
    <cellStyle name="Normal 47 15 2 2 3_FC with allocations" xfId="27177"/>
    <cellStyle name="Normal 47 15 2 2 4" xfId="9427"/>
    <cellStyle name="Normal 47 15 2 2_FC with allocations" xfId="27174"/>
    <cellStyle name="Normal 47 15 2 3" xfId="9428"/>
    <cellStyle name="Normal 47 15 2 3 2" xfId="9429"/>
    <cellStyle name="Normal 47 15 2 3 2 2" xfId="9430"/>
    <cellStyle name="Normal 47 15 2 3 2_FC with allocations" xfId="27179"/>
    <cellStyle name="Normal 47 15 2 3 3" xfId="9431"/>
    <cellStyle name="Normal 47 15 2 3_FC with allocations" xfId="27178"/>
    <cellStyle name="Normal 47 15 2 4" xfId="9432"/>
    <cellStyle name="Normal 47 15 2 4 2" xfId="9433"/>
    <cellStyle name="Normal 47 15 2 4_FC with allocations" xfId="27180"/>
    <cellStyle name="Normal 47 15 2 5" xfId="9434"/>
    <cellStyle name="Normal 47 15 2_FC with allocations" xfId="27173"/>
    <cellStyle name="Normal 47 15 3" xfId="9435"/>
    <cellStyle name="Normal 47 15 3 2" xfId="9436"/>
    <cellStyle name="Normal 47 15 3 2 2" xfId="9437"/>
    <cellStyle name="Normal 47 15 3 2 2 2" xfId="9438"/>
    <cellStyle name="Normal 47 15 3 2 2 2 2" xfId="9439"/>
    <cellStyle name="Normal 47 15 3 2 2 2_FC with allocations" xfId="27184"/>
    <cellStyle name="Normal 47 15 3 2 2 3" xfId="9440"/>
    <cellStyle name="Normal 47 15 3 2 2_FC with allocations" xfId="27183"/>
    <cellStyle name="Normal 47 15 3 2 3" xfId="9441"/>
    <cellStyle name="Normal 47 15 3 2 3 2" xfId="9442"/>
    <cellStyle name="Normal 47 15 3 2 3_FC with allocations" xfId="27185"/>
    <cellStyle name="Normal 47 15 3 2 4" xfId="9443"/>
    <cellStyle name="Normal 47 15 3 2_FC with allocations" xfId="27182"/>
    <cellStyle name="Normal 47 15 3 3" xfId="9444"/>
    <cellStyle name="Normal 47 15 3 3 2" xfId="9445"/>
    <cellStyle name="Normal 47 15 3 3 2 2" xfId="9446"/>
    <cellStyle name="Normal 47 15 3 3 2_FC with allocations" xfId="27187"/>
    <cellStyle name="Normal 47 15 3 3 3" xfId="9447"/>
    <cellStyle name="Normal 47 15 3 3_FC with allocations" xfId="27186"/>
    <cellStyle name="Normal 47 15 3 4" xfId="9448"/>
    <cellStyle name="Normal 47 15 3 4 2" xfId="9449"/>
    <cellStyle name="Normal 47 15 3 4_FC with allocations" xfId="27188"/>
    <cellStyle name="Normal 47 15 3 5" xfId="9450"/>
    <cellStyle name="Normal 47 15 3_FC with allocations" xfId="27181"/>
    <cellStyle name="Normal 47 15 4" xfId="9451"/>
    <cellStyle name="Normal 47 15 4 2" xfId="9452"/>
    <cellStyle name="Normal 47 15 4 2 2" xfId="9453"/>
    <cellStyle name="Normal 47 15 4 2 2 2" xfId="9454"/>
    <cellStyle name="Normal 47 15 4 2 2_FC with allocations" xfId="27191"/>
    <cellStyle name="Normal 47 15 4 2 3" xfId="9455"/>
    <cellStyle name="Normal 47 15 4 2_FC with allocations" xfId="27190"/>
    <cellStyle name="Normal 47 15 4 3" xfId="9456"/>
    <cellStyle name="Normal 47 15 4 3 2" xfId="9457"/>
    <cellStyle name="Normal 47 15 4 3_FC with allocations" xfId="27192"/>
    <cellStyle name="Normal 47 15 4 4" xfId="9458"/>
    <cellStyle name="Normal 47 15 4_FC with allocations" xfId="27189"/>
    <cellStyle name="Normal 47 15 5" xfId="9459"/>
    <cellStyle name="Normal 47 15 5 2" xfId="9460"/>
    <cellStyle name="Normal 47 15 5 2 2" xfId="9461"/>
    <cellStyle name="Normal 47 15 5 2_FC with allocations" xfId="27194"/>
    <cellStyle name="Normal 47 15 5 3" xfId="9462"/>
    <cellStyle name="Normal 47 15 5_FC with allocations" xfId="27193"/>
    <cellStyle name="Normal 47 15 6" xfId="9463"/>
    <cellStyle name="Normal 47 15 6 2" xfId="9464"/>
    <cellStyle name="Normal 47 15 6 2 2" xfId="9465"/>
    <cellStyle name="Normal 47 15 6 2_FC with allocations" xfId="27196"/>
    <cellStyle name="Normal 47 15 6 3" xfId="9466"/>
    <cellStyle name="Normal 47 15 6_FC with allocations" xfId="27195"/>
    <cellStyle name="Normal 47 15 7" xfId="9467"/>
    <cellStyle name="Normal 47 15 7 2" xfId="9468"/>
    <cellStyle name="Normal 47 15 7_FC with allocations" xfId="27197"/>
    <cellStyle name="Normal 47 15 8" xfId="9469"/>
    <cellStyle name="Normal 47 15_FC with allocations" xfId="27172"/>
    <cellStyle name="Normal 47 16" xfId="9470"/>
    <cellStyle name="Normal 47 16 2" xfId="9471"/>
    <cellStyle name="Normal 47 16 2 2" xfId="9472"/>
    <cellStyle name="Normal 47 16 2 2 2" xfId="9473"/>
    <cellStyle name="Normal 47 16 2 2 2 2" xfId="9474"/>
    <cellStyle name="Normal 47 16 2 2 2_FC with allocations" xfId="27201"/>
    <cellStyle name="Normal 47 16 2 2 3" xfId="9475"/>
    <cellStyle name="Normal 47 16 2 2_FC with allocations" xfId="27200"/>
    <cellStyle name="Normal 47 16 2 3" xfId="9476"/>
    <cellStyle name="Normal 47 16 2 3 2" xfId="9477"/>
    <cellStyle name="Normal 47 16 2 3_FC with allocations" xfId="27202"/>
    <cellStyle name="Normal 47 16 2 4" xfId="9478"/>
    <cellStyle name="Normal 47 16 2_FC with allocations" xfId="27199"/>
    <cellStyle name="Normal 47 16 3" xfId="9479"/>
    <cellStyle name="Normal 47 16 3 2" xfId="9480"/>
    <cellStyle name="Normal 47 16 3 2 2" xfId="9481"/>
    <cellStyle name="Normal 47 16 3 2_FC with allocations" xfId="27204"/>
    <cellStyle name="Normal 47 16 3 3" xfId="9482"/>
    <cellStyle name="Normal 47 16 3_FC with allocations" xfId="27203"/>
    <cellStyle name="Normal 47 16 4" xfId="9483"/>
    <cellStyle name="Normal 47 16 4 2" xfId="9484"/>
    <cellStyle name="Normal 47 16 4_FC with allocations" xfId="27205"/>
    <cellStyle name="Normal 47 16 5" xfId="9485"/>
    <cellStyle name="Normal 47 16_FC with allocations" xfId="27198"/>
    <cellStyle name="Normal 47 17" xfId="9486"/>
    <cellStyle name="Normal 47 17 2" xfId="9487"/>
    <cellStyle name="Normal 47 17 2 2" xfId="9488"/>
    <cellStyle name="Normal 47 17 2 2 2" xfId="9489"/>
    <cellStyle name="Normal 47 17 2 2 2 2" xfId="9490"/>
    <cellStyle name="Normal 47 17 2 2 2_FC with allocations" xfId="27209"/>
    <cellStyle name="Normal 47 17 2 2 3" xfId="9491"/>
    <cellStyle name="Normal 47 17 2 2_FC with allocations" xfId="27208"/>
    <cellStyle name="Normal 47 17 2 3" xfId="9492"/>
    <cellStyle name="Normal 47 17 2 3 2" xfId="9493"/>
    <cellStyle name="Normal 47 17 2 3_FC with allocations" xfId="27210"/>
    <cellStyle name="Normal 47 17 2 4" xfId="9494"/>
    <cellStyle name="Normal 47 17 2_FC with allocations" xfId="27207"/>
    <cellStyle name="Normal 47 17 3" xfId="9495"/>
    <cellStyle name="Normal 47 17 3 2" xfId="9496"/>
    <cellStyle name="Normal 47 17 3 2 2" xfId="9497"/>
    <cellStyle name="Normal 47 17 3 2_FC with allocations" xfId="27212"/>
    <cellStyle name="Normal 47 17 3 3" xfId="9498"/>
    <cellStyle name="Normal 47 17 3_FC with allocations" xfId="27211"/>
    <cellStyle name="Normal 47 17 4" xfId="9499"/>
    <cellStyle name="Normal 47 17 4 2" xfId="9500"/>
    <cellStyle name="Normal 47 17 4_FC with allocations" xfId="27213"/>
    <cellStyle name="Normal 47 17 5" xfId="9501"/>
    <cellStyle name="Normal 47 17_FC with allocations" xfId="27206"/>
    <cellStyle name="Normal 47 18" xfId="9502"/>
    <cellStyle name="Normal 47 18 2" xfId="9503"/>
    <cellStyle name="Normal 47 18 2 2" xfId="9504"/>
    <cellStyle name="Normal 47 18 2 2 2" xfId="9505"/>
    <cellStyle name="Normal 47 18 2 2 2 2" xfId="9506"/>
    <cellStyle name="Normal 47 18 2 2 2_FC with allocations" xfId="27217"/>
    <cellStyle name="Normal 47 18 2 2 3" xfId="9507"/>
    <cellStyle name="Normal 47 18 2 2_FC with allocations" xfId="27216"/>
    <cellStyle name="Normal 47 18 2 3" xfId="9508"/>
    <cellStyle name="Normal 47 18 2 3 2" xfId="9509"/>
    <cellStyle name="Normal 47 18 2 3_FC with allocations" xfId="27218"/>
    <cellStyle name="Normal 47 18 2 4" xfId="9510"/>
    <cellStyle name="Normal 47 18 2_FC with allocations" xfId="27215"/>
    <cellStyle name="Normal 47 18 3" xfId="9511"/>
    <cellStyle name="Normal 47 18 3 2" xfId="9512"/>
    <cellStyle name="Normal 47 18 3 2 2" xfId="9513"/>
    <cellStyle name="Normal 47 18 3 2_FC with allocations" xfId="27220"/>
    <cellStyle name="Normal 47 18 3 3" xfId="9514"/>
    <cellStyle name="Normal 47 18 3_FC with allocations" xfId="27219"/>
    <cellStyle name="Normal 47 18 4" xfId="9515"/>
    <cellStyle name="Normal 47 18 4 2" xfId="9516"/>
    <cellStyle name="Normal 47 18 4_FC with allocations" xfId="27221"/>
    <cellStyle name="Normal 47 18 5" xfId="9517"/>
    <cellStyle name="Normal 47 18_FC with allocations" xfId="27214"/>
    <cellStyle name="Normal 47 19" xfId="9518"/>
    <cellStyle name="Normal 47 19 2" xfId="9519"/>
    <cellStyle name="Normal 47 19 2 2" xfId="9520"/>
    <cellStyle name="Normal 47 19 2 2 2" xfId="9521"/>
    <cellStyle name="Normal 47 19 2 2_FC with allocations" xfId="27224"/>
    <cellStyle name="Normal 47 19 2 3" xfId="9522"/>
    <cellStyle name="Normal 47 19 2_FC with allocations" xfId="27223"/>
    <cellStyle name="Normal 47 19 3" xfId="9523"/>
    <cellStyle name="Normal 47 19 3 2" xfId="9524"/>
    <cellStyle name="Normal 47 19 3_FC with allocations" xfId="27225"/>
    <cellStyle name="Normal 47 19 4" xfId="9525"/>
    <cellStyle name="Normal 47 19_FC with allocations" xfId="27222"/>
    <cellStyle name="Normal 47 2" xfId="2179"/>
    <cellStyle name="Normal 47 2 2" xfId="9527"/>
    <cellStyle name="Normal 47 2 2 2" xfId="9528"/>
    <cellStyle name="Normal 47 2 2 2 2" xfId="9529"/>
    <cellStyle name="Normal 47 2 2 2 2 2" xfId="9530"/>
    <cellStyle name="Normal 47 2 2 2 2 2 2" xfId="9531"/>
    <cellStyle name="Normal 47 2 2 2 2 2_FC with allocations" xfId="27230"/>
    <cellStyle name="Normal 47 2 2 2 2 3" xfId="9532"/>
    <cellStyle name="Normal 47 2 2 2 2_FC with allocations" xfId="27229"/>
    <cellStyle name="Normal 47 2 2 2 3" xfId="9533"/>
    <cellStyle name="Normal 47 2 2 2 3 2" xfId="9534"/>
    <cellStyle name="Normal 47 2 2 2 3_FC with allocations" xfId="27231"/>
    <cellStyle name="Normal 47 2 2 2 4" xfId="9535"/>
    <cellStyle name="Normal 47 2 2 2_FC with allocations" xfId="27228"/>
    <cellStyle name="Normal 47 2 2 3" xfId="9536"/>
    <cellStyle name="Normal 47 2 2 3 2" xfId="9537"/>
    <cellStyle name="Normal 47 2 2 3 2 2" xfId="9538"/>
    <cellStyle name="Normal 47 2 2 3 2_FC with allocations" xfId="27233"/>
    <cellStyle name="Normal 47 2 2 3 3" xfId="9539"/>
    <cellStyle name="Normal 47 2 2 3_FC with allocations" xfId="27232"/>
    <cellStyle name="Normal 47 2 2 4" xfId="9540"/>
    <cellStyle name="Normal 47 2 2 4 2" xfId="9541"/>
    <cellStyle name="Normal 47 2 2 4_FC with allocations" xfId="27234"/>
    <cellStyle name="Normal 47 2 2 5" xfId="9542"/>
    <cellStyle name="Normal 47 2 2_FC with allocations" xfId="27227"/>
    <cellStyle name="Normal 47 2 3" xfId="9543"/>
    <cellStyle name="Normal 47 2 3 2" xfId="9544"/>
    <cellStyle name="Normal 47 2 3 2 2" xfId="9545"/>
    <cellStyle name="Normal 47 2 3 2 2 2" xfId="9546"/>
    <cellStyle name="Normal 47 2 3 2 2 2 2" xfId="9547"/>
    <cellStyle name="Normal 47 2 3 2 2 2_FC with allocations" xfId="27238"/>
    <cellStyle name="Normal 47 2 3 2 2 3" xfId="9548"/>
    <cellStyle name="Normal 47 2 3 2 2_FC with allocations" xfId="27237"/>
    <cellStyle name="Normal 47 2 3 2 3" xfId="9549"/>
    <cellStyle name="Normal 47 2 3 2 3 2" xfId="9550"/>
    <cellStyle name="Normal 47 2 3 2 3_FC with allocations" xfId="27239"/>
    <cellStyle name="Normal 47 2 3 2 4" xfId="9551"/>
    <cellStyle name="Normal 47 2 3 2_FC with allocations" xfId="27236"/>
    <cellStyle name="Normal 47 2 3 3" xfId="9552"/>
    <cellStyle name="Normal 47 2 3 3 2" xfId="9553"/>
    <cellStyle name="Normal 47 2 3 3 2 2" xfId="9554"/>
    <cellStyle name="Normal 47 2 3 3 2_FC with allocations" xfId="27241"/>
    <cellStyle name="Normal 47 2 3 3 3" xfId="9555"/>
    <cellStyle name="Normal 47 2 3 3_FC with allocations" xfId="27240"/>
    <cellStyle name="Normal 47 2 3 4" xfId="9556"/>
    <cellStyle name="Normal 47 2 3 4 2" xfId="9557"/>
    <cellStyle name="Normal 47 2 3 4_FC with allocations" xfId="27242"/>
    <cellStyle name="Normal 47 2 3 5" xfId="9558"/>
    <cellStyle name="Normal 47 2 3_FC with allocations" xfId="27235"/>
    <cellStyle name="Normal 47 2 4" xfId="9559"/>
    <cellStyle name="Normal 47 2 4 2" xfId="9560"/>
    <cellStyle name="Normal 47 2 4 2 2" xfId="9561"/>
    <cellStyle name="Normal 47 2 4 2 2 2" xfId="9562"/>
    <cellStyle name="Normal 47 2 4 2 2_FC with allocations" xfId="27245"/>
    <cellStyle name="Normal 47 2 4 2 3" xfId="9563"/>
    <cellStyle name="Normal 47 2 4 2_FC with allocations" xfId="27244"/>
    <cellStyle name="Normal 47 2 4 3" xfId="9564"/>
    <cellStyle name="Normal 47 2 4 3 2" xfId="9565"/>
    <cellStyle name="Normal 47 2 4 3_FC with allocations" xfId="27246"/>
    <cellStyle name="Normal 47 2 4 4" xfId="9566"/>
    <cellStyle name="Normal 47 2 4_FC with allocations" xfId="27243"/>
    <cellStyle name="Normal 47 2 5" xfId="9567"/>
    <cellStyle name="Normal 47 2 5 2" xfId="9568"/>
    <cellStyle name="Normal 47 2 5 2 2" xfId="9569"/>
    <cellStyle name="Normal 47 2 5 2_FC with allocations" xfId="27248"/>
    <cellStyle name="Normal 47 2 5 3" xfId="9570"/>
    <cellStyle name="Normal 47 2 5_FC with allocations" xfId="27247"/>
    <cellStyle name="Normal 47 2 6" xfId="9571"/>
    <cellStyle name="Normal 47 2 6 2" xfId="9572"/>
    <cellStyle name="Normal 47 2 6 2 2" xfId="9573"/>
    <cellStyle name="Normal 47 2 6 2_FC with allocations" xfId="27250"/>
    <cellStyle name="Normal 47 2 6 3" xfId="9574"/>
    <cellStyle name="Normal 47 2 6_FC with allocations" xfId="27249"/>
    <cellStyle name="Normal 47 2 7" xfId="9575"/>
    <cellStyle name="Normal 47 2 7 2" xfId="9576"/>
    <cellStyle name="Normal 47 2 7_FC with allocations" xfId="27251"/>
    <cellStyle name="Normal 47 2 8" xfId="9577"/>
    <cellStyle name="Normal 47 2 9" xfId="9526"/>
    <cellStyle name="Normal 47 2_FC with allocations" xfId="27226"/>
    <cellStyle name="Normal 47 20" xfId="9578"/>
    <cellStyle name="Normal 47 20 2" xfId="9579"/>
    <cellStyle name="Normal 47 20 2 2" xfId="9580"/>
    <cellStyle name="Normal 47 20 2_FC with allocations" xfId="27253"/>
    <cellStyle name="Normal 47 20 3" xfId="9581"/>
    <cellStyle name="Normal 47 20_FC with allocations" xfId="27252"/>
    <cellStyle name="Normal 47 21" xfId="9582"/>
    <cellStyle name="Normal 47 21 2" xfId="9583"/>
    <cellStyle name="Normal 47 21 2 2" xfId="9584"/>
    <cellStyle name="Normal 47 21 2_FC with allocations" xfId="27255"/>
    <cellStyle name="Normal 47 21 3" xfId="9585"/>
    <cellStyle name="Normal 47 21_FC with allocations" xfId="27254"/>
    <cellStyle name="Normal 47 22" xfId="9586"/>
    <cellStyle name="Normal 47 22 2" xfId="9587"/>
    <cellStyle name="Normal 47 22_FC with allocations" xfId="27256"/>
    <cellStyle name="Normal 47 23" xfId="9588"/>
    <cellStyle name="Normal 47 24" xfId="9157"/>
    <cellStyle name="Normal 47 3" xfId="2180"/>
    <cellStyle name="Normal 47 3 2" xfId="9590"/>
    <cellStyle name="Normal 47 3 2 2" xfId="9591"/>
    <cellStyle name="Normal 47 3 2 2 2" xfId="9592"/>
    <cellStyle name="Normal 47 3 2 2 2 2" xfId="9593"/>
    <cellStyle name="Normal 47 3 2 2 2 2 2" xfId="9594"/>
    <cellStyle name="Normal 47 3 2 2 2 2_FC with allocations" xfId="27261"/>
    <cellStyle name="Normal 47 3 2 2 2 3" xfId="9595"/>
    <cellStyle name="Normal 47 3 2 2 2_FC with allocations" xfId="27260"/>
    <cellStyle name="Normal 47 3 2 2 3" xfId="9596"/>
    <cellStyle name="Normal 47 3 2 2 3 2" xfId="9597"/>
    <cellStyle name="Normal 47 3 2 2 3_FC with allocations" xfId="27262"/>
    <cellStyle name="Normal 47 3 2 2 4" xfId="9598"/>
    <cellStyle name="Normal 47 3 2 2_FC with allocations" xfId="27259"/>
    <cellStyle name="Normal 47 3 2 3" xfId="9599"/>
    <cellStyle name="Normal 47 3 2 3 2" xfId="9600"/>
    <cellStyle name="Normal 47 3 2 3 2 2" xfId="9601"/>
    <cellStyle name="Normal 47 3 2 3 2_FC with allocations" xfId="27264"/>
    <cellStyle name="Normal 47 3 2 3 3" xfId="9602"/>
    <cellStyle name="Normal 47 3 2 3_FC with allocations" xfId="27263"/>
    <cellStyle name="Normal 47 3 2 4" xfId="9603"/>
    <cellStyle name="Normal 47 3 2 4 2" xfId="9604"/>
    <cellStyle name="Normal 47 3 2 4_FC with allocations" xfId="27265"/>
    <cellStyle name="Normal 47 3 2 5" xfId="9605"/>
    <cellStyle name="Normal 47 3 2_FC with allocations" xfId="27258"/>
    <cellStyle name="Normal 47 3 3" xfId="9606"/>
    <cellStyle name="Normal 47 3 3 2" xfId="9607"/>
    <cellStyle name="Normal 47 3 3 2 2" xfId="9608"/>
    <cellStyle name="Normal 47 3 3 2 2 2" xfId="9609"/>
    <cellStyle name="Normal 47 3 3 2 2 2 2" xfId="9610"/>
    <cellStyle name="Normal 47 3 3 2 2 2_FC with allocations" xfId="27269"/>
    <cellStyle name="Normal 47 3 3 2 2 3" xfId="9611"/>
    <cellStyle name="Normal 47 3 3 2 2_FC with allocations" xfId="27268"/>
    <cellStyle name="Normal 47 3 3 2 3" xfId="9612"/>
    <cellStyle name="Normal 47 3 3 2 3 2" xfId="9613"/>
    <cellStyle name="Normal 47 3 3 2 3_FC with allocations" xfId="27270"/>
    <cellStyle name="Normal 47 3 3 2 4" xfId="9614"/>
    <cellStyle name="Normal 47 3 3 2_FC with allocations" xfId="27267"/>
    <cellStyle name="Normal 47 3 3 3" xfId="9615"/>
    <cellStyle name="Normal 47 3 3 3 2" xfId="9616"/>
    <cellStyle name="Normal 47 3 3 3 2 2" xfId="9617"/>
    <cellStyle name="Normal 47 3 3 3 2_FC with allocations" xfId="27272"/>
    <cellStyle name="Normal 47 3 3 3 3" xfId="9618"/>
    <cellStyle name="Normal 47 3 3 3_FC with allocations" xfId="27271"/>
    <cellStyle name="Normal 47 3 3 4" xfId="9619"/>
    <cellStyle name="Normal 47 3 3 4 2" xfId="9620"/>
    <cellStyle name="Normal 47 3 3 4_FC with allocations" xfId="27273"/>
    <cellStyle name="Normal 47 3 3 5" xfId="9621"/>
    <cellStyle name="Normal 47 3 3_FC with allocations" xfId="27266"/>
    <cellStyle name="Normal 47 3 4" xfId="9622"/>
    <cellStyle name="Normal 47 3 4 2" xfId="9623"/>
    <cellStyle name="Normal 47 3 4 2 2" xfId="9624"/>
    <cellStyle name="Normal 47 3 4 2 2 2" xfId="9625"/>
    <cellStyle name="Normal 47 3 4 2 2_FC with allocations" xfId="27276"/>
    <cellStyle name="Normal 47 3 4 2 3" xfId="9626"/>
    <cellStyle name="Normal 47 3 4 2_FC with allocations" xfId="27275"/>
    <cellStyle name="Normal 47 3 4 3" xfId="9627"/>
    <cellStyle name="Normal 47 3 4 3 2" xfId="9628"/>
    <cellStyle name="Normal 47 3 4 3_FC with allocations" xfId="27277"/>
    <cellStyle name="Normal 47 3 4 4" xfId="9629"/>
    <cellStyle name="Normal 47 3 4_FC with allocations" xfId="27274"/>
    <cellStyle name="Normal 47 3 5" xfId="9630"/>
    <cellStyle name="Normal 47 3 5 2" xfId="9631"/>
    <cellStyle name="Normal 47 3 5 2 2" xfId="9632"/>
    <cellStyle name="Normal 47 3 5 2_FC with allocations" xfId="27279"/>
    <cellStyle name="Normal 47 3 5 3" xfId="9633"/>
    <cellStyle name="Normal 47 3 5_FC with allocations" xfId="27278"/>
    <cellStyle name="Normal 47 3 6" xfId="9634"/>
    <cellStyle name="Normal 47 3 6 2" xfId="9635"/>
    <cellStyle name="Normal 47 3 6 2 2" xfId="9636"/>
    <cellStyle name="Normal 47 3 6 2_FC with allocations" xfId="27281"/>
    <cellStyle name="Normal 47 3 6 3" xfId="9637"/>
    <cellStyle name="Normal 47 3 6_FC with allocations" xfId="27280"/>
    <cellStyle name="Normal 47 3 7" xfId="9638"/>
    <cellStyle name="Normal 47 3 7 2" xfId="9639"/>
    <cellStyle name="Normal 47 3 7_FC with allocations" xfId="27282"/>
    <cellStyle name="Normal 47 3 8" xfId="9640"/>
    <cellStyle name="Normal 47 3 9" xfId="9589"/>
    <cellStyle name="Normal 47 3_FC with allocations" xfId="27257"/>
    <cellStyle name="Normal 47 4" xfId="9641"/>
    <cellStyle name="Normal 47 4 2" xfId="9642"/>
    <cellStyle name="Normal 47 4 2 2" xfId="9643"/>
    <cellStyle name="Normal 47 4 2 2 2" xfId="9644"/>
    <cellStyle name="Normal 47 4 2 2 2 2" xfId="9645"/>
    <cellStyle name="Normal 47 4 2 2 2 2 2" xfId="9646"/>
    <cellStyle name="Normal 47 4 2 2 2 2_FC with allocations" xfId="27287"/>
    <cellStyle name="Normal 47 4 2 2 2 3" xfId="9647"/>
    <cellStyle name="Normal 47 4 2 2 2_FC with allocations" xfId="27286"/>
    <cellStyle name="Normal 47 4 2 2 3" xfId="9648"/>
    <cellStyle name="Normal 47 4 2 2 3 2" xfId="9649"/>
    <cellStyle name="Normal 47 4 2 2 3_FC with allocations" xfId="27288"/>
    <cellStyle name="Normal 47 4 2 2 4" xfId="9650"/>
    <cellStyle name="Normal 47 4 2 2_FC with allocations" xfId="27285"/>
    <cellStyle name="Normal 47 4 2 3" xfId="9651"/>
    <cellStyle name="Normal 47 4 2 3 2" xfId="9652"/>
    <cellStyle name="Normal 47 4 2 3 2 2" xfId="9653"/>
    <cellStyle name="Normal 47 4 2 3 2_FC with allocations" xfId="27290"/>
    <cellStyle name="Normal 47 4 2 3 3" xfId="9654"/>
    <cellStyle name="Normal 47 4 2 3_FC with allocations" xfId="27289"/>
    <cellStyle name="Normal 47 4 2 4" xfId="9655"/>
    <cellStyle name="Normal 47 4 2 4 2" xfId="9656"/>
    <cellStyle name="Normal 47 4 2 4_FC with allocations" xfId="27291"/>
    <cellStyle name="Normal 47 4 2 5" xfId="9657"/>
    <cellStyle name="Normal 47 4 2_FC with allocations" xfId="27284"/>
    <cellStyle name="Normal 47 4 3" xfId="9658"/>
    <cellStyle name="Normal 47 4 3 2" xfId="9659"/>
    <cellStyle name="Normal 47 4 3 2 2" xfId="9660"/>
    <cellStyle name="Normal 47 4 3 2 2 2" xfId="9661"/>
    <cellStyle name="Normal 47 4 3 2 2 2 2" xfId="9662"/>
    <cellStyle name="Normal 47 4 3 2 2 2_FC with allocations" xfId="27295"/>
    <cellStyle name="Normal 47 4 3 2 2 3" xfId="9663"/>
    <cellStyle name="Normal 47 4 3 2 2_FC with allocations" xfId="27294"/>
    <cellStyle name="Normal 47 4 3 2 3" xfId="9664"/>
    <cellStyle name="Normal 47 4 3 2 3 2" xfId="9665"/>
    <cellStyle name="Normal 47 4 3 2 3_FC with allocations" xfId="27296"/>
    <cellStyle name="Normal 47 4 3 2 4" xfId="9666"/>
    <cellStyle name="Normal 47 4 3 2_FC with allocations" xfId="27293"/>
    <cellStyle name="Normal 47 4 3 3" xfId="9667"/>
    <cellStyle name="Normal 47 4 3 3 2" xfId="9668"/>
    <cellStyle name="Normal 47 4 3 3 2 2" xfId="9669"/>
    <cellStyle name="Normal 47 4 3 3 2_FC with allocations" xfId="27298"/>
    <cellStyle name="Normal 47 4 3 3 3" xfId="9670"/>
    <cellStyle name="Normal 47 4 3 3_FC with allocations" xfId="27297"/>
    <cellStyle name="Normal 47 4 3 4" xfId="9671"/>
    <cellStyle name="Normal 47 4 3 4 2" xfId="9672"/>
    <cellStyle name="Normal 47 4 3 4_FC with allocations" xfId="27299"/>
    <cellStyle name="Normal 47 4 3 5" xfId="9673"/>
    <cellStyle name="Normal 47 4 3_FC with allocations" xfId="27292"/>
    <cellStyle name="Normal 47 4 4" xfId="9674"/>
    <cellStyle name="Normal 47 4 4 2" xfId="9675"/>
    <cellStyle name="Normal 47 4 4 2 2" xfId="9676"/>
    <cellStyle name="Normal 47 4 4 2 2 2" xfId="9677"/>
    <cellStyle name="Normal 47 4 4 2 2_FC with allocations" xfId="27302"/>
    <cellStyle name="Normal 47 4 4 2 3" xfId="9678"/>
    <cellStyle name="Normal 47 4 4 2_FC with allocations" xfId="27301"/>
    <cellStyle name="Normal 47 4 4 3" xfId="9679"/>
    <cellStyle name="Normal 47 4 4 3 2" xfId="9680"/>
    <cellStyle name="Normal 47 4 4 3_FC with allocations" xfId="27303"/>
    <cellStyle name="Normal 47 4 4 4" xfId="9681"/>
    <cellStyle name="Normal 47 4 4_FC with allocations" xfId="27300"/>
    <cellStyle name="Normal 47 4 5" xfId="9682"/>
    <cellStyle name="Normal 47 4 5 2" xfId="9683"/>
    <cellStyle name="Normal 47 4 5 2 2" xfId="9684"/>
    <cellStyle name="Normal 47 4 5 2_FC with allocations" xfId="27305"/>
    <cellStyle name="Normal 47 4 5 3" xfId="9685"/>
    <cellStyle name="Normal 47 4 5_FC with allocations" xfId="27304"/>
    <cellStyle name="Normal 47 4 6" xfId="9686"/>
    <cellStyle name="Normal 47 4 6 2" xfId="9687"/>
    <cellStyle name="Normal 47 4 6 2 2" xfId="9688"/>
    <cellStyle name="Normal 47 4 6 2_FC with allocations" xfId="27307"/>
    <cellStyle name="Normal 47 4 6 3" xfId="9689"/>
    <cellStyle name="Normal 47 4 6_FC with allocations" xfId="27306"/>
    <cellStyle name="Normal 47 4 7" xfId="9690"/>
    <cellStyle name="Normal 47 4 7 2" xfId="9691"/>
    <cellStyle name="Normal 47 4 7_FC with allocations" xfId="27308"/>
    <cellStyle name="Normal 47 4 8" xfId="9692"/>
    <cellStyle name="Normal 47 4_FC with allocations" xfId="27283"/>
    <cellStyle name="Normal 47 5" xfId="9693"/>
    <cellStyle name="Normal 47 5 2" xfId="9694"/>
    <cellStyle name="Normal 47 5 2 2" xfId="9695"/>
    <cellStyle name="Normal 47 5 2 2 2" xfId="9696"/>
    <cellStyle name="Normal 47 5 2 2 2 2" xfId="9697"/>
    <cellStyle name="Normal 47 5 2 2 2 2 2" xfId="9698"/>
    <cellStyle name="Normal 47 5 2 2 2 2_FC with allocations" xfId="27313"/>
    <cellStyle name="Normal 47 5 2 2 2 3" xfId="9699"/>
    <cellStyle name="Normal 47 5 2 2 2_FC with allocations" xfId="27312"/>
    <cellStyle name="Normal 47 5 2 2 3" xfId="9700"/>
    <cellStyle name="Normal 47 5 2 2 3 2" xfId="9701"/>
    <cellStyle name="Normal 47 5 2 2 3_FC with allocations" xfId="27314"/>
    <cellStyle name="Normal 47 5 2 2 4" xfId="9702"/>
    <cellStyle name="Normal 47 5 2 2_FC with allocations" xfId="27311"/>
    <cellStyle name="Normal 47 5 2 3" xfId="9703"/>
    <cellStyle name="Normal 47 5 2 3 2" xfId="9704"/>
    <cellStyle name="Normal 47 5 2 3 2 2" xfId="9705"/>
    <cellStyle name="Normal 47 5 2 3 2_FC with allocations" xfId="27316"/>
    <cellStyle name="Normal 47 5 2 3 3" xfId="9706"/>
    <cellStyle name="Normal 47 5 2 3_FC with allocations" xfId="27315"/>
    <cellStyle name="Normal 47 5 2 4" xfId="9707"/>
    <cellStyle name="Normal 47 5 2 4 2" xfId="9708"/>
    <cellStyle name="Normal 47 5 2 4_FC with allocations" xfId="27317"/>
    <cellStyle name="Normal 47 5 2 5" xfId="9709"/>
    <cellStyle name="Normal 47 5 2_FC with allocations" xfId="27310"/>
    <cellStyle name="Normal 47 5 3" xfId="9710"/>
    <cellStyle name="Normal 47 5 3 2" xfId="9711"/>
    <cellStyle name="Normal 47 5 3 2 2" xfId="9712"/>
    <cellStyle name="Normal 47 5 3 2 2 2" xfId="9713"/>
    <cellStyle name="Normal 47 5 3 2 2 2 2" xfId="9714"/>
    <cellStyle name="Normal 47 5 3 2 2 2_FC with allocations" xfId="27321"/>
    <cellStyle name="Normal 47 5 3 2 2 3" xfId="9715"/>
    <cellStyle name="Normal 47 5 3 2 2_FC with allocations" xfId="27320"/>
    <cellStyle name="Normal 47 5 3 2 3" xfId="9716"/>
    <cellStyle name="Normal 47 5 3 2 3 2" xfId="9717"/>
    <cellStyle name="Normal 47 5 3 2 3_FC with allocations" xfId="27322"/>
    <cellStyle name="Normal 47 5 3 2 4" xfId="9718"/>
    <cellStyle name="Normal 47 5 3 2_FC with allocations" xfId="27319"/>
    <cellStyle name="Normal 47 5 3 3" xfId="9719"/>
    <cellStyle name="Normal 47 5 3 3 2" xfId="9720"/>
    <cellStyle name="Normal 47 5 3 3 2 2" xfId="9721"/>
    <cellStyle name="Normal 47 5 3 3 2_FC with allocations" xfId="27324"/>
    <cellStyle name="Normal 47 5 3 3 3" xfId="9722"/>
    <cellStyle name="Normal 47 5 3 3_FC with allocations" xfId="27323"/>
    <cellStyle name="Normal 47 5 3 4" xfId="9723"/>
    <cellStyle name="Normal 47 5 3 4 2" xfId="9724"/>
    <cellStyle name="Normal 47 5 3 4_FC with allocations" xfId="27325"/>
    <cellStyle name="Normal 47 5 3 5" xfId="9725"/>
    <cellStyle name="Normal 47 5 3_FC with allocations" xfId="27318"/>
    <cellStyle name="Normal 47 5 4" xfId="9726"/>
    <cellStyle name="Normal 47 5 4 2" xfId="9727"/>
    <cellStyle name="Normal 47 5 4 2 2" xfId="9728"/>
    <cellStyle name="Normal 47 5 4 2 2 2" xfId="9729"/>
    <cellStyle name="Normal 47 5 4 2 2_FC with allocations" xfId="27328"/>
    <cellStyle name="Normal 47 5 4 2 3" xfId="9730"/>
    <cellStyle name="Normal 47 5 4 2_FC with allocations" xfId="27327"/>
    <cellStyle name="Normal 47 5 4 3" xfId="9731"/>
    <cellStyle name="Normal 47 5 4 3 2" xfId="9732"/>
    <cellStyle name="Normal 47 5 4 3_FC with allocations" xfId="27329"/>
    <cellStyle name="Normal 47 5 4 4" xfId="9733"/>
    <cellStyle name="Normal 47 5 4_FC with allocations" xfId="27326"/>
    <cellStyle name="Normal 47 5 5" xfId="9734"/>
    <cellStyle name="Normal 47 5 5 2" xfId="9735"/>
    <cellStyle name="Normal 47 5 5 2 2" xfId="9736"/>
    <cellStyle name="Normal 47 5 5 2_FC with allocations" xfId="27331"/>
    <cellStyle name="Normal 47 5 5 3" xfId="9737"/>
    <cellStyle name="Normal 47 5 5_FC with allocations" xfId="27330"/>
    <cellStyle name="Normal 47 5 6" xfId="9738"/>
    <cellStyle name="Normal 47 5 6 2" xfId="9739"/>
    <cellStyle name="Normal 47 5 6 2 2" xfId="9740"/>
    <cellStyle name="Normal 47 5 6 2_FC with allocations" xfId="27333"/>
    <cellStyle name="Normal 47 5 6 3" xfId="9741"/>
    <cellStyle name="Normal 47 5 6_FC with allocations" xfId="27332"/>
    <cellStyle name="Normal 47 5 7" xfId="9742"/>
    <cellStyle name="Normal 47 5 7 2" xfId="9743"/>
    <cellStyle name="Normal 47 5 7_FC with allocations" xfId="27334"/>
    <cellStyle name="Normal 47 5 8" xfId="9744"/>
    <cellStyle name="Normal 47 5_FC with allocations" xfId="27309"/>
    <cellStyle name="Normal 47 6" xfId="9745"/>
    <cellStyle name="Normal 47 6 2" xfId="9746"/>
    <cellStyle name="Normal 47 6 2 2" xfId="9747"/>
    <cellStyle name="Normal 47 6 2 2 2" xfId="9748"/>
    <cellStyle name="Normal 47 6 2 2 2 2" xfId="9749"/>
    <cellStyle name="Normal 47 6 2 2 2 2 2" xfId="9750"/>
    <cellStyle name="Normal 47 6 2 2 2 2_FC with allocations" xfId="27339"/>
    <cellStyle name="Normal 47 6 2 2 2 3" xfId="9751"/>
    <cellStyle name="Normal 47 6 2 2 2_FC with allocations" xfId="27338"/>
    <cellStyle name="Normal 47 6 2 2 3" xfId="9752"/>
    <cellStyle name="Normal 47 6 2 2 3 2" xfId="9753"/>
    <cellStyle name="Normal 47 6 2 2 3_FC with allocations" xfId="27340"/>
    <cellStyle name="Normal 47 6 2 2 4" xfId="9754"/>
    <cellStyle name="Normal 47 6 2 2_FC with allocations" xfId="27337"/>
    <cellStyle name="Normal 47 6 2 3" xfId="9755"/>
    <cellStyle name="Normal 47 6 2 3 2" xfId="9756"/>
    <cellStyle name="Normal 47 6 2 3 2 2" xfId="9757"/>
    <cellStyle name="Normal 47 6 2 3 2_FC with allocations" xfId="27342"/>
    <cellStyle name="Normal 47 6 2 3 3" xfId="9758"/>
    <cellStyle name="Normal 47 6 2 3_FC with allocations" xfId="27341"/>
    <cellStyle name="Normal 47 6 2 4" xfId="9759"/>
    <cellStyle name="Normal 47 6 2 4 2" xfId="9760"/>
    <cellStyle name="Normal 47 6 2 4_FC with allocations" xfId="27343"/>
    <cellStyle name="Normal 47 6 2 5" xfId="9761"/>
    <cellStyle name="Normal 47 6 2_FC with allocations" xfId="27336"/>
    <cellStyle name="Normal 47 6 3" xfId="9762"/>
    <cellStyle name="Normal 47 6 3 2" xfId="9763"/>
    <cellStyle name="Normal 47 6 3 2 2" xfId="9764"/>
    <cellStyle name="Normal 47 6 3 2 2 2" xfId="9765"/>
    <cellStyle name="Normal 47 6 3 2 2 2 2" xfId="9766"/>
    <cellStyle name="Normal 47 6 3 2 2 2_FC with allocations" xfId="27347"/>
    <cellStyle name="Normal 47 6 3 2 2 3" xfId="9767"/>
    <cellStyle name="Normal 47 6 3 2 2_FC with allocations" xfId="27346"/>
    <cellStyle name="Normal 47 6 3 2 3" xfId="9768"/>
    <cellStyle name="Normal 47 6 3 2 3 2" xfId="9769"/>
    <cellStyle name="Normal 47 6 3 2 3_FC with allocations" xfId="27348"/>
    <cellStyle name="Normal 47 6 3 2 4" xfId="9770"/>
    <cellStyle name="Normal 47 6 3 2_FC with allocations" xfId="27345"/>
    <cellStyle name="Normal 47 6 3 3" xfId="9771"/>
    <cellStyle name="Normal 47 6 3 3 2" xfId="9772"/>
    <cellStyle name="Normal 47 6 3 3 2 2" xfId="9773"/>
    <cellStyle name="Normal 47 6 3 3 2_FC with allocations" xfId="27350"/>
    <cellStyle name="Normal 47 6 3 3 3" xfId="9774"/>
    <cellStyle name="Normal 47 6 3 3_FC with allocations" xfId="27349"/>
    <cellStyle name="Normal 47 6 3 4" xfId="9775"/>
    <cellStyle name="Normal 47 6 3 4 2" xfId="9776"/>
    <cellStyle name="Normal 47 6 3 4_FC with allocations" xfId="27351"/>
    <cellStyle name="Normal 47 6 3 5" xfId="9777"/>
    <cellStyle name="Normal 47 6 3_FC with allocations" xfId="27344"/>
    <cellStyle name="Normal 47 6 4" xfId="9778"/>
    <cellStyle name="Normal 47 6 4 2" xfId="9779"/>
    <cellStyle name="Normal 47 6 4 2 2" xfId="9780"/>
    <cellStyle name="Normal 47 6 4 2 2 2" xfId="9781"/>
    <cellStyle name="Normal 47 6 4 2 2_FC with allocations" xfId="27354"/>
    <cellStyle name="Normal 47 6 4 2 3" xfId="9782"/>
    <cellStyle name="Normal 47 6 4 2_FC with allocations" xfId="27353"/>
    <cellStyle name="Normal 47 6 4 3" xfId="9783"/>
    <cellStyle name="Normal 47 6 4 3 2" xfId="9784"/>
    <cellStyle name="Normal 47 6 4 3_FC with allocations" xfId="27355"/>
    <cellStyle name="Normal 47 6 4 4" xfId="9785"/>
    <cellStyle name="Normal 47 6 4_FC with allocations" xfId="27352"/>
    <cellStyle name="Normal 47 6 5" xfId="9786"/>
    <cellStyle name="Normal 47 6 5 2" xfId="9787"/>
    <cellStyle name="Normal 47 6 5 2 2" xfId="9788"/>
    <cellStyle name="Normal 47 6 5 2_FC with allocations" xfId="27357"/>
    <cellStyle name="Normal 47 6 5 3" xfId="9789"/>
    <cellStyle name="Normal 47 6 5_FC with allocations" xfId="27356"/>
    <cellStyle name="Normal 47 6 6" xfId="9790"/>
    <cellStyle name="Normal 47 6 6 2" xfId="9791"/>
    <cellStyle name="Normal 47 6 6 2 2" xfId="9792"/>
    <cellStyle name="Normal 47 6 6 2_FC with allocations" xfId="27359"/>
    <cellStyle name="Normal 47 6 6 3" xfId="9793"/>
    <cellStyle name="Normal 47 6 6_FC with allocations" xfId="27358"/>
    <cellStyle name="Normal 47 6 7" xfId="9794"/>
    <cellStyle name="Normal 47 6 7 2" xfId="9795"/>
    <cellStyle name="Normal 47 6 7_FC with allocations" xfId="27360"/>
    <cellStyle name="Normal 47 6 8" xfId="9796"/>
    <cellStyle name="Normal 47 6_FC with allocations" xfId="27335"/>
    <cellStyle name="Normal 47 7" xfId="9797"/>
    <cellStyle name="Normal 47 7 2" xfId="9798"/>
    <cellStyle name="Normal 47 7 2 2" xfId="9799"/>
    <cellStyle name="Normal 47 7 2 2 2" xfId="9800"/>
    <cellStyle name="Normal 47 7 2 2 2 2" xfId="9801"/>
    <cellStyle name="Normal 47 7 2 2 2 2 2" xfId="9802"/>
    <cellStyle name="Normal 47 7 2 2 2 2_FC with allocations" xfId="27365"/>
    <cellStyle name="Normal 47 7 2 2 2 3" xfId="9803"/>
    <cellStyle name="Normal 47 7 2 2 2_FC with allocations" xfId="27364"/>
    <cellStyle name="Normal 47 7 2 2 3" xfId="9804"/>
    <cellStyle name="Normal 47 7 2 2 3 2" xfId="9805"/>
    <cellStyle name="Normal 47 7 2 2 3_FC with allocations" xfId="27366"/>
    <cellStyle name="Normal 47 7 2 2 4" xfId="9806"/>
    <cellStyle name="Normal 47 7 2 2_FC with allocations" xfId="27363"/>
    <cellStyle name="Normal 47 7 2 3" xfId="9807"/>
    <cellStyle name="Normal 47 7 2 3 2" xfId="9808"/>
    <cellStyle name="Normal 47 7 2 3 2 2" xfId="9809"/>
    <cellStyle name="Normal 47 7 2 3 2_FC with allocations" xfId="27368"/>
    <cellStyle name="Normal 47 7 2 3 3" xfId="9810"/>
    <cellStyle name="Normal 47 7 2 3_FC with allocations" xfId="27367"/>
    <cellStyle name="Normal 47 7 2 4" xfId="9811"/>
    <cellStyle name="Normal 47 7 2 4 2" xfId="9812"/>
    <cellStyle name="Normal 47 7 2 4_FC with allocations" xfId="27369"/>
    <cellStyle name="Normal 47 7 2 5" xfId="9813"/>
    <cellStyle name="Normal 47 7 2_FC with allocations" xfId="27362"/>
    <cellStyle name="Normal 47 7 3" xfId="9814"/>
    <cellStyle name="Normal 47 7 3 2" xfId="9815"/>
    <cellStyle name="Normal 47 7 3 2 2" xfId="9816"/>
    <cellStyle name="Normal 47 7 3 2 2 2" xfId="9817"/>
    <cellStyle name="Normal 47 7 3 2 2 2 2" xfId="9818"/>
    <cellStyle name="Normal 47 7 3 2 2 2_FC with allocations" xfId="27373"/>
    <cellStyle name="Normal 47 7 3 2 2 3" xfId="9819"/>
    <cellStyle name="Normal 47 7 3 2 2_FC with allocations" xfId="27372"/>
    <cellStyle name="Normal 47 7 3 2 3" xfId="9820"/>
    <cellStyle name="Normal 47 7 3 2 3 2" xfId="9821"/>
    <cellStyle name="Normal 47 7 3 2 3_FC with allocations" xfId="27374"/>
    <cellStyle name="Normal 47 7 3 2 4" xfId="9822"/>
    <cellStyle name="Normal 47 7 3 2_FC with allocations" xfId="27371"/>
    <cellStyle name="Normal 47 7 3 3" xfId="9823"/>
    <cellStyle name="Normal 47 7 3 3 2" xfId="9824"/>
    <cellStyle name="Normal 47 7 3 3 2 2" xfId="9825"/>
    <cellStyle name="Normal 47 7 3 3 2_FC with allocations" xfId="27376"/>
    <cellStyle name="Normal 47 7 3 3 3" xfId="9826"/>
    <cellStyle name="Normal 47 7 3 3_FC with allocations" xfId="27375"/>
    <cellStyle name="Normal 47 7 3 4" xfId="9827"/>
    <cellStyle name="Normal 47 7 3 4 2" xfId="9828"/>
    <cellStyle name="Normal 47 7 3 4_FC with allocations" xfId="27377"/>
    <cellStyle name="Normal 47 7 3 5" xfId="9829"/>
    <cellStyle name="Normal 47 7 3_FC with allocations" xfId="27370"/>
    <cellStyle name="Normal 47 7 4" xfId="9830"/>
    <cellStyle name="Normal 47 7 4 2" xfId="9831"/>
    <cellStyle name="Normal 47 7 4 2 2" xfId="9832"/>
    <cellStyle name="Normal 47 7 4 2 2 2" xfId="9833"/>
    <cellStyle name="Normal 47 7 4 2 2_FC with allocations" xfId="27380"/>
    <cellStyle name="Normal 47 7 4 2 3" xfId="9834"/>
    <cellStyle name="Normal 47 7 4 2_FC with allocations" xfId="27379"/>
    <cellStyle name="Normal 47 7 4 3" xfId="9835"/>
    <cellStyle name="Normal 47 7 4 3 2" xfId="9836"/>
    <cellStyle name="Normal 47 7 4 3_FC with allocations" xfId="27381"/>
    <cellStyle name="Normal 47 7 4 4" xfId="9837"/>
    <cellStyle name="Normal 47 7 4_FC with allocations" xfId="27378"/>
    <cellStyle name="Normal 47 7 5" xfId="9838"/>
    <cellStyle name="Normal 47 7 5 2" xfId="9839"/>
    <cellStyle name="Normal 47 7 5 2 2" xfId="9840"/>
    <cellStyle name="Normal 47 7 5 2_FC with allocations" xfId="27383"/>
    <cellStyle name="Normal 47 7 5 3" xfId="9841"/>
    <cellStyle name="Normal 47 7 5_FC with allocations" xfId="27382"/>
    <cellStyle name="Normal 47 7 6" xfId="9842"/>
    <cellStyle name="Normal 47 7 6 2" xfId="9843"/>
    <cellStyle name="Normal 47 7 6 2 2" xfId="9844"/>
    <cellStyle name="Normal 47 7 6 2_FC with allocations" xfId="27385"/>
    <cellStyle name="Normal 47 7 6 3" xfId="9845"/>
    <cellStyle name="Normal 47 7 6_FC with allocations" xfId="27384"/>
    <cellStyle name="Normal 47 7 7" xfId="9846"/>
    <cellStyle name="Normal 47 7 7 2" xfId="9847"/>
    <cellStyle name="Normal 47 7 7_FC with allocations" xfId="27386"/>
    <cellStyle name="Normal 47 7 8" xfId="9848"/>
    <cellStyle name="Normal 47 7_FC with allocations" xfId="27361"/>
    <cellStyle name="Normal 47 8" xfId="9849"/>
    <cellStyle name="Normal 47 8 2" xfId="9850"/>
    <cellStyle name="Normal 47 8 2 2" xfId="9851"/>
    <cellStyle name="Normal 47 8 2 2 2" xfId="9852"/>
    <cellStyle name="Normal 47 8 2 2 2 2" xfId="9853"/>
    <cellStyle name="Normal 47 8 2 2 2 2 2" xfId="9854"/>
    <cellStyle name="Normal 47 8 2 2 2 2_FC with allocations" xfId="27391"/>
    <cellStyle name="Normal 47 8 2 2 2 3" xfId="9855"/>
    <cellStyle name="Normal 47 8 2 2 2_FC with allocations" xfId="27390"/>
    <cellStyle name="Normal 47 8 2 2 3" xfId="9856"/>
    <cellStyle name="Normal 47 8 2 2 3 2" xfId="9857"/>
    <cellStyle name="Normal 47 8 2 2 3_FC with allocations" xfId="27392"/>
    <cellStyle name="Normal 47 8 2 2 4" xfId="9858"/>
    <cellStyle name="Normal 47 8 2 2_FC with allocations" xfId="27389"/>
    <cellStyle name="Normal 47 8 2 3" xfId="9859"/>
    <cellStyle name="Normal 47 8 2 3 2" xfId="9860"/>
    <cellStyle name="Normal 47 8 2 3 2 2" xfId="9861"/>
    <cellStyle name="Normal 47 8 2 3 2_FC with allocations" xfId="27394"/>
    <cellStyle name="Normal 47 8 2 3 3" xfId="9862"/>
    <cellStyle name="Normal 47 8 2 3_FC with allocations" xfId="27393"/>
    <cellStyle name="Normal 47 8 2 4" xfId="9863"/>
    <cellStyle name="Normal 47 8 2 4 2" xfId="9864"/>
    <cellStyle name="Normal 47 8 2 4_FC with allocations" xfId="27395"/>
    <cellStyle name="Normal 47 8 2 5" xfId="9865"/>
    <cellStyle name="Normal 47 8 2_FC with allocations" xfId="27388"/>
    <cellStyle name="Normal 47 8 3" xfId="9866"/>
    <cellStyle name="Normal 47 8 3 2" xfId="9867"/>
    <cellStyle name="Normal 47 8 3 2 2" xfId="9868"/>
    <cellStyle name="Normal 47 8 3 2 2 2" xfId="9869"/>
    <cellStyle name="Normal 47 8 3 2 2 2 2" xfId="9870"/>
    <cellStyle name="Normal 47 8 3 2 2 2_FC with allocations" xfId="27399"/>
    <cellStyle name="Normal 47 8 3 2 2 3" xfId="9871"/>
    <cellStyle name="Normal 47 8 3 2 2_FC with allocations" xfId="27398"/>
    <cellStyle name="Normal 47 8 3 2 3" xfId="9872"/>
    <cellStyle name="Normal 47 8 3 2 3 2" xfId="9873"/>
    <cellStyle name="Normal 47 8 3 2 3_FC with allocations" xfId="27400"/>
    <cellStyle name="Normal 47 8 3 2 4" xfId="9874"/>
    <cellStyle name="Normal 47 8 3 2_FC with allocations" xfId="27397"/>
    <cellStyle name="Normal 47 8 3 3" xfId="9875"/>
    <cellStyle name="Normal 47 8 3 3 2" xfId="9876"/>
    <cellStyle name="Normal 47 8 3 3 2 2" xfId="9877"/>
    <cellStyle name="Normal 47 8 3 3 2_FC with allocations" xfId="27402"/>
    <cellStyle name="Normal 47 8 3 3 3" xfId="9878"/>
    <cellStyle name="Normal 47 8 3 3_FC with allocations" xfId="27401"/>
    <cellStyle name="Normal 47 8 3 4" xfId="9879"/>
    <cellStyle name="Normal 47 8 3 4 2" xfId="9880"/>
    <cellStyle name="Normal 47 8 3 4_FC with allocations" xfId="27403"/>
    <cellStyle name="Normal 47 8 3 5" xfId="9881"/>
    <cellStyle name="Normal 47 8 3_FC with allocations" xfId="27396"/>
    <cellStyle name="Normal 47 8 4" xfId="9882"/>
    <cellStyle name="Normal 47 8 4 2" xfId="9883"/>
    <cellStyle name="Normal 47 8 4 2 2" xfId="9884"/>
    <cellStyle name="Normal 47 8 4 2 2 2" xfId="9885"/>
    <cellStyle name="Normal 47 8 4 2 2_FC with allocations" xfId="27406"/>
    <cellStyle name="Normal 47 8 4 2 3" xfId="9886"/>
    <cellStyle name="Normal 47 8 4 2_FC with allocations" xfId="27405"/>
    <cellStyle name="Normal 47 8 4 3" xfId="9887"/>
    <cellStyle name="Normal 47 8 4 3 2" xfId="9888"/>
    <cellStyle name="Normal 47 8 4 3_FC with allocations" xfId="27407"/>
    <cellStyle name="Normal 47 8 4 4" xfId="9889"/>
    <cellStyle name="Normal 47 8 4_FC with allocations" xfId="27404"/>
    <cellStyle name="Normal 47 8 5" xfId="9890"/>
    <cellStyle name="Normal 47 8 5 2" xfId="9891"/>
    <cellStyle name="Normal 47 8 5 2 2" xfId="9892"/>
    <cellStyle name="Normal 47 8 5 2_FC with allocations" xfId="27409"/>
    <cellStyle name="Normal 47 8 5 3" xfId="9893"/>
    <cellStyle name="Normal 47 8 5_FC with allocations" xfId="27408"/>
    <cellStyle name="Normal 47 8 6" xfId="9894"/>
    <cellStyle name="Normal 47 8 6 2" xfId="9895"/>
    <cellStyle name="Normal 47 8 6 2 2" xfId="9896"/>
    <cellStyle name="Normal 47 8 6 2_FC with allocations" xfId="27411"/>
    <cellStyle name="Normal 47 8 6 3" xfId="9897"/>
    <cellStyle name="Normal 47 8 6_FC with allocations" xfId="27410"/>
    <cellStyle name="Normal 47 8 7" xfId="9898"/>
    <cellStyle name="Normal 47 8 7 2" xfId="9899"/>
    <cellStyle name="Normal 47 8 7_FC with allocations" xfId="27412"/>
    <cellStyle name="Normal 47 8 8" xfId="9900"/>
    <cellStyle name="Normal 47 8_FC with allocations" xfId="27387"/>
    <cellStyle name="Normal 47 9" xfId="9901"/>
    <cellStyle name="Normal 47 9 2" xfId="9902"/>
    <cellStyle name="Normal 47 9 2 2" xfId="9903"/>
    <cellStyle name="Normal 47 9 2 2 2" xfId="9904"/>
    <cellStyle name="Normal 47 9 2 2 2 2" xfId="9905"/>
    <cellStyle name="Normal 47 9 2 2 2 2 2" xfId="9906"/>
    <cellStyle name="Normal 47 9 2 2 2 2_FC with allocations" xfId="27417"/>
    <cellStyle name="Normal 47 9 2 2 2 3" xfId="9907"/>
    <cellStyle name="Normal 47 9 2 2 2_FC with allocations" xfId="27416"/>
    <cellStyle name="Normal 47 9 2 2 3" xfId="9908"/>
    <cellStyle name="Normal 47 9 2 2 3 2" xfId="9909"/>
    <cellStyle name="Normal 47 9 2 2 3_FC with allocations" xfId="27418"/>
    <cellStyle name="Normal 47 9 2 2 4" xfId="9910"/>
    <cellStyle name="Normal 47 9 2 2_FC with allocations" xfId="27415"/>
    <cellStyle name="Normal 47 9 2 3" xfId="9911"/>
    <cellStyle name="Normal 47 9 2 3 2" xfId="9912"/>
    <cellStyle name="Normal 47 9 2 3 2 2" xfId="9913"/>
    <cellStyle name="Normal 47 9 2 3 2_FC with allocations" xfId="27420"/>
    <cellStyle name="Normal 47 9 2 3 3" xfId="9914"/>
    <cellStyle name="Normal 47 9 2 3_FC with allocations" xfId="27419"/>
    <cellStyle name="Normal 47 9 2 4" xfId="9915"/>
    <cellStyle name="Normal 47 9 2 4 2" xfId="9916"/>
    <cellStyle name="Normal 47 9 2 4_FC with allocations" xfId="27421"/>
    <cellStyle name="Normal 47 9 2 5" xfId="9917"/>
    <cellStyle name="Normal 47 9 2_FC with allocations" xfId="27414"/>
    <cellStyle name="Normal 47 9 3" xfId="9918"/>
    <cellStyle name="Normal 47 9 3 2" xfId="9919"/>
    <cellStyle name="Normal 47 9 3 2 2" xfId="9920"/>
    <cellStyle name="Normal 47 9 3 2 2 2" xfId="9921"/>
    <cellStyle name="Normal 47 9 3 2 2 2 2" xfId="9922"/>
    <cellStyle name="Normal 47 9 3 2 2 2_FC with allocations" xfId="27425"/>
    <cellStyle name="Normal 47 9 3 2 2 3" xfId="9923"/>
    <cellStyle name="Normal 47 9 3 2 2_FC with allocations" xfId="27424"/>
    <cellStyle name="Normal 47 9 3 2 3" xfId="9924"/>
    <cellStyle name="Normal 47 9 3 2 3 2" xfId="9925"/>
    <cellStyle name="Normal 47 9 3 2 3_FC with allocations" xfId="27426"/>
    <cellStyle name="Normal 47 9 3 2 4" xfId="9926"/>
    <cellStyle name="Normal 47 9 3 2_FC with allocations" xfId="27423"/>
    <cellStyle name="Normal 47 9 3 3" xfId="9927"/>
    <cellStyle name="Normal 47 9 3 3 2" xfId="9928"/>
    <cellStyle name="Normal 47 9 3 3 2 2" xfId="9929"/>
    <cellStyle name="Normal 47 9 3 3 2_FC with allocations" xfId="27428"/>
    <cellStyle name="Normal 47 9 3 3 3" xfId="9930"/>
    <cellStyle name="Normal 47 9 3 3_FC with allocations" xfId="27427"/>
    <cellStyle name="Normal 47 9 3 4" xfId="9931"/>
    <cellStyle name="Normal 47 9 3 4 2" xfId="9932"/>
    <cellStyle name="Normal 47 9 3 4_FC with allocations" xfId="27429"/>
    <cellStyle name="Normal 47 9 3 5" xfId="9933"/>
    <cellStyle name="Normal 47 9 3_FC with allocations" xfId="27422"/>
    <cellStyle name="Normal 47 9 4" xfId="9934"/>
    <cellStyle name="Normal 47 9 4 2" xfId="9935"/>
    <cellStyle name="Normal 47 9 4 2 2" xfId="9936"/>
    <cellStyle name="Normal 47 9 4 2 2 2" xfId="9937"/>
    <cellStyle name="Normal 47 9 4 2 2_FC with allocations" xfId="27432"/>
    <cellStyle name="Normal 47 9 4 2 3" xfId="9938"/>
    <cellStyle name="Normal 47 9 4 2_FC with allocations" xfId="27431"/>
    <cellStyle name="Normal 47 9 4 3" xfId="9939"/>
    <cellStyle name="Normal 47 9 4 3 2" xfId="9940"/>
    <cellStyle name="Normal 47 9 4 3_FC with allocations" xfId="27433"/>
    <cellStyle name="Normal 47 9 4 4" xfId="9941"/>
    <cellStyle name="Normal 47 9 4_FC with allocations" xfId="27430"/>
    <cellStyle name="Normal 47 9 5" xfId="9942"/>
    <cellStyle name="Normal 47 9 5 2" xfId="9943"/>
    <cellStyle name="Normal 47 9 5 2 2" xfId="9944"/>
    <cellStyle name="Normal 47 9 5 2_FC with allocations" xfId="27435"/>
    <cellStyle name="Normal 47 9 5 3" xfId="9945"/>
    <cellStyle name="Normal 47 9 5_FC with allocations" xfId="27434"/>
    <cellStyle name="Normal 47 9 6" xfId="9946"/>
    <cellStyle name="Normal 47 9 6 2" xfId="9947"/>
    <cellStyle name="Normal 47 9 6 2 2" xfId="9948"/>
    <cellStyle name="Normal 47 9 6 2_FC with allocations" xfId="27437"/>
    <cellStyle name="Normal 47 9 6 3" xfId="9949"/>
    <cellStyle name="Normal 47 9 6_FC with allocations" xfId="27436"/>
    <cellStyle name="Normal 47 9 7" xfId="9950"/>
    <cellStyle name="Normal 47 9 7 2" xfId="9951"/>
    <cellStyle name="Normal 47 9 7_FC with allocations" xfId="27438"/>
    <cellStyle name="Normal 47 9 8" xfId="9952"/>
    <cellStyle name="Normal 47 9_FC with allocations" xfId="27413"/>
    <cellStyle name="Normal 47_FC with allocations" xfId="27041"/>
    <cellStyle name="Normal 48" xfId="2181"/>
    <cellStyle name="Normal 48 10" xfId="9954"/>
    <cellStyle name="Normal 48 10 2" xfId="9955"/>
    <cellStyle name="Normal 48 10 2 2" xfId="9956"/>
    <cellStyle name="Normal 48 10 2 2 2" xfId="9957"/>
    <cellStyle name="Normal 48 10 2 2 2 2" xfId="9958"/>
    <cellStyle name="Normal 48 10 2 2 2 2 2" xfId="9959"/>
    <cellStyle name="Normal 48 10 2 2 2 2_FC with allocations" xfId="27444"/>
    <cellStyle name="Normal 48 10 2 2 2 3" xfId="9960"/>
    <cellStyle name="Normal 48 10 2 2 2_FC with allocations" xfId="27443"/>
    <cellStyle name="Normal 48 10 2 2 3" xfId="9961"/>
    <cellStyle name="Normal 48 10 2 2 3 2" xfId="9962"/>
    <cellStyle name="Normal 48 10 2 2 3_FC with allocations" xfId="27445"/>
    <cellStyle name="Normal 48 10 2 2 4" xfId="9963"/>
    <cellStyle name="Normal 48 10 2 2_FC with allocations" xfId="27442"/>
    <cellStyle name="Normal 48 10 2 3" xfId="9964"/>
    <cellStyle name="Normal 48 10 2 3 2" xfId="9965"/>
    <cellStyle name="Normal 48 10 2 3 2 2" xfId="9966"/>
    <cellStyle name="Normal 48 10 2 3 2_FC with allocations" xfId="27447"/>
    <cellStyle name="Normal 48 10 2 3 3" xfId="9967"/>
    <cellStyle name="Normal 48 10 2 3_FC with allocations" xfId="27446"/>
    <cellStyle name="Normal 48 10 2 4" xfId="9968"/>
    <cellStyle name="Normal 48 10 2 4 2" xfId="9969"/>
    <cellStyle name="Normal 48 10 2 4_FC with allocations" xfId="27448"/>
    <cellStyle name="Normal 48 10 2 5" xfId="9970"/>
    <cellStyle name="Normal 48 10 2_FC with allocations" xfId="27441"/>
    <cellStyle name="Normal 48 10 3" xfId="9971"/>
    <cellStyle name="Normal 48 10 3 2" xfId="9972"/>
    <cellStyle name="Normal 48 10 3 2 2" xfId="9973"/>
    <cellStyle name="Normal 48 10 3 2 2 2" xfId="9974"/>
    <cellStyle name="Normal 48 10 3 2 2 2 2" xfId="9975"/>
    <cellStyle name="Normal 48 10 3 2 2 2_FC with allocations" xfId="27452"/>
    <cellStyle name="Normal 48 10 3 2 2 3" xfId="9976"/>
    <cellStyle name="Normal 48 10 3 2 2_FC with allocations" xfId="27451"/>
    <cellStyle name="Normal 48 10 3 2 3" xfId="9977"/>
    <cellStyle name="Normal 48 10 3 2 3 2" xfId="9978"/>
    <cellStyle name="Normal 48 10 3 2 3_FC with allocations" xfId="27453"/>
    <cellStyle name="Normal 48 10 3 2 4" xfId="9979"/>
    <cellStyle name="Normal 48 10 3 2_FC with allocations" xfId="27450"/>
    <cellStyle name="Normal 48 10 3 3" xfId="9980"/>
    <cellStyle name="Normal 48 10 3 3 2" xfId="9981"/>
    <cellStyle name="Normal 48 10 3 3 2 2" xfId="9982"/>
    <cellStyle name="Normal 48 10 3 3 2_FC with allocations" xfId="27455"/>
    <cellStyle name="Normal 48 10 3 3 3" xfId="9983"/>
    <cellStyle name="Normal 48 10 3 3_FC with allocations" xfId="27454"/>
    <cellStyle name="Normal 48 10 3 4" xfId="9984"/>
    <cellStyle name="Normal 48 10 3 4 2" xfId="9985"/>
    <cellStyle name="Normal 48 10 3 4_FC with allocations" xfId="27456"/>
    <cellStyle name="Normal 48 10 3 5" xfId="9986"/>
    <cellStyle name="Normal 48 10 3_FC with allocations" xfId="27449"/>
    <cellStyle name="Normal 48 10 4" xfId="9987"/>
    <cellStyle name="Normal 48 10 4 2" xfId="9988"/>
    <cellStyle name="Normal 48 10 4 2 2" xfId="9989"/>
    <cellStyle name="Normal 48 10 4 2 2 2" xfId="9990"/>
    <cellStyle name="Normal 48 10 4 2 2_FC with allocations" xfId="27459"/>
    <cellStyle name="Normal 48 10 4 2 3" xfId="9991"/>
    <cellStyle name="Normal 48 10 4 2_FC with allocations" xfId="27458"/>
    <cellStyle name="Normal 48 10 4 3" xfId="9992"/>
    <cellStyle name="Normal 48 10 4 3 2" xfId="9993"/>
    <cellStyle name="Normal 48 10 4 3_FC with allocations" xfId="27460"/>
    <cellStyle name="Normal 48 10 4 4" xfId="9994"/>
    <cellStyle name="Normal 48 10 4_FC with allocations" xfId="27457"/>
    <cellStyle name="Normal 48 10 5" xfId="9995"/>
    <cellStyle name="Normal 48 10 5 2" xfId="9996"/>
    <cellStyle name="Normal 48 10 5 2 2" xfId="9997"/>
    <cellStyle name="Normal 48 10 5 2_FC with allocations" xfId="27462"/>
    <cellStyle name="Normal 48 10 5 3" xfId="9998"/>
    <cellStyle name="Normal 48 10 5_FC with allocations" xfId="27461"/>
    <cellStyle name="Normal 48 10 6" xfId="9999"/>
    <cellStyle name="Normal 48 10 6 2" xfId="10000"/>
    <cellStyle name="Normal 48 10 6 2 2" xfId="10001"/>
    <cellStyle name="Normal 48 10 6 2_FC with allocations" xfId="27464"/>
    <cellStyle name="Normal 48 10 6 3" xfId="10002"/>
    <cellStyle name="Normal 48 10 6_FC with allocations" xfId="27463"/>
    <cellStyle name="Normal 48 10 7" xfId="10003"/>
    <cellStyle name="Normal 48 10 7 2" xfId="10004"/>
    <cellStyle name="Normal 48 10 7_FC with allocations" xfId="27465"/>
    <cellStyle name="Normal 48 10 8" xfId="10005"/>
    <cellStyle name="Normal 48 10_FC with allocations" xfId="27440"/>
    <cellStyle name="Normal 48 11" xfId="10006"/>
    <cellStyle name="Normal 48 11 2" xfId="10007"/>
    <cellStyle name="Normal 48 11 2 2" xfId="10008"/>
    <cellStyle name="Normal 48 11 2 2 2" xfId="10009"/>
    <cellStyle name="Normal 48 11 2 2 2 2" xfId="10010"/>
    <cellStyle name="Normal 48 11 2 2 2 2 2" xfId="10011"/>
    <cellStyle name="Normal 48 11 2 2 2 2_FC with allocations" xfId="27470"/>
    <cellStyle name="Normal 48 11 2 2 2 3" xfId="10012"/>
    <cellStyle name="Normal 48 11 2 2 2_FC with allocations" xfId="27469"/>
    <cellStyle name="Normal 48 11 2 2 3" xfId="10013"/>
    <cellStyle name="Normal 48 11 2 2 3 2" xfId="10014"/>
    <cellStyle name="Normal 48 11 2 2 3_FC with allocations" xfId="27471"/>
    <cellStyle name="Normal 48 11 2 2 4" xfId="10015"/>
    <cellStyle name="Normal 48 11 2 2_FC with allocations" xfId="27468"/>
    <cellStyle name="Normal 48 11 2 3" xfId="10016"/>
    <cellStyle name="Normal 48 11 2 3 2" xfId="10017"/>
    <cellStyle name="Normal 48 11 2 3 2 2" xfId="10018"/>
    <cellStyle name="Normal 48 11 2 3 2_FC with allocations" xfId="27473"/>
    <cellStyle name="Normal 48 11 2 3 3" xfId="10019"/>
    <cellStyle name="Normal 48 11 2 3_FC with allocations" xfId="27472"/>
    <cellStyle name="Normal 48 11 2 4" xfId="10020"/>
    <cellStyle name="Normal 48 11 2 4 2" xfId="10021"/>
    <cellStyle name="Normal 48 11 2 4_FC with allocations" xfId="27474"/>
    <cellStyle name="Normal 48 11 2 5" xfId="10022"/>
    <cellStyle name="Normal 48 11 2_FC with allocations" xfId="27467"/>
    <cellStyle name="Normal 48 11 3" xfId="10023"/>
    <cellStyle name="Normal 48 11 3 2" xfId="10024"/>
    <cellStyle name="Normal 48 11 3 2 2" xfId="10025"/>
    <cellStyle name="Normal 48 11 3 2 2 2" xfId="10026"/>
    <cellStyle name="Normal 48 11 3 2 2 2 2" xfId="10027"/>
    <cellStyle name="Normal 48 11 3 2 2 2_FC with allocations" xfId="27478"/>
    <cellStyle name="Normal 48 11 3 2 2 3" xfId="10028"/>
    <cellStyle name="Normal 48 11 3 2 2_FC with allocations" xfId="27477"/>
    <cellStyle name="Normal 48 11 3 2 3" xfId="10029"/>
    <cellStyle name="Normal 48 11 3 2 3 2" xfId="10030"/>
    <cellStyle name="Normal 48 11 3 2 3_FC with allocations" xfId="27479"/>
    <cellStyle name="Normal 48 11 3 2 4" xfId="10031"/>
    <cellStyle name="Normal 48 11 3 2_FC with allocations" xfId="27476"/>
    <cellStyle name="Normal 48 11 3 3" xfId="10032"/>
    <cellStyle name="Normal 48 11 3 3 2" xfId="10033"/>
    <cellStyle name="Normal 48 11 3 3 2 2" xfId="10034"/>
    <cellStyle name="Normal 48 11 3 3 2_FC with allocations" xfId="27481"/>
    <cellStyle name="Normal 48 11 3 3 3" xfId="10035"/>
    <cellStyle name="Normal 48 11 3 3_FC with allocations" xfId="27480"/>
    <cellStyle name="Normal 48 11 3 4" xfId="10036"/>
    <cellStyle name="Normal 48 11 3 4 2" xfId="10037"/>
    <cellStyle name="Normal 48 11 3 4_FC with allocations" xfId="27482"/>
    <cellStyle name="Normal 48 11 3 5" xfId="10038"/>
    <cellStyle name="Normal 48 11 3_FC with allocations" xfId="27475"/>
    <cellStyle name="Normal 48 11 4" xfId="10039"/>
    <cellStyle name="Normal 48 11 4 2" xfId="10040"/>
    <cellStyle name="Normal 48 11 4 2 2" xfId="10041"/>
    <cellStyle name="Normal 48 11 4 2 2 2" xfId="10042"/>
    <cellStyle name="Normal 48 11 4 2 2_FC with allocations" xfId="27485"/>
    <cellStyle name="Normal 48 11 4 2 3" xfId="10043"/>
    <cellStyle name="Normal 48 11 4 2_FC with allocations" xfId="27484"/>
    <cellStyle name="Normal 48 11 4 3" xfId="10044"/>
    <cellStyle name="Normal 48 11 4 3 2" xfId="10045"/>
    <cellStyle name="Normal 48 11 4 3_FC with allocations" xfId="27486"/>
    <cellStyle name="Normal 48 11 4 4" xfId="10046"/>
    <cellStyle name="Normal 48 11 4_FC with allocations" xfId="27483"/>
    <cellStyle name="Normal 48 11 5" xfId="10047"/>
    <cellStyle name="Normal 48 11 5 2" xfId="10048"/>
    <cellStyle name="Normal 48 11 5 2 2" xfId="10049"/>
    <cellStyle name="Normal 48 11 5 2_FC with allocations" xfId="27488"/>
    <cellStyle name="Normal 48 11 5 3" xfId="10050"/>
    <cellStyle name="Normal 48 11 5_FC with allocations" xfId="27487"/>
    <cellStyle name="Normal 48 11 6" xfId="10051"/>
    <cellStyle name="Normal 48 11 6 2" xfId="10052"/>
    <cellStyle name="Normal 48 11 6 2 2" xfId="10053"/>
    <cellStyle name="Normal 48 11 6 2_FC with allocations" xfId="27490"/>
    <cellStyle name="Normal 48 11 6 3" xfId="10054"/>
    <cellStyle name="Normal 48 11 6_FC with allocations" xfId="27489"/>
    <cellStyle name="Normal 48 11 7" xfId="10055"/>
    <cellStyle name="Normal 48 11 7 2" xfId="10056"/>
    <cellStyle name="Normal 48 11 7_FC with allocations" xfId="27491"/>
    <cellStyle name="Normal 48 11 8" xfId="10057"/>
    <cellStyle name="Normal 48 11_FC with allocations" xfId="27466"/>
    <cellStyle name="Normal 48 12" xfId="10058"/>
    <cellStyle name="Normal 48 12 2" xfId="10059"/>
    <cellStyle name="Normal 48 12 2 2" xfId="10060"/>
    <cellStyle name="Normal 48 12 2 2 2" xfId="10061"/>
    <cellStyle name="Normal 48 12 2 2 2 2" xfId="10062"/>
    <cellStyle name="Normal 48 12 2 2 2 2 2" xfId="10063"/>
    <cellStyle name="Normal 48 12 2 2 2 2_FC with allocations" xfId="27496"/>
    <cellStyle name="Normal 48 12 2 2 2 3" xfId="10064"/>
    <cellStyle name="Normal 48 12 2 2 2_FC with allocations" xfId="27495"/>
    <cellStyle name="Normal 48 12 2 2 3" xfId="10065"/>
    <cellStyle name="Normal 48 12 2 2 3 2" xfId="10066"/>
    <cellStyle name="Normal 48 12 2 2 3_FC with allocations" xfId="27497"/>
    <cellStyle name="Normal 48 12 2 2 4" xfId="10067"/>
    <cellStyle name="Normal 48 12 2 2_FC with allocations" xfId="27494"/>
    <cellStyle name="Normal 48 12 2 3" xfId="10068"/>
    <cellStyle name="Normal 48 12 2 3 2" xfId="10069"/>
    <cellStyle name="Normal 48 12 2 3 2 2" xfId="10070"/>
    <cellStyle name="Normal 48 12 2 3 2_FC with allocations" xfId="27499"/>
    <cellStyle name="Normal 48 12 2 3 3" xfId="10071"/>
    <cellStyle name="Normal 48 12 2 3_FC with allocations" xfId="27498"/>
    <cellStyle name="Normal 48 12 2 4" xfId="10072"/>
    <cellStyle name="Normal 48 12 2 4 2" xfId="10073"/>
    <cellStyle name="Normal 48 12 2 4_FC with allocations" xfId="27500"/>
    <cellStyle name="Normal 48 12 2 5" xfId="10074"/>
    <cellStyle name="Normal 48 12 2_FC with allocations" xfId="27493"/>
    <cellStyle name="Normal 48 12 3" xfId="10075"/>
    <cellStyle name="Normal 48 12 3 2" xfId="10076"/>
    <cellStyle name="Normal 48 12 3 2 2" xfId="10077"/>
    <cellStyle name="Normal 48 12 3 2 2 2" xfId="10078"/>
    <cellStyle name="Normal 48 12 3 2 2 2 2" xfId="10079"/>
    <cellStyle name="Normal 48 12 3 2 2 2_FC with allocations" xfId="27504"/>
    <cellStyle name="Normal 48 12 3 2 2 3" xfId="10080"/>
    <cellStyle name="Normal 48 12 3 2 2_FC with allocations" xfId="27503"/>
    <cellStyle name="Normal 48 12 3 2 3" xfId="10081"/>
    <cellStyle name="Normal 48 12 3 2 3 2" xfId="10082"/>
    <cellStyle name="Normal 48 12 3 2 3_FC with allocations" xfId="27505"/>
    <cellStyle name="Normal 48 12 3 2 4" xfId="10083"/>
    <cellStyle name="Normal 48 12 3 2_FC with allocations" xfId="27502"/>
    <cellStyle name="Normal 48 12 3 3" xfId="10084"/>
    <cellStyle name="Normal 48 12 3 3 2" xfId="10085"/>
    <cellStyle name="Normal 48 12 3 3 2 2" xfId="10086"/>
    <cellStyle name="Normal 48 12 3 3 2_FC with allocations" xfId="27507"/>
    <cellStyle name="Normal 48 12 3 3 3" xfId="10087"/>
    <cellStyle name="Normal 48 12 3 3_FC with allocations" xfId="27506"/>
    <cellStyle name="Normal 48 12 3 4" xfId="10088"/>
    <cellStyle name="Normal 48 12 3 4 2" xfId="10089"/>
    <cellStyle name="Normal 48 12 3 4_FC with allocations" xfId="27508"/>
    <cellStyle name="Normal 48 12 3 5" xfId="10090"/>
    <cellStyle name="Normal 48 12 3_FC with allocations" xfId="27501"/>
    <cellStyle name="Normal 48 12 4" xfId="10091"/>
    <cellStyle name="Normal 48 12 4 2" xfId="10092"/>
    <cellStyle name="Normal 48 12 4 2 2" xfId="10093"/>
    <cellStyle name="Normal 48 12 4 2 2 2" xfId="10094"/>
    <cellStyle name="Normal 48 12 4 2 2_FC with allocations" xfId="27511"/>
    <cellStyle name="Normal 48 12 4 2 3" xfId="10095"/>
    <cellStyle name="Normal 48 12 4 2_FC with allocations" xfId="27510"/>
    <cellStyle name="Normal 48 12 4 3" xfId="10096"/>
    <cellStyle name="Normal 48 12 4 3 2" xfId="10097"/>
    <cellStyle name="Normal 48 12 4 3_FC with allocations" xfId="27512"/>
    <cellStyle name="Normal 48 12 4 4" xfId="10098"/>
    <cellStyle name="Normal 48 12 4_FC with allocations" xfId="27509"/>
    <cellStyle name="Normal 48 12 5" xfId="10099"/>
    <cellStyle name="Normal 48 12 5 2" xfId="10100"/>
    <cellStyle name="Normal 48 12 5 2 2" xfId="10101"/>
    <cellStyle name="Normal 48 12 5 2_FC with allocations" xfId="27514"/>
    <cellStyle name="Normal 48 12 5 3" xfId="10102"/>
    <cellStyle name="Normal 48 12 5_FC with allocations" xfId="27513"/>
    <cellStyle name="Normal 48 12 6" xfId="10103"/>
    <cellStyle name="Normal 48 12 6 2" xfId="10104"/>
    <cellStyle name="Normal 48 12 6 2 2" xfId="10105"/>
    <cellStyle name="Normal 48 12 6 2_FC with allocations" xfId="27516"/>
    <cellStyle name="Normal 48 12 6 3" xfId="10106"/>
    <cellStyle name="Normal 48 12 6_FC with allocations" xfId="27515"/>
    <cellStyle name="Normal 48 12 7" xfId="10107"/>
    <cellStyle name="Normal 48 12 7 2" xfId="10108"/>
    <cellStyle name="Normal 48 12 7_FC with allocations" xfId="27517"/>
    <cellStyle name="Normal 48 12 8" xfId="10109"/>
    <cellStyle name="Normal 48 12_FC with allocations" xfId="27492"/>
    <cellStyle name="Normal 48 13" xfId="10110"/>
    <cellStyle name="Normal 48 13 2" xfId="10111"/>
    <cellStyle name="Normal 48 13 2 2" xfId="10112"/>
    <cellStyle name="Normal 48 13 2 2 2" xfId="10113"/>
    <cellStyle name="Normal 48 13 2 2 2 2" xfId="10114"/>
    <cellStyle name="Normal 48 13 2 2 2 2 2" xfId="10115"/>
    <cellStyle name="Normal 48 13 2 2 2 2_FC with allocations" xfId="27522"/>
    <cellStyle name="Normal 48 13 2 2 2 3" xfId="10116"/>
    <cellStyle name="Normal 48 13 2 2 2_FC with allocations" xfId="27521"/>
    <cellStyle name="Normal 48 13 2 2 3" xfId="10117"/>
    <cellStyle name="Normal 48 13 2 2 3 2" xfId="10118"/>
    <cellStyle name="Normal 48 13 2 2 3_FC with allocations" xfId="27523"/>
    <cellStyle name="Normal 48 13 2 2 4" xfId="10119"/>
    <cellStyle name="Normal 48 13 2 2_FC with allocations" xfId="27520"/>
    <cellStyle name="Normal 48 13 2 3" xfId="10120"/>
    <cellStyle name="Normal 48 13 2 3 2" xfId="10121"/>
    <cellStyle name="Normal 48 13 2 3 2 2" xfId="10122"/>
    <cellStyle name="Normal 48 13 2 3 2_FC with allocations" xfId="27525"/>
    <cellStyle name="Normal 48 13 2 3 3" xfId="10123"/>
    <cellStyle name="Normal 48 13 2 3_FC with allocations" xfId="27524"/>
    <cellStyle name="Normal 48 13 2 4" xfId="10124"/>
    <cellStyle name="Normal 48 13 2 4 2" xfId="10125"/>
    <cellStyle name="Normal 48 13 2 4_FC with allocations" xfId="27526"/>
    <cellStyle name="Normal 48 13 2 5" xfId="10126"/>
    <cellStyle name="Normal 48 13 2_FC with allocations" xfId="27519"/>
    <cellStyle name="Normal 48 13 3" xfId="10127"/>
    <cellStyle name="Normal 48 13 3 2" xfId="10128"/>
    <cellStyle name="Normal 48 13 3 2 2" xfId="10129"/>
    <cellStyle name="Normal 48 13 3 2 2 2" xfId="10130"/>
    <cellStyle name="Normal 48 13 3 2 2 2 2" xfId="10131"/>
    <cellStyle name="Normal 48 13 3 2 2 2_FC with allocations" xfId="27530"/>
    <cellStyle name="Normal 48 13 3 2 2 3" xfId="10132"/>
    <cellStyle name="Normal 48 13 3 2 2_FC with allocations" xfId="27529"/>
    <cellStyle name="Normal 48 13 3 2 3" xfId="10133"/>
    <cellStyle name="Normal 48 13 3 2 3 2" xfId="10134"/>
    <cellStyle name="Normal 48 13 3 2 3_FC with allocations" xfId="27531"/>
    <cellStyle name="Normal 48 13 3 2 4" xfId="10135"/>
    <cellStyle name="Normal 48 13 3 2_FC with allocations" xfId="27528"/>
    <cellStyle name="Normal 48 13 3 3" xfId="10136"/>
    <cellStyle name="Normal 48 13 3 3 2" xfId="10137"/>
    <cellStyle name="Normal 48 13 3 3 2 2" xfId="10138"/>
    <cellStyle name="Normal 48 13 3 3 2_FC with allocations" xfId="27533"/>
    <cellStyle name="Normal 48 13 3 3 3" xfId="10139"/>
    <cellStyle name="Normal 48 13 3 3_FC with allocations" xfId="27532"/>
    <cellStyle name="Normal 48 13 3 4" xfId="10140"/>
    <cellStyle name="Normal 48 13 3 4 2" xfId="10141"/>
    <cellStyle name="Normal 48 13 3 4_FC with allocations" xfId="27534"/>
    <cellStyle name="Normal 48 13 3 5" xfId="10142"/>
    <cellStyle name="Normal 48 13 3_FC with allocations" xfId="27527"/>
    <cellStyle name="Normal 48 13 4" xfId="10143"/>
    <cellStyle name="Normal 48 13 4 2" xfId="10144"/>
    <cellStyle name="Normal 48 13 4 2 2" xfId="10145"/>
    <cellStyle name="Normal 48 13 4 2 2 2" xfId="10146"/>
    <cellStyle name="Normal 48 13 4 2 2_FC with allocations" xfId="27537"/>
    <cellStyle name="Normal 48 13 4 2 3" xfId="10147"/>
    <cellStyle name="Normal 48 13 4 2_FC with allocations" xfId="27536"/>
    <cellStyle name="Normal 48 13 4 3" xfId="10148"/>
    <cellStyle name="Normal 48 13 4 3 2" xfId="10149"/>
    <cellStyle name="Normal 48 13 4 3_FC with allocations" xfId="27538"/>
    <cellStyle name="Normal 48 13 4 4" xfId="10150"/>
    <cellStyle name="Normal 48 13 4_FC with allocations" xfId="27535"/>
    <cellStyle name="Normal 48 13 5" xfId="10151"/>
    <cellStyle name="Normal 48 13 5 2" xfId="10152"/>
    <cellStyle name="Normal 48 13 5 2 2" xfId="10153"/>
    <cellStyle name="Normal 48 13 5 2_FC with allocations" xfId="27540"/>
    <cellStyle name="Normal 48 13 5 3" xfId="10154"/>
    <cellStyle name="Normal 48 13 5_FC with allocations" xfId="27539"/>
    <cellStyle name="Normal 48 13 6" xfId="10155"/>
    <cellStyle name="Normal 48 13 6 2" xfId="10156"/>
    <cellStyle name="Normal 48 13 6 2 2" xfId="10157"/>
    <cellStyle name="Normal 48 13 6 2_FC with allocations" xfId="27542"/>
    <cellStyle name="Normal 48 13 6 3" xfId="10158"/>
    <cellStyle name="Normal 48 13 6_FC with allocations" xfId="27541"/>
    <cellStyle name="Normal 48 13 7" xfId="10159"/>
    <cellStyle name="Normal 48 13 7 2" xfId="10160"/>
    <cellStyle name="Normal 48 13 7_FC with allocations" xfId="27543"/>
    <cellStyle name="Normal 48 13 8" xfId="10161"/>
    <cellStyle name="Normal 48 13_FC with allocations" xfId="27518"/>
    <cellStyle name="Normal 48 14" xfId="10162"/>
    <cellStyle name="Normal 48 14 2" xfId="10163"/>
    <cellStyle name="Normal 48 14 2 2" xfId="10164"/>
    <cellStyle name="Normal 48 14 2 2 2" xfId="10165"/>
    <cellStyle name="Normal 48 14 2 2 2 2" xfId="10166"/>
    <cellStyle name="Normal 48 14 2 2 2 2 2" xfId="10167"/>
    <cellStyle name="Normal 48 14 2 2 2 2_FC with allocations" xfId="27548"/>
    <cellStyle name="Normal 48 14 2 2 2 3" xfId="10168"/>
    <cellStyle name="Normal 48 14 2 2 2_FC with allocations" xfId="27547"/>
    <cellStyle name="Normal 48 14 2 2 3" xfId="10169"/>
    <cellStyle name="Normal 48 14 2 2 3 2" xfId="10170"/>
    <cellStyle name="Normal 48 14 2 2 3_FC with allocations" xfId="27549"/>
    <cellStyle name="Normal 48 14 2 2 4" xfId="10171"/>
    <cellStyle name="Normal 48 14 2 2_FC with allocations" xfId="27546"/>
    <cellStyle name="Normal 48 14 2 3" xfId="10172"/>
    <cellStyle name="Normal 48 14 2 3 2" xfId="10173"/>
    <cellStyle name="Normal 48 14 2 3 2 2" xfId="10174"/>
    <cellStyle name="Normal 48 14 2 3 2_FC with allocations" xfId="27551"/>
    <cellStyle name="Normal 48 14 2 3 3" xfId="10175"/>
    <cellStyle name="Normal 48 14 2 3_FC with allocations" xfId="27550"/>
    <cellStyle name="Normal 48 14 2 4" xfId="10176"/>
    <cellStyle name="Normal 48 14 2 4 2" xfId="10177"/>
    <cellStyle name="Normal 48 14 2 4_FC with allocations" xfId="27552"/>
    <cellStyle name="Normal 48 14 2 5" xfId="10178"/>
    <cellStyle name="Normal 48 14 2_FC with allocations" xfId="27545"/>
    <cellStyle name="Normal 48 14 3" xfId="10179"/>
    <cellStyle name="Normal 48 14 3 2" xfId="10180"/>
    <cellStyle name="Normal 48 14 3 2 2" xfId="10181"/>
    <cellStyle name="Normal 48 14 3 2 2 2" xfId="10182"/>
    <cellStyle name="Normal 48 14 3 2 2 2 2" xfId="10183"/>
    <cellStyle name="Normal 48 14 3 2 2 2_FC with allocations" xfId="27556"/>
    <cellStyle name="Normal 48 14 3 2 2 3" xfId="10184"/>
    <cellStyle name="Normal 48 14 3 2 2_FC with allocations" xfId="27555"/>
    <cellStyle name="Normal 48 14 3 2 3" xfId="10185"/>
    <cellStyle name="Normal 48 14 3 2 3 2" xfId="10186"/>
    <cellStyle name="Normal 48 14 3 2 3_FC with allocations" xfId="27557"/>
    <cellStyle name="Normal 48 14 3 2 4" xfId="10187"/>
    <cellStyle name="Normal 48 14 3 2_FC with allocations" xfId="27554"/>
    <cellStyle name="Normal 48 14 3 3" xfId="10188"/>
    <cellStyle name="Normal 48 14 3 3 2" xfId="10189"/>
    <cellStyle name="Normal 48 14 3 3 2 2" xfId="10190"/>
    <cellStyle name="Normal 48 14 3 3 2_FC with allocations" xfId="27559"/>
    <cellStyle name="Normal 48 14 3 3 3" xfId="10191"/>
    <cellStyle name="Normal 48 14 3 3_FC with allocations" xfId="27558"/>
    <cellStyle name="Normal 48 14 3 4" xfId="10192"/>
    <cellStyle name="Normal 48 14 3 4 2" xfId="10193"/>
    <cellStyle name="Normal 48 14 3 4_FC with allocations" xfId="27560"/>
    <cellStyle name="Normal 48 14 3 5" xfId="10194"/>
    <cellStyle name="Normal 48 14 3_FC with allocations" xfId="27553"/>
    <cellStyle name="Normal 48 14 4" xfId="10195"/>
    <cellStyle name="Normal 48 14 4 2" xfId="10196"/>
    <cellStyle name="Normal 48 14 4 2 2" xfId="10197"/>
    <cellStyle name="Normal 48 14 4 2 2 2" xfId="10198"/>
    <cellStyle name="Normal 48 14 4 2 2_FC with allocations" xfId="27563"/>
    <cellStyle name="Normal 48 14 4 2 3" xfId="10199"/>
    <cellStyle name="Normal 48 14 4 2_FC with allocations" xfId="27562"/>
    <cellStyle name="Normal 48 14 4 3" xfId="10200"/>
    <cellStyle name="Normal 48 14 4 3 2" xfId="10201"/>
    <cellStyle name="Normal 48 14 4 3_FC with allocations" xfId="27564"/>
    <cellStyle name="Normal 48 14 4 4" xfId="10202"/>
    <cellStyle name="Normal 48 14 4_FC with allocations" xfId="27561"/>
    <cellStyle name="Normal 48 14 5" xfId="10203"/>
    <cellStyle name="Normal 48 14 5 2" xfId="10204"/>
    <cellStyle name="Normal 48 14 5 2 2" xfId="10205"/>
    <cellStyle name="Normal 48 14 5 2_FC with allocations" xfId="27566"/>
    <cellStyle name="Normal 48 14 5 3" xfId="10206"/>
    <cellStyle name="Normal 48 14 5_FC with allocations" xfId="27565"/>
    <cellStyle name="Normal 48 14 6" xfId="10207"/>
    <cellStyle name="Normal 48 14 6 2" xfId="10208"/>
    <cellStyle name="Normal 48 14 6 2 2" xfId="10209"/>
    <cellStyle name="Normal 48 14 6 2_FC with allocations" xfId="27568"/>
    <cellStyle name="Normal 48 14 6 3" xfId="10210"/>
    <cellStyle name="Normal 48 14 6_FC with allocations" xfId="27567"/>
    <cellStyle name="Normal 48 14 7" xfId="10211"/>
    <cellStyle name="Normal 48 14 7 2" xfId="10212"/>
    <cellStyle name="Normal 48 14 7_FC with allocations" xfId="27569"/>
    <cellStyle name="Normal 48 14 8" xfId="10213"/>
    <cellStyle name="Normal 48 14_FC with allocations" xfId="27544"/>
    <cellStyle name="Normal 48 15" xfId="10214"/>
    <cellStyle name="Normal 48 15 2" xfId="10215"/>
    <cellStyle name="Normal 48 15 2 2" xfId="10216"/>
    <cellStyle name="Normal 48 15 2 2 2" xfId="10217"/>
    <cellStyle name="Normal 48 15 2 2 2 2" xfId="10218"/>
    <cellStyle name="Normal 48 15 2 2 2 2 2" xfId="10219"/>
    <cellStyle name="Normal 48 15 2 2 2 2_FC with allocations" xfId="27574"/>
    <cellStyle name="Normal 48 15 2 2 2 3" xfId="10220"/>
    <cellStyle name="Normal 48 15 2 2 2_FC with allocations" xfId="27573"/>
    <cellStyle name="Normal 48 15 2 2 3" xfId="10221"/>
    <cellStyle name="Normal 48 15 2 2 3 2" xfId="10222"/>
    <cellStyle name="Normal 48 15 2 2 3_FC with allocations" xfId="27575"/>
    <cellStyle name="Normal 48 15 2 2 4" xfId="10223"/>
    <cellStyle name="Normal 48 15 2 2_FC with allocations" xfId="27572"/>
    <cellStyle name="Normal 48 15 2 3" xfId="10224"/>
    <cellStyle name="Normal 48 15 2 3 2" xfId="10225"/>
    <cellStyle name="Normal 48 15 2 3 2 2" xfId="10226"/>
    <cellStyle name="Normal 48 15 2 3 2_FC with allocations" xfId="27577"/>
    <cellStyle name="Normal 48 15 2 3 3" xfId="10227"/>
    <cellStyle name="Normal 48 15 2 3_FC with allocations" xfId="27576"/>
    <cellStyle name="Normal 48 15 2 4" xfId="10228"/>
    <cellStyle name="Normal 48 15 2 4 2" xfId="10229"/>
    <cellStyle name="Normal 48 15 2 4_FC with allocations" xfId="27578"/>
    <cellStyle name="Normal 48 15 2 5" xfId="10230"/>
    <cellStyle name="Normal 48 15 2_FC with allocations" xfId="27571"/>
    <cellStyle name="Normal 48 15 3" xfId="10231"/>
    <cellStyle name="Normal 48 15 3 2" xfId="10232"/>
    <cellStyle name="Normal 48 15 3 2 2" xfId="10233"/>
    <cellStyle name="Normal 48 15 3 2 2 2" xfId="10234"/>
    <cellStyle name="Normal 48 15 3 2 2 2 2" xfId="10235"/>
    <cellStyle name="Normal 48 15 3 2 2 2_FC with allocations" xfId="27582"/>
    <cellStyle name="Normal 48 15 3 2 2 3" xfId="10236"/>
    <cellStyle name="Normal 48 15 3 2 2_FC with allocations" xfId="27581"/>
    <cellStyle name="Normal 48 15 3 2 3" xfId="10237"/>
    <cellStyle name="Normal 48 15 3 2 3 2" xfId="10238"/>
    <cellStyle name="Normal 48 15 3 2 3_FC with allocations" xfId="27583"/>
    <cellStyle name="Normal 48 15 3 2 4" xfId="10239"/>
    <cellStyle name="Normal 48 15 3 2_FC with allocations" xfId="27580"/>
    <cellStyle name="Normal 48 15 3 3" xfId="10240"/>
    <cellStyle name="Normal 48 15 3 3 2" xfId="10241"/>
    <cellStyle name="Normal 48 15 3 3 2 2" xfId="10242"/>
    <cellStyle name="Normal 48 15 3 3 2_FC with allocations" xfId="27585"/>
    <cellStyle name="Normal 48 15 3 3 3" xfId="10243"/>
    <cellStyle name="Normal 48 15 3 3_FC with allocations" xfId="27584"/>
    <cellStyle name="Normal 48 15 3 4" xfId="10244"/>
    <cellStyle name="Normal 48 15 3 4 2" xfId="10245"/>
    <cellStyle name="Normal 48 15 3 4_FC with allocations" xfId="27586"/>
    <cellStyle name="Normal 48 15 3 5" xfId="10246"/>
    <cellStyle name="Normal 48 15 3_FC with allocations" xfId="27579"/>
    <cellStyle name="Normal 48 15 4" xfId="10247"/>
    <cellStyle name="Normal 48 15 4 2" xfId="10248"/>
    <cellStyle name="Normal 48 15 4 2 2" xfId="10249"/>
    <cellStyle name="Normal 48 15 4 2 2 2" xfId="10250"/>
    <cellStyle name="Normal 48 15 4 2 2_FC with allocations" xfId="27589"/>
    <cellStyle name="Normal 48 15 4 2 3" xfId="10251"/>
    <cellStyle name="Normal 48 15 4 2_FC with allocations" xfId="27588"/>
    <cellStyle name="Normal 48 15 4 3" xfId="10252"/>
    <cellStyle name="Normal 48 15 4 3 2" xfId="10253"/>
    <cellStyle name="Normal 48 15 4 3_FC with allocations" xfId="27590"/>
    <cellStyle name="Normal 48 15 4 4" xfId="10254"/>
    <cellStyle name="Normal 48 15 4_FC with allocations" xfId="27587"/>
    <cellStyle name="Normal 48 15 5" xfId="10255"/>
    <cellStyle name="Normal 48 15 5 2" xfId="10256"/>
    <cellStyle name="Normal 48 15 5 2 2" xfId="10257"/>
    <cellStyle name="Normal 48 15 5 2_FC with allocations" xfId="27592"/>
    <cellStyle name="Normal 48 15 5 3" xfId="10258"/>
    <cellStyle name="Normal 48 15 5_FC with allocations" xfId="27591"/>
    <cellStyle name="Normal 48 15 6" xfId="10259"/>
    <cellStyle name="Normal 48 15 6 2" xfId="10260"/>
    <cellStyle name="Normal 48 15 6 2 2" xfId="10261"/>
    <cellStyle name="Normal 48 15 6 2_FC with allocations" xfId="27594"/>
    <cellStyle name="Normal 48 15 6 3" xfId="10262"/>
    <cellStyle name="Normal 48 15 6_FC with allocations" xfId="27593"/>
    <cellStyle name="Normal 48 15 7" xfId="10263"/>
    <cellStyle name="Normal 48 15 7 2" xfId="10264"/>
    <cellStyle name="Normal 48 15 7_FC with allocations" xfId="27595"/>
    <cellStyle name="Normal 48 15 8" xfId="10265"/>
    <cellStyle name="Normal 48 15_FC with allocations" xfId="27570"/>
    <cellStyle name="Normal 48 16" xfId="10266"/>
    <cellStyle name="Normal 48 16 2" xfId="10267"/>
    <cellStyle name="Normal 48 16 2 2" xfId="10268"/>
    <cellStyle name="Normal 48 16 2 2 2" xfId="10269"/>
    <cellStyle name="Normal 48 16 2 2 2 2" xfId="10270"/>
    <cellStyle name="Normal 48 16 2 2 2_FC with allocations" xfId="27599"/>
    <cellStyle name="Normal 48 16 2 2 3" xfId="10271"/>
    <cellStyle name="Normal 48 16 2 2_FC with allocations" xfId="27598"/>
    <cellStyle name="Normal 48 16 2 3" xfId="10272"/>
    <cellStyle name="Normal 48 16 2 3 2" xfId="10273"/>
    <cellStyle name="Normal 48 16 2 3_FC with allocations" xfId="27600"/>
    <cellStyle name="Normal 48 16 2 4" xfId="10274"/>
    <cellStyle name="Normal 48 16 2_FC with allocations" xfId="27597"/>
    <cellStyle name="Normal 48 16 3" xfId="10275"/>
    <cellStyle name="Normal 48 16 3 2" xfId="10276"/>
    <cellStyle name="Normal 48 16 3 2 2" xfId="10277"/>
    <cellStyle name="Normal 48 16 3 2_FC with allocations" xfId="27602"/>
    <cellStyle name="Normal 48 16 3 3" xfId="10278"/>
    <cellStyle name="Normal 48 16 3_FC with allocations" xfId="27601"/>
    <cellStyle name="Normal 48 16 4" xfId="10279"/>
    <cellStyle name="Normal 48 16 4 2" xfId="10280"/>
    <cellStyle name="Normal 48 16 4_FC with allocations" xfId="27603"/>
    <cellStyle name="Normal 48 16 5" xfId="10281"/>
    <cellStyle name="Normal 48 16_FC with allocations" xfId="27596"/>
    <cellStyle name="Normal 48 17" xfId="10282"/>
    <cellStyle name="Normal 48 17 2" xfId="10283"/>
    <cellStyle name="Normal 48 17 2 2" xfId="10284"/>
    <cellStyle name="Normal 48 17 2 2 2" xfId="10285"/>
    <cellStyle name="Normal 48 17 2 2 2 2" xfId="10286"/>
    <cellStyle name="Normal 48 17 2 2 2_FC with allocations" xfId="27607"/>
    <cellStyle name="Normal 48 17 2 2 3" xfId="10287"/>
    <cellStyle name="Normal 48 17 2 2_FC with allocations" xfId="27606"/>
    <cellStyle name="Normal 48 17 2 3" xfId="10288"/>
    <cellStyle name="Normal 48 17 2 3 2" xfId="10289"/>
    <cellStyle name="Normal 48 17 2 3_FC with allocations" xfId="27608"/>
    <cellStyle name="Normal 48 17 2 4" xfId="10290"/>
    <cellStyle name="Normal 48 17 2_FC with allocations" xfId="27605"/>
    <cellStyle name="Normal 48 17 3" xfId="10291"/>
    <cellStyle name="Normal 48 17 3 2" xfId="10292"/>
    <cellStyle name="Normal 48 17 3 2 2" xfId="10293"/>
    <cellStyle name="Normal 48 17 3 2_FC with allocations" xfId="27610"/>
    <cellStyle name="Normal 48 17 3 3" xfId="10294"/>
    <cellStyle name="Normal 48 17 3_FC with allocations" xfId="27609"/>
    <cellStyle name="Normal 48 17 4" xfId="10295"/>
    <cellStyle name="Normal 48 17 4 2" xfId="10296"/>
    <cellStyle name="Normal 48 17 4 2 2" xfId="10297"/>
    <cellStyle name="Normal 48 17 4 2_FC with allocations" xfId="27612"/>
    <cellStyle name="Normal 48 17 4 3" xfId="10298"/>
    <cellStyle name="Normal 48 17 4_FC with allocations" xfId="27611"/>
    <cellStyle name="Normal 48 17_FC with allocations" xfId="27604"/>
    <cellStyle name="Normal 48 18" xfId="10299"/>
    <cellStyle name="Normal 48 18 2" xfId="10300"/>
    <cellStyle name="Normal 48 18 2 2" xfId="10301"/>
    <cellStyle name="Normal 48 18 2 2 2" xfId="10302"/>
    <cellStyle name="Normal 48 18 2 2 2 2" xfId="10303"/>
    <cellStyle name="Normal 48 18 2 2 2_FC with allocations" xfId="27616"/>
    <cellStyle name="Normal 48 18 2 2 3" xfId="10304"/>
    <cellStyle name="Normal 48 18 2 2_FC with allocations" xfId="27615"/>
    <cellStyle name="Normal 48 18 2 3" xfId="10305"/>
    <cellStyle name="Normal 48 18 2 3 2" xfId="10306"/>
    <cellStyle name="Normal 48 18 2 3_FC with allocations" xfId="27617"/>
    <cellStyle name="Normal 48 18 2 4" xfId="10307"/>
    <cellStyle name="Normal 48 18 2_FC with allocations" xfId="27614"/>
    <cellStyle name="Normal 48 18 3" xfId="10308"/>
    <cellStyle name="Normal 48 18 3 2" xfId="10309"/>
    <cellStyle name="Normal 48 18 3 2 2" xfId="10310"/>
    <cellStyle name="Normal 48 18 3 2_FC with allocations" xfId="27619"/>
    <cellStyle name="Normal 48 18 3 3" xfId="10311"/>
    <cellStyle name="Normal 48 18 3_FC with allocations" xfId="27618"/>
    <cellStyle name="Normal 48 18 4" xfId="10312"/>
    <cellStyle name="Normal 48 18 4 2" xfId="10313"/>
    <cellStyle name="Normal 48 18 4_FC with allocations" xfId="27620"/>
    <cellStyle name="Normal 48 18 5" xfId="10314"/>
    <cellStyle name="Normal 48 18_FC with allocations" xfId="27613"/>
    <cellStyle name="Normal 48 19" xfId="10315"/>
    <cellStyle name="Normal 48 19 2" xfId="10316"/>
    <cellStyle name="Normal 48 19 2 2" xfId="10317"/>
    <cellStyle name="Normal 48 19 2 2 2" xfId="10318"/>
    <cellStyle name="Normal 48 19 2 2_FC with allocations" xfId="27623"/>
    <cellStyle name="Normal 48 19 2 3" xfId="10319"/>
    <cellStyle name="Normal 48 19 2_FC with allocations" xfId="27622"/>
    <cellStyle name="Normal 48 19 3" xfId="10320"/>
    <cellStyle name="Normal 48 19 3 2" xfId="10321"/>
    <cellStyle name="Normal 48 19 3_FC with allocations" xfId="27624"/>
    <cellStyle name="Normal 48 19 4" xfId="10322"/>
    <cellStyle name="Normal 48 19_FC with allocations" xfId="27621"/>
    <cellStyle name="Normal 48 2" xfId="10323"/>
    <cellStyle name="Normal 48 2 2" xfId="10324"/>
    <cellStyle name="Normal 48 2 2 2" xfId="10325"/>
    <cellStyle name="Normal 48 2 2 2 2" xfId="10326"/>
    <cellStyle name="Normal 48 2 2 2 2 2" xfId="10327"/>
    <cellStyle name="Normal 48 2 2 2 2 2 2" xfId="10328"/>
    <cellStyle name="Normal 48 2 2 2 2 2_FC with allocations" xfId="27629"/>
    <cellStyle name="Normal 48 2 2 2 2 3" xfId="10329"/>
    <cellStyle name="Normal 48 2 2 2 2_FC with allocations" xfId="27628"/>
    <cellStyle name="Normal 48 2 2 2 3" xfId="10330"/>
    <cellStyle name="Normal 48 2 2 2 3 2" xfId="10331"/>
    <cellStyle name="Normal 48 2 2 2 3_FC with allocations" xfId="27630"/>
    <cellStyle name="Normal 48 2 2 2 4" xfId="10332"/>
    <cellStyle name="Normal 48 2 2 2_FC with allocations" xfId="27627"/>
    <cellStyle name="Normal 48 2 2 3" xfId="10333"/>
    <cellStyle name="Normal 48 2 2 3 2" xfId="10334"/>
    <cellStyle name="Normal 48 2 2 3 2 2" xfId="10335"/>
    <cellStyle name="Normal 48 2 2 3 2_FC with allocations" xfId="27632"/>
    <cellStyle name="Normal 48 2 2 3 3" xfId="10336"/>
    <cellStyle name="Normal 48 2 2 3_FC with allocations" xfId="27631"/>
    <cellStyle name="Normal 48 2 2 4" xfId="10337"/>
    <cellStyle name="Normal 48 2 2 4 2" xfId="10338"/>
    <cellStyle name="Normal 48 2 2 4_FC with allocations" xfId="27633"/>
    <cellStyle name="Normal 48 2 2 5" xfId="10339"/>
    <cellStyle name="Normal 48 2 2_FC with allocations" xfId="27626"/>
    <cellStyle name="Normal 48 2 3" xfId="10340"/>
    <cellStyle name="Normal 48 2 3 2" xfId="10341"/>
    <cellStyle name="Normal 48 2 3 2 2" xfId="10342"/>
    <cellStyle name="Normal 48 2 3 2 2 2" xfId="10343"/>
    <cellStyle name="Normal 48 2 3 2 2 2 2" xfId="10344"/>
    <cellStyle name="Normal 48 2 3 2 2 2_FC with allocations" xfId="27637"/>
    <cellStyle name="Normal 48 2 3 2 2 3" xfId="10345"/>
    <cellStyle name="Normal 48 2 3 2 2_FC with allocations" xfId="27636"/>
    <cellStyle name="Normal 48 2 3 2 3" xfId="10346"/>
    <cellStyle name="Normal 48 2 3 2 3 2" xfId="10347"/>
    <cellStyle name="Normal 48 2 3 2 3_FC with allocations" xfId="27638"/>
    <cellStyle name="Normal 48 2 3 2 4" xfId="10348"/>
    <cellStyle name="Normal 48 2 3 2_FC with allocations" xfId="27635"/>
    <cellStyle name="Normal 48 2 3 3" xfId="10349"/>
    <cellStyle name="Normal 48 2 3 3 2" xfId="10350"/>
    <cellStyle name="Normal 48 2 3 3 2 2" xfId="10351"/>
    <cellStyle name="Normal 48 2 3 3 2_FC with allocations" xfId="27640"/>
    <cellStyle name="Normal 48 2 3 3 3" xfId="10352"/>
    <cellStyle name="Normal 48 2 3 3_FC with allocations" xfId="27639"/>
    <cellStyle name="Normal 48 2 3 4" xfId="10353"/>
    <cellStyle name="Normal 48 2 3 4 2" xfId="10354"/>
    <cellStyle name="Normal 48 2 3 4 2 2" xfId="10355"/>
    <cellStyle name="Normal 48 2 3 4 2_FC with allocations" xfId="27642"/>
    <cellStyle name="Normal 48 2 3 4 3" xfId="10356"/>
    <cellStyle name="Normal 48 2 3 4_FC with allocations" xfId="27641"/>
    <cellStyle name="Normal 48 2 3_FC with allocations" xfId="27634"/>
    <cellStyle name="Normal 48 2 4" xfId="10357"/>
    <cellStyle name="Normal 48 2 4 2" xfId="10358"/>
    <cellStyle name="Normal 48 2 4 2 2" xfId="10359"/>
    <cellStyle name="Normal 48 2 4 2 2 2" xfId="10360"/>
    <cellStyle name="Normal 48 2 4 2 2_FC with allocations" xfId="27645"/>
    <cellStyle name="Normal 48 2 4 2 3" xfId="10361"/>
    <cellStyle name="Normal 48 2 4 2_FC with allocations" xfId="27644"/>
    <cellStyle name="Normal 48 2 4 3" xfId="10362"/>
    <cellStyle name="Normal 48 2 4 3 2" xfId="10363"/>
    <cellStyle name="Normal 48 2 4 3_FC with allocations" xfId="27646"/>
    <cellStyle name="Normal 48 2 4 4" xfId="10364"/>
    <cellStyle name="Normal 48 2 4_FC with allocations" xfId="27643"/>
    <cellStyle name="Normal 48 2 5" xfId="10365"/>
    <cellStyle name="Normal 48 2 5 2" xfId="10366"/>
    <cellStyle name="Normal 48 2 5 2 2" xfId="10367"/>
    <cellStyle name="Normal 48 2 5 2_FC with allocations" xfId="27648"/>
    <cellStyle name="Normal 48 2 5 3" xfId="10368"/>
    <cellStyle name="Normal 48 2 5_FC with allocations" xfId="27647"/>
    <cellStyle name="Normal 48 2 6" xfId="10369"/>
    <cellStyle name="Normal 48 2 6 2" xfId="10370"/>
    <cellStyle name="Normal 48 2 6 2 2" xfId="10371"/>
    <cellStyle name="Normal 48 2 6 2_FC with allocations" xfId="27650"/>
    <cellStyle name="Normal 48 2 6 3" xfId="10372"/>
    <cellStyle name="Normal 48 2 6_FC with allocations" xfId="27649"/>
    <cellStyle name="Normal 48 2 7" xfId="10373"/>
    <cellStyle name="Normal 48 2 7 2" xfId="10374"/>
    <cellStyle name="Normal 48 2 7_FC with allocations" xfId="27651"/>
    <cellStyle name="Normal 48 2 8" xfId="10375"/>
    <cellStyle name="Normal 48 2_FC with allocations" xfId="27625"/>
    <cellStyle name="Normal 48 20" xfId="10376"/>
    <cellStyle name="Normal 48 20 2" xfId="10377"/>
    <cellStyle name="Normal 48 20 2 2" xfId="10378"/>
    <cellStyle name="Normal 48 20 2_FC with allocations" xfId="27653"/>
    <cellStyle name="Normal 48 20 3" xfId="10379"/>
    <cellStyle name="Normal 48 20_FC with allocations" xfId="27652"/>
    <cellStyle name="Normal 48 21" xfId="10380"/>
    <cellStyle name="Normal 48 21 2" xfId="10381"/>
    <cellStyle name="Normal 48 21 2 2" xfId="10382"/>
    <cellStyle name="Normal 48 21 2_FC with allocations" xfId="27655"/>
    <cellStyle name="Normal 48 21 3" xfId="10383"/>
    <cellStyle name="Normal 48 21_FC with allocations" xfId="27654"/>
    <cellStyle name="Normal 48 22" xfId="10384"/>
    <cellStyle name="Normal 48 22 2" xfId="10385"/>
    <cellStyle name="Normal 48 22_FC with allocations" xfId="27656"/>
    <cellStyle name="Normal 48 23" xfId="10386"/>
    <cellStyle name="Normal 48 24" xfId="9953"/>
    <cellStyle name="Normal 48 25" xfId="24012"/>
    <cellStyle name="Normal 48 3" xfId="10387"/>
    <cellStyle name="Normal 48 3 2" xfId="10388"/>
    <cellStyle name="Normal 48 3 2 2" xfId="10389"/>
    <cellStyle name="Normal 48 3 2 2 2" xfId="10390"/>
    <cellStyle name="Normal 48 3 2 2 2 2" xfId="10391"/>
    <cellStyle name="Normal 48 3 2 2 2 2 2" xfId="10392"/>
    <cellStyle name="Normal 48 3 2 2 2 2_FC with allocations" xfId="27661"/>
    <cellStyle name="Normal 48 3 2 2 2 3" xfId="10393"/>
    <cellStyle name="Normal 48 3 2 2 2_FC with allocations" xfId="27660"/>
    <cellStyle name="Normal 48 3 2 2 3" xfId="10394"/>
    <cellStyle name="Normal 48 3 2 2 3 2" xfId="10395"/>
    <cellStyle name="Normal 48 3 2 2 3_FC with allocations" xfId="27662"/>
    <cellStyle name="Normal 48 3 2 2 4" xfId="10396"/>
    <cellStyle name="Normal 48 3 2 2_FC with allocations" xfId="27659"/>
    <cellStyle name="Normal 48 3 2 3" xfId="10397"/>
    <cellStyle name="Normal 48 3 2 3 2" xfId="10398"/>
    <cellStyle name="Normal 48 3 2 3 2 2" xfId="10399"/>
    <cellStyle name="Normal 48 3 2 3 2_FC with allocations" xfId="27664"/>
    <cellStyle name="Normal 48 3 2 3 3" xfId="10400"/>
    <cellStyle name="Normal 48 3 2 3_FC with allocations" xfId="27663"/>
    <cellStyle name="Normal 48 3 2 4" xfId="10401"/>
    <cellStyle name="Normal 48 3 2 4 2" xfId="10402"/>
    <cellStyle name="Normal 48 3 2 4_FC with allocations" xfId="27665"/>
    <cellStyle name="Normal 48 3 2 5" xfId="10403"/>
    <cellStyle name="Normal 48 3 2_FC with allocations" xfId="27658"/>
    <cellStyle name="Normal 48 3 3" xfId="10404"/>
    <cellStyle name="Normal 48 3 3 2" xfId="10405"/>
    <cellStyle name="Normal 48 3 3 2 2" xfId="10406"/>
    <cellStyle name="Normal 48 3 3 2 2 2" xfId="10407"/>
    <cellStyle name="Normal 48 3 3 2 2 2 2" xfId="10408"/>
    <cellStyle name="Normal 48 3 3 2 2 2_FC with allocations" xfId="27669"/>
    <cellStyle name="Normal 48 3 3 2 2 3" xfId="10409"/>
    <cellStyle name="Normal 48 3 3 2 2_FC with allocations" xfId="27668"/>
    <cellStyle name="Normal 48 3 3 2 3" xfId="10410"/>
    <cellStyle name="Normal 48 3 3 2 3 2" xfId="10411"/>
    <cellStyle name="Normal 48 3 3 2 3_FC with allocations" xfId="27670"/>
    <cellStyle name="Normal 48 3 3 2 4" xfId="10412"/>
    <cellStyle name="Normal 48 3 3 2_FC with allocations" xfId="27667"/>
    <cellStyle name="Normal 48 3 3 3" xfId="10413"/>
    <cellStyle name="Normal 48 3 3 3 2" xfId="10414"/>
    <cellStyle name="Normal 48 3 3 3 2 2" xfId="10415"/>
    <cellStyle name="Normal 48 3 3 3 2_FC with allocations" xfId="27672"/>
    <cellStyle name="Normal 48 3 3 3 3" xfId="10416"/>
    <cellStyle name="Normal 48 3 3 3_FC with allocations" xfId="27671"/>
    <cellStyle name="Normal 48 3 3 4" xfId="10417"/>
    <cellStyle name="Normal 48 3 3 4 2" xfId="10418"/>
    <cellStyle name="Normal 48 3 3 4_FC with allocations" xfId="27673"/>
    <cellStyle name="Normal 48 3 3 5" xfId="10419"/>
    <cellStyle name="Normal 48 3 3_FC with allocations" xfId="27666"/>
    <cellStyle name="Normal 48 3 4" xfId="10420"/>
    <cellStyle name="Normal 48 3 4 2" xfId="10421"/>
    <cellStyle name="Normal 48 3 4 2 2" xfId="10422"/>
    <cellStyle name="Normal 48 3 4 2 2 2" xfId="10423"/>
    <cellStyle name="Normal 48 3 4 2 2_FC with allocations" xfId="27676"/>
    <cellStyle name="Normal 48 3 4 2 3" xfId="10424"/>
    <cellStyle name="Normal 48 3 4 2_FC with allocations" xfId="27675"/>
    <cellStyle name="Normal 48 3 4 3" xfId="10425"/>
    <cellStyle name="Normal 48 3 4 3 2" xfId="10426"/>
    <cellStyle name="Normal 48 3 4 3_FC with allocations" xfId="27677"/>
    <cellStyle name="Normal 48 3 4 4" xfId="10427"/>
    <cellStyle name="Normal 48 3 4_FC with allocations" xfId="27674"/>
    <cellStyle name="Normal 48 3 5" xfId="10428"/>
    <cellStyle name="Normal 48 3 5 2" xfId="10429"/>
    <cellStyle name="Normal 48 3 5 2 2" xfId="10430"/>
    <cellStyle name="Normal 48 3 5 2_FC with allocations" xfId="27679"/>
    <cellStyle name="Normal 48 3 5 3" xfId="10431"/>
    <cellStyle name="Normal 48 3 5_FC with allocations" xfId="27678"/>
    <cellStyle name="Normal 48 3 6" xfId="10432"/>
    <cellStyle name="Normal 48 3 6 2" xfId="10433"/>
    <cellStyle name="Normal 48 3 6 2 2" xfId="10434"/>
    <cellStyle name="Normal 48 3 6 2_FC with allocations" xfId="27681"/>
    <cellStyle name="Normal 48 3 6 3" xfId="10435"/>
    <cellStyle name="Normal 48 3 6_FC with allocations" xfId="27680"/>
    <cellStyle name="Normal 48 3 7" xfId="10436"/>
    <cellStyle name="Normal 48 3 7 2" xfId="10437"/>
    <cellStyle name="Normal 48 3 7_FC with allocations" xfId="27682"/>
    <cellStyle name="Normal 48 3 8" xfId="10438"/>
    <cellStyle name="Normal 48 3_FC with allocations" xfId="27657"/>
    <cellStyle name="Normal 48 4" xfId="10439"/>
    <cellStyle name="Normal 48 4 2" xfId="10440"/>
    <cellStyle name="Normal 48 4 2 2" xfId="10441"/>
    <cellStyle name="Normal 48 4 2 2 2" xfId="10442"/>
    <cellStyle name="Normal 48 4 2 2 2 2" xfId="10443"/>
    <cellStyle name="Normal 48 4 2 2 2 2 2" xfId="10444"/>
    <cellStyle name="Normal 48 4 2 2 2 2_FC with allocations" xfId="27687"/>
    <cellStyle name="Normal 48 4 2 2 2 3" xfId="10445"/>
    <cellStyle name="Normal 48 4 2 2 2_FC with allocations" xfId="27686"/>
    <cellStyle name="Normal 48 4 2 2 3" xfId="10446"/>
    <cellStyle name="Normal 48 4 2 2 3 2" xfId="10447"/>
    <cellStyle name="Normal 48 4 2 2 3_FC with allocations" xfId="27688"/>
    <cellStyle name="Normal 48 4 2 2 4" xfId="10448"/>
    <cellStyle name="Normal 48 4 2 2_FC with allocations" xfId="27685"/>
    <cellStyle name="Normal 48 4 2 3" xfId="10449"/>
    <cellStyle name="Normal 48 4 2 3 2" xfId="10450"/>
    <cellStyle name="Normal 48 4 2 3 2 2" xfId="10451"/>
    <cellStyle name="Normal 48 4 2 3 2_FC with allocations" xfId="27690"/>
    <cellStyle name="Normal 48 4 2 3 3" xfId="10452"/>
    <cellStyle name="Normal 48 4 2 3_FC with allocations" xfId="27689"/>
    <cellStyle name="Normal 48 4 2 4" xfId="10453"/>
    <cellStyle name="Normal 48 4 2 4 2" xfId="10454"/>
    <cellStyle name="Normal 48 4 2 4_FC with allocations" xfId="27691"/>
    <cellStyle name="Normal 48 4 2 5" xfId="10455"/>
    <cellStyle name="Normal 48 4 2_FC with allocations" xfId="27684"/>
    <cellStyle name="Normal 48 4 3" xfId="10456"/>
    <cellStyle name="Normal 48 4 3 2" xfId="10457"/>
    <cellStyle name="Normal 48 4 3 2 2" xfId="10458"/>
    <cellStyle name="Normal 48 4 3 2 2 2" xfId="10459"/>
    <cellStyle name="Normal 48 4 3 2 2 2 2" xfId="10460"/>
    <cellStyle name="Normal 48 4 3 2 2 2_FC with allocations" xfId="27695"/>
    <cellStyle name="Normal 48 4 3 2 2 3" xfId="10461"/>
    <cellStyle name="Normal 48 4 3 2 2_FC with allocations" xfId="27694"/>
    <cellStyle name="Normal 48 4 3 2 3" xfId="10462"/>
    <cellStyle name="Normal 48 4 3 2 3 2" xfId="10463"/>
    <cellStyle name="Normal 48 4 3 2 3_FC with allocations" xfId="27696"/>
    <cellStyle name="Normal 48 4 3 2 4" xfId="10464"/>
    <cellStyle name="Normal 48 4 3 2_FC with allocations" xfId="27693"/>
    <cellStyle name="Normal 48 4 3 3" xfId="10465"/>
    <cellStyle name="Normal 48 4 3 3 2" xfId="10466"/>
    <cellStyle name="Normal 48 4 3 3 2 2" xfId="10467"/>
    <cellStyle name="Normal 48 4 3 3 2_FC with allocations" xfId="27698"/>
    <cellStyle name="Normal 48 4 3 3 3" xfId="10468"/>
    <cellStyle name="Normal 48 4 3 3_FC with allocations" xfId="27697"/>
    <cellStyle name="Normal 48 4 3 4" xfId="10469"/>
    <cellStyle name="Normal 48 4 3 4 2" xfId="10470"/>
    <cellStyle name="Normal 48 4 3 4_FC with allocations" xfId="27699"/>
    <cellStyle name="Normal 48 4 3 5" xfId="10471"/>
    <cellStyle name="Normal 48 4 3_FC with allocations" xfId="27692"/>
    <cellStyle name="Normal 48 4 4" xfId="10472"/>
    <cellStyle name="Normal 48 4 4 2" xfId="10473"/>
    <cellStyle name="Normal 48 4 4 2 2" xfId="10474"/>
    <cellStyle name="Normal 48 4 4 2 2 2" xfId="10475"/>
    <cellStyle name="Normal 48 4 4 2 2_FC with allocations" xfId="27702"/>
    <cellStyle name="Normal 48 4 4 2 3" xfId="10476"/>
    <cellStyle name="Normal 48 4 4 2_FC with allocations" xfId="27701"/>
    <cellStyle name="Normal 48 4 4 3" xfId="10477"/>
    <cellStyle name="Normal 48 4 4 3 2" xfId="10478"/>
    <cellStyle name="Normal 48 4 4 3_FC with allocations" xfId="27703"/>
    <cellStyle name="Normal 48 4 4 4" xfId="10479"/>
    <cellStyle name="Normal 48 4 4_FC with allocations" xfId="27700"/>
    <cellStyle name="Normal 48 4 5" xfId="10480"/>
    <cellStyle name="Normal 48 4 5 2" xfId="10481"/>
    <cellStyle name="Normal 48 4 5 2 2" xfId="10482"/>
    <cellStyle name="Normal 48 4 5 2_FC with allocations" xfId="27705"/>
    <cellStyle name="Normal 48 4 5 3" xfId="10483"/>
    <cellStyle name="Normal 48 4 5_FC with allocations" xfId="27704"/>
    <cellStyle name="Normal 48 4 6" xfId="10484"/>
    <cellStyle name="Normal 48 4 6 2" xfId="10485"/>
    <cellStyle name="Normal 48 4 6 2 2" xfId="10486"/>
    <cellStyle name="Normal 48 4 6 2_FC with allocations" xfId="27707"/>
    <cellStyle name="Normal 48 4 6 3" xfId="10487"/>
    <cellStyle name="Normal 48 4 6_FC with allocations" xfId="27706"/>
    <cellStyle name="Normal 48 4 7" xfId="10488"/>
    <cellStyle name="Normal 48 4 7 2" xfId="10489"/>
    <cellStyle name="Normal 48 4 7_FC with allocations" xfId="27708"/>
    <cellStyle name="Normal 48 4 8" xfId="10490"/>
    <cellStyle name="Normal 48 4_FC with allocations" xfId="27683"/>
    <cellStyle name="Normal 48 5" xfId="10491"/>
    <cellStyle name="Normal 48 5 2" xfId="10492"/>
    <cellStyle name="Normal 48 5 2 2" xfId="10493"/>
    <cellStyle name="Normal 48 5 2 2 2" xfId="10494"/>
    <cellStyle name="Normal 48 5 2 2 2 2" xfId="10495"/>
    <cellStyle name="Normal 48 5 2 2 2 2 2" xfId="10496"/>
    <cellStyle name="Normal 48 5 2 2 2 2_FC with allocations" xfId="27713"/>
    <cellStyle name="Normal 48 5 2 2 2 3" xfId="10497"/>
    <cellStyle name="Normal 48 5 2 2 2_FC with allocations" xfId="27712"/>
    <cellStyle name="Normal 48 5 2 2 3" xfId="10498"/>
    <cellStyle name="Normal 48 5 2 2 3 2" xfId="10499"/>
    <cellStyle name="Normal 48 5 2 2 3_FC with allocations" xfId="27714"/>
    <cellStyle name="Normal 48 5 2 2 4" xfId="10500"/>
    <cellStyle name="Normal 48 5 2 2_FC with allocations" xfId="27711"/>
    <cellStyle name="Normal 48 5 2 3" xfId="10501"/>
    <cellStyle name="Normal 48 5 2 3 2" xfId="10502"/>
    <cellStyle name="Normal 48 5 2 3 2 2" xfId="10503"/>
    <cellStyle name="Normal 48 5 2 3 2_FC with allocations" xfId="27716"/>
    <cellStyle name="Normal 48 5 2 3 3" xfId="10504"/>
    <cellStyle name="Normal 48 5 2 3_FC with allocations" xfId="27715"/>
    <cellStyle name="Normal 48 5 2 4" xfId="10505"/>
    <cellStyle name="Normal 48 5 2 4 2" xfId="10506"/>
    <cellStyle name="Normal 48 5 2 4_FC with allocations" xfId="27717"/>
    <cellStyle name="Normal 48 5 2 5" xfId="10507"/>
    <cellStyle name="Normal 48 5 2_FC with allocations" xfId="27710"/>
    <cellStyle name="Normal 48 5 3" xfId="10508"/>
    <cellStyle name="Normal 48 5 3 2" xfId="10509"/>
    <cellStyle name="Normal 48 5 3 2 2" xfId="10510"/>
    <cellStyle name="Normal 48 5 3 2 2 2" xfId="10511"/>
    <cellStyle name="Normal 48 5 3 2 2 2 2" xfId="10512"/>
    <cellStyle name="Normal 48 5 3 2 2 2_FC with allocations" xfId="27721"/>
    <cellStyle name="Normal 48 5 3 2 2 3" xfId="10513"/>
    <cellStyle name="Normal 48 5 3 2 2_FC with allocations" xfId="27720"/>
    <cellStyle name="Normal 48 5 3 2 3" xfId="10514"/>
    <cellStyle name="Normal 48 5 3 2 3 2" xfId="10515"/>
    <cellStyle name="Normal 48 5 3 2 3_FC with allocations" xfId="27722"/>
    <cellStyle name="Normal 48 5 3 2 4" xfId="10516"/>
    <cellStyle name="Normal 48 5 3 2_FC with allocations" xfId="27719"/>
    <cellStyle name="Normal 48 5 3 3" xfId="10517"/>
    <cellStyle name="Normal 48 5 3 3 2" xfId="10518"/>
    <cellStyle name="Normal 48 5 3 3 2 2" xfId="10519"/>
    <cellStyle name="Normal 48 5 3 3 2_FC with allocations" xfId="27724"/>
    <cellStyle name="Normal 48 5 3 3 3" xfId="10520"/>
    <cellStyle name="Normal 48 5 3 3_FC with allocations" xfId="27723"/>
    <cellStyle name="Normal 48 5 3 4" xfId="10521"/>
    <cellStyle name="Normal 48 5 3 4 2" xfId="10522"/>
    <cellStyle name="Normal 48 5 3 4_FC with allocations" xfId="27725"/>
    <cellStyle name="Normal 48 5 3 5" xfId="10523"/>
    <cellStyle name="Normal 48 5 3_FC with allocations" xfId="27718"/>
    <cellStyle name="Normal 48 5 4" xfId="10524"/>
    <cellStyle name="Normal 48 5 4 2" xfId="10525"/>
    <cellStyle name="Normal 48 5 4 2 2" xfId="10526"/>
    <cellStyle name="Normal 48 5 4 2 2 2" xfId="10527"/>
    <cellStyle name="Normal 48 5 4 2 2_FC with allocations" xfId="27728"/>
    <cellStyle name="Normal 48 5 4 2 3" xfId="10528"/>
    <cellStyle name="Normal 48 5 4 2_FC with allocations" xfId="27727"/>
    <cellStyle name="Normal 48 5 4 3" xfId="10529"/>
    <cellStyle name="Normal 48 5 4 3 2" xfId="10530"/>
    <cellStyle name="Normal 48 5 4 3_FC with allocations" xfId="27729"/>
    <cellStyle name="Normal 48 5 4 4" xfId="10531"/>
    <cellStyle name="Normal 48 5 4_FC with allocations" xfId="27726"/>
    <cellStyle name="Normal 48 5 5" xfId="10532"/>
    <cellStyle name="Normal 48 5 5 2" xfId="10533"/>
    <cellStyle name="Normal 48 5 5 2 2" xfId="10534"/>
    <cellStyle name="Normal 48 5 5 2_FC with allocations" xfId="27731"/>
    <cellStyle name="Normal 48 5 5 3" xfId="10535"/>
    <cellStyle name="Normal 48 5 5_FC with allocations" xfId="27730"/>
    <cellStyle name="Normal 48 5 6" xfId="10536"/>
    <cellStyle name="Normal 48 5 6 2" xfId="10537"/>
    <cellStyle name="Normal 48 5 6 2 2" xfId="10538"/>
    <cellStyle name="Normal 48 5 6 2_FC with allocations" xfId="27733"/>
    <cellStyle name="Normal 48 5 6 3" xfId="10539"/>
    <cellStyle name="Normal 48 5 6_FC with allocations" xfId="27732"/>
    <cellStyle name="Normal 48 5 7" xfId="10540"/>
    <cellStyle name="Normal 48 5 7 2" xfId="10541"/>
    <cellStyle name="Normal 48 5 7_FC with allocations" xfId="27734"/>
    <cellStyle name="Normal 48 5 8" xfId="10542"/>
    <cellStyle name="Normal 48 5_FC with allocations" xfId="27709"/>
    <cellStyle name="Normal 48 6" xfId="10543"/>
    <cellStyle name="Normal 48 6 2" xfId="10544"/>
    <cellStyle name="Normal 48 6 2 2" xfId="10545"/>
    <cellStyle name="Normal 48 6 2 2 2" xfId="10546"/>
    <cellStyle name="Normal 48 6 2 2 2 2" xfId="10547"/>
    <cellStyle name="Normal 48 6 2 2 2 2 2" xfId="10548"/>
    <cellStyle name="Normal 48 6 2 2 2 2_FC with allocations" xfId="27739"/>
    <cellStyle name="Normal 48 6 2 2 2 3" xfId="10549"/>
    <cellStyle name="Normal 48 6 2 2 2_FC with allocations" xfId="27738"/>
    <cellStyle name="Normal 48 6 2 2 3" xfId="10550"/>
    <cellStyle name="Normal 48 6 2 2 3 2" xfId="10551"/>
    <cellStyle name="Normal 48 6 2 2 3_FC with allocations" xfId="27740"/>
    <cellStyle name="Normal 48 6 2 2 4" xfId="10552"/>
    <cellStyle name="Normal 48 6 2 2_FC with allocations" xfId="27737"/>
    <cellStyle name="Normal 48 6 2 3" xfId="10553"/>
    <cellStyle name="Normal 48 6 2 3 2" xfId="10554"/>
    <cellStyle name="Normal 48 6 2 3 2 2" xfId="10555"/>
    <cellStyle name="Normal 48 6 2 3 2_FC with allocations" xfId="27742"/>
    <cellStyle name="Normal 48 6 2 3 3" xfId="10556"/>
    <cellStyle name="Normal 48 6 2 3_FC with allocations" xfId="27741"/>
    <cellStyle name="Normal 48 6 2 4" xfId="10557"/>
    <cellStyle name="Normal 48 6 2 4 2" xfId="10558"/>
    <cellStyle name="Normal 48 6 2 4_FC with allocations" xfId="27743"/>
    <cellStyle name="Normal 48 6 2 5" xfId="10559"/>
    <cellStyle name="Normal 48 6 2_FC with allocations" xfId="27736"/>
    <cellStyle name="Normal 48 6 3" xfId="10560"/>
    <cellStyle name="Normal 48 6 3 2" xfId="10561"/>
    <cellStyle name="Normal 48 6 3 2 2" xfId="10562"/>
    <cellStyle name="Normal 48 6 3 2 2 2" xfId="10563"/>
    <cellStyle name="Normal 48 6 3 2 2 2 2" xfId="10564"/>
    <cellStyle name="Normal 48 6 3 2 2 2_FC with allocations" xfId="27747"/>
    <cellStyle name="Normal 48 6 3 2 2 3" xfId="10565"/>
    <cellStyle name="Normal 48 6 3 2 2_FC with allocations" xfId="27746"/>
    <cellStyle name="Normal 48 6 3 2 3" xfId="10566"/>
    <cellStyle name="Normal 48 6 3 2 3 2" xfId="10567"/>
    <cellStyle name="Normal 48 6 3 2 3_FC with allocations" xfId="27748"/>
    <cellStyle name="Normal 48 6 3 2 4" xfId="10568"/>
    <cellStyle name="Normal 48 6 3 2_FC with allocations" xfId="27745"/>
    <cellStyle name="Normal 48 6 3 3" xfId="10569"/>
    <cellStyle name="Normal 48 6 3 3 2" xfId="10570"/>
    <cellStyle name="Normal 48 6 3 3 2 2" xfId="10571"/>
    <cellStyle name="Normal 48 6 3 3 2_FC with allocations" xfId="27750"/>
    <cellStyle name="Normal 48 6 3 3 3" xfId="10572"/>
    <cellStyle name="Normal 48 6 3 3_FC with allocations" xfId="27749"/>
    <cellStyle name="Normal 48 6 3 4" xfId="10573"/>
    <cellStyle name="Normal 48 6 3 4 2" xfId="10574"/>
    <cellStyle name="Normal 48 6 3 4_FC with allocations" xfId="27751"/>
    <cellStyle name="Normal 48 6 3 5" xfId="10575"/>
    <cellStyle name="Normal 48 6 3_FC with allocations" xfId="27744"/>
    <cellStyle name="Normal 48 6 4" xfId="10576"/>
    <cellStyle name="Normal 48 6 4 2" xfId="10577"/>
    <cellStyle name="Normal 48 6 4 2 2" xfId="10578"/>
    <cellStyle name="Normal 48 6 4 2 2 2" xfId="10579"/>
    <cellStyle name="Normal 48 6 4 2 2_FC with allocations" xfId="27754"/>
    <cellStyle name="Normal 48 6 4 2 3" xfId="10580"/>
    <cellStyle name="Normal 48 6 4 2_FC with allocations" xfId="27753"/>
    <cellStyle name="Normal 48 6 4 3" xfId="10581"/>
    <cellStyle name="Normal 48 6 4 3 2" xfId="10582"/>
    <cellStyle name="Normal 48 6 4 3_FC with allocations" xfId="27755"/>
    <cellStyle name="Normal 48 6 4 4" xfId="10583"/>
    <cellStyle name="Normal 48 6 4_FC with allocations" xfId="27752"/>
    <cellStyle name="Normal 48 6 5" xfId="10584"/>
    <cellStyle name="Normal 48 6 5 2" xfId="10585"/>
    <cellStyle name="Normal 48 6 5 2 2" xfId="10586"/>
    <cellStyle name="Normal 48 6 5 2_FC with allocations" xfId="27757"/>
    <cellStyle name="Normal 48 6 5 3" xfId="10587"/>
    <cellStyle name="Normal 48 6 5_FC with allocations" xfId="27756"/>
    <cellStyle name="Normal 48 6 6" xfId="10588"/>
    <cellStyle name="Normal 48 6 6 2" xfId="10589"/>
    <cellStyle name="Normal 48 6 6 2 2" xfId="10590"/>
    <cellStyle name="Normal 48 6 6 2_FC with allocations" xfId="27759"/>
    <cellStyle name="Normal 48 6 6 3" xfId="10591"/>
    <cellStyle name="Normal 48 6 6_FC with allocations" xfId="27758"/>
    <cellStyle name="Normal 48 6 7" xfId="10592"/>
    <cellStyle name="Normal 48 6 7 2" xfId="10593"/>
    <cellStyle name="Normal 48 6 7_FC with allocations" xfId="27760"/>
    <cellStyle name="Normal 48 6 8" xfId="10594"/>
    <cellStyle name="Normal 48 6_FC with allocations" xfId="27735"/>
    <cellStyle name="Normal 48 7" xfId="10595"/>
    <cellStyle name="Normal 48 7 2" xfId="10596"/>
    <cellStyle name="Normal 48 7 2 2" xfId="10597"/>
    <cellStyle name="Normal 48 7 2 2 2" xfId="10598"/>
    <cellStyle name="Normal 48 7 2 2 2 2" xfId="10599"/>
    <cellStyle name="Normal 48 7 2 2 2 2 2" xfId="10600"/>
    <cellStyle name="Normal 48 7 2 2 2 2_FC with allocations" xfId="27765"/>
    <cellStyle name="Normal 48 7 2 2 2 3" xfId="10601"/>
    <cellStyle name="Normal 48 7 2 2 2_FC with allocations" xfId="27764"/>
    <cellStyle name="Normal 48 7 2 2 3" xfId="10602"/>
    <cellStyle name="Normal 48 7 2 2 3 2" xfId="10603"/>
    <cellStyle name="Normal 48 7 2 2 3_FC with allocations" xfId="27766"/>
    <cellStyle name="Normal 48 7 2 2 4" xfId="10604"/>
    <cellStyle name="Normal 48 7 2 2_FC with allocations" xfId="27763"/>
    <cellStyle name="Normal 48 7 2 3" xfId="10605"/>
    <cellStyle name="Normal 48 7 2 3 2" xfId="10606"/>
    <cellStyle name="Normal 48 7 2 3 2 2" xfId="10607"/>
    <cellStyle name="Normal 48 7 2 3 2_FC with allocations" xfId="27768"/>
    <cellStyle name="Normal 48 7 2 3 3" xfId="10608"/>
    <cellStyle name="Normal 48 7 2 3_FC with allocations" xfId="27767"/>
    <cellStyle name="Normal 48 7 2 4" xfId="10609"/>
    <cellStyle name="Normal 48 7 2 4 2" xfId="10610"/>
    <cellStyle name="Normal 48 7 2 4_FC with allocations" xfId="27769"/>
    <cellStyle name="Normal 48 7 2 5" xfId="10611"/>
    <cellStyle name="Normal 48 7 2_FC with allocations" xfId="27762"/>
    <cellStyle name="Normal 48 7 3" xfId="10612"/>
    <cellStyle name="Normal 48 7 3 2" xfId="10613"/>
    <cellStyle name="Normal 48 7 3 2 2" xfId="10614"/>
    <cellStyle name="Normal 48 7 3 2 2 2" xfId="10615"/>
    <cellStyle name="Normal 48 7 3 2 2 2 2" xfId="10616"/>
    <cellStyle name="Normal 48 7 3 2 2 2_FC with allocations" xfId="27773"/>
    <cellStyle name="Normal 48 7 3 2 2 3" xfId="10617"/>
    <cellStyle name="Normal 48 7 3 2 2_FC with allocations" xfId="27772"/>
    <cellStyle name="Normal 48 7 3 2 3" xfId="10618"/>
    <cellStyle name="Normal 48 7 3 2 3 2" xfId="10619"/>
    <cellStyle name="Normal 48 7 3 2 3_FC with allocations" xfId="27774"/>
    <cellStyle name="Normal 48 7 3 2 4" xfId="10620"/>
    <cellStyle name="Normal 48 7 3 2_FC with allocations" xfId="27771"/>
    <cellStyle name="Normal 48 7 3 3" xfId="10621"/>
    <cellStyle name="Normal 48 7 3 3 2" xfId="10622"/>
    <cellStyle name="Normal 48 7 3 3 2 2" xfId="10623"/>
    <cellStyle name="Normal 48 7 3 3 2_FC with allocations" xfId="27776"/>
    <cellStyle name="Normal 48 7 3 3 3" xfId="10624"/>
    <cellStyle name="Normal 48 7 3 3_FC with allocations" xfId="27775"/>
    <cellStyle name="Normal 48 7 3 4" xfId="10625"/>
    <cellStyle name="Normal 48 7 3 4 2" xfId="10626"/>
    <cellStyle name="Normal 48 7 3 4_FC with allocations" xfId="27777"/>
    <cellStyle name="Normal 48 7 3 5" xfId="10627"/>
    <cellStyle name="Normal 48 7 3_FC with allocations" xfId="27770"/>
    <cellStyle name="Normal 48 7 4" xfId="10628"/>
    <cellStyle name="Normal 48 7 4 2" xfId="10629"/>
    <cellStyle name="Normal 48 7 4 2 2" xfId="10630"/>
    <cellStyle name="Normal 48 7 4 2 2 2" xfId="10631"/>
    <cellStyle name="Normal 48 7 4 2 2_FC with allocations" xfId="27780"/>
    <cellStyle name="Normal 48 7 4 2 3" xfId="10632"/>
    <cellStyle name="Normal 48 7 4 2_FC with allocations" xfId="27779"/>
    <cellStyle name="Normal 48 7 4 3" xfId="10633"/>
    <cellStyle name="Normal 48 7 4 3 2" xfId="10634"/>
    <cellStyle name="Normal 48 7 4 3_FC with allocations" xfId="27781"/>
    <cellStyle name="Normal 48 7 4 4" xfId="10635"/>
    <cellStyle name="Normal 48 7 4_FC with allocations" xfId="27778"/>
    <cellStyle name="Normal 48 7 5" xfId="10636"/>
    <cellStyle name="Normal 48 7 5 2" xfId="10637"/>
    <cellStyle name="Normal 48 7 5 2 2" xfId="10638"/>
    <cellStyle name="Normal 48 7 5 2_FC with allocations" xfId="27783"/>
    <cellStyle name="Normal 48 7 5 3" xfId="10639"/>
    <cellStyle name="Normal 48 7 5_FC with allocations" xfId="27782"/>
    <cellStyle name="Normal 48 7 6" xfId="10640"/>
    <cellStyle name="Normal 48 7 6 2" xfId="10641"/>
    <cellStyle name="Normal 48 7 6 2 2" xfId="10642"/>
    <cellStyle name="Normal 48 7 6 2_FC with allocations" xfId="27785"/>
    <cellStyle name="Normal 48 7 6 3" xfId="10643"/>
    <cellStyle name="Normal 48 7 6_FC with allocations" xfId="27784"/>
    <cellStyle name="Normal 48 7 7" xfId="10644"/>
    <cellStyle name="Normal 48 7 7 2" xfId="10645"/>
    <cellStyle name="Normal 48 7 7_FC with allocations" xfId="27786"/>
    <cellStyle name="Normal 48 7 8" xfId="10646"/>
    <cellStyle name="Normal 48 7_FC with allocations" xfId="27761"/>
    <cellStyle name="Normal 48 8" xfId="10647"/>
    <cellStyle name="Normal 48 8 2" xfId="10648"/>
    <cellStyle name="Normal 48 8 2 2" xfId="10649"/>
    <cellStyle name="Normal 48 8 2 2 2" xfId="10650"/>
    <cellStyle name="Normal 48 8 2 2 2 2" xfId="10651"/>
    <cellStyle name="Normal 48 8 2 2 2 2 2" xfId="10652"/>
    <cellStyle name="Normal 48 8 2 2 2 2_FC with allocations" xfId="27791"/>
    <cellStyle name="Normal 48 8 2 2 2 3" xfId="10653"/>
    <cellStyle name="Normal 48 8 2 2 2_FC with allocations" xfId="27790"/>
    <cellStyle name="Normal 48 8 2 2 3" xfId="10654"/>
    <cellStyle name="Normal 48 8 2 2 3 2" xfId="10655"/>
    <cellStyle name="Normal 48 8 2 2 3_FC with allocations" xfId="27792"/>
    <cellStyle name="Normal 48 8 2 2 4" xfId="10656"/>
    <cellStyle name="Normal 48 8 2 2_FC with allocations" xfId="27789"/>
    <cellStyle name="Normal 48 8 2 3" xfId="10657"/>
    <cellStyle name="Normal 48 8 2 3 2" xfId="10658"/>
    <cellStyle name="Normal 48 8 2 3 2 2" xfId="10659"/>
    <cellStyle name="Normal 48 8 2 3 2_FC with allocations" xfId="27794"/>
    <cellStyle name="Normal 48 8 2 3 3" xfId="10660"/>
    <cellStyle name="Normal 48 8 2 3_FC with allocations" xfId="27793"/>
    <cellStyle name="Normal 48 8 2 4" xfId="10661"/>
    <cellStyle name="Normal 48 8 2 4 2" xfId="10662"/>
    <cellStyle name="Normal 48 8 2 4_FC with allocations" xfId="27795"/>
    <cellStyle name="Normal 48 8 2 5" xfId="10663"/>
    <cellStyle name="Normal 48 8 2_FC with allocations" xfId="27788"/>
    <cellStyle name="Normal 48 8 3" xfId="10664"/>
    <cellStyle name="Normal 48 8 3 2" xfId="10665"/>
    <cellStyle name="Normal 48 8 3 2 2" xfId="10666"/>
    <cellStyle name="Normal 48 8 3 2 2 2" xfId="10667"/>
    <cellStyle name="Normal 48 8 3 2 2 2 2" xfId="10668"/>
    <cellStyle name="Normal 48 8 3 2 2 2_FC with allocations" xfId="27799"/>
    <cellStyle name="Normal 48 8 3 2 2 3" xfId="10669"/>
    <cellStyle name="Normal 48 8 3 2 2_FC with allocations" xfId="27798"/>
    <cellStyle name="Normal 48 8 3 2 3" xfId="10670"/>
    <cellStyle name="Normal 48 8 3 2 3 2" xfId="10671"/>
    <cellStyle name="Normal 48 8 3 2 3_FC with allocations" xfId="27800"/>
    <cellStyle name="Normal 48 8 3 2 4" xfId="10672"/>
    <cellStyle name="Normal 48 8 3 2_FC with allocations" xfId="27797"/>
    <cellStyle name="Normal 48 8 3 3" xfId="10673"/>
    <cellStyle name="Normal 48 8 3 3 2" xfId="10674"/>
    <cellStyle name="Normal 48 8 3 3 2 2" xfId="10675"/>
    <cellStyle name="Normal 48 8 3 3 2_FC with allocations" xfId="27802"/>
    <cellStyle name="Normal 48 8 3 3 3" xfId="10676"/>
    <cellStyle name="Normal 48 8 3 3_FC with allocations" xfId="27801"/>
    <cellStyle name="Normal 48 8 3 4" xfId="10677"/>
    <cellStyle name="Normal 48 8 3 4 2" xfId="10678"/>
    <cellStyle name="Normal 48 8 3 4_FC with allocations" xfId="27803"/>
    <cellStyle name="Normal 48 8 3 5" xfId="10679"/>
    <cellStyle name="Normal 48 8 3_FC with allocations" xfId="27796"/>
    <cellStyle name="Normal 48 8 4" xfId="10680"/>
    <cellStyle name="Normal 48 8 4 2" xfId="10681"/>
    <cellStyle name="Normal 48 8 4 2 2" xfId="10682"/>
    <cellStyle name="Normal 48 8 4 2 2 2" xfId="10683"/>
    <cellStyle name="Normal 48 8 4 2 2_FC with allocations" xfId="27806"/>
    <cellStyle name="Normal 48 8 4 2 3" xfId="10684"/>
    <cellStyle name="Normal 48 8 4 2_FC with allocations" xfId="27805"/>
    <cellStyle name="Normal 48 8 4 3" xfId="10685"/>
    <cellStyle name="Normal 48 8 4 3 2" xfId="10686"/>
    <cellStyle name="Normal 48 8 4 3_FC with allocations" xfId="27807"/>
    <cellStyle name="Normal 48 8 4 4" xfId="10687"/>
    <cellStyle name="Normal 48 8 4_FC with allocations" xfId="27804"/>
    <cellStyle name="Normal 48 8 5" xfId="10688"/>
    <cellStyle name="Normal 48 8 5 2" xfId="10689"/>
    <cellStyle name="Normal 48 8 5 2 2" xfId="10690"/>
    <cellStyle name="Normal 48 8 5 2_FC with allocations" xfId="27809"/>
    <cellStyle name="Normal 48 8 5 3" xfId="10691"/>
    <cellStyle name="Normal 48 8 5_FC with allocations" xfId="27808"/>
    <cellStyle name="Normal 48 8 6" xfId="10692"/>
    <cellStyle name="Normal 48 8 6 2" xfId="10693"/>
    <cellStyle name="Normal 48 8 6 2 2" xfId="10694"/>
    <cellStyle name="Normal 48 8 6 2_FC with allocations" xfId="27811"/>
    <cellStyle name="Normal 48 8 6 3" xfId="10695"/>
    <cellStyle name="Normal 48 8 6_FC with allocations" xfId="27810"/>
    <cellStyle name="Normal 48 8 7" xfId="10696"/>
    <cellStyle name="Normal 48 8 7 2" xfId="10697"/>
    <cellStyle name="Normal 48 8 7_FC with allocations" xfId="27812"/>
    <cellStyle name="Normal 48 8 8" xfId="10698"/>
    <cellStyle name="Normal 48 8_FC with allocations" xfId="27787"/>
    <cellStyle name="Normal 48 9" xfId="10699"/>
    <cellStyle name="Normal 48 9 2" xfId="10700"/>
    <cellStyle name="Normal 48 9 2 2" xfId="10701"/>
    <cellStyle name="Normal 48 9 2 2 2" xfId="10702"/>
    <cellStyle name="Normal 48 9 2 2 2 2" xfId="10703"/>
    <cellStyle name="Normal 48 9 2 2 2 2 2" xfId="10704"/>
    <cellStyle name="Normal 48 9 2 2 2 2_FC with allocations" xfId="27817"/>
    <cellStyle name="Normal 48 9 2 2 2 3" xfId="10705"/>
    <cellStyle name="Normal 48 9 2 2 2_FC with allocations" xfId="27816"/>
    <cellStyle name="Normal 48 9 2 2 3" xfId="10706"/>
    <cellStyle name="Normal 48 9 2 2 3 2" xfId="10707"/>
    <cellStyle name="Normal 48 9 2 2 3_FC with allocations" xfId="27818"/>
    <cellStyle name="Normal 48 9 2 2 4" xfId="10708"/>
    <cellStyle name="Normal 48 9 2 2_FC with allocations" xfId="27815"/>
    <cellStyle name="Normal 48 9 2 3" xfId="10709"/>
    <cellStyle name="Normal 48 9 2 3 2" xfId="10710"/>
    <cellStyle name="Normal 48 9 2 3 2 2" xfId="10711"/>
    <cellStyle name="Normal 48 9 2 3 2_FC with allocations" xfId="27820"/>
    <cellStyle name="Normal 48 9 2 3 3" xfId="10712"/>
    <cellStyle name="Normal 48 9 2 3_FC with allocations" xfId="27819"/>
    <cellStyle name="Normal 48 9 2 4" xfId="10713"/>
    <cellStyle name="Normal 48 9 2 4 2" xfId="10714"/>
    <cellStyle name="Normal 48 9 2 4_FC with allocations" xfId="27821"/>
    <cellStyle name="Normal 48 9 2 5" xfId="10715"/>
    <cellStyle name="Normal 48 9 2_FC with allocations" xfId="27814"/>
    <cellStyle name="Normal 48 9 3" xfId="10716"/>
    <cellStyle name="Normal 48 9 3 2" xfId="10717"/>
    <cellStyle name="Normal 48 9 3 2 2" xfId="10718"/>
    <cellStyle name="Normal 48 9 3 2 2 2" xfId="10719"/>
    <cellStyle name="Normal 48 9 3 2 2 2 2" xfId="10720"/>
    <cellStyle name="Normal 48 9 3 2 2 2_FC with allocations" xfId="27825"/>
    <cellStyle name="Normal 48 9 3 2 2 3" xfId="10721"/>
    <cellStyle name="Normal 48 9 3 2 2_FC with allocations" xfId="27824"/>
    <cellStyle name="Normal 48 9 3 2 3" xfId="10722"/>
    <cellStyle name="Normal 48 9 3 2 3 2" xfId="10723"/>
    <cellStyle name="Normal 48 9 3 2 3_FC with allocations" xfId="27826"/>
    <cellStyle name="Normal 48 9 3 2 4" xfId="10724"/>
    <cellStyle name="Normal 48 9 3 2_FC with allocations" xfId="27823"/>
    <cellStyle name="Normal 48 9 3 3" xfId="10725"/>
    <cellStyle name="Normal 48 9 3 3 2" xfId="10726"/>
    <cellStyle name="Normal 48 9 3 3 2 2" xfId="10727"/>
    <cellStyle name="Normal 48 9 3 3 2_FC with allocations" xfId="27828"/>
    <cellStyle name="Normal 48 9 3 3 3" xfId="10728"/>
    <cellStyle name="Normal 48 9 3 3_FC with allocations" xfId="27827"/>
    <cellStyle name="Normal 48 9 3 4" xfId="10729"/>
    <cellStyle name="Normal 48 9 3 4 2" xfId="10730"/>
    <cellStyle name="Normal 48 9 3 4_FC with allocations" xfId="27829"/>
    <cellStyle name="Normal 48 9 3 5" xfId="10731"/>
    <cellStyle name="Normal 48 9 3_FC with allocations" xfId="27822"/>
    <cellStyle name="Normal 48 9 4" xfId="10732"/>
    <cellStyle name="Normal 48 9 4 2" xfId="10733"/>
    <cellStyle name="Normal 48 9 4 2 2" xfId="10734"/>
    <cellStyle name="Normal 48 9 4 2 2 2" xfId="10735"/>
    <cellStyle name="Normal 48 9 4 2 2_FC with allocations" xfId="27832"/>
    <cellStyle name="Normal 48 9 4 2 3" xfId="10736"/>
    <cellStyle name="Normal 48 9 4 2_FC with allocations" xfId="27831"/>
    <cellStyle name="Normal 48 9 4 3" xfId="10737"/>
    <cellStyle name="Normal 48 9 4 3 2" xfId="10738"/>
    <cellStyle name="Normal 48 9 4 3_FC with allocations" xfId="27833"/>
    <cellStyle name="Normal 48 9 4 4" xfId="10739"/>
    <cellStyle name="Normal 48 9 4_FC with allocations" xfId="27830"/>
    <cellStyle name="Normal 48 9 5" xfId="10740"/>
    <cellStyle name="Normal 48 9 5 2" xfId="10741"/>
    <cellStyle name="Normal 48 9 5 2 2" xfId="10742"/>
    <cellStyle name="Normal 48 9 5 2_FC with allocations" xfId="27835"/>
    <cellStyle name="Normal 48 9 5 3" xfId="10743"/>
    <cellStyle name="Normal 48 9 5_FC with allocations" xfId="27834"/>
    <cellStyle name="Normal 48 9 6" xfId="10744"/>
    <cellStyle name="Normal 48 9 6 2" xfId="10745"/>
    <cellStyle name="Normal 48 9 6 2 2" xfId="10746"/>
    <cellStyle name="Normal 48 9 6 2_FC with allocations" xfId="27837"/>
    <cellStyle name="Normal 48 9 6 3" xfId="10747"/>
    <cellStyle name="Normal 48 9 6_FC with allocations" xfId="27836"/>
    <cellStyle name="Normal 48 9 7" xfId="10748"/>
    <cellStyle name="Normal 48 9 7 2" xfId="10749"/>
    <cellStyle name="Normal 48 9 7_FC with allocations" xfId="27838"/>
    <cellStyle name="Normal 48 9 8" xfId="10750"/>
    <cellStyle name="Normal 48 9_FC with allocations" xfId="27813"/>
    <cellStyle name="Normal 48_FC with allocations" xfId="27439"/>
    <cellStyle name="Normal 49" xfId="2182"/>
    <cellStyle name="Normal 49 10" xfId="10752"/>
    <cellStyle name="Normal 49 10 2" xfId="10753"/>
    <cellStyle name="Normal 49 10 2 2" xfId="10754"/>
    <cellStyle name="Normal 49 10 2 2 2" xfId="10755"/>
    <cellStyle name="Normal 49 10 2 2 2 2" xfId="10756"/>
    <cellStyle name="Normal 49 10 2 2 2 2 2" xfId="10757"/>
    <cellStyle name="Normal 49 10 2 2 2 2_FC with allocations" xfId="27844"/>
    <cellStyle name="Normal 49 10 2 2 2 3" xfId="10758"/>
    <cellStyle name="Normal 49 10 2 2 2_FC with allocations" xfId="27843"/>
    <cellStyle name="Normal 49 10 2 2 3" xfId="10759"/>
    <cellStyle name="Normal 49 10 2 2 3 2" xfId="10760"/>
    <cellStyle name="Normal 49 10 2 2 3_FC with allocations" xfId="27845"/>
    <cellStyle name="Normal 49 10 2 2 4" xfId="10761"/>
    <cellStyle name="Normal 49 10 2 2_FC with allocations" xfId="27842"/>
    <cellStyle name="Normal 49 10 2 3" xfId="10762"/>
    <cellStyle name="Normal 49 10 2 3 2" xfId="10763"/>
    <cellStyle name="Normal 49 10 2 3 2 2" xfId="10764"/>
    <cellStyle name="Normal 49 10 2 3 2_FC with allocations" xfId="27847"/>
    <cellStyle name="Normal 49 10 2 3 3" xfId="10765"/>
    <cellStyle name="Normal 49 10 2 3_FC with allocations" xfId="27846"/>
    <cellStyle name="Normal 49 10 2 4" xfId="10766"/>
    <cellStyle name="Normal 49 10 2 4 2" xfId="10767"/>
    <cellStyle name="Normal 49 10 2 4_FC with allocations" xfId="27848"/>
    <cellStyle name="Normal 49 10 2 5" xfId="10768"/>
    <cellStyle name="Normal 49 10 2_FC with allocations" xfId="27841"/>
    <cellStyle name="Normal 49 10 3" xfId="10769"/>
    <cellStyle name="Normal 49 10 3 2" xfId="10770"/>
    <cellStyle name="Normal 49 10 3 2 2" xfId="10771"/>
    <cellStyle name="Normal 49 10 3 2 2 2" xfId="10772"/>
    <cellStyle name="Normal 49 10 3 2 2 2 2" xfId="10773"/>
    <cellStyle name="Normal 49 10 3 2 2 2_FC with allocations" xfId="27852"/>
    <cellStyle name="Normal 49 10 3 2 2 3" xfId="10774"/>
    <cellStyle name="Normal 49 10 3 2 2_FC with allocations" xfId="27851"/>
    <cellStyle name="Normal 49 10 3 2 3" xfId="10775"/>
    <cellStyle name="Normal 49 10 3 2 3 2" xfId="10776"/>
    <cellStyle name="Normal 49 10 3 2 3_FC with allocations" xfId="27853"/>
    <cellStyle name="Normal 49 10 3 2 4" xfId="10777"/>
    <cellStyle name="Normal 49 10 3 2_FC with allocations" xfId="27850"/>
    <cellStyle name="Normal 49 10 3 3" xfId="10778"/>
    <cellStyle name="Normal 49 10 3 3 2" xfId="10779"/>
    <cellStyle name="Normal 49 10 3 3 2 2" xfId="10780"/>
    <cellStyle name="Normal 49 10 3 3 2_FC with allocations" xfId="27855"/>
    <cellStyle name="Normal 49 10 3 3 3" xfId="10781"/>
    <cellStyle name="Normal 49 10 3 3_FC with allocations" xfId="27854"/>
    <cellStyle name="Normal 49 10 3 4" xfId="10782"/>
    <cellStyle name="Normal 49 10 3 4 2" xfId="10783"/>
    <cellStyle name="Normal 49 10 3 4_FC with allocations" xfId="27856"/>
    <cellStyle name="Normal 49 10 3 5" xfId="10784"/>
    <cellStyle name="Normal 49 10 3_FC with allocations" xfId="27849"/>
    <cellStyle name="Normal 49 10 4" xfId="10785"/>
    <cellStyle name="Normal 49 10 4 2" xfId="10786"/>
    <cellStyle name="Normal 49 10 4 2 2" xfId="10787"/>
    <cellStyle name="Normal 49 10 4 2 2 2" xfId="10788"/>
    <cellStyle name="Normal 49 10 4 2 2_FC with allocations" xfId="27859"/>
    <cellStyle name="Normal 49 10 4 2 3" xfId="10789"/>
    <cellStyle name="Normal 49 10 4 2_FC with allocations" xfId="27858"/>
    <cellStyle name="Normal 49 10 4 3" xfId="10790"/>
    <cellStyle name="Normal 49 10 4 3 2" xfId="10791"/>
    <cellStyle name="Normal 49 10 4 3_FC with allocations" xfId="27860"/>
    <cellStyle name="Normal 49 10 4 4" xfId="10792"/>
    <cellStyle name="Normal 49 10 4_FC with allocations" xfId="27857"/>
    <cellStyle name="Normal 49 10 5" xfId="10793"/>
    <cellStyle name="Normal 49 10 5 2" xfId="10794"/>
    <cellStyle name="Normal 49 10 5 2 2" xfId="10795"/>
    <cellStyle name="Normal 49 10 5 2_FC with allocations" xfId="27862"/>
    <cellStyle name="Normal 49 10 5 3" xfId="10796"/>
    <cellStyle name="Normal 49 10 5_FC with allocations" xfId="27861"/>
    <cellStyle name="Normal 49 10 6" xfId="10797"/>
    <cellStyle name="Normal 49 10 6 2" xfId="10798"/>
    <cellStyle name="Normal 49 10 6 2 2" xfId="10799"/>
    <cellStyle name="Normal 49 10 6 2_FC with allocations" xfId="27864"/>
    <cellStyle name="Normal 49 10 6 3" xfId="10800"/>
    <cellStyle name="Normal 49 10 6_FC with allocations" xfId="27863"/>
    <cellStyle name="Normal 49 10 7" xfId="10801"/>
    <cellStyle name="Normal 49 10 7 2" xfId="10802"/>
    <cellStyle name="Normal 49 10 7_FC with allocations" xfId="27865"/>
    <cellStyle name="Normal 49 10 8" xfId="10803"/>
    <cellStyle name="Normal 49 10_FC with allocations" xfId="27840"/>
    <cellStyle name="Normal 49 11" xfId="10804"/>
    <cellStyle name="Normal 49 11 2" xfId="10805"/>
    <cellStyle name="Normal 49 11 2 2" xfId="10806"/>
    <cellStyle name="Normal 49 11 2 2 2" xfId="10807"/>
    <cellStyle name="Normal 49 11 2 2 2 2" xfId="10808"/>
    <cellStyle name="Normal 49 11 2 2 2 2 2" xfId="10809"/>
    <cellStyle name="Normal 49 11 2 2 2 2_FC with allocations" xfId="27870"/>
    <cellStyle name="Normal 49 11 2 2 2 3" xfId="10810"/>
    <cellStyle name="Normal 49 11 2 2 2_FC with allocations" xfId="27869"/>
    <cellStyle name="Normal 49 11 2 2 3" xfId="10811"/>
    <cellStyle name="Normal 49 11 2 2 3 2" xfId="10812"/>
    <cellStyle name="Normal 49 11 2 2 3_FC with allocations" xfId="27871"/>
    <cellStyle name="Normal 49 11 2 2 4" xfId="10813"/>
    <cellStyle name="Normal 49 11 2 2_FC with allocations" xfId="27868"/>
    <cellStyle name="Normal 49 11 2 3" xfId="10814"/>
    <cellStyle name="Normal 49 11 2 3 2" xfId="10815"/>
    <cellStyle name="Normal 49 11 2 3 2 2" xfId="10816"/>
    <cellStyle name="Normal 49 11 2 3 2_FC with allocations" xfId="27873"/>
    <cellStyle name="Normal 49 11 2 3 3" xfId="10817"/>
    <cellStyle name="Normal 49 11 2 3_FC with allocations" xfId="27872"/>
    <cellStyle name="Normal 49 11 2 4" xfId="10818"/>
    <cellStyle name="Normal 49 11 2 4 2" xfId="10819"/>
    <cellStyle name="Normal 49 11 2 4_FC with allocations" xfId="27874"/>
    <cellStyle name="Normal 49 11 2 5" xfId="10820"/>
    <cellStyle name="Normal 49 11 2_FC with allocations" xfId="27867"/>
    <cellStyle name="Normal 49 11 3" xfId="10821"/>
    <cellStyle name="Normal 49 11 3 2" xfId="10822"/>
    <cellStyle name="Normal 49 11 3 2 2" xfId="10823"/>
    <cellStyle name="Normal 49 11 3 2 2 2" xfId="10824"/>
    <cellStyle name="Normal 49 11 3 2 2 2 2" xfId="10825"/>
    <cellStyle name="Normal 49 11 3 2 2 2_FC with allocations" xfId="27878"/>
    <cellStyle name="Normal 49 11 3 2 2 3" xfId="10826"/>
    <cellStyle name="Normal 49 11 3 2 2_FC with allocations" xfId="27877"/>
    <cellStyle name="Normal 49 11 3 2 3" xfId="10827"/>
    <cellStyle name="Normal 49 11 3 2 3 2" xfId="10828"/>
    <cellStyle name="Normal 49 11 3 2 3_FC with allocations" xfId="27879"/>
    <cellStyle name="Normal 49 11 3 2 4" xfId="10829"/>
    <cellStyle name="Normal 49 11 3 2_FC with allocations" xfId="27876"/>
    <cellStyle name="Normal 49 11 3 3" xfId="10830"/>
    <cellStyle name="Normal 49 11 3 3 2" xfId="10831"/>
    <cellStyle name="Normal 49 11 3 3 2 2" xfId="10832"/>
    <cellStyle name="Normal 49 11 3 3 2_FC with allocations" xfId="27881"/>
    <cellStyle name="Normal 49 11 3 3 3" xfId="10833"/>
    <cellStyle name="Normal 49 11 3 3_FC with allocations" xfId="27880"/>
    <cellStyle name="Normal 49 11 3 4" xfId="10834"/>
    <cellStyle name="Normal 49 11 3 4 2" xfId="10835"/>
    <cellStyle name="Normal 49 11 3 4_FC with allocations" xfId="27882"/>
    <cellStyle name="Normal 49 11 3 5" xfId="10836"/>
    <cellStyle name="Normal 49 11 3_FC with allocations" xfId="27875"/>
    <cellStyle name="Normal 49 11 4" xfId="10837"/>
    <cellStyle name="Normal 49 11 4 2" xfId="10838"/>
    <cellStyle name="Normal 49 11 4 2 2" xfId="10839"/>
    <cellStyle name="Normal 49 11 4 2 2 2" xfId="10840"/>
    <cellStyle name="Normal 49 11 4 2 2_FC with allocations" xfId="27885"/>
    <cellStyle name="Normal 49 11 4 2 3" xfId="10841"/>
    <cellStyle name="Normal 49 11 4 2_FC with allocations" xfId="27884"/>
    <cellStyle name="Normal 49 11 4 3" xfId="10842"/>
    <cellStyle name="Normal 49 11 4 3 2" xfId="10843"/>
    <cellStyle name="Normal 49 11 4 3_FC with allocations" xfId="27886"/>
    <cellStyle name="Normal 49 11 4 4" xfId="10844"/>
    <cellStyle name="Normal 49 11 4_FC with allocations" xfId="27883"/>
    <cellStyle name="Normal 49 11 5" xfId="10845"/>
    <cellStyle name="Normal 49 11 5 2" xfId="10846"/>
    <cellStyle name="Normal 49 11 5 2 2" xfId="10847"/>
    <cellStyle name="Normal 49 11 5 2_FC with allocations" xfId="27888"/>
    <cellStyle name="Normal 49 11 5 3" xfId="10848"/>
    <cellStyle name="Normal 49 11 5_FC with allocations" xfId="27887"/>
    <cellStyle name="Normal 49 11 6" xfId="10849"/>
    <cellStyle name="Normal 49 11 6 2" xfId="10850"/>
    <cellStyle name="Normal 49 11 6 2 2" xfId="10851"/>
    <cellStyle name="Normal 49 11 6 2_FC with allocations" xfId="27890"/>
    <cellStyle name="Normal 49 11 6 3" xfId="10852"/>
    <cellStyle name="Normal 49 11 6_FC with allocations" xfId="27889"/>
    <cellStyle name="Normal 49 11 7" xfId="10853"/>
    <cellStyle name="Normal 49 11 7 2" xfId="10854"/>
    <cellStyle name="Normal 49 11 7_FC with allocations" xfId="27891"/>
    <cellStyle name="Normal 49 11 8" xfId="10855"/>
    <cellStyle name="Normal 49 11_FC with allocations" xfId="27866"/>
    <cellStyle name="Normal 49 12" xfId="10856"/>
    <cellStyle name="Normal 49 12 2" xfId="10857"/>
    <cellStyle name="Normal 49 12 2 2" xfId="10858"/>
    <cellStyle name="Normal 49 12 2 2 2" xfId="10859"/>
    <cellStyle name="Normal 49 12 2 2 2 2" xfId="10860"/>
    <cellStyle name="Normal 49 12 2 2 2 2 2" xfId="10861"/>
    <cellStyle name="Normal 49 12 2 2 2 2_FC with allocations" xfId="27896"/>
    <cellStyle name="Normal 49 12 2 2 2 3" xfId="10862"/>
    <cellStyle name="Normal 49 12 2 2 2_FC with allocations" xfId="27895"/>
    <cellStyle name="Normal 49 12 2 2 3" xfId="10863"/>
    <cellStyle name="Normal 49 12 2 2 3 2" xfId="10864"/>
    <cellStyle name="Normal 49 12 2 2 3_FC with allocations" xfId="27897"/>
    <cellStyle name="Normal 49 12 2 2 4" xfId="10865"/>
    <cellStyle name="Normal 49 12 2 2_FC with allocations" xfId="27894"/>
    <cellStyle name="Normal 49 12 2 3" xfId="10866"/>
    <cellStyle name="Normal 49 12 2 3 2" xfId="10867"/>
    <cellStyle name="Normal 49 12 2 3 2 2" xfId="10868"/>
    <cellStyle name="Normal 49 12 2 3 2_FC with allocations" xfId="27899"/>
    <cellStyle name="Normal 49 12 2 3 3" xfId="10869"/>
    <cellStyle name="Normal 49 12 2 3_FC with allocations" xfId="27898"/>
    <cellStyle name="Normal 49 12 2 4" xfId="10870"/>
    <cellStyle name="Normal 49 12 2 4 2" xfId="10871"/>
    <cellStyle name="Normal 49 12 2 4_FC with allocations" xfId="27900"/>
    <cellStyle name="Normal 49 12 2 5" xfId="10872"/>
    <cellStyle name="Normal 49 12 2_FC with allocations" xfId="27893"/>
    <cellStyle name="Normal 49 12 3" xfId="10873"/>
    <cellStyle name="Normal 49 12 3 2" xfId="10874"/>
    <cellStyle name="Normal 49 12 3 2 2" xfId="10875"/>
    <cellStyle name="Normal 49 12 3 2 2 2" xfId="10876"/>
    <cellStyle name="Normal 49 12 3 2 2 2 2" xfId="10877"/>
    <cellStyle name="Normal 49 12 3 2 2 2_FC with allocations" xfId="27904"/>
    <cellStyle name="Normal 49 12 3 2 2 3" xfId="10878"/>
    <cellStyle name="Normal 49 12 3 2 2_FC with allocations" xfId="27903"/>
    <cellStyle name="Normal 49 12 3 2 3" xfId="10879"/>
    <cellStyle name="Normal 49 12 3 2 3 2" xfId="10880"/>
    <cellStyle name="Normal 49 12 3 2 3_FC with allocations" xfId="27905"/>
    <cellStyle name="Normal 49 12 3 2 4" xfId="10881"/>
    <cellStyle name="Normal 49 12 3 2_FC with allocations" xfId="27902"/>
    <cellStyle name="Normal 49 12 3 3" xfId="10882"/>
    <cellStyle name="Normal 49 12 3 3 2" xfId="10883"/>
    <cellStyle name="Normal 49 12 3 3 2 2" xfId="10884"/>
    <cellStyle name="Normal 49 12 3 3 2_FC with allocations" xfId="27907"/>
    <cellStyle name="Normal 49 12 3 3 3" xfId="10885"/>
    <cellStyle name="Normal 49 12 3 3_FC with allocations" xfId="27906"/>
    <cellStyle name="Normal 49 12 3 4" xfId="10886"/>
    <cellStyle name="Normal 49 12 3 4 2" xfId="10887"/>
    <cellStyle name="Normal 49 12 3 4_FC with allocations" xfId="27908"/>
    <cellStyle name="Normal 49 12 3 5" xfId="10888"/>
    <cellStyle name="Normal 49 12 3_FC with allocations" xfId="27901"/>
    <cellStyle name="Normal 49 12 4" xfId="10889"/>
    <cellStyle name="Normal 49 12 4 2" xfId="10890"/>
    <cellStyle name="Normal 49 12 4 2 2" xfId="10891"/>
    <cellStyle name="Normal 49 12 4 2 2 2" xfId="10892"/>
    <cellStyle name="Normal 49 12 4 2 2_FC with allocations" xfId="27911"/>
    <cellStyle name="Normal 49 12 4 2 3" xfId="10893"/>
    <cellStyle name="Normal 49 12 4 2_FC with allocations" xfId="27910"/>
    <cellStyle name="Normal 49 12 4 3" xfId="10894"/>
    <cellStyle name="Normal 49 12 4 3 2" xfId="10895"/>
    <cellStyle name="Normal 49 12 4 3_FC with allocations" xfId="27912"/>
    <cellStyle name="Normal 49 12 4 4" xfId="10896"/>
    <cellStyle name="Normal 49 12 4_FC with allocations" xfId="27909"/>
    <cellStyle name="Normal 49 12 5" xfId="10897"/>
    <cellStyle name="Normal 49 12 5 2" xfId="10898"/>
    <cellStyle name="Normal 49 12 5 2 2" xfId="10899"/>
    <cellStyle name="Normal 49 12 5 2_FC with allocations" xfId="27914"/>
    <cellStyle name="Normal 49 12 5 3" xfId="10900"/>
    <cellStyle name="Normal 49 12 5_FC with allocations" xfId="27913"/>
    <cellStyle name="Normal 49 12 6" xfId="10901"/>
    <cellStyle name="Normal 49 12 6 2" xfId="10902"/>
    <cellStyle name="Normal 49 12 6 2 2" xfId="10903"/>
    <cellStyle name="Normal 49 12 6 2_FC with allocations" xfId="27916"/>
    <cellStyle name="Normal 49 12 6 3" xfId="10904"/>
    <cellStyle name="Normal 49 12 6_FC with allocations" xfId="27915"/>
    <cellStyle name="Normal 49 12 7" xfId="10905"/>
    <cellStyle name="Normal 49 12 7 2" xfId="10906"/>
    <cellStyle name="Normal 49 12 7_FC with allocations" xfId="27917"/>
    <cellStyle name="Normal 49 12 8" xfId="10907"/>
    <cellStyle name="Normal 49 12_FC with allocations" xfId="27892"/>
    <cellStyle name="Normal 49 13" xfId="10908"/>
    <cellStyle name="Normal 49 13 2" xfId="10909"/>
    <cellStyle name="Normal 49 13 2 2" xfId="10910"/>
    <cellStyle name="Normal 49 13 2 2 2" xfId="10911"/>
    <cellStyle name="Normal 49 13 2 2 2 2" xfId="10912"/>
    <cellStyle name="Normal 49 13 2 2 2 2 2" xfId="10913"/>
    <cellStyle name="Normal 49 13 2 2 2 2_FC with allocations" xfId="27922"/>
    <cellStyle name="Normal 49 13 2 2 2 3" xfId="10914"/>
    <cellStyle name="Normal 49 13 2 2 2_FC with allocations" xfId="27921"/>
    <cellStyle name="Normal 49 13 2 2 3" xfId="10915"/>
    <cellStyle name="Normal 49 13 2 2 3 2" xfId="10916"/>
    <cellStyle name="Normal 49 13 2 2 3_FC with allocations" xfId="27923"/>
    <cellStyle name="Normal 49 13 2 2 4" xfId="10917"/>
    <cellStyle name="Normal 49 13 2 2_FC with allocations" xfId="27920"/>
    <cellStyle name="Normal 49 13 2 3" xfId="10918"/>
    <cellStyle name="Normal 49 13 2 3 2" xfId="10919"/>
    <cellStyle name="Normal 49 13 2 3 2 2" xfId="10920"/>
    <cellStyle name="Normal 49 13 2 3 2_FC with allocations" xfId="27925"/>
    <cellStyle name="Normal 49 13 2 3 3" xfId="10921"/>
    <cellStyle name="Normal 49 13 2 3_FC with allocations" xfId="27924"/>
    <cellStyle name="Normal 49 13 2 4" xfId="10922"/>
    <cellStyle name="Normal 49 13 2 4 2" xfId="10923"/>
    <cellStyle name="Normal 49 13 2 4_FC with allocations" xfId="27926"/>
    <cellStyle name="Normal 49 13 2 5" xfId="10924"/>
    <cellStyle name="Normal 49 13 2_FC with allocations" xfId="27919"/>
    <cellStyle name="Normal 49 13 3" xfId="10925"/>
    <cellStyle name="Normal 49 13 3 2" xfId="10926"/>
    <cellStyle name="Normal 49 13 3 2 2" xfId="10927"/>
    <cellStyle name="Normal 49 13 3 2 2 2" xfId="10928"/>
    <cellStyle name="Normal 49 13 3 2 2 2 2" xfId="10929"/>
    <cellStyle name="Normal 49 13 3 2 2 2_FC with allocations" xfId="27930"/>
    <cellStyle name="Normal 49 13 3 2 2 3" xfId="10930"/>
    <cellStyle name="Normal 49 13 3 2 2_FC with allocations" xfId="27929"/>
    <cellStyle name="Normal 49 13 3 2 3" xfId="10931"/>
    <cellStyle name="Normal 49 13 3 2 3 2" xfId="10932"/>
    <cellStyle name="Normal 49 13 3 2 3_FC with allocations" xfId="27931"/>
    <cellStyle name="Normal 49 13 3 2 4" xfId="10933"/>
    <cellStyle name="Normal 49 13 3 2_FC with allocations" xfId="27928"/>
    <cellStyle name="Normal 49 13 3 3" xfId="10934"/>
    <cellStyle name="Normal 49 13 3 3 2" xfId="10935"/>
    <cellStyle name="Normal 49 13 3 3 2 2" xfId="10936"/>
    <cellStyle name="Normal 49 13 3 3 2_FC with allocations" xfId="27933"/>
    <cellStyle name="Normal 49 13 3 3 3" xfId="10937"/>
    <cellStyle name="Normal 49 13 3 3_FC with allocations" xfId="27932"/>
    <cellStyle name="Normal 49 13 3 4" xfId="10938"/>
    <cellStyle name="Normal 49 13 3 4 2" xfId="10939"/>
    <cellStyle name="Normal 49 13 3 4_FC with allocations" xfId="27934"/>
    <cellStyle name="Normal 49 13 3 5" xfId="10940"/>
    <cellStyle name="Normal 49 13 3_FC with allocations" xfId="27927"/>
    <cellStyle name="Normal 49 13 4" xfId="10941"/>
    <cellStyle name="Normal 49 13 4 2" xfId="10942"/>
    <cellStyle name="Normal 49 13 4 2 2" xfId="10943"/>
    <cellStyle name="Normal 49 13 4 2 2 2" xfId="10944"/>
    <cellStyle name="Normal 49 13 4 2 2_FC with allocations" xfId="27937"/>
    <cellStyle name="Normal 49 13 4 2 3" xfId="10945"/>
    <cellStyle name="Normal 49 13 4 2_FC with allocations" xfId="27936"/>
    <cellStyle name="Normal 49 13 4 3" xfId="10946"/>
    <cellStyle name="Normal 49 13 4 3 2" xfId="10947"/>
    <cellStyle name="Normal 49 13 4 3_FC with allocations" xfId="27938"/>
    <cellStyle name="Normal 49 13 4 4" xfId="10948"/>
    <cellStyle name="Normal 49 13 4_FC with allocations" xfId="27935"/>
    <cellStyle name="Normal 49 13 5" xfId="10949"/>
    <cellStyle name="Normal 49 13 5 2" xfId="10950"/>
    <cellStyle name="Normal 49 13 5 2 2" xfId="10951"/>
    <cellStyle name="Normal 49 13 5 2_FC with allocations" xfId="27940"/>
    <cellStyle name="Normal 49 13 5 3" xfId="10952"/>
    <cellStyle name="Normal 49 13 5_FC with allocations" xfId="27939"/>
    <cellStyle name="Normal 49 13 6" xfId="10953"/>
    <cellStyle name="Normal 49 13 6 2" xfId="10954"/>
    <cellStyle name="Normal 49 13 6 2 2" xfId="10955"/>
    <cellStyle name="Normal 49 13 6 2_FC with allocations" xfId="27942"/>
    <cellStyle name="Normal 49 13 6 3" xfId="10956"/>
    <cellStyle name="Normal 49 13 6_FC with allocations" xfId="27941"/>
    <cellStyle name="Normal 49 13 7" xfId="10957"/>
    <cellStyle name="Normal 49 13 7 2" xfId="10958"/>
    <cellStyle name="Normal 49 13 7_FC with allocations" xfId="27943"/>
    <cellStyle name="Normal 49 13 8" xfId="10959"/>
    <cellStyle name="Normal 49 13_FC with allocations" xfId="27918"/>
    <cellStyle name="Normal 49 14" xfId="10960"/>
    <cellStyle name="Normal 49 14 2" xfId="10961"/>
    <cellStyle name="Normal 49 14 2 2" xfId="10962"/>
    <cellStyle name="Normal 49 14 2 2 2" xfId="10963"/>
    <cellStyle name="Normal 49 14 2 2 2 2" xfId="10964"/>
    <cellStyle name="Normal 49 14 2 2 2 2 2" xfId="10965"/>
    <cellStyle name="Normal 49 14 2 2 2 2_FC with allocations" xfId="27948"/>
    <cellStyle name="Normal 49 14 2 2 2 3" xfId="10966"/>
    <cellStyle name="Normal 49 14 2 2 2_FC with allocations" xfId="27947"/>
    <cellStyle name="Normal 49 14 2 2 3" xfId="10967"/>
    <cellStyle name="Normal 49 14 2 2 3 2" xfId="10968"/>
    <cellStyle name="Normal 49 14 2 2 3_FC with allocations" xfId="27949"/>
    <cellStyle name="Normal 49 14 2 2 4" xfId="10969"/>
    <cellStyle name="Normal 49 14 2 2_FC with allocations" xfId="27946"/>
    <cellStyle name="Normal 49 14 2 3" xfId="10970"/>
    <cellStyle name="Normal 49 14 2 3 2" xfId="10971"/>
    <cellStyle name="Normal 49 14 2 3 2 2" xfId="10972"/>
    <cellStyle name="Normal 49 14 2 3 2_FC with allocations" xfId="27951"/>
    <cellStyle name="Normal 49 14 2 3 3" xfId="10973"/>
    <cellStyle name="Normal 49 14 2 3_FC with allocations" xfId="27950"/>
    <cellStyle name="Normal 49 14 2 4" xfId="10974"/>
    <cellStyle name="Normal 49 14 2 4 2" xfId="10975"/>
    <cellStyle name="Normal 49 14 2 4_FC with allocations" xfId="27952"/>
    <cellStyle name="Normal 49 14 2 5" xfId="10976"/>
    <cellStyle name="Normal 49 14 2_FC with allocations" xfId="27945"/>
    <cellStyle name="Normal 49 14 3" xfId="10977"/>
    <cellStyle name="Normal 49 14 3 2" xfId="10978"/>
    <cellStyle name="Normal 49 14 3 2 2" xfId="10979"/>
    <cellStyle name="Normal 49 14 3 2 2 2" xfId="10980"/>
    <cellStyle name="Normal 49 14 3 2 2 2 2" xfId="10981"/>
    <cellStyle name="Normal 49 14 3 2 2 2_FC with allocations" xfId="27956"/>
    <cellStyle name="Normal 49 14 3 2 2 3" xfId="10982"/>
    <cellStyle name="Normal 49 14 3 2 2_FC with allocations" xfId="27955"/>
    <cellStyle name="Normal 49 14 3 2 3" xfId="10983"/>
    <cellStyle name="Normal 49 14 3 2 3 2" xfId="10984"/>
    <cellStyle name="Normal 49 14 3 2 3_FC with allocations" xfId="27957"/>
    <cellStyle name="Normal 49 14 3 2 4" xfId="10985"/>
    <cellStyle name="Normal 49 14 3 2_FC with allocations" xfId="27954"/>
    <cellStyle name="Normal 49 14 3 3" xfId="10986"/>
    <cellStyle name="Normal 49 14 3 3 2" xfId="10987"/>
    <cellStyle name="Normal 49 14 3 3 2 2" xfId="10988"/>
    <cellStyle name="Normal 49 14 3 3 2_FC with allocations" xfId="27959"/>
    <cellStyle name="Normal 49 14 3 3 3" xfId="10989"/>
    <cellStyle name="Normal 49 14 3 3_FC with allocations" xfId="27958"/>
    <cellStyle name="Normal 49 14 3 4" xfId="10990"/>
    <cellStyle name="Normal 49 14 3 4 2" xfId="10991"/>
    <cellStyle name="Normal 49 14 3 4_FC with allocations" xfId="27960"/>
    <cellStyle name="Normal 49 14 3 5" xfId="10992"/>
    <cellStyle name="Normal 49 14 3_FC with allocations" xfId="27953"/>
    <cellStyle name="Normal 49 14 4" xfId="10993"/>
    <cellStyle name="Normal 49 14 4 2" xfId="10994"/>
    <cellStyle name="Normal 49 14 4 2 2" xfId="10995"/>
    <cellStyle name="Normal 49 14 4 2 2 2" xfId="10996"/>
    <cellStyle name="Normal 49 14 4 2 2_FC with allocations" xfId="27963"/>
    <cellStyle name="Normal 49 14 4 2 3" xfId="10997"/>
    <cellStyle name="Normal 49 14 4 2_FC with allocations" xfId="27962"/>
    <cellStyle name="Normal 49 14 4 3" xfId="10998"/>
    <cellStyle name="Normal 49 14 4 3 2" xfId="10999"/>
    <cellStyle name="Normal 49 14 4 3_FC with allocations" xfId="27964"/>
    <cellStyle name="Normal 49 14 4 4" xfId="11000"/>
    <cellStyle name="Normal 49 14 4_FC with allocations" xfId="27961"/>
    <cellStyle name="Normal 49 14 5" xfId="11001"/>
    <cellStyle name="Normal 49 14 5 2" xfId="11002"/>
    <cellStyle name="Normal 49 14 5 2 2" xfId="11003"/>
    <cellStyle name="Normal 49 14 5 2_FC with allocations" xfId="27966"/>
    <cellStyle name="Normal 49 14 5 3" xfId="11004"/>
    <cellStyle name="Normal 49 14 5_FC with allocations" xfId="27965"/>
    <cellStyle name="Normal 49 14 6" xfId="11005"/>
    <cellStyle name="Normal 49 14 6 2" xfId="11006"/>
    <cellStyle name="Normal 49 14 6 2 2" xfId="11007"/>
    <cellStyle name="Normal 49 14 6 2_FC with allocations" xfId="27968"/>
    <cellStyle name="Normal 49 14 6 3" xfId="11008"/>
    <cellStyle name="Normal 49 14 6_FC with allocations" xfId="27967"/>
    <cellStyle name="Normal 49 14 7" xfId="11009"/>
    <cellStyle name="Normal 49 14 7 2" xfId="11010"/>
    <cellStyle name="Normal 49 14 7_FC with allocations" xfId="27969"/>
    <cellStyle name="Normal 49 14 8" xfId="11011"/>
    <cellStyle name="Normal 49 14_FC with allocations" xfId="27944"/>
    <cellStyle name="Normal 49 15" xfId="11012"/>
    <cellStyle name="Normal 49 15 2" xfId="11013"/>
    <cellStyle name="Normal 49 15 2 2" xfId="11014"/>
    <cellStyle name="Normal 49 15 2 2 2" xfId="11015"/>
    <cellStyle name="Normal 49 15 2 2 2 2" xfId="11016"/>
    <cellStyle name="Normal 49 15 2 2 2 2 2" xfId="11017"/>
    <cellStyle name="Normal 49 15 2 2 2 2_FC with allocations" xfId="27974"/>
    <cellStyle name="Normal 49 15 2 2 2 3" xfId="11018"/>
    <cellStyle name="Normal 49 15 2 2 2_FC with allocations" xfId="27973"/>
    <cellStyle name="Normal 49 15 2 2 3" xfId="11019"/>
    <cellStyle name="Normal 49 15 2 2 3 2" xfId="11020"/>
    <cellStyle name="Normal 49 15 2 2 3_FC with allocations" xfId="27975"/>
    <cellStyle name="Normal 49 15 2 2 4" xfId="11021"/>
    <cellStyle name="Normal 49 15 2 2_FC with allocations" xfId="27972"/>
    <cellStyle name="Normal 49 15 2 3" xfId="11022"/>
    <cellStyle name="Normal 49 15 2 3 2" xfId="11023"/>
    <cellStyle name="Normal 49 15 2 3 2 2" xfId="11024"/>
    <cellStyle name="Normal 49 15 2 3 2_FC with allocations" xfId="27977"/>
    <cellStyle name="Normal 49 15 2 3 3" xfId="11025"/>
    <cellStyle name="Normal 49 15 2 3_FC with allocations" xfId="27976"/>
    <cellStyle name="Normal 49 15 2 4" xfId="11026"/>
    <cellStyle name="Normal 49 15 2 4 2" xfId="11027"/>
    <cellStyle name="Normal 49 15 2 4_FC with allocations" xfId="27978"/>
    <cellStyle name="Normal 49 15 2 5" xfId="11028"/>
    <cellStyle name="Normal 49 15 2_FC with allocations" xfId="27971"/>
    <cellStyle name="Normal 49 15 3" xfId="11029"/>
    <cellStyle name="Normal 49 15 3 2" xfId="11030"/>
    <cellStyle name="Normal 49 15 3 2 2" xfId="11031"/>
    <cellStyle name="Normal 49 15 3 2 2 2" xfId="11032"/>
    <cellStyle name="Normal 49 15 3 2 2 2 2" xfId="11033"/>
    <cellStyle name="Normal 49 15 3 2 2 2_FC with allocations" xfId="27982"/>
    <cellStyle name="Normal 49 15 3 2 2 3" xfId="11034"/>
    <cellStyle name="Normal 49 15 3 2 2_FC with allocations" xfId="27981"/>
    <cellStyle name="Normal 49 15 3 2 3" xfId="11035"/>
    <cellStyle name="Normal 49 15 3 2 3 2" xfId="11036"/>
    <cellStyle name="Normal 49 15 3 2 3_FC with allocations" xfId="27983"/>
    <cellStyle name="Normal 49 15 3 2 4" xfId="11037"/>
    <cellStyle name="Normal 49 15 3 2_FC with allocations" xfId="27980"/>
    <cellStyle name="Normal 49 15 3 3" xfId="11038"/>
    <cellStyle name="Normal 49 15 3 3 2" xfId="11039"/>
    <cellStyle name="Normal 49 15 3 3 2 2" xfId="11040"/>
    <cellStyle name="Normal 49 15 3 3 2_FC with allocations" xfId="27985"/>
    <cellStyle name="Normal 49 15 3 3 3" xfId="11041"/>
    <cellStyle name="Normal 49 15 3 3_FC with allocations" xfId="27984"/>
    <cellStyle name="Normal 49 15 3 4" xfId="11042"/>
    <cellStyle name="Normal 49 15 3 4 2" xfId="11043"/>
    <cellStyle name="Normal 49 15 3 4_FC with allocations" xfId="27986"/>
    <cellStyle name="Normal 49 15 3 5" xfId="11044"/>
    <cellStyle name="Normal 49 15 3_FC with allocations" xfId="27979"/>
    <cellStyle name="Normal 49 15 4" xfId="11045"/>
    <cellStyle name="Normal 49 15 4 2" xfId="11046"/>
    <cellStyle name="Normal 49 15 4 2 2" xfId="11047"/>
    <cellStyle name="Normal 49 15 4 2 2 2" xfId="11048"/>
    <cellStyle name="Normal 49 15 4 2 2_FC with allocations" xfId="27989"/>
    <cellStyle name="Normal 49 15 4 2 3" xfId="11049"/>
    <cellStyle name="Normal 49 15 4 2_FC with allocations" xfId="27988"/>
    <cellStyle name="Normal 49 15 4 3" xfId="11050"/>
    <cellStyle name="Normal 49 15 4 3 2" xfId="11051"/>
    <cellStyle name="Normal 49 15 4 3_FC with allocations" xfId="27990"/>
    <cellStyle name="Normal 49 15 4 4" xfId="11052"/>
    <cellStyle name="Normal 49 15 4_FC with allocations" xfId="27987"/>
    <cellStyle name="Normal 49 15 5" xfId="11053"/>
    <cellStyle name="Normal 49 15 5 2" xfId="11054"/>
    <cellStyle name="Normal 49 15 5 2 2" xfId="11055"/>
    <cellStyle name="Normal 49 15 5 2_FC with allocations" xfId="27992"/>
    <cellStyle name="Normal 49 15 5 3" xfId="11056"/>
    <cellStyle name="Normal 49 15 5_FC with allocations" xfId="27991"/>
    <cellStyle name="Normal 49 15 6" xfId="11057"/>
    <cellStyle name="Normal 49 15 6 2" xfId="11058"/>
    <cellStyle name="Normal 49 15 6 2 2" xfId="11059"/>
    <cellStyle name="Normal 49 15 6 2_FC with allocations" xfId="27994"/>
    <cellStyle name="Normal 49 15 6 3" xfId="11060"/>
    <cellStyle name="Normal 49 15 6_FC with allocations" xfId="27993"/>
    <cellStyle name="Normal 49 15 7" xfId="11061"/>
    <cellStyle name="Normal 49 15 7 2" xfId="11062"/>
    <cellStyle name="Normal 49 15 7_FC with allocations" xfId="27995"/>
    <cellStyle name="Normal 49 15 8" xfId="11063"/>
    <cellStyle name="Normal 49 15_FC with allocations" xfId="27970"/>
    <cellStyle name="Normal 49 16" xfId="11064"/>
    <cellStyle name="Normal 49 16 2" xfId="11065"/>
    <cellStyle name="Normal 49 16 2 2" xfId="11066"/>
    <cellStyle name="Normal 49 16 2 2 2" xfId="11067"/>
    <cellStyle name="Normal 49 16 2 2 2 2" xfId="11068"/>
    <cellStyle name="Normal 49 16 2 2 2_FC with allocations" xfId="27999"/>
    <cellStyle name="Normal 49 16 2 2 3" xfId="11069"/>
    <cellStyle name="Normal 49 16 2 2_FC with allocations" xfId="27998"/>
    <cellStyle name="Normal 49 16 2 3" xfId="11070"/>
    <cellStyle name="Normal 49 16 2 3 2" xfId="11071"/>
    <cellStyle name="Normal 49 16 2 3_FC with allocations" xfId="28000"/>
    <cellStyle name="Normal 49 16 2 4" xfId="11072"/>
    <cellStyle name="Normal 49 16 2_FC with allocations" xfId="27997"/>
    <cellStyle name="Normal 49 16 3" xfId="11073"/>
    <cellStyle name="Normal 49 16 3 2" xfId="11074"/>
    <cellStyle name="Normal 49 16 3 2 2" xfId="11075"/>
    <cellStyle name="Normal 49 16 3 2_FC with allocations" xfId="28002"/>
    <cellStyle name="Normal 49 16 3 3" xfId="11076"/>
    <cellStyle name="Normal 49 16 3_FC with allocations" xfId="28001"/>
    <cellStyle name="Normal 49 16 4" xfId="11077"/>
    <cellStyle name="Normal 49 16 4 2" xfId="11078"/>
    <cellStyle name="Normal 49 16 4_FC with allocations" xfId="28003"/>
    <cellStyle name="Normal 49 16 5" xfId="11079"/>
    <cellStyle name="Normal 49 16_FC with allocations" xfId="27996"/>
    <cellStyle name="Normal 49 17" xfId="11080"/>
    <cellStyle name="Normal 49 17 2" xfId="11081"/>
    <cellStyle name="Normal 49 17 2 2" xfId="11082"/>
    <cellStyle name="Normal 49 17 2 2 2" xfId="11083"/>
    <cellStyle name="Normal 49 17 2 2 2 2" xfId="11084"/>
    <cellStyle name="Normal 49 17 2 2 2_FC with allocations" xfId="28007"/>
    <cellStyle name="Normal 49 17 2 2 3" xfId="11085"/>
    <cellStyle name="Normal 49 17 2 2_FC with allocations" xfId="28006"/>
    <cellStyle name="Normal 49 17 2 3" xfId="11086"/>
    <cellStyle name="Normal 49 17 2 3 2" xfId="11087"/>
    <cellStyle name="Normal 49 17 2 3_FC with allocations" xfId="28008"/>
    <cellStyle name="Normal 49 17 2 4" xfId="11088"/>
    <cellStyle name="Normal 49 17 2_FC with allocations" xfId="28005"/>
    <cellStyle name="Normal 49 17 3" xfId="11089"/>
    <cellStyle name="Normal 49 17 3 2" xfId="11090"/>
    <cellStyle name="Normal 49 17 3 2 2" xfId="11091"/>
    <cellStyle name="Normal 49 17 3 2_FC with allocations" xfId="28010"/>
    <cellStyle name="Normal 49 17 3 3" xfId="11092"/>
    <cellStyle name="Normal 49 17 3_FC with allocations" xfId="28009"/>
    <cellStyle name="Normal 49 17 4" xfId="11093"/>
    <cellStyle name="Normal 49 17 4 2" xfId="11094"/>
    <cellStyle name="Normal 49 17 4 2 2" xfId="11095"/>
    <cellStyle name="Normal 49 17 4 2_FC with allocations" xfId="28012"/>
    <cellStyle name="Normal 49 17 4 3" xfId="11096"/>
    <cellStyle name="Normal 49 17 4_FC with allocations" xfId="28011"/>
    <cellStyle name="Normal 49 17_FC with allocations" xfId="28004"/>
    <cellStyle name="Normal 49 18" xfId="11097"/>
    <cellStyle name="Normal 49 18 2" xfId="11098"/>
    <cellStyle name="Normal 49 18 2 2" xfId="11099"/>
    <cellStyle name="Normal 49 18 2 2 2" xfId="11100"/>
    <cellStyle name="Normal 49 18 2 2 2 2" xfId="11101"/>
    <cellStyle name="Normal 49 18 2 2 2_FC with allocations" xfId="28016"/>
    <cellStyle name="Normal 49 18 2 2 3" xfId="11102"/>
    <cellStyle name="Normal 49 18 2 2_FC with allocations" xfId="28015"/>
    <cellStyle name="Normal 49 18 2 3" xfId="11103"/>
    <cellStyle name="Normal 49 18 2 3 2" xfId="11104"/>
    <cellStyle name="Normal 49 18 2 3_FC with allocations" xfId="28017"/>
    <cellStyle name="Normal 49 18 2 4" xfId="11105"/>
    <cellStyle name="Normal 49 18 2_FC with allocations" xfId="28014"/>
    <cellStyle name="Normal 49 18 3" xfId="11106"/>
    <cellStyle name="Normal 49 18 3 2" xfId="11107"/>
    <cellStyle name="Normal 49 18 3 2 2" xfId="11108"/>
    <cellStyle name="Normal 49 18 3 2_FC with allocations" xfId="28019"/>
    <cellStyle name="Normal 49 18 3 3" xfId="11109"/>
    <cellStyle name="Normal 49 18 3_FC with allocations" xfId="28018"/>
    <cellStyle name="Normal 49 18 4" xfId="11110"/>
    <cellStyle name="Normal 49 18 4 2" xfId="11111"/>
    <cellStyle name="Normal 49 18 4_FC with allocations" xfId="28020"/>
    <cellStyle name="Normal 49 18 5" xfId="11112"/>
    <cellStyle name="Normal 49 18_FC with allocations" xfId="28013"/>
    <cellStyle name="Normal 49 19" xfId="11113"/>
    <cellStyle name="Normal 49 19 2" xfId="11114"/>
    <cellStyle name="Normal 49 19 2 2" xfId="11115"/>
    <cellStyle name="Normal 49 19 2 2 2" xfId="11116"/>
    <cellStyle name="Normal 49 19 2 2_FC with allocations" xfId="28023"/>
    <cellStyle name="Normal 49 19 2 3" xfId="11117"/>
    <cellStyle name="Normal 49 19 2_FC with allocations" xfId="28022"/>
    <cellStyle name="Normal 49 19 3" xfId="11118"/>
    <cellStyle name="Normal 49 19 3 2" xfId="11119"/>
    <cellStyle name="Normal 49 19 3_FC with allocations" xfId="28024"/>
    <cellStyle name="Normal 49 19 4" xfId="11120"/>
    <cellStyle name="Normal 49 19_FC with allocations" xfId="28021"/>
    <cellStyle name="Normal 49 2" xfId="11121"/>
    <cellStyle name="Normal 49 2 2" xfId="11122"/>
    <cellStyle name="Normal 49 2 2 2" xfId="11123"/>
    <cellStyle name="Normal 49 2 2 2 2" xfId="11124"/>
    <cellStyle name="Normal 49 2 2 2 2 2" xfId="11125"/>
    <cellStyle name="Normal 49 2 2 2 2 2 2" xfId="11126"/>
    <cellStyle name="Normal 49 2 2 2 2 2_FC with allocations" xfId="28029"/>
    <cellStyle name="Normal 49 2 2 2 2 3" xfId="11127"/>
    <cellStyle name="Normal 49 2 2 2 2_FC with allocations" xfId="28028"/>
    <cellStyle name="Normal 49 2 2 2 3" xfId="11128"/>
    <cellStyle name="Normal 49 2 2 2 3 2" xfId="11129"/>
    <cellStyle name="Normal 49 2 2 2 3_FC with allocations" xfId="28030"/>
    <cellStyle name="Normal 49 2 2 2 4" xfId="11130"/>
    <cellStyle name="Normal 49 2 2 2_FC with allocations" xfId="28027"/>
    <cellStyle name="Normal 49 2 2 3" xfId="11131"/>
    <cellStyle name="Normal 49 2 2 3 2" xfId="11132"/>
    <cellStyle name="Normal 49 2 2 3 2 2" xfId="11133"/>
    <cellStyle name="Normal 49 2 2 3 2_FC with allocations" xfId="28032"/>
    <cellStyle name="Normal 49 2 2 3 3" xfId="11134"/>
    <cellStyle name="Normal 49 2 2 3_FC with allocations" xfId="28031"/>
    <cellStyle name="Normal 49 2 2 4" xfId="11135"/>
    <cellStyle name="Normal 49 2 2 4 2" xfId="11136"/>
    <cellStyle name="Normal 49 2 2 4_FC with allocations" xfId="28033"/>
    <cellStyle name="Normal 49 2 2 5" xfId="11137"/>
    <cellStyle name="Normal 49 2 2_FC with allocations" xfId="28026"/>
    <cellStyle name="Normal 49 2 3" xfId="11138"/>
    <cellStyle name="Normal 49 2 3 2" xfId="11139"/>
    <cellStyle name="Normal 49 2 3 2 2" xfId="11140"/>
    <cellStyle name="Normal 49 2 3 2 2 2" xfId="11141"/>
    <cellStyle name="Normal 49 2 3 2 2 2 2" xfId="11142"/>
    <cellStyle name="Normal 49 2 3 2 2 2_FC with allocations" xfId="28037"/>
    <cellStyle name="Normal 49 2 3 2 2 3" xfId="11143"/>
    <cellStyle name="Normal 49 2 3 2 2_FC with allocations" xfId="28036"/>
    <cellStyle name="Normal 49 2 3 2 3" xfId="11144"/>
    <cellStyle name="Normal 49 2 3 2 3 2" xfId="11145"/>
    <cellStyle name="Normal 49 2 3 2 3_FC with allocations" xfId="28038"/>
    <cellStyle name="Normal 49 2 3 2 4" xfId="11146"/>
    <cellStyle name="Normal 49 2 3 2_FC with allocations" xfId="28035"/>
    <cellStyle name="Normal 49 2 3 3" xfId="11147"/>
    <cellStyle name="Normal 49 2 3 3 2" xfId="11148"/>
    <cellStyle name="Normal 49 2 3 3 2 2" xfId="11149"/>
    <cellStyle name="Normal 49 2 3 3 2_FC with allocations" xfId="28040"/>
    <cellStyle name="Normal 49 2 3 3 3" xfId="11150"/>
    <cellStyle name="Normal 49 2 3 3_FC with allocations" xfId="28039"/>
    <cellStyle name="Normal 49 2 3 4" xfId="11151"/>
    <cellStyle name="Normal 49 2 3 4 2" xfId="11152"/>
    <cellStyle name="Normal 49 2 3 4_FC with allocations" xfId="28041"/>
    <cellStyle name="Normal 49 2 3 5" xfId="11153"/>
    <cellStyle name="Normal 49 2 3_FC with allocations" xfId="28034"/>
    <cellStyle name="Normal 49 2 4" xfId="11154"/>
    <cellStyle name="Normal 49 2 4 2" xfId="11155"/>
    <cellStyle name="Normal 49 2 4 2 2" xfId="11156"/>
    <cellStyle name="Normal 49 2 4 2 2 2" xfId="11157"/>
    <cellStyle name="Normal 49 2 4 2 2_FC with allocations" xfId="28044"/>
    <cellStyle name="Normal 49 2 4 2 3" xfId="11158"/>
    <cellStyle name="Normal 49 2 4 2_FC with allocations" xfId="28043"/>
    <cellStyle name="Normal 49 2 4 3" xfId="11159"/>
    <cellStyle name="Normal 49 2 4 3 2" xfId="11160"/>
    <cellStyle name="Normal 49 2 4 3_FC with allocations" xfId="28045"/>
    <cellStyle name="Normal 49 2 4 4" xfId="11161"/>
    <cellStyle name="Normal 49 2 4_FC with allocations" xfId="28042"/>
    <cellStyle name="Normal 49 2 5" xfId="11162"/>
    <cellStyle name="Normal 49 2 5 2" xfId="11163"/>
    <cellStyle name="Normal 49 2 5 2 2" xfId="11164"/>
    <cellStyle name="Normal 49 2 5 2_FC with allocations" xfId="28047"/>
    <cellStyle name="Normal 49 2 5 3" xfId="11165"/>
    <cellStyle name="Normal 49 2 5_FC with allocations" xfId="28046"/>
    <cellStyle name="Normal 49 2 6" xfId="11166"/>
    <cellStyle name="Normal 49 2 6 2" xfId="11167"/>
    <cellStyle name="Normal 49 2 6 2 2" xfId="11168"/>
    <cellStyle name="Normal 49 2 6 2_FC with allocations" xfId="28049"/>
    <cellStyle name="Normal 49 2 6 3" xfId="11169"/>
    <cellStyle name="Normal 49 2 6_FC with allocations" xfId="28048"/>
    <cellStyle name="Normal 49 2 7" xfId="11170"/>
    <cellStyle name="Normal 49 2 7 2" xfId="11171"/>
    <cellStyle name="Normal 49 2 7_FC with allocations" xfId="28050"/>
    <cellStyle name="Normal 49 2 8" xfId="11172"/>
    <cellStyle name="Normal 49 2_FC with allocations" xfId="28025"/>
    <cellStyle name="Normal 49 20" xfId="11173"/>
    <cellStyle name="Normal 49 20 2" xfId="11174"/>
    <cellStyle name="Normal 49 20 2 2" xfId="11175"/>
    <cellStyle name="Normal 49 20 2_FC with allocations" xfId="28052"/>
    <cellStyle name="Normal 49 20 3" xfId="11176"/>
    <cellStyle name="Normal 49 20_FC with allocations" xfId="28051"/>
    <cellStyle name="Normal 49 21" xfId="11177"/>
    <cellStyle name="Normal 49 21 2" xfId="11178"/>
    <cellStyle name="Normal 49 21 2 2" xfId="11179"/>
    <cellStyle name="Normal 49 21 2_FC with allocations" xfId="28054"/>
    <cellStyle name="Normal 49 21 3" xfId="11180"/>
    <cellStyle name="Normal 49 21_FC with allocations" xfId="28053"/>
    <cellStyle name="Normal 49 22" xfId="11181"/>
    <cellStyle name="Normal 49 22 2" xfId="11182"/>
    <cellStyle name="Normal 49 22_FC with allocations" xfId="28055"/>
    <cellStyle name="Normal 49 23" xfId="11183"/>
    <cellStyle name="Normal 49 24" xfId="10751"/>
    <cellStyle name="Normal 49 3" xfId="11184"/>
    <cellStyle name="Normal 49 3 2" xfId="11185"/>
    <cellStyle name="Normal 49 3 2 2" xfId="11186"/>
    <cellStyle name="Normal 49 3 2 2 2" xfId="11187"/>
    <cellStyle name="Normal 49 3 2 2 2 2" xfId="11188"/>
    <cellStyle name="Normal 49 3 2 2 2 2 2" xfId="11189"/>
    <cellStyle name="Normal 49 3 2 2 2 2_FC with allocations" xfId="28060"/>
    <cellStyle name="Normal 49 3 2 2 2 3" xfId="11190"/>
    <cellStyle name="Normal 49 3 2 2 2_FC with allocations" xfId="28059"/>
    <cellStyle name="Normal 49 3 2 2 3" xfId="11191"/>
    <cellStyle name="Normal 49 3 2 2 3 2" xfId="11192"/>
    <cellStyle name="Normal 49 3 2 2 3_FC with allocations" xfId="28061"/>
    <cellStyle name="Normal 49 3 2 2 4" xfId="11193"/>
    <cellStyle name="Normal 49 3 2 2_FC with allocations" xfId="28058"/>
    <cellStyle name="Normal 49 3 2 3" xfId="11194"/>
    <cellStyle name="Normal 49 3 2 3 2" xfId="11195"/>
    <cellStyle name="Normal 49 3 2 3 2 2" xfId="11196"/>
    <cellStyle name="Normal 49 3 2 3 2_FC with allocations" xfId="28063"/>
    <cellStyle name="Normal 49 3 2 3 3" xfId="11197"/>
    <cellStyle name="Normal 49 3 2 3_FC with allocations" xfId="28062"/>
    <cellStyle name="Normal 49 3 2 4" xfId="11198"/>
    <cellStyle name="Normal 49 3 2 4 2" xfId="11199"/>
    <cellStyle name="Normal 49 3 2 4_FC with allocations" xfId="28064"/>
    <cellStyle name="Normal 49 3 2 5" xfId="11200"/>
    <cellStyle name="Normal 49 3 2_FC with allocations" xfId="28057"/>
    <cellStyle name="Normal 49 3 3" xfId="11201"/>
    <cellStyle name="Normal 49 3 3 2" xfId="11202"/>
    <cellStyle name="Normal 49 3 3 2 2" xfId="11203"/>
    <cellStyle name="Normal 49 3 3 2 2 2" xfId="11204"/>
    <cellStyle name="Normal 49 3 3 2 2 2 2" xfId="11205"/>
    <cellStyle name="Normal 49 3 3 2 2 2_FC with allocations" xfId="28068"/>
    <cellStyle name="Normal 49 3 3 2 2 3" xfId="11206"/>
    <cellStyle name="Normal 49 3 3 2 2_FC with allocations" xfId="28067"/>
    <cellStyle name="Normal 49 3 3 2 3" xfId="11207"/>
    <cellStyle name="Normal 49 3 3 2 3 2" xfId="11208"/>
    <cellStyle name="Normal 49 3 3 2 3_FC with allocations" xfId="28069"/>
    <cellStyle name="Normal 49 3 3 2 4" xfId="11209"/>
    <cellStyle name="Normal 49 3 3 2_FC with allocations" xfId="28066"/>
    <cellStyle name="Normal 49 3 3 3" xfId="11210"/>
    <cellStyle name="Normal 49 3 3 3 2" xfId="11211"/>
    <cellStyle name="Normal 49 3 3 3 2 2" xfId="11212"/>
    <cellStyle name="Normal 49 3 3 3 2_FC with allocations" xfId="28071"/>
    <cellStyle name="Normal 49 3 3 3 3" xfId="11213"/>
    <cellStyle name="Normal 49 3 3 3_FC with allocations" xfId="28070"/>
    <cellStyle name="Normal 49 3 3 4" xfId="11214"/>
    <cellStyle name="Normal 49 3 3 4 2" xfId="11215"/>
    <cellStyle name="Normal 49 3 3 4_FC with allocations" xfId="28072"/>
    <cellStyle name="Normal 49 3 3 5" xfId="11216"/>
    <cellStyle name="Normal 49 3 3_FC with allocations" xfId="28065"/>
    <cellStyle name="Normal 49 3 4" xfId="11217"/>
    <cellStyle name="Normal 49 3 4 2" xfId="11218"/>
    <cellStyle name="Normal 49 3 4 2 2" xfId="11219"/>
    <cellStyle name="Normal 49 3 4 2 2 2" xfId="11220"/>
    <cellStyle name="Normal 49 3 4 2 2_FC with allocations" xfId="28075"/>
    <cellStyle name="Normal 49 3 4 2 3" xfId="11221"/>
    <cellStyle name="Normal 49 3 4 2_FC with allocations" xfId="28074"/>
    <cellStyle name="Normal 49 3 4 3" xfId="11222"/>
    <cellStyle name="Normal 49 3 4 3 2" xfId="11223"/>
    <cellStyle name="Normal 49 3 4 3_FC with allocations" xfId="28076"/>
    <cellStyle name="Normal 49 3 4 4" xfId="11224"/>
    <cellStyle name="Normal 49 3 4_FC with allocations" xfId="28073"/>
    <cellStyle name="Normal 49 3 5" xfId="11225"/>
    <cellStyle name="Normal 49 3 5 2" xfId="11226"/>
    <cellStyle name="Normal 49 3 5 2 2" xfId="11227"/>
    <cellStyle name="Normal 49 3 5 2_FC with allocations" xfId="28078"/>
    <cellStyle name="Normal 49 3 5 3" xfId="11228"/>
    <cellStyle name="Normal 49 3 5_FC with allocations" xfId="28077"/>
    <cellStyle name="Normal 49 3 6" xfId="11229"/>
    <cellStyle name="Normal 49 3 6 2" xfId="11230"/>
    <cellStyle name="Normal 49 3 6 2 2" xfId="11231"/>
    <cellStyle name="Normal 49 3 6 2_FC with allocations" xfId="28080"/>
    <cellStyle name="Normal 49 3 6 3" xfId="11232"/>
    <cellStyle name="Normal 49 3 6_FC with allocations" xfId="28079"/>
    <cellStyle name="Normal 49 3 7" xfId="11233"/>
    <cellStyle name="Normal 49 3 7 2" xfId="11234"/>
    <cellStyle name="Normal 49 3 7_FC with allocations" xfId="28081"/>
    <cellStyle name="Normal 49 3 8" xfId="11235"/>
    <cellStyle name="Normal 49 3_FC with allocations" xfId="28056"/>
    <cellStyle name="Normal 49 4" xfId="11236"/>
    <cellStyle name="Normal 49 4 2" xfId="11237"/>
    <cellStyle name="Normal 49 4 2 2" xfId="11238"/>
    <cellStyle name="Normal 49 4 2 2 2" xfId="11239"/>
    <cellStyle name="Normal 49 4 2 2 2 2" xfId="11240"/>
    <cellStyle name="Normal 49 4 2 2 2 2 2" xfId="11241"/>
    <cellStyle name="Normal 49 4 2 2 2 2_FC with allocations" xfId="28086"/>
    <cellStyle name="Normal 49 4 2 2 2 3" xfId="11242"/>
    <cellStyle name="Normal 49 4 2 2 2_FC with allocations" xfId="28085"/>
    <cellStyle name="Normal 49 4 2 2 3" xfId="11243"/>
    <cellStyle name="Normal 49 4 2 2 3 2" xfId="11244"/>
    <cellStyle name="Normal 49 4 2 2 3_FC with allocations" xfId="28087"/>
    <cellStyle name="Normal 49 4 2 2 4" xfId="11245"/>
    <cellStyle name="Normal 49 4 2 2_FC with allocations" xfId="28084"/>
    <cellStyle name="Normal 49 4 2 3" xfId="11246"/>
    <cellStyle name="Normal 49 4 2 3 2" xfId="11247"/>
    <cellStyle name="Normal 49 4 2 3 2 2" xfId="11248"/>
    <cellStyle name="Normal 49 4 2 3 2_FC with allocations" xfId="28089"/>
    <cellStyle name="Normal 49 4 2 3 3" xfId="11249"/>
    <cellStyle name="Normal 49 4 2 3_FC with allocations" xfId="28088"/>
    <cellStyle name="Normal 49 4 2 4" xfId="11250"/>
    <cellStyle name="Normal 49 4 2 4 2" xfId="11251"/>
    <cellStyle name="Normal 49 4 2 4_FC with allocations" xfId="28090"/>
    <cellStyle name="Normal 49 4 2 5" xfId="11252"/>
    <cellStyle name="Normal 49 4 2_FC with allocations" xfId="28083"/>
    <cellStyle name="Normal 49 4 3" xfId="11253"/>
    <cellStyle name="Normal 49 4 3 2" xfId="11254"/>
    <cellStyle name="Normal 49 4 3 2 2" xfId="11255"/>
    <cellStyle name="Normal 49 4 3 2 2 2" xfId="11256"/>
    <cellStyle name="Normal 49 4 3 2 2 2 2" xfId="11257"/>
    <cellStyle name="Normal 49 4 3 2 2 2_FC with allocations" xfId="28094"/>
    <cellStyle name="Normal 49 4 3 2 2 3" xfId="11258"/>
    <cellStyle name="Normal 49 4 3 2 2_FC with allocations" xfId="28093"/>
    <cellStyle name="Normal 49 4 3 2 3" xfId="11259"/>
    <cellStyle name="Normal 49 4 3 2 3 2" xfId="11260"/>
    <cellStyle name="Normal 49 4 3 2 3_FC with allocations" xfId="28095"/>
    <cellStyle name="Normal 49 4 3 2 4" xfId="11261"/>
    <cellStyle name="Normal 49 4 3 2_FC with allocations" xfId="28092"/>
    <cellStyle name="Normal 49 4 3 3" xfId="11262"/>
    <cellStyle name="Normal 49 4 3 3 2" xfId="11263"/>
    <cellStyle name="Normal 49 4 3 3 2 2" xfId="11264"/>
    <cellStyle name="Normal 49 4 3 3 2_FC with allocations" xfId="28097"/>
    <cellStyle name="Normal 49 4 3 3 3" xfId="11265"/>
    <cellStyle name="Normal 49 4 3 3_FC with allocations" xfId="28096"/>
    <cellStyle name="Normal 49 4 3 4" xfId="11266"/>
    <cellStyle name="Normal 49 4 3 4 2" xfId="11267"/>
    <cellStyle name="Normal 49 4 3 4_FC with allocations" xfId="28098"/>
    <cellStyle name="Normal 49 4 3 5" xfId="11268"/>
    <cellStyle name="Normal 49 4 3_FC with allocations" xfId="28091"/>
    <cellStyle name="Normal 49 4 4" xfId="11269"/>
    <cellStyle name="Normal 49 4 4 2" xfId="11270"/>
    <cellStyle name="Normal 49 4 4 2 2" xfId="11271"/>
    <cellStyle name="Normal 49 4 4 2 2 2" xfId="11272"/>
    <cellStyle name="Normal 49 4 4 2 2_FC with allocations" xfId="28101"/>
    <cellStyle name="Normal 49 4 4 2 3" xfId="11273"/>
    <cellStyle name="Normal 49 4 4 2_FC with allocations" xfId="28100"/>
    <cellStyle name="Normal 49 4 4 3" xfId="11274"/>
    <cellStyle name="Normal 49 4 4 3 2" xfId="11275"/>
    <cellStyle name="Normal 49 4 4 3_FC with allocations" xfId="28102"/>
    <cellStyle name="Normal 49 4 4 4" xfId="11276"/>
    <cellStyle name="Normal 49 4 4_FC with allocations" xfId="28099"/>
    <cellStyle name="Normal 49 4 5" xfId="11277"/>
    <cellStyle name="Normal 49 4 5 2" xfId="11278"/>
    <cellStyle name="Normal 49 4 5 2 2" xfId="11279"/>
    <cellStyle name="Normal 49 4 5 2_FC with allocations" xfId="28104"/>
    <cellStyle name="Normal 49 4 5 3" xfId="11280"/>
    <cellStyle name="Normal 49 4 5_FC with allocations" xfId="28103"/>
    <cellStyle name="Normal 49 4 6" xfId="11281"/>
    <cellStyle name="Normal 49 4 6 2" xfId="11282"/>
    <cellStyle name="Normal 49 4 6 2 2" xfId="11283"/>
    <cellStyle name="Normal 49 4 6 2_FC with allocations" xfId="28106"/>
    <cellStyle name="Normal 49 4 6 3" xfId="11284"/>
    <cellStyle name="Normal 49 4 6_FC with allocations" xfId="28105"/>
    <cellStyle name="Normal 49 4 7" xfId="11285"/>
    <cellStyle name="Normal 49 4 7 2" xfId="11286"/>
    <cellStyle name="Normal 49 4 7_FC with allocations" xfId="28107"/>
    <cellStyle name="Normal 49 4 8" xfId="11287"/>
    <cellStyle name="Normal 49 4_FC with allocations" xfId="28082"/>
    <cellStyle name="Normal 49 5" xfId="11288"/>
    <cellStyle name="Normal 49 5 2" xfId="11289"/>
    <cellStyle name="Normal 49 5 2 2" xfId="11290"/>
    <cellStyle name="Normal 49 5 2 2 2" xfId="11291"/>
    <cellStyle name="Normal 49 5 2 2 2 2" xfId="11292"/>
    <cellStyle name="Normal 49 5 2 2 2 2 2" xfId="11293"/>
    <cellStyle name="Normal 49 5 2 2 2 2_FC with allocations" xfId="28112"/>
    <cellStyle name="Normal 49 5 2 2 2 3" xfId="11294"/>
    <cellStyle name="Normal 49 5 2 2 2_FC with allocations" xfId="28111"/>
    <cellStyle name="Normal 49 5 2 2 3" xfId="11295"/>
    <cellStyle name="Normal 49 5 2 2 3 2" xfId="11296"/>
    <cellStyle name="Normal 49 5 2 2 3_FC with allocations" xfId="28113"/>
    <cellStyle name="Normal 49 5 2 2 4" xfId="11297"/>
    <cellStyle name="Normal 49 5 2 2_FC with allocations" xfId="28110"/>
    <cellStyle name="Normal 49 5 2 3" xfId="11298"/>
    <cellStyle name="Normal 49 5 2 3 2" xfId="11299"/>
    <cellStyle name="Normal 49 5 2 3 2 2" xfId="11300"/>
    <cellStyle name="Normal 49 5 2 3 2_FC with allocations" xfId="28115"/>
    <cellStyle name="Normal 49 5 2 3 3" xfId="11301"/>
    <cellStyle name="Normal 49 5 2 3_FC with allocations" xfId="28114"/>
    <cellStyle name="Normal 49 5 2 4" xfId="11302"/>
    <cellStyle name="Normal 49 5 2 4 2" xfId="11303"/>
    <cellStyle name="Normal 49 5 2 4_FC with allocations" xfId="28116"/>
    <cellStyle name="Normal 49 5 2 5" xfId="11304"/>
    <cellStyle name="Normal 49 5 2_FC with allocations" xfId="28109"/>
    <cellStyle name="Normal 49 5 3" xfId="11305"/>
    <cellStyle name="Normal 49 5 3 2" xfId="11306"/>
    <cellStyle name="Normal 49 5 3 2 2" xfId="11307"/>
    <cellStyle name="Normal 49 5 3 2 2 2" xfId="11308"/>
    <cellStyle name="Normal 49 5 3 2 2 2 2" xfId="11309"/>
    <cellStyle name="Normal 49 5 3 2 2 2_FC with allocations" xfId="28120"/>
    <cellStyle name="Normal 49 5 3 2 2 3" xfId="11310"/>
    <cellStyle name="Normal 49 5 3 2 2_FC with allocations" xfId="28119"/>
    <cellStyle name="Normal 49 5 3 2 3" xfId="11311"/>
    <cellStyle name="Normal 49 5 3 2 3 2" xfId="11312"/>
    <cellStyle name="Normal 49 5 3 2 3_FC with allocations" xfId="28121"/>
    <cellStyle name="Normal 49 5 3 2 4" xfId="11313"/>
    <cellStyle name="Normal 49 5 3 2_FC with allocations" xfId="28118"/>
    <cellStyle name="Normal 49 5 3 3" xfId="11314"/>
    <cellStyle name="Normal 49 5 3 3 2" xfId="11315"/>
    <cellStyle name="Normal 49 5 3 3 2 2" xfId="11316"/>
    <cellStyle name="Normal 49 5 3 3 2_FC with allocations" xfId="28123"/>
    <cellStyle name="Normal 49 5 3 3 3" xfId="11317"/>
    <cellStyle name="Normal 49 5 3 3_FC with allocations" xfId="28122"/>
    <cellStyle name="Normal 49 5 3 4" xfId="11318"/>
    <cellStyle name="Normal 49 5 3 4 2" xfId="11319"/>
    <cellStyle name="Normal 49 5 3 4_FC with allocations" xfId="28124"/>
    <cellStyle name="Normal 49 5 3 5" xfId="11320"/>
    <cellStyle name="Normal 49 5 3_FC with allocations" xfId="28117"/>
    <cellStyle name="Normal 49 5 4" xfId="11321"/>
    <cellStyle name="Normal 49 5 4 2" xfId="11322"/>
    <cellStyle name="Normal 49 5 4 2 2" xfId="11323"/>
    <cellStyle name="Normal 49 5 4 2 2 2" xfId="11324"/>
    <cellStyle name="Normal 49 5 4 2 2_FC with allocations" xfId="28127"/>
    <cellStyle name="Normal 49 5 4 2 3" xfId="11325"/>
    <cellStyle name="Normal 49 5 4 2_FC with allocations" xfId="28126"/>
    <cellStyle name="Normal 49 5 4 3" xfId="11326"/>
    <cellStyle name="Normal 49 5 4 3 2" xfId="11327"/>
    <cellStyle name="Normal 49 5 4 3_FC with allocations" xfId="28128"/>
    <cellStyle name="Normal 49 5 4 4" xfId="11328"/>
    <cellStyle name="Normal 49 5 4_FC with allocations" xfId="28125"/>
    <cellStyle name="Normal 49 5 5" xfId="11329"/>
    <cellStyle name="Normal 49 5 5 2" xfId="11330"/>
    <cellStyle name="Normal 49 5 5 2 2" xfId="11331"/>
    <cellStyle name="Normal 49 5 5 2_FC with allocations" xfId="28130"/>
    <cellStyle name="Normal 49 5 5 3" xfId="11332"/>
    <cellStyle name="Normal 49 5 5_FC with allocations" xfId="28129"/>
    <cellStyle name="Normal 49 5 6" xfId="11333"/>
    <cellStyle name="Normal 49 5 6 2" xfId="11334"/>
    <cellStyle name="Normal 49 5 6 2 2" xfId="11335"/>
    <cellStyle name="Normal 49 5 6 2_FC with allocations" xfId="28132"/>
    <cellStyle name="Normal 49 5 6 3" xfId="11336"/>
    <cellStyle name="Normal 49 5 6_FC with allocations" xfId="28131"/>
    <cellStyle name="Normal 49 5 7" xfId="11337"/>
    <cellStyle name="Normal 49 5 7 2" xfId="11338"/>
    <cellStyle name="Normal 49 5 7_FC with allocations" xfId="28133"/>
    <cellStyle name="Normal 49 5 8" xfId="11339"/>
    <cellStyle name="Normal 49 5_FC with allocations" xfId="28108"/>
    <cellStyle name="Normal 49 6" xfId="11340"/>
    <cellStyle name="Normal 49 6 2" xfId="11341"/>
    <cellStyle name="Normal 49 6 2 2" xfId="11342"/>
    <cellStyle name="Normal 49 6 2 2 2" xfId="11343"/>
    <cellStyle name="Normal 49 6 2 2 2 2" xfId="11344"/>
    <cellStyle name="Normal 49 6 2 2 2 2 2" xfId="11345"/>
    <cellStyle name="Normal 49 6 2 2 2 2_FC with allocations" xfId="28138"/>
    <cellStyle name="Normal 49 6 2 2 2 3" xfId="11346"/>
    <cellStyle name="Normal 49 6 2 2 2_FC with allocations" xfId="28137"/>
    <cellStyle name="Normal 49 6 2 2 3" xfId="11347"/>
    <cellStyle name="Normal 49 6 2 2 3 2" xfId="11348"/>
    <cellStyle name="Normal 49 6 2 2 3_FC with allocations" xfId="28139"/>
    <cellStyle name="Normal 49 6 2 2 4" xfId="11349"/>
    <cellStyle name="Normal 49 6 2 2_FC with allocations" xfId="28136"/>
    <cellStyle name="Normal 49 6 2 3" xfId="11350"/>
    <cellStyle name="Normal 49 6 2 3 2" xfId="11351"/>
    <cellStyle name="Normal 49 6 2 3 2 2" xfId="11352"/>
    <cellStyle name="Normal 49 6 2 3 2_FC with allocations" xfId="28141"/>
    <cellStyle name="Normal 49 6 2 3 3" xfId="11353"/>
    <cellStyle name="Normal 49 6 2 3_FC with allocations" xfId="28140"/>
    <cellStyle name="Normal 49 6 2 4" xfId="11354"/>
    <cellStyle name="Normal 49 6 2 4 2" xfId="11355"/>
    <cellStyle name="Normal 49 6 2 4_FC with allocations" xfId="28142"/>
    <cellStyle name="Normal 49 6 2 5" xfId="11356"/>
    <cellStyle name="Normal 49 6 2_FC with allocations" xfId="28135"/>
    <cellStyle name="Normal 49 6 3" xfId="11357"/>
    <cellStyle name="Normal 49 6 3 2" xfId="11358"/>
    <cellStyle name="Normal 49 6 3 2 2" xfId="11359"/>
    <cellStyle name="Normal 49 6 3 2 2 2" xfId="11360"/>
    <cellStyle name="Normal 49 6 3 2 2 2 2" xfId="11361"/>
    <cellStyle name="Normal 49 6 3 2 2 2_FC with allocations" xfId="28146"/>
    <cellStyle name="Normal 49 6 3 2 2 3" xfId="11362"/>
    <cellStyle name="Normal 49 6 3 2 2_FC with allocations" xfId="28145"/>
    <cellStyle name="Normal 49 6 3 2 3" xfId="11363"/>
    <cellStyle name="Normal 49 6 3 2 3 2" xfId="11364"/>
    <cellStyle name="Normal 49 6 3 2 3_FC with allocations" xfId="28147"/>
    <cellStyle name="Normal 49 6 3 2 4" xfId="11365"/>
    <cellStyle name="Normal 49 6 3 2_FC with allocations" xfId="28144"/>
    <cellStyle name="Normal 49 6 3 3" xfId="11366"/>
    <cellStyle name="Normal 49 6 3 3 2" xfId="11367"/>
    <cellStyle name="Normal 49 6 3 3 2 2" xfId="11368"/>
    <cellStyle name="Normal 49 6 3 3 2_FC with allocations" xfId="28149"/>
    <cellStyle name="Normal 49 6 3 3 3" xfId="11369"/>
    <cellStyle name="Normal 49 6 3 3_FC with allocations" xfId="28148"/>
    <cellStyle name="Normal 49 6 3 4" xfId="11370"/>
    <cellStyle name="Normal 49 6 3 4 2" xfId="11371"/>
    <cellStyle name="Normal 49 6 3 4_FC with allocations" xfId="28150"/>
    <cellStyle name="Normal 49 6 3 5" xfId="11372"/>
    <cellStyle name="Normal 49 6 3_FC with allocations" xfId="28143"/>
    <cellStyle name="Normal 49 6 4" xfId="11373"/>
    <cellStyle name="Normal 49 6 4 2" xfId="11374"/>
    <cellStyle name="Normal 49 6 4 2 2" xfId="11375"/>
    <cellStyle name="Normal 49 6 4 2 2 2" xfId="11376"/>
    <cellStyle name="Normal 49 6 4 2 2_FC with allocations" xfId="28153"/>
    <cellStyle name="Normal 49 6 4 2 3" xfId="11377"/>
    <cellStyle name="Normal 49 6 4 2_FC with allocations" xfId="28152"/>
    <cellStyle name="Normal 49 6 4 3" xfId="11378"/>
    <cellStyle name="Normal 49 6 4 3 2" xfId="11379"/>
    <cellStyle name="Normal 49 6 4 3_FC with allocations" xfId="28154"/>
    <cellStyle name="Normal 49 6 4 4" xfId="11380"/>
    <cellStyle name="Normal 49 6 4_FC with allocations" xfId="28151"/>
    <cellStyle name="Normal 49 6 5" xfId="11381"/>
    <cellStyle name="Normal 49 6 5 2" xfId="11382"/>
    <cellStyle name="Normal 49 6 5 2 2" xfId="11383"/>
    <cellStyle name="Normal 49 6 5 2_FC with allocations" xfId="28156"/>
    <cellStyle name="Normal 49 6 5 3" xfId="11384"/>
    <cellStyle name="Normal 49 6 5_FC with allocations" xfId="28155"/>
    <cellStyle name="Normal 49 6 6" xfId="11385"/>
    <cellStyle name="Normal 49 6 6 2" xfId="11386"/>
    <cellStyle name="Normal 49 6 6 2 2" xfId="11387"/>
    <cellStyle name="Normal 49 6 6 2_FC with allocations" xfId="28158"/>
    <cellStyle name="Normal 49 6 6 3" xfId="11388"/>
    <cellStyle name="Normal 49 6 6_FC with allocations" xfId="28157"/>
    <cellStyle name="Normal 49 6 7" xfId="11389"/>
    <cellStyle name="Normal 49 6 7 2" xfId="11390"/>
    <cellStyle name="Normal 49 6 7_FC with allocations" xfId="28159"/>
    <cellStyle name="Normal 49 6 8" xfId="11391"/>
    <cellStyle name="Normal 49 6_FC with allocations" xfId="28134"/>
    <cellStyle name="Normal 49 7" xfId="11392"/>
    <cellStyle name="Normal 49 7 2" xfId="11393"/>
    <cellStyle name="Normal 49 7 2 2" xfId="11394"/>
    <cellStyle name="Normal 49 7 2 2 2" xfId="11395"/>
    <cellStyle name="Normal 49 7 2 2 2 2" xfId="11396"/>
    <cellStyle name="Normal 49 7 2 2 2 2 2" xfId="11397"/>
    <cellStyle name="Normal 49 7 2 2 2 2_FC with allocations" xfId="28164"/>
    <cellStyle name="Normal 49 7 2 2 2 3" xfId="11398"/>
    <cellStyle name="Normal 49 7 2 2 2_FC with allocations" xfId="28163"/>
    <cellStyle name="Normal 49 7 2 2 3" xfId="11399"/>
    <cellStyle name="Normal 49 7 2 2 3 2" xfId="11400"/>
    <cellStyle name="Normal 49 7 2 2 3_FC with allocations" xfId="28165"/>
    <cellStyle name="Normal 49 7 2 2 4" xfId="11401"/>
    <cellStyle name="Normal 49 7 2 2_FC with allocations" xfId="28162"/>
    <cellStyle name="Normal 49 7 2 3" xfId="11402"/>
    <cellStyle name="Normal 49 7 2 3 2" xfId="11403"/>
    <cellStyle name="Normal 49 7 2 3 2 2" xfId="11404"/>
    <cellStyle name="Normal 49 7 2 3 2_FC with allocations" xfId="28167"/>
    <cellStyle name="Normal 49 7 2 3 3" xfId="11405"/>
    <cellStyle name="Normal 49 7 2 3_FC with allocations" xfId="28166"/>
    <cellStyle name="Normal 49 7 2 4" xfId="11406"/>
    <cellStyle name="Normal 49 7 2 4 2" xfId="11407"/>
    <cellStyle name="Normal 49 7 2 4_FC with allocations" xfId="28168"/>
    <cellStyle name="Normal 49 7 2 5" xfId="11408"/>
    <cellStyle name="Normal 49 7 2_FC with allocations" xfId="28161"/>
    <cellStyle name="Normal 49 7 3" xfId="11409"/>
    <cellStyle name="Normal 49 7 3 2" xfId="11410"/>
    <cellStyle name="Normal 49 7 3 2 2" xfId="11411"/>
    <cellStyle name="Normal 49 7 3 2 2 2" xfId="11412"/>
    <cellStyle name="Normal 49 7 3 2 2 2 2" xfId="11413"/>
    <cellStyle name="Normal 49 7 3 2 2 2_FC with allocations" xfId="28172"/>
    <cellStyle name="Normal 49 7 3 2 2 3" xfId="11414"/>
    <cellStyle name="Normal 49 7 3 2 2_FC with allocations" xfId="28171"/>
    <cellStyle name="Normal 49 7 3 2 3" xfId="11415"/>
    <cellStyle name="Normal 49 7 3 2 3 2" xfId="11416"/>
    <cellStyle name="Normal 49 7 3 2 3_FC with allocations" xfId="28173"/>
    <cellStyle name="Normal 49 7 3 2 4" xfId="11417"/>
    <cellStyle name="Normal 49 7 3 2_FC with allocations" xfId="28170"/>
    <cellStyle name="Normal 49 7 3 3" xfId="11418"/>
    <cellStyle name="Normal 49 7 3 3 2" xfId="11419"/>
    <cellStyle name="Normal 49 7 3 3 2 2" xfId="11420"/>
    <cellStyle name="Normal 49 7 3 3 2_FC with allocations" xfId="28175"/>
    <cellStyle name="Normal 49 7 3 3 3" xfId="11421"/>
    <cellStyle name="Normal 49 7 3 3_FC with allocations" xfId="28174"/>
    <cellStyle name="Normal 49 7 3 4" xfId="11422"/>
    <cellStyle name="Normal 49 7 3 4 2" xfId="11423"/>
    <cellStyle name="Normal 49 7 3 4_FC with allocations" xfId="28176"/>
    <cellStyle name="Normal 49 7 3 5" xfId="11424"/>
    <cellStyle name="Normal 49 7 3_FC with allocations" xfId="28169"/>
    <cellStyle name="Normal 49 7 4" xfId="11425"/>
    <cellStyle name="Normal 49 7 4 2" xfId="11426"/>
    <cellStyle name="Normal 49 7 4 2 2" xfId="11427"/>
    <cellStyle name="Normal 49 7 4 2 2 2" xfId="11428"/>
    <cellStyle name="Normal 49 7 4 2 2_FC with allocations" xfId="28179"/>
    <cellStyle name="Normal 49 7 4 2 3" xfId="11429"/>
    <cellStyle name="Normal 49 7 4 2_FC with allocations" xfId="28178"/>
    <cellStyle name="Normal 49 7 4 3" xfId="11430"/>
    <cellStyle name="Normal 49 7 4 3 2" xfId="11431"/>
    <cellStyle name="Normal 49 7 4 3_FC with allocations" xfId="28180"/>
    <cellStyle name="Normal 49 7 4 4" xfId="11432"/>
    <cellStyle name="Normal 49 7 4_FC with allocations" xfId="28177"/>
    <cellStyle name="Normal 49 7 5" xfId="11433"/>
    <cellStyle name="Normal 49 7 5 2" xfId="11434"/>
    <cellStyle name="Normal 49 7 5 2 2" xfId="11435"/>
    <cellStyle name="Normal 49 7 5 2_FC with allocations" xfId="28182"/>
    <cellStyle name="Normal 49 7 5 3" xfId="11436"/>
    <cellStyle name="Normal 49 7 5_FC with allocations" xfId="28181"/>
    <cellStyle name="Normal 49 7 6" xfId="11437"/>
    <cellStyle name="Normal 49 7 6 2" xfId="11438"/>
    <cellStyle name="Normal 49 7 6 2 2" xfId="11439"/>
    <cellStyle name="Normal 49 7 6 2_FC with allocations" xfId="28184"/>
    <cellStyle name="Normal 49 7 6 3" xfId="11440"/>
    <cellStyle name="Normal 49 7 6_FC with allocations" xfId="28183"/>
    <cellStyle name="Normal 49 7 7" xfId="11441"/>
    <cellStyle name="Normal 49 7 7 2" xfId="11442"/>
    <cellStyle name="Normal 49 7 7_FC with allocations" xfId="28185"/>
    <cellStyle name="Normal 49 7 8" xfId="11443"/>
    <cellStyle name="Normal 49 7_FC with allocations" xfId="28160"/>
    <cellStyle name="Normal 49 8" xfId="11444"/>
    <cellStyle name="Normal 49 8 2" xfId="11445"/>
    <cellStyle name="Normal 49 8 2 2" xfId="11446"/>
    <cellStyle name="Normal 49 8 2 2 2" xfId="11447"/>
    <cellStyle name="Normal 49 8 2 2 2 2" xfId="11448"/>
    <cellStyle name="Normal 49 8 2 2 2 2 2" xfId="11449"/>
    <cellStyle name="Normal 49 8 2 2 2 2_FC with allocations" xfId="28190"/>
    <cellStyle name="Normal 49 8 2 2 2 3" xfId="11450"/>
    <cellStyle name="Normal 49 8 2 2 2_FC with allocations" xfId="28189"/>
    <cellStyle name="Normal 49 8 2 2 3" xfId="11451"/>
    <cellStyle name="Normal 49 8 2 2 3 2" xfId="11452"/>
    <cellStyle name="Normal 49 8 2 2 3_FC with allocations" xfId="28191"/>
    <cellStyle name="Normal 49 8 2 2 4" xfId="11453"/>
    <cellStyle name="Normal 49 8 2 2_FC with allocations" xfId="28188"/>
    <cellStyle name="Normal 49 8 2 3" xfId="11454"/>
    <cellStyle name="Normal 49 8 2 3 2" xfId="11455"/>
    <cellStyle name="Normal 49 8 2 3 2 2" xfId="11456"/>
    <cellStyle name="Normal 49 8 2 3 2_FC with allocations" xfId="28193"/>
    <cellStyle name="Normal 49 8 2 3 3" xfId="11457"/>
    <cellStyle name="Normal 49 8 2 3_FC with allocations" xfId="28192"/>
    <cellStyle name="Normal 49 8 2 4" xfId="11458"/>
    <cellStyle name="Normal 49 8 2 4 2" xfId="11459"/>
    <cellStyle name="Normal 49 8 2 4_FC with allocations" xfId="28194"/>
    <cellStyle name="Normal 49 8 2 5" xfId="11460"/>
    <cellStyle name="Normal 49 8 2_FC with allocations" xfId="28187"/>
    <cellStyle name="Normal 49 8 3" xfId="11461"/>
    <cellStyle name="Normal 49 8 3 2" xfId="11462"/>
    <cellStyle name="Normal 49 8 3 2 2" xfId="11463"/>
    <cellStyle name="Normal 49 8 3 2 2 2" xfId="11464"/>
    <cellStyle name="Normal 49 8 3 2 2 2 2" xfId="11465"/>
    <cellStyle name="Normal 49 8 3 2 2 2_FC with allocations" xfId="28198"/>
    <cellStyle name="Normal 49 8 3 2 2 3" xfId="11466"/>
    <cellStyle name="Normal 49 8 3 2 2_FC with allocations" xfId="28197"/>
    <cellStyle name="Normal 49 8 3 2 3" xfId="11467"/>
    <cellStyle name="Normal 49 8 3 2 3 2" xfId="11468"/>
    <cellStyle name="Normal 49 8 3 2 3_FC with allocations" xfId="28199"/>
    <cellStyle name="Normal 49 8 3 2 4" xfId="11469"/>
    <cellStyle name="Normal 49 8 3 2_FC with allocations" xfId="28196"/>
    <cellStyle name="Normal 49 8 3 3" xfId="11470"/>
    <cellStyle name="Normal 49 8 3 3 2" xfId="11471"/>
    <cellStyle name="Normal 49 8 3 3 2 2" xfId="11472"/>
    <cellStyle name="Normal 49 8 3 3 2_FC with allocations" xfId="28201"/>
    <cellStyle name="Normal 49 8 3 3 3" xfId="11473"/>
    <cellStyle name="Normal 49 8 3 3_FC with allocations" xfId="28200"/>
    <cellStyle name="Normal 49 8 3 4" xfId="11474"/>
    <cellStyle name="Normal 49 8 3 4 2" xfId="11475"/>
    <cellStyle name="Normal 49 8 3 4_FC with allocations" xfId="28202"/>
    <cellStyle name="Normal 49 8 3 5" xfId="11476"/>
    <cellStyle name="Normal 49 8 3_FC with allocations" xfId="28195"/>
    <cellStyle name="Normal 49 8 4" xfId="11477"/>
    <cellStyle name="Normal 49 8 4 2" xfId="11478"/>
    <cellStyle name="Normal 49 8 4 2 2" xfId="11479"/>
    <cellStyle name="Normal 49 8 4 2 2 2" xfId="11480"/>
    <cellStyle name="Normal 49 8 4 2 2_FC with allocations" xfId="28205"/>
    <cellStyle name="Normal 49 8 4 2 3" xfId="11481"/>
    <cellStyle name="Normal 49 8 4 2_FC with allocations" xfId="28204"/>
    <cellStyle name="Normal 49 8 4 3" xfId="11482"/>
    <cellStyle name="Normal 49 8 4 3 2" xfId="11483"/>
    <cellStyle name="Normal 49 8 4 3_FC with allocations" xfId="28206"/>
    <cellStyle name="Normal 49 8 4 4" xfId="11484"/>
    <cellStyle name="Normal 49 8 4_FC with allocations" xfId="28203"/>
    <cellStyle name="Normal 49 8 5" xfId="11485"/>
    <cellStyle name="Normal 49 8 5 2" xfId="11486"/>
    <cellStyle name="Normal 49 8 5 2 2" xfId="11487"/>
    <cellStyle name="Normal 49 8 5 2_FC with allocations" xfId="28208"/>
    <cellStyle name="Normal 49 8 5 3" xfId="11488"/>
    <cellStyle name="Normal 49 8 5_FC with allocations" xfId="28207"/>
    <cellStyle name="Normal 49 8 6" xfId="11489"/>
    <cellStyle name="Normal 49 8 6 2" xfId="11490"/>
    <cellStyle name="Normal 49 8 6 2 2" xfId="11491"/>
    <cellStyle name="Normal 49 8 6 2_FC with allocations" xfId="28210"/>
    <cellStyle name="Normal 49 8 6 3" xfId="11492"/>
    <cellStyle name="Normal 49 8 6_FC with allocations" xfId="28209"/>
    <cellStyle name="Normal 49 8 7" xfId="11493"/>
    <cellStyle name="Normal 49 8 7 2" xfId="11494"/>
    <cellStyle name="Normal 49 8 7_FC with allocations" xfId="28211"/>
    <cellStyle name="Normal 49 8 8" xfId="11495"/>
    <cellStyle name="Normal 49 8_FC with allocations" xfId="28186"/>
    <cellStyle name="Normal 49 9" xfId="11496"/>
    <cellStyle name="Normal 49 9 2" xfId="11497"/>
    <cellStyle name="Normal 49 9 2 2" xfId="11498"/>
    <cellStyle name="Normal 49 9 2 2 2" xfId="11499"/>
    <cellStyle name="Normal 49 9 2 2 2 2" xfId="11500"/>
    <cellStyle name="Normal 49 9 2 2 2 2 2" xfId="11501"/>
    <cellStyle name="Normal 49 9 2 2 2 2_FC with allocations" xfId="28216"/>
    <cellStyle name="Normal 49 9 2 2 2 3" xfId="11502"/>
    <cellStyle name="Normal 49 9 2 2 2_FC with allocations" xfId="28215"/>
    <cellStyle name="Normal 49 9 2 2 3" xfId="11503"/>
    <cellStyle name="Normal 49 9 2 2 3 2" xfId="11504"/>
    <cellStyle name="Normal 49 9 2 2 3_FC with allocations" xfId="28217"/>
    <cellStyle name="Normal 49 9 2 2 4" xfId="11505"/>
    <cellStyle name="Normal 49 9 2 2_FC with allocations" xfId="28214"/>
    <cellStyle name="Normal 49 9 2 3" xfId="11506"/>
    <cellStyle name="Normal 49 9 2 3 2" xfId="11507"/>
    <cellStyle name="Normal 49 9 2 3 2 2" xfId="11508"/>
    <cellStyle name="Normal 49 9 2 3 2_FC with allocations" xfId="28219"/>
    <cellStyle name="Normal 49 9 2 3 3" xfId="11509"/>
    <cellStyle name="Normal 49 9 2 3_FC with allocations" xfId="28218"/>
    <cellStyle name="Normal 49 9 2 4" xfId="11510"/>
    <cellStyle name="Normal 49 9 2 4 2" xfId="11511"/>
    <cellStyle name="Normal 49 9 2 4_FC with allocations" xfId="28220"/>
    <cellStyle name="Normal 49 9 2 5" xfId="11512"/>
    <cellStyle name="Normal 49 9 2_FC with allocations" xfId="28213"/>
    <cellStyle name="Normal 49 9 3" xfId="11513"/>
    <cellStyle name="Normal 49 9 3 2" xfId="11514"/>
    <cellStyle name="Normal 49 9 3 2 2" xfId="11515"/>
    <cellStyle name="Normal 49 9 3 2 2 2" xfId="11516"/>
    <cellStyle name="Normal 49 9 3 2 2 2 2" xfId="11517"/>
    <cellStyle name="Normal 49 9 3 2 2 2_FC with allocations" xfId="28224"/>
    <cellStyle name="Normal 49 9 3 2 2 3" xfId="11518"/>
    <cellStyle name="Normal 49 9 3 2 2_FC with allocations" xfId="28223"/>
    <cellStyle name="Normal 49 9 3 2 3" xfId="11519"/>
    <cellStyle name="Normal 49 9 3 2 3 2" xfId="11520"/>
    <cellStyle name="Normal 49 9 3 2 3_FC with allocations" xfId="28225"/>
    <cellStyle name="Normal 49 9 3 2 4" xfId="11521"/>
    <cellStyle name="Normal 49 9 3 2_FC with allocations" xfId="28222"/>
    <cellStyle name="Normal 49 9 3 3" xfId="11522"/>
    <cellStyle name="Normal 49 9 3 3 2" xfId="11523"/>
    <cellStyle name="Normal 49 9 3 3 2 2" xfId="11524"/>
    <cellStyle name="Normal 49 9 3 3 2_FC with allocations" xfId="28227"/>
    <cellStyle name="Normal 49 9 3 3 3" xfId="11525"/>
    <cellStyle name="Normal 49 9 3 3_FC with allocations" xfId="28226"/>
    <cellStyle name="Normal 49 9 3 4" xfId="11526"/>
    <cellStyle name="Normal 49 9 3 4 2" xfId="11527"/>
    <cellStyle name="Normal 49 9 3 4_FC with allocations" xfId="28228"/>
    <cellStyle name="Normal 49 9 3 5" xfId="11528"/>
    <cellStyle name="Normal 49 9 3_FC with allocations" xfId="28221"/>
    <cellStyle name="Normal 49 9 4" xfId="11529"/>
    <cellStyle name="Normal 49 9 4 2" xfId="11530"/>
    <cellStyle name="Normal 49 9 4 2 2" xfId="11531"/>
    <cellStyle name="Normal 49 9 4 2 2 2" xfId="11532"/>
    <cellStyle name="Normal 49 9 4 2 2_FC with allocations" xfId="28231"/>
    <cellStyle name="Normal 49 9 4 2 3" xfId="11533"/>
    <cellStyle name="Normal 49 9 4 2_FC with allocations" xfId="28230"/>
    <cellStyle name="Normal 49 9 4 3" xfId="11534"/>
    <cellStyle name="Normal 49 9 4 3 2" xfId="11535"/>
    <cellStyle name="Normal 49 9 4 3_FC with allocations" xfId="28232"/>
    <cellStyle name="Normal 49 9 4 4" xfId="11536"/>
    <cellStyle name="Normal 49 9 4_FC with allocations" xfId="28229"/>
    <cellStyle name="Normal 49 9 5" xfId="11537"/>
    <cellStyle name="Normal 49 9 5 2" xfId="11538"/>
    <cellStyle name="Normal 49 9 5 2 2" xfId="11539"/>
    <cellStyle name="Normal 49 9 5 2_FC with allocations" xfId="28234"/>
    <cellStyle name="Normal 49 9 5 3" xfId="11540"/>
    <cellStyle name="Normal 49 9 5_FC with allocations" xfId="28233"/>
    <cellStyle name="Normal 49 9 6" xfId="11541"/>
    <cellStyle name="Normal 49 9 6 2" xfId="11542"/>
    <cellStyle name="Normal 49 9 6 2 2" xfId="11543"/>
    <cellStyle name="Normal 49 9 6 2_FC with allocations" xfId="28236"/>
    <cellStyle name="Normal 49 9 6 3" xfId="11544"/>
    <cellStyle name="Normal 49 9 6_FC with allocations" xfId="28235"/>
    <cellStyle name="Normal 49 9 7" xfId="11545"/>
    <cellStyle name="Normal 49 9 7 2" xfId="11546"/>
    <cellStyle name="Normal 49 9 7_FC with allocations" xfId="28237"/>
    <cellStyle name="Normal 49 9 8" xfId="11547"/>
    <cellStyle name="Normal 49 9_FC with allocations" xfId="28212"/>
    <cellStyle name="Normal 49_FC with allocations" xfId="27839"/>
    <cellStyle name="Normal 5" xfId="2183"/>
    <cellStyle name="Normal 5 10" xfId="4487"/>
    <cellStyle name="Normal 5 10 10" xfId="19827"/>
    <cellStyle name="Normal 5 10 10 2" xfId="21836"/>
    <cellStyle name="Normal 5 10 10 3" xfId="23994"/>
    <cellStyle name="Normal 5 10 10_FC with allocations" xfId="28239"/>
    <cellStyle name="Normal 5 10 11" xfId="19904"/>
    <cellStyle name="Normal 5 10 12" xfId="21897"/>
    <cellStyle name="Normal 5 10 2" xfId="4793"/>
    <cellStyle name="Normal 5 10 2 2" xfId="11550"/>
    <cellStyle name="Normal 5 10 2 3" xfId="16671"/>
    <cellStyle name="Normal 5 10 2 3 2" xfId="18693"/>
    <cellStyle name="Normal 5 10 2 3 2 2" xfId="19712"/>
    <cellStyle name="Normal 5 10 2 3 2 2 2" xfId="21722"/>
    <cellStyle name="Normal 5 10 2 3 2 2 3" xfId="23880"/>
    <cellStyle name="Normal 5 10 2 3 2 2_FC with allocations" xfId="28243"/>
    <cellStyle name="Normal 5 10 2 3 2 3" xfId="20846"/>
    <cellStyle name="Normal 5 10 2 3 2 4" xfId="23003"/>
    <cellStyle name="Normal 5 10 2 3 2_FC with allocations" xfId="28242"/>
    <cellStyle name="Normal 5 10 2 3 3" xfId="19180"/>
    <cellStyle name="Normal 5 10 2 3 3 2" xfId="21313"/>
    <cellStyle name="Normal 5 10 2 3 3 3" xfId="23470"/>
    <cellStyle name="Normal 5 10 2 3 3_FC with allocations" xfId="28244"/>
    <cellStyle name="Normal 5 10 2 3 4" xfId="20231"/>
    <cellStyle name="Normal 5 10 2 3 5" xfId="22348"/>
    <cellStyle name="Normal 5 10 2 3_FC with allocations" xfId="28241"/>
    <cellStyle name="Normal 5 10 2 4" xfId="18256"/>
    <cellStyle name="Normal 5 10 2 4 2" xfId="19547"/>
    <cellStyle name="Normal 5 10 2 4 2 2" xfId="21557"/>
    <cellStyle name="Normal 5 10 2 4 2 3" xfId="23715"/>
    <cellStyle name="Normal 5 10 2 4 2_FC with allocations" xfId="28246"/>
    <cellStyle name="Normal 5 10 2 4 3" xfId="20680"/>
    <cellStyle name="Normal 5 10 2 4 4" xfId="22822"/>
    <cellStyle name="Normal 5 10 2 4_FC with allocations" xfId="28245"/>
    <cellStyle name="Normal 5 10 2 5" xfId="17951"/>
    <cellStyle name="Normal 5 10 2 5 2" xfId="20408"/>
    <cellStyle name="Normal 5 10 2 5 3" xfId="22548"/>
    <cellStyle name="Normal 5 10 2 5_FC with allocations" xfId="28247"/>
    <cellStyle name="Normal 5 10 2 6" xfId="18912"/>
    <cellStyle name="Normal 5 10 2 6 2" xfId="21064"/>
    <cellStyle name="Normal 5 10 2 6 3" xfId="23221"/>
    <cellStyle name="Normal 5 10 2 6_FC with allocations" xfId="28248"/>
    <cellStyle name="Normal 5 10 2 7" xfId="20063"/>
    <cellStyle name="Normal 5 10 2 8" xfId="22058"/>
    <cellStyle name="Normal 5 10 2_FC with allocations" xfId="28240"/>
    <cellStyle name="Normal 5 10 3" xfId="11549"/>
    <cellStyle name="Normal 5 10 3 2" xfId="18364"/>
    <cellStyle name="Normal 5 10 3 3" xfId="18007"/>
    <cellStyle name="Normal 5 10 3 3 2" xfId="20461"/>
    <cellStyle name="Normal 5 10 3 3 3" xfId="22601"/>
    <cellStyle name="Normal 5 10 3 3_FC with allocations" xfId="28250"/>
    <cellStyle name="Normal 5 10 3_FC with allocations" xfId="28249"/>
    <cellStyle name="Normal 5 10 4" xfId="16618"/>
    <cellStyle name="Normal 5 10 4 2" xfId="18640"/>
    <cellStyle name="Normal 5 10 4 2 2" xfId="19659"/>
    <cellStyle name="Normal 5 10 4 2 2 2" xfId="21669"/>
    <cellStyle name="Normal 5 10 4 2 2 3" xfId="23827"/>
    <cellStyle name="Normal 5 10 4 2 2_FC with allocations" xfId="28253"/>
    <cellStyle name="Normal 5 10 4 2 3" xfId="20793"/>
    <cellStyle name="Normal 5 10 4 2 4" xfId="22950"/>
    <cellStyle name="Normal 5 10 4 2_FC with allocations" xfId="28252"/>
    <cellStyle name="Normal 5 10 4 3" xfId="19126"/>
    <cellStyle name="Normal 5 10 4 3 2" xfId="21259"/>
    <cellStyle name="Normal 5 10 4 3 3" xfId="23416"/>
    <cellStyle name="Normal 5 10 4 3_FC with allocations" xfId="28254"/>
    <cellStyle name="Normal 5 10 4 4" xfId="20178"/>
    <cellStyle name="Normal 5 10 4 5" xfId="22295"/>
    <cellStyle name="Normal 5 10 4_FC with allocations" xfId="28251"/>
    <cellStyle name="Normal 5 10 5" xfId="4693"/>
    <cellStyle name="Normal 5 10 5 2" xfId="18203"/>
    <cellStyle name="Normal 5 10 5 2 2" xfId="19494"/>
    <cellStyle name="Normal 5 10 5 2 2 2" xfId="21504"/>
    <cellStyle name="Normal 5 10 5 2 2 3" xfId="23662"/>
    <cellStyle name="Normal 5 10 5 2 2_FC with allocations" xfId="28257"/>
    <cellStyle name="Normal 5 10 5 2 3" xfId="20627"/>
    <cellStyle name="Normal 5 10 5 2 4" xfId="22769"/>
    <cellStyle name="Normal 5 10 5 2_FC with allocations" xfId="28256"/>
    <cellStyle name="Normal 5 10 5 3" xfId="19213"/>
    <cellStyle name="Normal 5 10 5 3 2" xfId="21346"/>
    <cellStyle name="Normal 5 10 5 3 3" xfId="23503"/>
    <cellStyle name="Normal 5 10 5 3_FC with allocations" xfId="28258"/>
    <cellStyle name="Normal 5 10 5 4" xfId="20010"/>
    <cellStyle name="Normal 5 10 5 5" xfId="22005"/>
    <cellStyle name="Normal 5 10 5_FC with allocations" xfId="28255"/>
    <cellStyle name="Normal 5 10 6" xfId="16749"/>
    <cellStyle name="Normal 5 10 6 2" xfId="18753"/>
    <cellStyle name="Normal 5 10 6 2 2" xfId="20906"/>
    <cellStyle name="Normal 5 10 6 2 3" xfId="23063"/>
    <cellStyle name="Normal 5 10 6 2_FC with allocations" xfId="28260"/>
    <cellStyle name="Normal 5 10 6 3" xfId="19773"/>
    <cellStyle name="Normal 5 10 6 3 2" xfId="21783"/>
    <cellStyle name="Normal 5 10 6 3 3" xfId="23941"/>
    <cellStyle name="Normal 5 10 6 3_FC with allocations" xfId="28261"/>
    <cellStyle name="Normal 5 10 6 4" xfId="20292"/>
    <cellStyle name="Normal 5 10 6 5" xfId="22420"/>
    <cellStyle name="Normal 5 10 6_FC with allocations" xfId="28259"/>
    <cellStyle name="Normal 5 10 7" xfId="18069"/>
    <cellStyle name="Normal 5 10 7 2" xfId="19388"/>
    <cellStyle name="Normal 5 10 7 2 2" xfId="21398"/>
    <cellStyle name="Normal 5 10 7 2 3" xfId="23556"/>
    <cellStyle name="Normal 5 10 7 2_FC with allocations" xfId="28263"/>
    <cellStyle name="Normal 5 10 7 3" xfId="20521"/>
    <cellStyle name="Normal 5 10 7 4" xfId="22663"/>
    <cellStyle name="Normal 5 10 7_FC with allocations" xfId="28262"/>
    <cellStyle name="Normal 5 10 8" xfId="17183"/>
    <cellStyle name="Normal 5 10 9" xfId="18859"/>
    <cellStyle name="Normal 5 10 9 2" xfId="21011"/>
    <cellStyle name="Normal 5 10 9 3" xfId="23168"/>
    <cellStyle name="Normal 5 10 9_FC with allocations" xfId="28264"/>
    <cellStyle name="Normal 5 10_FC with allocations" xfId="28238"/>
    <cellStyle name="Normal 5 11" xfId="4601"/>
    <cellStyle name="Normal 5 11 2" xfId="11552"/>
    <cellStyle name="Normal 5 11 3" xfId="11553"/>
    <cellStyle name="Normal 5 11 3 2" xfId="11554"/>
    <cellStyle name="Normal 5 11 3_FC with allocations" xfId="28266"/>
    <cellStyle name="Normal 5 11 4" xfId="11555"/>
    <cellStyle name="Normal 5 11 5" xfId="11551"/>
    <cellStyle name="Normal 5 11_FC with allocations" xfId="28265"/>
    <cellStyle name="Normal 5 12" xfId="11556"/>
    <cellStyle name="Normal 5 13" xfId="11557"/>
    <cellStyle name="Normal 5 14" xfId="11558"/>
    <cellStyle name="Normal 5 14 2" xfId="11559"/>
    <cellStyle name="Normal 5 14_FC with allocations" xfId="28267"/>
    <cellStyle name="Normal 5 15" xfId="11560"/>
    <cellStyle name="Normal 5 16" xfId="11548"/>
    <cellStyle name="Normal 5 17" xfId="16559"/>
    <cellStyle name="Normal 5 17 2" xfId="18585"/>
    <cellStyle name="Normal 5 17 2 2" xfId="19604"/>
    <cellStyle name="Normal 5 17 2 2 2" xfId="21614"/>
    <cellStyle name="Normal 5 17 2 2 3" xfId="23772"/>
    <cellStyle name="Normal 5 17 2 2_FC with allocations" xfId="28270"/>
    <cellStyle name="Normal 5 17 2 3" xfId="20738"/>
    <cellStyle name="Normal 5 17 2 4" xfId="22895"/>
    <cellStyle name="Normal 5 17 2_FC with allocations" xfId="28269"/>
    <cellStyle name="Normal 5 17 3" xfId="19010"/>
    <cellStyle name="Normal 5 17 3 2" xfId="21162"/>
    <cellStyle name="Normal 5 17 3 3" xfId="23319"/>
    <cellStyle name="Normal 5 17 3_FC with allocations" xfId="28271"/>
    <cellStyle name="Normal 5 17 4" xfId="20123"/>
    <cellStyle name="Normal 5 17 5" xfId="22239"/>
    <cellStyle name="Normal 5 17_FC with allocations" xfId="28268"/>
    <cellStyle name="Normal 5 18" xfId="4544"/>
    <cellStyle name="Normal 5 18 2" xfId="18120"/>
    <cellStyle name="Normal 5 18 2 2" xfId="19439"/>
    <cellStyle name="Normal 5 18 2 2 2" xfId="21449"/>
    <cellStyle name="Normal 5 18 2 2 3" xfId="23607"/>
    <cellStyle name="Normal 5 18 2 2_FC with allocations" xfId="28274"/>
    <cellStyle name="Normal 5 18 2 3" xfId="20572"/>
    <cellStyle name="Normal 5 18 2 4" xfId="22714"/>
    <cellStyle name="Normal 5 18 2_FC with allocations" xfId="28273"/>
    <cellStyle name="Normal 5 18 3" xfId="19197"/>
    <cellStyle name="Normal 5 18 3 2" xfId="21330"/>
    <cellStyle name="Normal 5 18 3 3" xfId="23487"/>
    <cellStyle name="Normal 5 18 3_FC with allocations" xfId="28275"/>
    <cellStyle name="Normal 5 18 4" xfId="19955"/>
    <cellStyle name="Normal 5 18 5" xfId="21950"/>
    <cellStyle name="Normal 5 18_FC with allocations" xfId="28272"/>
    <cellStyle name="Normal 5 19" xfId="16841"/>
    <cellStyle name="Normal 5 19 2" xfId="20344"/>
    <cellStyle name="Normal 5 19 3" xfId="22484"/>
    <cellStyle name="Normal 5 19_FC with allocations" xfId="28276"/>
    <cellStyle name="Normal 5 2" xfId="2184"/>
    <cellStyle name="Normal 5 2 10" xfId="11562"/>
    <cellStyle name="Normal 5 2 11" xfId="11561"/>
    <cellStyle name="Normal 5 2 2" xfId="2185"/>
    <cellStyle name="Normal 5 2 2 2" xfId="11564"/>
    <cellStyle name="Normal 5 2 2 2 2" xfId="11565"/>
    <cellStyle name="Normal 5 2 2 2 2 2" xfId="11566"/>
    <cellStyle name="Normal 5 2 2 2 2 2 2" xfId="11567"/>
    <cellStyle name="Normal 5 2 2 2 2 2 2 2" xfId="11568"/>
    <cellStyle name="Normal 5 2 2 2 2 2 2 2 2" xfId="11569"/>
    <cellStyle name="Normal 5 2 2 2 2 2 2 2_FC with allocations" xfId="28283"/>
    <cellStyle name="Normal 5 2 2 2 2 2 2 3" xfId="11570"/>
    <cellStyle name="Normal 5 2 2 2 2 2 2_FC with allocations" xfId="28282"/>
    <cellStyle name="Normal 5 2 2 2 2 2 3" xfId="11571"/>
    <cellStyle name="Normal 5 2 2 2 2 2 3 2" xfId="11572"/>
    <cellStyle name="Normal 5 2 2 2 2 2 3_FC with allocations" xfId="28284"/>
    <cellStyle name="Normal 5 2 2 2 2 2 4" xfId="11573"/>
    <cellStyle name="Normal 5 2 2 2 2 2_FC with allocations" xfId="28281"/>
    <cellStyle name="Normal 5 2 2 2 2 3" xfId="11574"/>
    <cellStyle name="Normal 5 2 2 2 2 3 2" xfId="11575"/>
    <cellStyle name="Normal 5 2 2 2 2 3 2 2" xfId="11576"/>
    <cellStyle name="Normal 5 2 2 2 2 3 2_FC with allocations" xfId="28286"/>
    <cellStyle name="Normal 5 2 2 2 2 3 3" xfId="11577"/>
    <cellStyle name="Normal 5 2 2 2 2 3_FC with allocations" xfId="28285"/>
    <cellStyle name="Normal 5 2 2 2 2 4" xfId="11578"/>
    <cellStyle name="Normal 5 2 2 2 2 4 2" xfId="11579"/>
    <cellStyle name="Normal 5 2 2 2 2 4_FC with allocations" xfId="28287"/>
    <cellStyle name="Normal 5 2 2 2 2 5" xfId="11580"/>
    <cellStyle name="Normal 5 2 2 2 2_FC with allocations" xfId="28280"/>
    <cellStyle name="Normal 5 2 2 2 3" xfId="11581"/>
    <cellStyle name="Normal 5 2 2 2 3 2" xfId="11582"/>
    <cellStyle name="Normal 5 2 2 2 3 2 2" xfId="11583"/>
    <cellStyle name="Normal 5 2 2 2 3 2 2 2" xfId="11584"/>
    <cellStyle name="Normal 5 2 2 2 3 2 2_FC with allocations" xfId="28290"/>
    <cellStyle name="Normal 5 2 2 2 3 2 3" xfId="11585"/>
    <cellStyle name="Normal 5 2 2 2 3 2_FC with allocations" xfId="28289"/>
    <cellStyle name="Normal 5 2 2 2 3 3" xfId="11586"/>
    <cellStyle name="Normal 5 2 2 2 3 3 2" xfId="11587"/>
    <cellStyle name="Normal 5 2 2 2 3 3_FC with allocations" xfId="28291"/>
    <cellStyle name="Normal 5 2 2 2 3 4" xfId="11588"/>
    <cellStyle name="Normal 5 2 2 2 3_FC with allocations" xfId="28288"/>
    <cellStyle name="Normal 5 2 2 2 4" xfId="11589"/>
    <cellStyle name="Normal 5 2 2 2 4 2" xfId="11590"/>
    <cellStyle name="Normal 5 2 2 2 4 2 2" xfId="11591"/>
    <cellStyle name="Normal 5 2 2 2 4 2_FC with allocations" xfId="28293"/>
    <cellStyle name="Normal 5 2 2 2 4 3" xfId="11592"/>
    <cellStyle name="Normal 5 2 2 2 4_FC with allocations" xfId="28292"/>
    <cellStyle name="Normal 5 2 2 2 5" xfId="11593"/>
    <cellStyle name="Normal 5 2 2 2 5 2" xfId="11594"/>
    <cellStyle name="Normal 5 2 2 2 5_FC with allocations" xfId="28294"/>
    <cellStyle name="Normal 5 2 2 2 6" xfId="11595"/>
    <cellStyle name="Normal 5 2 2 2_FC with allocations" xfId="28279"/>
    <cellStyle name="Normal 5 2 2 3" xfId="11596"/>
    <cellStyle name="Normal 5 2 2 3 2" xfId="11597"/>
    <cellStyle name="Normal 5 2 2 3 2 2" xfId="11598"/>
    <cellStyle name="Normal 5 2 2 3 2 2 2" xfId="11599"/>
    <cellStyle name="Normal 5 2 2 3 2 2 2 2" xfId="11600"/>
    <cellStyle name="Normal 5 2 2 3 2 2 2_FC with allocations" xfId="28298"/>
    <cellStyle name="Normal 5 2 2 3 2 2 3" xfId="11601"/>
    <cellStyle name="Normal 5 2 2 3 2 2_FC with allocations" xfId="28297"/>
    <cellStyle name="Normal 5 2 2 3 2 3" xfId="11602"/>
    <cellStyle name="Normal 5 2 2 3 2 3 2" xfId="11603"/>
    <cellStyle name="Normal 5 2 2 3 2 3_FC with allocations" xfId="28299"/>
    <cellStyle name="Normal 5 2 2 3 2 4" xfId="11604"/>
    <cellStyle name="Normal 5 2 2 3 2_FC with allocations" xfId="28296"/>
    <cellStyle name="Normal 5 2 2 3 3" xfId="11605"/>
    <cellStyle name="Normal 5 2 2 3 3 2" xfId="11606"/>
    <cellStyle name="Normal 5 2 2 3 3 2 2" xfId="11607"/>
    <cellStyle name="Normal 5 2 2 3 3 2_FC with allocations" xfId="28301"/>
    <cellStyle name="Normal 5 2 2 3 3 3" xfId="11608"/>
    <cellStyle name="Normal 5 2 2 3 3_FC with allocations" xfId="28300"/>
    <cellStyle name="Normal 5 2 2 3 4" xfId="11609"/>
    <cellStyle name="Normal 5 2 2 3 4 2" xfId="11610"/>
    <cellStyle name="Normal 5 2 2 3 4_FC with allocations" xfId="28302"/>
    <cellStyle name="Normal 5 2 2 3 5" xfId="11611"/>
    <cellStyle name="Normal 5 2 2 3_FC with allocations" xfId="28295"/>
    <cellStyle name="Normal 5 2 2 4" xfId="11612"/>
    <cellStyle name="Normal 5 2 2 4 2" xfId="11613"/>
    <cellStyle name="Normal 5 2 2 4 2 2" xfId="11614"/>
    <cellStyle name="Normal 5 2 2 4 2 2 2" xfId="11615"/>
    <cellStyle name="Normal 5 2 2 4 2 2_FC with allocations" xfId="28305"/>
    <cellStyle name="Normal 5 2 2 4 2 3" xfId="11616"/>
    <cellStyle name="Normal 5 2 2 4 2_FC with allocations" xfId="28304"/>
    <cellStyle name="Normal 5 2 2 4 3" xfId="11617"/>
    <cellStyle name="Normal 5 2 2 4 3 2" xfId="11618"/>
    <cellStyle name="Normal 5 2 2 4 3_FC with allocations" xfId="28306"/>
    <cellStyle name="Normal 5 2 2 4 4" xfId="11619"/>
    <cellStyle name="Normal 5 2 2 4_FC with allocations" xfId="28303"/>
    <cellStyle name="Normal 5 2 2 5" xfId="11620"/>
    <cellStyle name="Normal 5 2 2 5 2" xfId="11621"/>
    <cellStyle name="Normal 5 2 2 5 2 2" xfId="11622"/>
    <cellStyle name="Normal 5 2 2 5 2_FC with allocations" xfId="28308"/>
    <cellStyle name="Normal 5 2 2 5 3" xfId="11623"/>
    <cellStyle name="Normal 5 2 2 5_FC with allocations" xfId="28307"/>
    <cellStyle name="Normal 5 2 2 6" xfId="11624"/>
    <cellStyle name="Normal 5 2 2 6 2" xfId="11625"/>
    <cellStyle name="Normal 5 2 2 6 2 2" xfId="11626"/>
    <cellStyle name="Normal 5 2 2 6 2_FC with allocations" xfId="28310"/>
    <cellStyle name="Normal 5 2 2 6 3" xfId="11627"/>
    <cellStyle name="Normal 5 2 2 6_FC with allocations" xfId="28309"/>
    <cellStyle name="Normal 5 2 2 7" xfId="11628"/>
    <cellStyle name="Normal 5 2 2 8" xfId="11563"/>
    <cellStyle name="Normal 5 2 2_FC with allocations" xfId="28278"/>
    <cellStyle name="Normal 5 2 3" xfId="2186"/>
    <cellStyle name="Normal 5 2 3 2" xfId="11630"/>
    <cellStyle name="Normal 5 2 3 2 2" xfId="11631"/>
    <cellStyle name="Normal 5 2 3 2 2 2" xfId="11632"/>
    <cellStyle name="Normal 5 2 3 2 2 2 2" xfId="11633"/>
    <cellStyle name="Normal 5 2 3 2 2 2 2 2" xfId="11634"/>
    <cellStyle name="Normal 5 2 3 2 2 2 2_FC with allocations" xfId="28315"/>
    <cellStyle name="Normal 5 2 3 2 2 2 3" xfId="11635"/>
    <cellStyle name="Normal 5 2 3 2 2 2_FC with allocations" xfId="28314"/>
    <cellStyle name="Normal 5 2 3 2 2 3" xfId="11636"/>
    <cellStyle name="Normal 5 2 3 2 2 3 2" xfId="11637"/>
    <cellStyle name="Normal 5 2 3 2 2 3_FC with allocations" xfId="28316"/>
    <cellStyle name="Normal 5 2 3 2 2 4" xfId="11638"/>
    <cellStyle name="Normal 5 2 3 2 2_FC with allocations" xfId="28313"/>
    <cellStyle name="Normal 5 2 3 2 3" xfId="11639"/>
    <cellStyle name="Normal 5 2 3 2 3 2" xfId="11640"/>
    <cellStyle name="Normal 5 2 3 2 3 2 2" xfId="11641"/>
    <cellStyle name="Normal 5 2 3 2 3 2_FC with allocations" xfId="28318"/>
    <cellStyle name="Normal 5 2 3 2 3 3" xfId="11642"/>
    <cellStyle name="Normal 5 2 3 2 3_FC with allocations" xfId="28317"/>
    <cellStyle name="Normal 5 2 3 2 4" xfId="11643"/>
    <cellStyle name="Normal 5 2 3 2 4 2" xfId="11644"/>
    <cellStyle name="Normal 5 2 3 2 4_FC with allocations" xfId="28319"/>
    <cellStyle name="Normal 5 2 3 2 5" xfId="11645"/>
    <cellStyle name="Normal 5 2 3 2_FC with allocations" xfId="28312"/>
    <cellStyle name="Normal 5 2 3 3" xfId="11646"/>
    <cellStyle name="Normal 5 2 3 3 2" xfId="11647"/>
    <cellStyle name="Normal 5 2 3 3 2 2" xfId="11648"/>
    <cellStyle name="Normal 5 2 3 3 2 2 2" xfId="11649"/>
    <cellStyle name="Normal 5 2 3 3 2 2_FC with allocations" xfId="28322"/>
    <cellStyle name="Normal 5 2 3 3 2 3" xfId="11650"/>
    <cellStyle name="Normal 5 2 3 3 2_FC with allocations" xfId="28321"/>
    <cellStyle name="Normal 5 2 3 3 3" xfId="11651"/>
    <cellStyle name="Normal 5 2 3 3 3 2" xfId="11652"/>
    <cellStyle name="Normal 5 2 3 3 3_FC with allocations" xfId="28323"/>
    <cellStyle name="Normal 5 2 3 3 4" xfId="11653"/>
    <cellStyle name="Normal 5 2 3 3_FC with allocations" xfId="28320"/>
    <cellStyle name="Normal 5 2 3 4" xfId="11654"/>
    <cellStyle name="Normal 5 2 3 4 2" xfId="11655"/>
    <cellStyle name="Normal 5 2 3 4 2 2" xfId="11656"/>
    <cellStyle name="Normal 5 2 3 4 2_FC with allocations" xfId="28325"/>
    <cellStyle name="Normal 5 2 3 4 3" xfId="11657"/>
    <cellStyle name="Normal 5 2 3 4_FC with allocations" xfId="28324"/>
    <cellStyle name="Normal 5 2 3 5" xfId="11658"/>
    <cellStyle name="Normal 5 2 3 6" xfId="11659"/>
    <cellStyle name="Normal 5 2 3 6 2" xfId="11660"/>
    <cellStyle name="Normal 5 2 3 6_FC with allocations" xfId="28326"/>
    <cellStyle name="Normal 5 2 3 7" xfId="11661"/>
    <cellStyle name="Normal 5 2 3 8" xfId="11629"/>
    <cellStyle name="Normal 5 2 3_FC with allocations" xfId="28311"/>
    <cellStyle name="Normal 5 2 4" xfId="11662"/>
    <cellStyle name="Normal 5 2 4 2" xfId="11663"/>
    <cellStyle name="Normal 5 2 4 2 2" xfId="11664"/>
    <cellStyle name="Normal 5 2 4 2 2 2" xfId="11665"/>
    <cellStyle name="Normal 5 2 4 2 2 2 2" xfId="11666"/>
    <cellStyle name="Normal 5 2 4 2 2 2_FC with allocations" xfId="28330"/>
    <cellStyle name="Normal 5 2 4 2 2 3" xfId="11667"/>
    <cellStyle name="Normal 5 2 4 2 2_FC with allocations" xfId="28329"/>
    <cellStyle name="Normal 5 2 4 2 3" xfId="11668"/>
    <cellStyle name="Normal 5 2 4 2 3 2" xfId="11669"/>
    <cellStyle name="Normal 5 2 4 2 3_FC with allocations" xfId="28331"/>
    <cellStyle name="Normal 5 2 4 2 4" xfId="11670"/>
    <cellStyle name="Normal 5 2 4 2_FC with allocations" xfId="28328"/>
    <cellStyle name="Normal 5 2 4 3" xfId="11671"/>
    <cellStyle name="Normal 5 2 4 3 2" xfId="11672"/>
    <cellStyle name="Normal 5 2 4 3 2 2" xfId="11673"/>
    <cellStyle name="Normal 5 2 4 3 2_FC with allocations" xfId="28333"/>
    <cellStyle name="Normal 5 2 4 3 3" xfId="11674"/>
    <cellStyle name="Normal 5 2 4 3_FC with allocations" xfId="28332"/>
    <cellStyle name="Normal 5 2 4 4" xfId="11675"/>
    <cellStyle name="Normal 5 2 4 4 2" xfId="11676"/>
    <cellStyle name="Normal 5 2 4 4_FC with allocations" xfId="28334"/>
    <cellStyle name="Normal 5 2 4 5" xfId="11677"/>
    <cellStyle name="Normal 5 2 4_FC with allocations" xfId="28327"/>
    <cellStyle name="Normal 5 2 5" xfId="11678"/>
    <cellStyle name="Normal 5 2 5 2" xfId="11679"/>
    <cellStyle name="Normal 5 2 5 2 2" xfId="11680"/>
    <cellStyle name="Normal 5 2 5 2 2 2" xfId="11681"/>
    <cellStyle name="Normal 5 2 5 2 2_FC with allocations" xfId="28337"/>
    <cellStyle name="Normal 5 2 5 2 3" xfId="11682"/>
    <cellStyle name="Normal 5 2 5 2_FC with allocations" xfId="28336"/>
    <cellStyle name="Normal 5 2 5 3" xfId="11683"/>
    <cellStyle name="Normal 5 2 5 3 2" xfId="11684"/>
    <cellStyle name="Normal 5 2 5 3_FC with allocations" xfId="28338"/>
    <cellStyle name="Normal 5 2 5 4" xfId="11685"/>
    <cellStyle name="Normal 5 2 5_FC with allocations" xfId="28335"/>
    <cellStyle name="Normal 5 2 6" xfId="11686"/>
    <cellStyle name="Normal 5 2 6 2" xfId="11687"/>
    <cellStyle name="Normal 5 2 6 2 2" xfId="11688"/>
    <cellStyle name="Normal 5 2 6 2_FC with allocations" xfId="28340"/>
    <cellStyle name="Normal 5 2 6 3" xfId="11689"/>
    <cellStyle name="Normal 5 2 6_FC with allocations" xfId="28339"/>
    <cellStyle name="Normal 5 2 7" xfId="11690"/>
    <cellStyle name="Normal 5 2 7 2" xfId="11691"/>
    <cellStyle name="Normal 5 2 7 2 2" xfId="11692"/>
    <cellStyle name="Normal 5 2 7 2_FC with allocations" xfId="28342"/>
    <cellStyle name="Normal 5 2 7 3" xfId="11693"/>
    <cellStyle name="Normal 5 2 7_FC with allocations" xfId="28341"/>
    <cellStyle name="Normal 5 2 8" xfId="11694"/>
    <cellStyle name="Normal 5 2 9" xfId="11695"/>
    <cellStyle name="Normal 5 2 9 2" xfId="11696"/>
    <cellStyle name="Normal 5 2 9_FC with allocations" xfId="28343"/>
    <cellStyle name="Normal 5 2_FC with allocations" xfId="28277"/>
    <cellStyle name="Normal 5 20" xfId="18803"/>
    <cellStyle name="Normal 5 20 2" xfId="20956"/>
    <cellStyle name="Normal 5 20 3" xfId="23113"/>
    <cellStyle name="Normal 5 20_FC with allocations" xfId="28344"/>
    <cellStyle name="Normal 5 3" xfId="2187"/>
    <cellStyle name="Normal 5 3 10" xfId="11697"/>
    <cellStyle name="Normal 5 3 11" xfId="16560"/>
    <cellStyle name="Normal 5 3 11 2" xfId="18586"/>
    <cellStyle name="Normal 5 3 11 2 2" xfId="19605"/>
    <cellStyle name="Normal 5 3 11 2 2 2" xfId="21615"/>
    <cellStyle name="Normal 5 3 11 2 2 3" xfId="23773"/>
    <cellStyle name="Normal 5 3 11 2 2_FC with allocations" xfId="28348"/>
    <cellStyle name="Normal 5 3 11 2 3" xfId="20739"/>
    <cellStyle name="Normal 5 3 11 2 4" xfId="22896"/>
    <cellStyle name="Normal 5 3 11 2_FC with allocations" xfId="28347"/>
    <cellStyle name="Normal 5 3 11 3" xfId="19011"/>
    <cellStyle name="Normal 5 3 11 3 2" xfId="21163"/>
    <cellStyle name="Normal 5 3 11 3 3" xfId="23320"/>
    <cellStyle name="Normal 5 3 11 3_FC with allocations" xfId="28349"/>
    <cellStyle name="Normal 5 3 11 4" xfId="20124"/>
    <cellStyle name="Normal 5 3 11 5" xfId="22240"/>
    <cellStyle name="Normal 5 3 11_FC with allocations" xfId="28346"/>
    <cellStyle name="Normal 5 3 12" xfId="4545"/>
    <cellStyle name="Normal 5 3 12 2" xfId="18121"/>
    <cellStyle name="Normal 5 3 12 2 2" xfId="19440"/>
    <cellStyle name="Normal 5 3 12 2 2 2" xfId="21450"/>
    <cellStyle name="Normal 5 3 12 2 2 3" xfId="23608"/>
    <cellStyle name="Normal 5 3 12 2 2_FC with allocations" xfId="28352"/>
    <cellStyle name="Normal 5 3 12 2 3" xfId="20573"/>
    <cellStyle name="Normal 5 3 12 2 4" xfId="22715"/>
    <cellStyle name="Normal 5 3 12 2_FC with allocations" xfId="28351"/>
    <cellStyle name="Normal 5 3 12 3" xfId="18975"/>
    <cellStyle name="Normal 5 3 12 3 2" xfId="21127"/>
    <cellStyle name="Normal 5 3 12 3 3" xfId="23284"/>
    <cellStyle name="Normal 5 3 12 3_FC with allocations" xfId="28353"/>
    <cellStyle name="Normal 5 3 12 4" xfId="19956"/>
    <cellStyle name="Normal 5 3 12 5" xfId="21951"/>
    <cellStyle name="Normal 5 3 12_FC with allocations" xfId="28350"/>
    <cellStyle name="Normal 5 3 13" xfId="16842"/>
    <cellStyle name="Normal 5 3 13 2" xfId="20345"/>
    <cellStyle name="Normal 5 3 13 3" xfId="22485"/>
    <cellStyle name="Normal 5 3 13_FC with allocations" xfId="28354"/>
    <cellStyle name="Normal 5 3 14" xfId="18804"/>
    <cellStyle name="Normal 5 3 14 2" xfId="20957"/>
    <cellStyle name="Normal 5 3 14 3" xfId="23114"/>
    <cellStyle name="Normal 5 3 14_FC with allocations" xfId="28355"/>
    <cellStyle name="Normal 5 3 2" xfId="2188"/>
    <cellStyle name="Normal 5 3 2 10" xfId="17185"/>
    <cellStyle name="Normal 5 3 2 2" xfId="2189"/>
    <cellStyle name="Normal 5 3 2 2 2" xfId="2190"/>
    <cellStyle name="Normal 5 3 2 2 2 2" xfId="2191"/>
    <cellStyle name="Normal 5 3 2 2 2 2 2" xfId="4214"/>
    <cellStyle name="Normal 5 3 2 2 2 2 2 2" xfId="11703"/>
    <cellStyle name="Normal 5 3 2 2 2 2 2 2 2" xfId="11704"/>
    <cellStyle name="Normal 5 3 2 2 2 2 2 2_FC with allocations" xfId="28361"/>
    <cellStyle name="Normal 5 3 2 2 2 2 2 3" xfId="11705"/>
    <cellStyle name="Normal 5 3 2 2 2 2 2 4" xfId="11702"/>
    <cellStyle name="Normal 5 3 2 2 2 2 2_FC with allocations" xfId="28360"/>
    <cellStyle name="Normal 5 3 2 2 2 2 3" xfId="11706"/>
    <cellStyle name="Normal 5 3 2 2 2 2 3 2" xfId="11707"/>
    <cellStyle name="Normal 5 3 2 2 2 2 3 3" xfId="18365"/>
    <cellStyle name="Normal 5 3 2 2 2 2 3 4" xfId="17693"/>
    <cellStyle name="Normal 5 3 2 2 2 2 3_FC with allocations" xfId="28362"/>
    <cellStyle name="Normal 5 3 2 2 2 2 4" xfId="11708"/>
    <cellStyle name="Normal 5 3 2 2 2 2 5" xfId="11701"/>
    <cellStyle name="Normal 5 3 2 2 2 2 6" xfId="17188"/>
    <cellStyle name="Normal 5 3 2 2 2 2_FC with allocations" xfId="28359"/>
    <cellStyle name="Normal 5 3 2 2 2 3" xfId="4213"/>
    <cellStyle name="Normal 5 3 2 2 2 3 2" xfId="11710"/>
    <cellStyle name="Normal 5 3 2 2 2 3 2 2" xfId="11711"/>
    <cellStyle name="Normal 5 3 2 2 2 3 2_FC with allocations" xfId="28364"/>
    <cellStyle name="Normal 5 3 2 2 2 3 3" xfId="11712"/>
    <cellStyle name="Normal 5 3 2 2 2 3 4" xfId="11709"/>
    <cellStyle name="Normal 5 3 2 2 2 3_FC with allocations" xfId="28363"/>
    <cellStyle name="Normal 5 3 2 2 2 4" xfId="11713"/>
    <cellStyle name="Normal 5 3 2 2 2 4 2" xfId="11714"/>
    <cellStyle name="Normal 5 3 2 2 2 4 3" xfId="18366"/>
    <cellStyle name="Normal 5 3 2 2 2 4 4" xfId="17692"/>
    <cellStyle name="Normal 5 3 2 2 2 4_FC with allocations" xfId="28365"/>
    <cellStyle name="Normal 5 3 2 2 2 5" xfId="11715"/>
    <cellStyle name="Normal 5 3 2 2 2 6" xfId="11700"/>
    <cellStyle name="Normal 5 3 2 2 2 7" xfId="17187"/>
    <cellStyle name="Normal 5 3 2 2 2_FC with allocations" xfId="28358"/>
    <cellStyle name="Normal 5 3 2 2 3" xfId="2192"/>
    <cellStyle name="Normal 5 3 2 2 3 2" xfId="4215"/>
    <cellStyle name="Normal 5 3 2 2 3 2 2" xfId="11718"/>
    <cellStyle name="Normal 5 3 2 2 3 2 2 2" xfId="11719"/>
    <cellStyle name="Normal 5 3 2 2 3 2 2_FC with allocations" xfId="28368"/>
    <cellStyle name="Normal 5 3 2 2 3 2 3" xfId="11720"/>
    <cellStyle name="Normal 5 3 2 2 3 2 4" xfId="11717"/>
    <cellStyle name="Normal 5 3 2 2 3 2_FC with allocations" xfId="28367"/>
    <cellStyle name="Normal 5 3 2 2 3 3" xfId="11721"/>
    <cellStyle name="Normal 5 3 2 2 3 3 2" xfId="11722"/>
    <cellStyle name="Normal 5 3 2 2 3 3 3" xfId="18367"/>
    <cellStyle name="Normal 5 3 2 2 3 3 4" xfId="17694"/>
    <cellStyle name="Normal 5 3 2 2 3 3_FC with allocations" xfId="28369"/>
    <cellStyle name="Normal 5 3 2 2 3 4" xfId="11723"/>
    <cellStyle name="Normal 5 3 2 2 3 5" xfId="11716"/>
    <cellStyle name="Normal 5 3 2 2 3 6" xfId="17189"/>
    <cellStyle name="Normal 5 3 2 2 3_FC with allocations" xfId="28366"/>
    <cellStyle name="Normal 5 3 2 2 4" xfId="4212"/>
    <cellStyle name="Normal 5 3 2 2 4 2" xfId="11725"/>
    <cellStyle name="Normal 5 3 2 2 4 2 2" xfId="11726"/>
    <cellStyle name="Normal 5 3 2 2 4 2_FC with allocations" xfId="28371"/>
    <cellStyle name="Normal 5 3 2 2 4 3" xfId="11727"/>
    <cellStyle name="Normal 5 3 2 2 4 4" xfId="11724"/>
    <cellStyle name="Normal 5 3 2 2 4_FC with allocations" xfId="28370"/>
    <cellStyle name="Normal 5 3 2 2 5" xfId="11728"/>
    <cellStyle name="Normal 5 3 2 2 5 2" xfId="11729"/>
    <cellStyle name="Normal 5 3 2 2 5 3" xfId="18368"/>
    <cellStyle name="Normal 5 3 2 2 5 4" xfId="17691"/>
    <cellStyle name="Normal 5 3 2 2 5_FC with allocations" xfId="28372"/>
    <cellStyle name="Normal 5 3 2 2 6" xfId="11730"/>
    <cellStyle name="Normal 5 3 2 2 7" xfId="11699"/>
    <cellStyle name="Normal 5 3 2 2 8" xfId="17186"/>
    <cellStyle name="Normal 5 3 2 2_FC with allocations" xfId="28357"/>
    <cellStyle name="Normal 5 3 2 3" xfId="2193"/>
    <cellStyle name="Normal 5 3 2 3 2" xfId="2194"/>
    <cellStyle name="Normal 5 3 2 3 2 2" xfId="4217"/>
    <cellStyle name="Normal 5 3 2 3 2 2 2" xfId="11734"/>
    <cellStyle name="Normal 5 3 2 3 2 2 2 2" xfId="11735"/>
    <cellStyle name="Normal 5 3 2 3 2 2 2_FC with allocations" xfId="28376"/>
    <cellStyle name="Normal 5 3 2 3 2 2 3" xfId="11736"/>
    <cellStyle name="Normal 5 3 2 3 2 2 4" xfId="11733"/>
    <cellStyle name="Normal 5 3 2 3 2 2_FC with allocations" xfId="28375"/>
    <cellStyle name="Normal 5 3 2 3 2 3" xfId="11737"/>
    <cellStyle name="Normal 5 3 2 3 2 3 2" xfId="11738"/>
    <cellStyle name="Normal 5 3 2 3 2 3 3" xfId="18369"/>
    <cellStyle name="Normal 5 3 2 3 2 3 4" xfId="17696"/>
    <cellStyle name="Normal 5 3 2 3 2 3_FC with allocations" xfId="28377"/>
    <cellStyle name="Normal 5 3 2 3 2 4" xfId="11739"/>
    <cellStyle name="Normal 5 3 2 3 2 5" xfId="11732"/>
    <cellStyle name="Normal 5 3 2 3 2 6" xfId="17191"/>
    <cellStyle name="Normal 5 3 2 3 2_FC with allocations" xfId="28374"/>
    <cellStyle name="Normal 5 3 2 3 3" xfId="4216"/>
    <cellStyle name="Normal 5 3 2 3 3 2" xfId="11741"/>
    <cellStyle name="Normal 5 3 2 3 3 2 2" xfId="11742"/>
    <cellStyle name="Normal 5 3 2 3 3 2_FC with allocations" xfId="28379"/>
    <cellStyle name="Normal 5 3 2 3 3 3" xfId="11743"/>
    <cellStyle name="Normal 5 3 2 3 3 4" xfId="11740"/>
    <cellStyle name="Normal 5 3 2 3 3_FC with allocations" xfId="28378"/>
    <cellStyle name="Normal 5 3 2 3 4" xfId="11744"/>
    <cellStyle name="Normal 5 3 2 3 4 2" xfId="11745"/>
    <cellStyle name="Normal 5 3 2 3 4 3" xfId="18370"/>
    <cellStyle name="Normal 5 3 2 3 4 4" xfId="17695"/>
    <cellStyle name="Normal 5 3 2 3 4_FC with allocations" xfId="28380"/>
    <cellStyle name="Normal 5 3 2 3 5" xfId="11746"/>
    <cellStyle name="Normal 5 3 2 3 6" xfId="11731"/>
    <cellStyle name="Normal 5 3 2 3 7" xfId="17190"/>
    <cellStyle name="Normal 5 3 2 3_FC with allocations" xfId="28373"/>
    <cellStyle name="Normal 5 3 2 4" xfId="2195"/>
    <cellStyle name="Normal 5 3 2 4 2" xfId="4218"/>
    <cellStyle name="Normal 5 3 2 4 2 2" xfId="11749"/>
    <cellStyle name="Normal 5 3 2 4 2 2 2" xfId="11750"/>
    <cellStyle name="Normal 5 3 2 4 2 2_FC with allocations" xfId="28383"/>
    <cellStyle name="Normal 5 3 2 4 2 3" xfId="11751"/>
    <cellStyle name="Normal 5 3 2 4 2 4" xfId="11748"/>
    <cellStyle name="Normal 5 3 2 4 2_FC with allocations" xfId="28382"/>
    <cellStyle name="Normal 5 3 2 4 3" xfId="11752"/>
    <cellStyle name="Normal 5 3 2 4 3 2" xfId="11753"/>
    <cellStyle name="Normal 5 3 2 4 3 3" xfId="18371"/>
    <cellStyle name="Normal 5 3 2 4 3 4" xfId="17697"/>
    <cellStyle name="Normal 5 3 2 4 3_FC with allocations" xfId="28384"/>
    <cellStyle name="Normal 5 3 2 4 4" xfId="11754"/>
    <cellStyle name="Normal 5 3 2 4 5" xfId="11747"/>
    <cellStyle name="Normal 5 3 2 4 6" xfId="17192"/>
    <cellStyle name="Normal 5 3 2 4_FC with allocations" xfId="28381"/>
    <cellStyle name="Normal 5 3 2 5" xfId="4211"/>
    <cellStyle name="Normal 5 3 2 5 2" xfId="11756"/>
    <cellStyle name="Normal 5 3 2 5 2 2" xfId="11757"/>
    <cellStyle name="Normal 5 3 2 5 2_FC with allocations" xfId="28386"/>
    <cellStyle name="Normal 5 3 2 5 3" xfId="11758"/>
    <cellStyle name="Normal 5 3 2 5 4" xfId="11755"/>
    <cellStyle name="Normal 5 3 2 5_FC with allocations" xfId="28385"/>
    <cellStyle name="Normal 5 3 2 6" xfId="11759"/>
    <cellStyle name="Normal 5 3 2 6 2" xfId="18372"/>
    <cellStyle name="Normal 5 3 2 6 3" xfId="17690"/>
    <cellStyle name="Normal 5 3 2 6_FC with allocations" xfId="28387"/>
    <cellStyle name="Normal 5 3 2 7" xfId="11760"/>
    <cellStyle name="Normal 5 3 2 7 2" xfId="11761"/>
    <cellStyle name="Normal 5 3 2 7_FC with allocations" xfId="28388"/>
    <cellStyle name="Normal 5 3 2 8" xfId="11762"/>
    <cellStyle name="Normal 5 3 2 9" xfId="11698"/>
    <cellStyle name="Normal 5 3 2_FC with allocations" xfId="28356"/>
    <cellStyle name="Normal 5 3 3" xfId="2196"/>
    <cellStyle name="Normal 5 3 3 2" xfId="2197"/>
    <cellStyle name="Normal 5 3 3 2 2" xfId="2198"/>
    <cellStyle name="Normal 5 3 3 2 2 2" xfId="4221"/>
    <cellStyle name="Normal 5 3 3 2 2 2 2" xfId="11767"/>
    <cellStyle name="Normal 5 3 3 2 2 2 2 2" xfId="11768"/>
    <cellStyle name="Normal 5 3 3 2 2 2 2_FC with allocations" xfId="28393"/>
    <cellStyle name="Normal 5 3 3 2 2 2 3" xfId="11769"/>
    <cellStyle name="Normal 5 3 3 2 2 2 4" xfId="11766"/>
    <cellStyle name="Normal 5 3 3 2 2 2_FC with allocations" xfId="28392"/>
    <cellStyle name="Normal 5 3 3 2 2 3" xfId="11770"/>
    <cellStyle name="Normal 5 3 3 2 2 3 2" xfId="11771"/>
    <cellStyle name="Normal 5 3 3 2 2 3 3" xfId="18373"/>
    <cellStyle name="Normal 5 3 3 2 2 3 4" xfId="17700"/>
    <cellStyle name="Normal 5 3 3 2 2 3_FC with allocations" xfId="28394"/>
    <cellStyle name="Normal 5 3 3 2 2 4" xfId="11772"/>
    <cellStyle name="Normal 5 3 3 2 2 5" xfId="11765"/>
    <cellStyle name="Normal 5 3 3 2 2 6" xfId="17195"/>
    <cellStyle name="Normal 5 3 3 2 2_FC with allocations" xfId="28391"/>
    <cellStyle name="Normal 5 3 3 2 3" xfId="4220"/>
    <cellStyle name="Normal 5 3 3 2 3 2" xfId="11774"/>
    <cellStyle name="Normal 5 3 3 2 3 2 2" xfId="11775"/>
    <cellStyle name="Normal 5 3 3 2 3 2_FC with allocations" xfId="28396"/>
    <cellStyle name="Normal 5 3 3 2 3 3" xfId="11776"/>
    <cellStyle name="Normal 5 3 3 2 3 4" xfId="11773"/>
    <cellStyle name="Normal 5 3 3 2 3_FC with allocations" xfId="28395"/>
    <cellStyle name="Normal 5 3 3 2 4" xfId="11777"/>
    <cellStyle name="Normal 5 3 3 2 4 2" xfId="11778"/>
    <cellStyle name="Normal 5 3 3 2 4 3" xfId="18374"/>
    <cellStyle name="Normal 5 3 3 2 4 4" xfId="17699"/>
    <cellStyle name="Normal 5 3 3 2 4_FC with allocations" xfId="28397"/>
    <cellStyle name="Normal 5 3 3 2 5" xfId="11779"/>
    <cellStyle name="Normal 5 3 3 2 6" xfId="11764"/>
    <cellStyle name="Normal 5 3 3 2 7" xfId="17194"/>
    <cellStyle name="Normal 5 3 3 2_FC with allocations" xfId="28390"/>
    <cellStyle name="Normal 5 3 3 3" xfId="2199"/>
    <cellStyle name="Normal 5 3 3 3 2" xfId="4222"/>
    <cellStyle name="Normal 5 3 3 3 2 2" xfId="11782"/>
    <cellStyle name="Normal 5 3 3 3 2 2 2" xfId="11783"/>
    <cellStyle name="Normal 5 3 3 3 2 2_FC with allocations" xfId="28400"/>
    <cellStyle name="Normal 5 3 3 3 2 3" xfId="11784"/>
    <cellStyle name="Normal 5 3 3 3 2 4" xfId="11781"/>
    <cellStyle name="Normal 5 3 3 3 2_FC with allocations" xfId="28399"/>
    <cellStyle name="Normal 5 3 3 3 3" xfId="11785"/>
    <cellStyle name="Normal 5 3 3 3 3 2" xfId="11786"/>
    <cellStyle name="Normal 5 3 3 3 3 3" xfId="18375"/>
    <cellStyle name="Normal 5 3 3 3 3 4" xfId="17701"/>
    <cellStyle name="Normal 5 3 3 3 3_FC with allocations" xfId="28401"/>
    <cellStyle name="Normal 5 3 3 3 4" xfId="11787"/>
    <cellStyle name="Normal 5 3 3 3 5" xfId="11780"/>
    <cellStyle name="Normal 5 3 3 3 6" xfId="17196"/>
    <cellStyle name="Normal 5 3 3 3_FC with allocations" xfId="28398"/>
    <cellStyle name="Normal 5 3 3 4" xfId="4219"/>
    <cellStyle name="Normal 5 3 3 4 2" xfId="11789"/>
    <cellStyle name="Normal 5 3 3 4 2 2" xfId="11790"/>
    <cellStyle name="Normal 5 3 3 4 2_FC with allocations" xfId="28403"/>
    <cellStyle name="Normal 5 3 3 4 3" xfId="11791"/>
    <cellStyle name="Normal 5 3 3 4 4" xfId="11788"/>
    <cellStyle name="Normal 5 3 3 4_FC with allocations" xfId="28402"/>
    <cellStyle name="Normal 5 3 3 5" xfId="11792"/>
    <cellStyle name="Normal 5 3 3 5 2" xfId="18376"/>
    <cellStyle name="Normal 5 3 3 5 3" xfId="17698"/>
    <cellStyle name="Normal 5 3 3 5_FC with allocations" xfId="28404"/>
    <cellStyle name="Normal 5 3 3 6" xfId="11793"/>
    <cellStyle name="Normal 5 3 3 6 2" xfId="11794"/>
    <cellStyle name="Normal 5 3 3 6_FC with allocations" xfId="28405"/>
    <cellStyle name="Normal 5 3 3 7" xfId="11795"/>
    <cellStyle name="Normal 5 3 3 8" xfId="11763"/>
    <cellStyle name="Normal 5 3 3 9" xfId="17193"/>
    <cellStyle name="Normal 5 3 3_FC with allocations" xfId="28389"/>
    <cellStyle name="Normal 5 3 4" xfId="2200"/>
    <cellStyle name="Normal 5 3 4 2" xfId="2201"/>
    <cellStyle name="Normal 5 3 4 2 2" xfId="2202"/>
    <cellStyle name="Normal 5 3 4 2 2 2" xfId="4225"/>
    <cellStyle name="Normal 5 3 4 2 2 2 2" xfId="11800"/>
    <cellStyle name="Normal 5 3 4 2 2 2 3" xfId="11799"/>
    <cellStyle name="Normal 5 3 4 2 2 2_FC with allocations" xfId="28409"/>
    <cellStyle name="Normal 5 3 4 2 2 3" xfId="11801"/>
    <cellStyle name="Normal 5 3 4 2 2 3 2" xfId="18377"/>
    <cellStyle name="Normal 5 3 4 2 2 3 3" xfId="17704"/>
    <cellStyle name="Normal 5 3 4 2 2 3_FC with allocations" xfId="28410"/>
    <cellStyle name="Normal 5 3 4 2 2 4" xfId="11798"/>
    <cellStyle name="Normal 5 3 4 2 2 5" xfId="17199"/>
    <cellStyle name="Normal 5 3 4 2 2_FC with allocations" xfId="28408"/>
    <cellStyle name="Normal 5 3 4 2 3" xfId="4224"/>
    <cellStyle name="Normal 5 3 4 2 3 2" xfId="11803"/>
    <cellStyle name="Normal 5 3 4 2 3 3" xfId="11802"/>
    <cellStyle name="Normal 5 3 4 2 3_FC with allocations" xfId="28411"/>
    <cellStyle name="Normal 5 3 4 2 4" xfId="11804"/>
    <cellStyle name="Normal 5 3 4 2 4 2" xfId="18378"/>
    <cellStyle name="Normal 5 3 4 2 4 3" xfId="17703"/>
    <cellStyle name="Normal 5 3 4 2 4_FC with allocations" xfId="28412"/>
    <cellStyle name="Normal 5 3 4 2 5" xfId="11797"/>
    <cellStyle name="Normal 5 3 4 2 6" xfId="17198"/>
    <cellStyle name="Normal 5 3 4 2_FC with allocations" xfId="28407"/>
    <cellStyle name="Normal 5 3 4 3" xfId="2203"/>
    <cellStyle name="Normal 5 3 4 3 2" xfId="4226"/>
    <cellStyle name="Normal 5 3 4 3 2 2" xfId="11807"/>
    <cellStyle name="Normal 5 3 4 3 2 3" xfId="11806"/>
    <cellStyle name="Normal 5 3 4 3 2_FC with allocations" xfId="28414"/>
    <cellStyle name="Normal 5 3 4 3 3" xfId="11808"/>
    <cellStyle name="Normal 5 3 4 3 3 2" xfId="18379"/>
    <cellStyle name="Normal 5 3 4 3 3 3" xfId="17705"/>
    <cellStyle name="Normal 5 3 4 3 3_FC with allocations" xfId="28415"/>
    <cellStyle name="Normal 5 3 4 3 4" xfId="11805"/>
    <cellStyle name="Normal 5 3 4 3 5" xfId="17200"/>
    <cellStyle name="Normal 5 3 4 3_FC with allocations" xfId="28413"/>
    <cellStyle name="Normal 5 3 4 4" xfId="4223"/>
    <cellStyle name="Normal 5 3 4 4 2" xfId="11810"/>
    <cellStyle name="Normal 5 3 4 4 3" xfId="11809"/>
    <cellStyle name="Normal 5 3 4 4_FC with allocations" xfId="28416"/>
    <cellStyle name="Normal 5 3 4 5" xfId="11811"/>
    <cellStyle name="Normal 5 3 4 5 2" xfId="18380"/>
    <cellStyle name="Normal 5 3 4 5 3" xfId="17702"/>
    <cellStyle name="Normal 5 3 4 5_FC with allocations" xfId="28417"/>
    <cellStyle name="Normal 5 3 4 6" xfId="11796"/>
    <cellStyle name="Normal 5 3 4 7" xfId="17197"/>
    <cellStyle name="Normal 5 3 4_FC with allocations" xfId="28406"/>
    <cellStyle name="Normal 5 3 5" xfId="2204"/>
    <cellStyle name="Normal 5 3 5 2" xfId="2205"/>
    <cellStyle name="Normal 5 3 5 2 2" xfId="4228"/>
    <cellStyle name="Normal 5 3 5 2 2 2" xfId="11815"/>
    <cellStyle name="Normal 5 3 5 2 2 3" xfId="11814"/>
    <cellStyle name="Normal 5 3 5 2 2_FC with allocations" xfId="28420"/>
    <cellStyle name="Normal 5 3 5 2 3" xfId="11816"/>
    <cellStyle name="Normal 5 3 5 2 3 2" xfId="18381"/>
    <cellStyle name="Normal 5 3 5 2 3 3" xfId="17707"/>
    <cellStyle name="Normal 5 3 5 2 3_FC with allocations" xfId="28421"/>
    <cellStyle name="Normal 5 3 5 2 4" xfId="11813"/>
    <cellStyle name="Normal 5 3 5 2 5" xfId="17202"/>
    <cellStyle name="Normal 5 3 5 2_FC with allocations" xfId="28419"/>
    <cellStyle name="Normal 5 3 5 3" xfId="4227"/>
    <cellStyle name="Normal 5 3 5 3 2" xfId="11818"/>
    <cellStyle name="Normal 5 3 5 3 3" xfId="11817"/>
    <cellStyle name="Normal 5 3 5 3_FC with allocations" xfId="28422"/>
    <cellStyle name="Normal 5 3 5 4" xfId="11819"/>
    <cellStyle name="Normal 5 3 5 4 2" xfId="18382"/>
    <cellStyle name="Normal 5 3 5 4 3" xfId="17706"/>
    <cellStyle name="Normal 5 3 5 4_FC with allocations" xfId="28423"/>
    <cellStyle name="Normal 5 3 5 5" xfId="11812"/>
    <cellStyle name="Normal 5 3 5 6" xfId="17201"/>
    <cellStyle name="Normal 5 3 5_FC with allocations" xfId="28418"/>
    <cellStyle name="Normal 5 3 6" xfId="2206"/>
    <cellStyle name="Normal 5 3 6 2" xfId="4229"/>
    <cellStyle name="Normal 5 3 6 2 2" xfId="11822"/>
    <cellStyle name="Normal 5 3 6 2 3" xfId="11821"/>
    <cellStyle name="Normal 5 3 6 2_FC with allocations" xfId="28425"/>
    <cellStyle name="Normal 5 3 6 3" xfId="11823"/>
    <cellStyle name="Normal 5 3 6 3 2" xfId="18383"/>
    <cellStyle name="Normal 5 3 6 3 3" xfId="17708"/>
    <cellStyle name="Normal 5 3 6 3_FC with allocations" xfId="28426"/>
    <cellStyle name="Normal 5 3 6 4" xfId="11820"/>
    <cellStyle name="Normal 5 3 6 5" xfId="17203"/>
    <cellStyle name="Normal 5 3 6_FC with allocations" xfId="28424"/>
    <cellStyle name="Normal 5 3 7" xfId="2207"/>
    <cellStyle name="Normal 5 3 7 2" xfId="4230"/>
    <cellStyle name="Normal 5 3 7 2 2" xfId="11826"/>
    <cellStyle name="Normal 5 3 7 2 3" xfId="11825"/>
    <cellStyle name="Normal 5 3 7 2_FC with allocations" xfId="28428"/>
    <cellStyle name="Normal 5 3 7 3" xfId="11827"/>
    <cellStyle name="Normal 5 3 7 4" xfId="11824"/>
    <cellStyle name="Normal 5 3 7_FC with allocations" xfId="28427"/>
    <cellStyle name="Normal 5 3 8" xfId="4488"/>
    <cellStyle name="Normal 5 3 8 10" xfId="19905"/>
    <cellStyle name="Normal 5 3 8 11" xfId="21898"/>
    <cellStyle name="Normal 5 3 8 2" xfId="4794"/>
    <cellStyle name="Normal 5 3 8 2 2" xfId="16672"/>
    <cellStyle name="Normal 5 3 8 2 2 2" xfId="18694"/>
    <cellStyle name="Normal 5 3 8 2 2 2 2" xfId="19713"/>
    <cellStyle name="Normal 5 3 8 2 2 2 2 2" xfId="21723"/>
    <cellStyle name="Normal 5 3 8 2 2 2 2 3" xfId="23881"/>
    <cellStyle name="Normal 5 3 8 2 2 2 2_FC with allocations" xfId="28433"/>
    <cellStyle name="Normal 5 3 8 2 2 2 3" xfId="20847"/>
    <cellStyle name="Normal 5 3 8 2 2 2 4" xfId="23004"/>
    <cellStyle name="Normal 5 3 8 2 2 2_FC with allocations" xfId="28432"/>
    <cellStyle name="Normal 5 3 8 2 2 3" xfId="19181"/>
    <cellStyle name="Normal 5 3 8 2 2 3 2" xfId="21314"/>
    <cellStyle name="Normal 5 3 8 2 2 3 3" xfId="23471"/>
    <cellStyle name="Normal 5 3 8 2 2 3_FC with allocations" xfId="28434"/>
    <cellStyle name="Normal 5 3 8 2 2 4" xfId="20232"/>
    <cellStyle name="Normal 5 3 8 2 2 5" xfId="22349"/>
    <cellStyle name="Normal 5 3 8 2 2_FC with allocations" xfId="28431"/>
    <cellStyle name="Normal 5 3 8 2 3" xfId="18257"/>
    <cellStyle name="Normal 5 3 8 2 3 2" xfId="19548"/>
    <cellStyle name="Normal 5 3 8 2 3 2 2" xfId="21558"/>
    <cellStyle name="Normal 5 3 8 2 3 2 3" xfId="23716"/>
    <cellStyle name="Normal 5 3 8 2 3 2_FC with allocations" xfId="28436"/>
    <cellStyle name="Normal 5 3 8 2 3 3" xfId="20681"/>
    <cellStyle name="Normal 5 3 8 2 3 4" xfId="22823"/>
    <cellStyle name="Normal 5 3 8 2 3_FC with allocations" xfId="28435"/>
    <cellStyle name="Normal 5 3 8 2 4" xfId="17952"/>
    <cellStyle name="Normal 5 3 8 2 4 2" xfId="20409"/>
    <cellStyle name="Normal 5 3 8 2 4 3" xfId="22549"/>
    <cellStyle name="Normal 5 3 8 2 4_FC with allocations" xfId="28437"/>
    <cellStyle name="Normal 5 3 8 2 5" xfId="18913"/>
    <cellStyle name="Normal 5 3 8 2 5 2" xfId="21065"/>
    <cellStyle name="Normal 5 3 8 2 5 3" xfId="23222"/>
    <cellStyle name="Normal 5 3 8 2 5_FC with allocations" xfId="28438"/>
    <cellStyle name="Normal 5 3 8 2 6" xfId="20064"/>
    <cellStyle name="Normal 5 3 8 2 7" xfId="22059"/>
    <cellStyle name="Normal 5 3 8 2_FC with allocations" xfId="28430"/>
    <cellStyle name="Normal 5 3 8 3" xfId="16619"/>
    <cellStyle name="Normal 5 3 8 3 2" xfId="18641"/>
    <cellStyle name="Normal 5 3 8 3 2 2" xfId="19660"/>
    <cellStyle name="Normal 5 3 8 3 2 2 2" xfId="21670"/>
    <cellStyle name="Normal 5 3 8 3 2 2 3" xfId="23828"/>
    <cellStyle name="Normal 5 3 8 3 2 2_FC with allocations" xfId="28441"/>
    <cellStyle name="Normal 5 3 8 3 2 3" xfId="20794"/>
    <cellStyle name="Normal 5 3 8 3 2 4" xfId="22951"/>
    <cellStyle name="Normal 5 3 8 3 2_FC with allocations" xfId="28440"/>
    <cellStyle name="Normal 5 3 8 3 3" xfId="18008"/>
    <cellStyle name="Normal 5 3 8 3 3 2" xfId="20462"/>
    <cellStyle name="Normal 5 3 8 3 3 3" xfId="22602"/>
    <cellStyle name="Normal 5 3 8 3 3_FC with allocations" xfId="28442"/>
    <cellStyle name="Normal 5 3 8 3 4" xfId="19127"/>
    <cellStyle name="Normal 5 3 8 3 4 2" xfId="21260"/>
    <cellStyle name="Normal 5 3 8 3 4 3" xfId="23417"/>
    <cellStyle name="Normal 5 3 8 3 4_FC with allocations" xfId="28443"/>
    <cellStyle name="Normal 5 3 8 3 5" xfId="20179"/>
    <cellStyle name="Normal 5 3 8 3 6" xfId="22296"/>
    <cellStyle name="Normal 5 3 8 3_FC with allocations" xfId="28439"/>
    <cellStyle name="Normal 5 3 8 4" xfId="4694"/>
    <cellStyle name="Normal 5 3 8 4 2" xfId="18204"/>
    <cellStyle name="Normal 5 3 8 4 2 2" xfId="19495"/>
    <cellStyle name="Normal 5 3 8 4 2 2 2" xfId="21505"/>
    <cellStyle name="Normal 5 3 8 4 2 2 3" xfId="23663"/>
    <cellStyle name="Normal 5 3 8 4 2 2_FC with allocations" xfId="28446"/>
    <cellStyle name="Normal 5 3 8 4 2 3" xfId="20628"/>
    <cellStyle name="Normal 5 3 8 4 2 4" xfId="22770"/>
    <cellStyle name="Normal 5 3 8 4 2_FC with allocations" xfId="28445"/>
    <cellStyle name="Normal 5 3 8 4 3" xfId="19061"/>
    <cellStyle name="Normal 5 3 8 4 3 2" xfId="21202"/>
    <cellStyle name="Normal 5 3 8 4 3 3" xfId="23359"/>
    <cellStyle name="Normal 5 3 8 4 3_FC with allocations" xfId="28447"/>
    <cellStyle name="Normal 5 3 8 4 4" xfId="20011"/>
    <cellStyle name="Normal 5 3 8 4 5" xfId="22006"/>
    <cellStyle name="Normal 5 3 8 4_FC with allocations" xfId="28444"/>
    <cellStyle name="Normal 5 3 8 5" xfId="16750"/>
    <cellStyle name="Normal 5 3 8 5 2" xfId="18754"/>
    <cellStyle name="Normal 5 3 8 5 2 2" xfId="20907"/>
    <cellStyle name="Normal 5 3 8 5 2 3" xfId="23064"/>
    <cellStyle name="Normal 5 3 8 5 2_FC with allocations" xfId="28449"/>
    <cellStyle name="Normal 5 3 8 5 3" xfId="19774"/>
    <cellStyle name="Normal 5 3 8 5 3 2" xfId="21784"/>
    <cellStyle name="Normal 5 3 8 5 3 3" xfId="23942"/>
    <cellStyle name="Normal 5 3 8 5 3_FC with allocations" xfId="28450"/>
    <cellStyle name="Normal 5 3 8 5 4" xfId="20293"/>
    <cellStyle name="Normal 5 3 8 5 5" xfId="22421"/>
    <cellStyle name="Normal 5 3 8 5_FC with allocations" xfId="28448"/>
    <cellStyle name="Normal 5 3 8 6" xfId="18070"/>
    <cellStyle name="Normal 5 3 8 6 2" xfId="19389"/>
    <cellStyle name="Normal 5 3 8 6 2 2" xfId="21399"/>
    <cellStyle name="Normal 5 3 8 6 2 3" xfId="23557"/>
    <cellStyle name="Normal 5 3 8 6 2_FC with allocations" xfId="28452"/>
    <cellStyle name="Normal 5 3 8 6 3" xfId="20522"/>
    <cellStyle name="Normal 5 3 8 6 4" xfId="22664"/>
    <cellStyle name="Normal 5 3 8 6_FC with allocations" xfId="28451"/>
    <cellStyle name="Normal 5 3 8 7" xfId="17184"/>
    <cellStyle name="Normal 5 3 8 8" xfId="18860"/>
    <cellStyle name="Normal 5 3 8 8 2" xfId="21012"/>
    <cellStyle name="Normal 5 3 8 8 3" xfId="23169"/>
    <cellStyle name="Normal 5 3 8 8_FC with allocations" xfId="28453"/>
    <cellStyle name="Normal 5 3 8 9" xfId="19828"/>
    <cellStyle name="Normal 5 3 8 9 2" xfId="21837"/>
    <cellStyle name="Normal 5 3 8 9 3" xfId="23995"/>
    <cellStyle name="Normal 5 3 8 9_FC with allocations" xfId="28454"/>
    <cellStyle name="Normal 5 3 8_FC with allocations" xfId="28429"/>
    <cellStyle name="Normal 5 3 9" xfId="4602"/>
    <cellStyle name="Normal 5 3_FC with allocations" xfId="28345"/>
    <cellStyle name="Normal 5 4" xfId="2208"/>
    <cellStyle name="Normal 5 4 2" xfId="2209"/>
    <cellStyle name="Normal 5 4 2 2" xfId="2210"/>
    <cellStyle name="Normal 5 4 2 2 2" xfId="2211"/>
    <cellStyle name="Normal 5 4 2 2 2 2" xfId="4234"/>
    <cellStyle name="Normal 5 4 2 2 2 2 2" xfId="11833"/>
    <cellStyle name="Normal 5 4 2 2 2 2 2 2" xfId="11834"/>
    <cellStyle name="Normal 5 4 2 2 2 2 2_FC with allocations" xfId="28460"/>
    <cellStyle name="Normal 5 4 2 2 2 2 3" xfId="11835"/>
    <cellStyle name="Normal 5 4 2 2 2 2 4" xfId="11832"/>
    <cellStyle name="Normal 5 4 2 2 2 2_FC with allocations" xfId="28459"/>
    <cellStyle name="Normal 5 4 2 2 2 3" xfId="11836"/>
    <cellStyle name="Normal 5 4 2 2 2 3 2" xfId="11837"/>
    <cellStyle name="Normal 5 4 2 2 2 3 3" xfId="18384"/>
    <cellStyle name="Normal 5 4 2 2 2 3 4" xfId="17712"/>
    <cellStyle name="Normal 5 4 2 2 2 3_FC with allocations" xfId="28461"/>
    <cellStyle name="Normal 5 4 2 2 2 4" xfId="11838"/>
    <cellStyle name="Normal 5 4 2 2 2 5" xfId="11831"/>
    <cellStyle name="Normal 5 4 2 2 2 6" xfId="17207"/>
    <cellStyle name="Normal 5 4 2 2 2_FC with allocations" xfId="28458"/>
    <cellStyle name="Normal 5 4 2 2 3" xfId="4233"/>
    <cellStyle name="Normal 5 4 2 2 3 2" xfId="11840"/>
    <cellStyle name="Normal 5 4 2 2 3 2 2" xfId="11841"/>
    <cellStyle name="Normal 5 4 2 2 3 2_FC with allocations" xfId="28463"/>
    <cellStyle name="Normal 5 4 2 2 3 3" xfId="11842"/>
    <cellStyle name="Normal 5 4 2 2 3 4" xfId="11839"/>
    <cellStyle name="Normal 5 4 2 2 3_FC with allocations" xfId="28462"/>
    <cellStyle name="Normal 5 4 2 2 4" xfId="11843"/>
    <cellStyle name="Normal 5 4 2 2 4 2" xfId="11844"/>
    <cellStyle name="Normal 5 4 2 2 4 3" xfId="18385"/>
    <cellStyle name="Normal 5 4 2 2 4 4" xfId="17711"/>
    <cellStyle name="Normal 5 4 2 2 4_FC with allocations" xfId="28464"/>
    <cellStyle name="Normal 5 4 2 2 5" xfId="11845"/>
    <cellStyle name="Normal 5 4 2 2 6" xfId="11830"/>
    <cellStyle name="Normal 5 4 2 2 7" xfId="17206"/>
    <cellStyle name="Normal 5 4 2 2_FC with allocations" xfId="28457"/>
    <cellStyle name="Normal 5 4 2 3" xfId="2212"/>
    <cellStyle name="Normal 5 4 2 3 2" xfId="4235"/>
    <cellStyle name="Normal 5 4 2 3 2 2" xfId="11848"/>
    <cellStyle name="Normal 5 4 2 3 2 2 2" xfId="11849"/>
    <cellStyle name="Normal 5 4 2 3 2 2_FC with allocations" xfId="28467"/>
    <cellStyle name="Normal 5 4 2 3 2 3" xfId="11850"/>
    <cellStyle name="Normal 5 4 2 3 2 4" xfId="11847"/>
    <cellStyle name="Normal 5 4 2 3 2_FC with allocations" xfId="28466"/>
    <cellStyle name="Normal 5 4 2 3 3" xfId="11851"/>
    <cellStyle name="Normal 5 4 2 3 3 2" xfId="11852"/>
    <cellStyle name="Normal 5 4 2 3 3 3" xfId="18386"/>
    <cellStyle name="Normal 5 4 2 3 3 4" xfId="17713"/>
    <cellStyle name="Normal 5 4 2 3 3_FC with allocations" xfId="28468"/>
    <cellStyle name="Normal 5 4 2 3 4" xfId="11853"/>
    <cellStyle name="Normal 5 4 2 3 5" xfId="11846"/>
    <cellStyle name="Normal 5 4 2 3 6" xfId="17208"/>
    <cellStyle name="Normal 5 4 2 3_FC with allocations" xfId="28465"/>
    <cellStyle name="Normal 5 4 2 4" xfId="4232"/>
    <cellStyle name="Normal 5 4 2 4 2" xfId="11855"/>
    <cellStyle name="Normal 5 4 2 4 2 2" xfId="11856"/>
    <cellStyle name="Normal 5 4 2 4 2_FC with allocations" xfId="28470"/>
    <cellStyle name="Normal 5 4 2 4 3" xfId="11857"/>
    <cellStyle name="Normal 5 4 2 4 4" xfId="11854"/>
    <cellStyle name="Normal 5 4 2 4_FC with allocations" xfId="28469"/>
    <cellStyle name="Normal 5 4 2 5" xfId="11858"/>
    <cellStyle name="Normal 5 4 2 5 2" xfId="18387"/>
    <cellStyle name="Normal 5 4 2 5 3" xfId="17710"/>
    <cellStyle name="Normal 5 4 2 5_FC with allocations" xfId="28471"/>
    <cellStyle name="Normal 5 4 2 6" xfId="11859"/>
    <cellStyle name="Normal 5 4 2 6 2" xfId="11860"/>
    <cellStyle name="Normal 5 4 2 6_FC with allocations" xfId="28472"/>
    <cellStyle name="Normal 5 4 2 7" xfId="11861"/>
    <cellStyle name="Normal 5 4 2 8" xfId="11829"/>
    <cellStyle name="Normal 5 4 2 9" xfId="17205"/>
    <cellStyle name="Normal 5 4 2_FC with allocations" xfId="28456"/>
    <cellStyle name="Normal 5 4 3" xfId="2213"/>
    <cellStyle name="Normal 5 4 3 2" xfId="2214"/>
    <cellStyle name="Normal 5 4 3 2 2" xfId="4237"/>
    <cellStyle name="Normal 5 4 3 2 2 2" xfId="11865"/>
    <cellStyle name="Normal 5 4 3 2 2 2 2" xfId="11866"/>
    <cellStyle name="Normal 5 4 3 2 2 2_FC with allocations" xfId="28476"/>
    <cellStyle name="Normal 5 4 3 2 2 3" xfId="11867"/>
    <cellStyle name="Normal 5 4 3 2 2 4" xfId="11864"/>
    <cellStyle name="Normal 5 4 3 2 2_FC with allocations" xfId="28475"/>
    <cellStyle name="Normal 5 4 3 2 3" xfId="11868"/>
    <cellStyle name="Normal 5 4 3 2 3 2" xfId="11869"/>
    <cellStyle name="Normal 5 4 3 2 3 3" xfId="18388"/>
    <cellStyle name="Normal 5 4 3 2 3 4" xfId="17715"/>
    <cellStyle name="Normal 5 4 3 2 3_FC with allocations" xfId="28477"/>
    <cellStyle name="Normal 5 4 3 2 4" xfId="11870"/>
    <cellStyle name="Normal 5 4 3 2 5" xfId="11863"/>
    <cellStyle name="Normal 5 4 3 2 6" xfId="17210"/>
    <cellStyle name="Normal 5 4 3 2_FC with allocations" xfId="28474"/>
    <cellStyle name="Normal 5 4 3 3" xfId="4236"/>
    <cellStyle name="Normal 5 4 3 3 2" xfId="11872"/>
    <cellStyle name="Normal 5 4 3 3 2 2" xfId="11873"/>
    <cellStyle name="Normal 5 4 3 3 2_FC with allocations" xfId="28479"/>
    <cellStyle name="Normal 5 4 3 3 3" xfId="11874"/>
    <cellStyle name="Normal 5 4 3 3 4" xfId="11871"/>
    <cellStyle name="Normal 5 4 3 3_FC with allocations" xfId="28478"/>
    <cellStyle name="Normal 5 4 3 4" xfId="11875"/>
    <cellStyle name="Normal 5 4 3 4 2" xfId="18389"/>
    <cellStyle name="Normal 5 4 3 4 3" xfId="17714"/>
    <cellStyle name="Normal 5 4 3 4_FC with allocations" xfId="28480"/>
    <cellStyle name="Normal 5 4 3 5" xfId="11876"/>
    <cellStyle name="Normal 5 4 3 5 2" xfId="11877"/>
    <cellStyle name="Normal 5 4 3 5_FC with allocations" xfId="28481"/>
    <cellStyle name="Normal 5 4 3 6" xfId="11878"/>
    <cellStyle name="Normal 5 4 3 7" xfId="11862"/>
    <cellStyle name="Normal 5 4 3 8" xfId="17209"/>
    <cellStyle name="Normal 5 4 3_FC with allocations" xfId="28473"/>
    <cellStyle name="Normal 5 4 4" xfId="2215"/>
    <cellStyle name="Normal 5 4 4 2" xfId="4238"/>
    <cellStyle name="Normal 5 4 4 2 2" xfId="11881"/>
    <cellStyle name="Normal 5 4 4 2 2 2" xfId="11882"/>
    <cellStyle name="Normal 5 4 4 2 2_FC with allocations" xfId="28484"/>
    <cellStyle name="Normal 5 4 4 2 3" xfId="11883"/>
    <cellStyle name="Normal 5 4 4 2 4" xfId="11880"/>
    <cellStyle name="Normal 5 4 4 2_FC with allocations" xfId="28483"/>
    <cellStyle name="Normal 5 4 4 3" xfId="11884"/>
    <cellStyle name="Normal 5 4 4 3 2" xfId="11885"/>
    <cellStyle name="Normal 5 4 4 3 3" xfId="18390"/>
    <cellStyle name="Normal 5 4 4 3 4" xfId="17716"/>
    <cellStyle name="Normal 5 4 4 3_FC with allocations" xfId="28485"/>
    <cellStyle name="Normal 5 4 4 4" xfId="11886"/>
    <cellStyle name="Normal 5 4 4 5" xfId="11879"/>
    <cellStyle name="Normal 5 4 4 6" xfId="17211"/>
    <cellStyle name="Normal 5 4 4_FC with allocations" xfId="28482"/>
    <cellStyle name="Normal 5 4 5" xfId="4231"/>
    <cellStyle name="Normal 5 4 5 2" xfId="11888"/>
    <cellStyle name="Normal 5 4 5 2 2" xfId="11889"/>
    <cellStyle name="Normal 5 4 5 2_FC with allocations" xfId="28487"/>
    <cellStyle name="Normal 5 4 5 3" xfId="11890"/>
    <cellStyle name="Normal 5 4 5 4" xfId="11887"/>
    <cellStyle name="Normal 5 4 5_FC with allocations" xfId="28486"/>
    <cellStyle name="Normal 5 4 6" xfId="11891"/>
    <cellStyle name="Normal 5 4 6 2" xfId="11892"/>
    <cellStyle name="Normal 5 4 6 2 2" xfId="11893"/>
    <cellStyle name="Normal 5 4 6 2_FC with allocations" xfId="28489"/>
    <cellStyle name="Normal 5 4 6 3" xfId="11894"/>
    <cellStyle name="Normal 5 4 6 4" xfId="18391"/>
    <cellStyle name="Normal 5 4 6 5" xfId="17709"/>
    <cellStyle name="Normal 5 4 6_FC with allocations" xfId="28488"/>
    <cellStyle name="Normal 5 4 7" xfId="11828"/>
    <cellStyle name="Normal 5 4 8" xfId="17204"/>
    <cellStyle name="Normal 5 4_FC with allocations" xfId="28455"/>
    <cellStyle name="Normal 5 5" xfId="2216"/>
    <cellStyle name="Normal 5 5 2" xfId="2217"/>
    <cellStyle name="Normal 5 5 2 2" xfId="2218"/>
    <cellStyle name="Normal 5 5 2 2 2" xfId="4241"/>
    <cellStyle name="Normal 5 5 2 2 2 2" xfId="11899"/>
    <cellStyle name="Normal 5 5 2 2 2 2 2" xfId="11900"/>
    <cellStyle name="Normal 5 5 2 2 2 2_FC with allocations" xfId="28494"/>
    <cellStyle name="Normal 5 5 2 2 2 3" xfId="11901"/>
    <cellStyle name="Normal 5 5 2 2 2 4" xfId="11898"/>
    <cellStyle name="Normal 5 5 2 2 2_FC with allocations" xfId="28493"/>
    <cellStyle name="Normal 5 5 2 2 3" xfId="11902"/>
    <cellStyle name="Normal 5 5 2 2 3 2" xfId="11903"/>
    <cellStyle name="Normal 5 5 2 2 3 3" xfId="18392"/>
    <cellStyle name="Normal 5 5 2 2 3 4" xfId="17719"/>
    <cellStyle name="Normal 5 5 2 2 3_FC with allocations" xfId="28495"/>
    <cellStyle name="Normal 5 5 2 2 4" xfId="11904"/>
    <cellStyle name="Normal 5 5 2 2 5" xfId="11897"/>
    <cellStyle name="Normal 5 5 2 2 6" xfId="17214"/>
    <cellStyle name="Normal 5 5 2 2_FC with allocations" xfId="28492"/>
    <cellStyle name="Normal 5 5 2 3" xfId="4240"/>
    <cellStyle name="Normal 5 5 2 3 2" xfId="11906"/>
    <cellStyle name="Normal 5 5 2 3 2 2" xfId="11907"/>
    <cellStyle name="Normal 5 5 2 3 2_FC with allocations" xfId="28497"/>
    <cellStyle name="Normal 5 5 2 3 3" xfId="11908"/>
    <cellStyle name="Normal 5 5 2 3 4" xfId="11905"/>
    <cellStyle name="Normal 5 5 2 3_FC with allocations" xfId="28496"/>
    <cellStyle name="Normal 5 5 2 4" xfId="11909"/>
    <cellStyle name="Normal 5 5 2 4 2" xfId="18393"/>
    <cellStyle name="Normal 5 5 2 4 3" xfId="17718"/>
    <cellStyle name="Normal 5 5 2 4_FC with allocations" xfId="28498"/>
    <cellStyle name="Normal 5 5 2 5" xfId="11910"/>
    <cellStyle name="Normal 5 5 2 5 2" xfId="11911"/>
    <cellStyle name="Normal 5 5 2 5_FC with allocations" xfId="28499"/>
    <cellStyle name="Normal 5 5 2 6" xfId="11912"/>
    <cellStyle name="Normal 5 5 2 7" xfId="11896"/>
    <cellStyle name="Normal 5 5 2 8" xfId="17213"/>
    <cellStyle name="Normal 5 5 2_FC with allocations" xfId="28491"/>
    <cellStyle name="Normal 5 5 3" xfId="2219"/>
    <cellStyle name="Normal 5 5 3 2" xfId="4242"/>
    <cellStyle name="Normal 5 5 3 2 2" xfId="11915"/>
    <cellStyle name="Normal 5 5 3 2 2 2" xfId="11916"/>
    <cellStyle name="Normal 5 5 3 2 2_FC with allocations" xfId="28502"/>
    <cellStyle name="Normal 5 5 3 2 3" xfId="11917"/>
    <cellStyle name="Normal 5 5 3 2 4" xfId="11914"/>
    <cellStyle name="Normal 5 5 3 2_FC with allocations" xfId="28501"/>
    <cellStyle name="Normal 5 5 3 3" xfId="11918"/>
    <cellStyle name="Normal 5 5 3 3 2" xfId="18394"/>
    <cellStyle name="Normal 5 5 3 3 3" xfId="17720"/>
    <cellStyle name="Normal 5 5 3 3_FC with allocations" xfId="28503"/>
    <cellStyle name="Normal 5 5 3 4" xfId="11919"/>
    <cellStyle name="Normal 5 5 3 4 2" xfId="11920"/>
    <cellStyle name="Normal 5 5 3 4_FC with allocations" xfId="28504"/>
    <cellStyle name="Normal 5 5 3 5" xfId="11921"/>
    <cellStyle name="Normal 5 5 3 6" xfId="11913"/>
    <cellStyle name="Normal 5 5 3 7" xfId="17215"/>
    <cellStyle name="Normal 5 5 3_FC with allocations" xfId="28500"/>
    <cellStyle name="Normal 5 5 4" xfId="4239"/>
    <cellStyle name="Normal 5 5 4 2" xfId="11923"/>
    <cellStyle name="Normal 5 5 4 2 2" xfId="11924"/>
    <cellStyle name="Normal 5 5 4 2_FC with allocations" xfId="28506"/>
    <cellStyle name="Normal 5 5 4 3" xfId="11925"/>
    <cellStyle name="Normal 5 5 4 4" xfId="11922"/>
    <cellStyle name="Normal 5 5 4_FC with allocations" xfId="28505"/>
    <cellStyle name="Normal 5 5 5" xfId="11926"/>
    <cellStyle name="Normal 5 5 5 2" xfId="11927"/>
    <cellStyle name="Normal 5 5 5 2 2" xfId="11928"/>
    <cellStyle name="Normal 5 5 5 2_FC with allocations" xfId="28508"/>
    <cellStyle name="Normal 5 5 5 3" xfId="11929"/>
    <cellStyle name="Normal 5 5 5 4" xfId="18395"/>
    <cellStyle name="Normal 5 5 5 5" xfId="17717"/>
    <cellStyle name="Normal 5 5 5_FC with allocations" xfId="28507"/>
    <cellStyle name="Normal 5 5 6" xfId="11895"/>
    <cellStyle name="Normal 5 5 7" xfId="17212"/>
    <cellStyle name="Normal 5 5_FC with allocations" xfId="28490"/>
    <cellStyle name="Normal 5 6" xfId="2220"/>
    <cellStyle name="Normal 5 6 2" xfId="2221"/>
    <cellStyle name="Normal 5 6 2 2" xfId="2222"/>
    <cellStyle name="Normal 5 6 2 2 2" xfId="4245"/>
    <cellStyle name="Normal 5 6 2 2 2 2" xfId="11934"/>
    <cellStyle name="Normal 5 6 2 2 2 3" xfId="11933"/>
    <cellStyle name="Normal 5 6 2 2 2_FC with allocations" xfId="28512"/>
    <cellStyle name="Normal 5 6 2 2 3" xfId="11935"/>
    <cellStyle name="Normal 5 6 2 2 3 2" xfId="18397"/>
    <cellStyle name="Normal 5 6 2 2 3 3" xfId="17723"/>
    <cellStyle name="Normal 5 6 2 2 3_FC with allocations" xfId="28513"/>
    <cellStyle name="Normal 5 6 2 2 4" xfId="11932"/>
    <cellStyle name="Normal 5 6 2 2 5" xfId="17218"/>
    <cellStyle name="Normal 5 6 2 2_FC with allocations" xfId="28511"/>
    <cellStyle name="Normal 5 6 2 3" xfId="4244"/>
    <cellStyle name="Normal 5 6 2 3 2" xfId="11936"/>
    <cellStyle name="Normal 5 6 2 3_FC with allocations" xfId="28514"/>
    <cellStyle name="Normal 5 6 2 4" xfId="11937"/>
    <cellStyle name="Normal 5 6 2 4 2" xfId="11938"/>
    <cellStyle name="Normal 5 6 2 4 3" xfId="18398"/>
    <cellStyle name="Normal 5 6 2 4 4" xfId="17722"/>
    <cellStyle name="Normal 5 6 2 4_FC with allocations" xfId="28515"/>
    <cellStyle name="Normal 5 6 2 5" xfId="11939"/>
    <cellStyle name="Normal 5 6 2 6" xfId="11931"/>
    <cellStyle name="Normal 5 6 2 7" xfId="17217"/>
    <cellStyle name="Normal 5 6 2_FC with allocations" xfId="28510"/>
    <cellStyle name="Normal 5 6 3" xfId="2223"/>
    <cellStyle name="Normal 5 6 3 2" xfId="4246"/>
    <cellStyle name="Normal 5 6 3 2 2" xfId="11941"/>
    <cellStyle name="Normal 5 6 3 2_FC with allocations" xfId="28517"/>
    <cellStyle name="Normal 5 6 3 3" xfId="11942"/>
    <cellStyle name="Normal 5 6 3 3 2" xfId="11943"/>
    <cellStyle name="Normal 5 6 3 3 3" xfId="18399"/>
    <cellStyle name="Normal 5 6 3 3 4" xfId="17724"/>
    <cellStyle name="Normal 5 6 3 3_FC with allocations" xfId="28518"/>
    <cellStyle name="Normal 5 6 3 4" xfId="11944"/>
    <cellStyle name="Normal 5 6 3 5" xfId="11940"/>
    <cellStyle name="Normal 5 6 3 6" xfId="17219"/>
    <cellStyle name="Normal 5 6 3_FC with allocations" xfId="28516"/>
    <cellStyle name="Normal 5 6 4" xfId="4243"/>
    <cellStyle name="Normal 5 6 4 2" xfId="11946"/>
    <cellStyle name="Normal 5 6 4 2 2" xfId="11947"/>
    <cellStyle name="Normal 5 6 4 2_FC with allocations" xfId="28520"/>
    <cellStyle name="Normal 5 6 4 3" xfId="11948"/>
    <cellStyle name="Normal 5 6 4 4" xfId="11945"/>
    <cellStyle name="Normal 5 6 4_FC with allocations" xfId="28519"/>
    <cellStyle name="Normal 5 6 5" xfId="11930"/>
    <cellStyle name="Normal 5 6 5 2" xfId="18396"/>
    <cellStyle name="Normal 5 6 5 3" xfId="17721"/>
    <cellStyle name="Normal 5 6 5_FC with allocations" xfId="28521"/>
    <cellStyle name="Normal 5 6 6" xfId="17216"/>
    <cellStyle name="Normal 5 6_FC with allocations" xfId="28509"/>
    <cellStyle name="Normal 5 7" xfId="2224"/>
    <cellStyle name="Normal 5 7 2" xfId="2225"/>
    <cellStyle name="Normal 5 7 2 2" xfId="4248"/>
    <cellStyle name="Normal 5 7 2 2 2" xfId="11951"/>
    <cellStyle name="Normal 5 7 2 2_FC with allocations" xfId="28524"/>
    <cellStyle name="Normal 5 7 2 3" xfId="11952"/>
    <cellStyle name="Normal 5 7 2 3 2" xfId="11953"/>
    <cellStyle name="Normal 5 7 2 3 3" xfId="18401"/>
    <cellStyle name="Normal 5 7 2 3 4" xfId="17726"/>
    <cellStyle name="Normal 5 7 2 3_FC with allocations" xfId="28525"/>
    <cellStyle name="Normal 5 7 2 4" xfId="11954"/>
    <cellStyle name="Normal 5 7 2 5" xfId="11950"/>
    <cellStyle name="Normal 5 7 2 6" xfId="17221"/>
    <cellStyle name="Normal 5 7 2_FC with allocations" xfId="28523"/>
    <cellStyle name="Normal 5 7 3" xfId="4247"/>
    <cellStyle name="Normal 5 7 3 2" xfId="11956"/>
    <cellStyle name="Normal 5 7 3 3" xfId="11957"/>
    <cellStyle name="Normal 5 7 3 3 2" xfId="11958"/>
    <cellStyle name="Normal 5 7 3 3_FC with allocations" xfId="28527"/>
    <cellStyle name="Normal 5 7 3 4" xfId="11959"/>
    <cellStyle name="Normal 5 7 3 5" xfId="11955"/>
    <cellStyle name="Normal 5 7 3_FC with allocations" xfId="28526"/>
    <cellStyle name="Normal 5 7 4" xfId="11949"/>
    <cellStyle name="Normal 5 7 4 2" xfId="18400"/>
    <cellStyle name="Normal 5 7 4 3" xfId="17725"/>
    <cellStyle name="Normal 5 7 4_FC with allocations" xfId="28528"/>
    <cellStyle name="Normal 5 7 5" xfId="17220"/>
    <cellStyle name="Normal 5 7_FC with allocations" xfId="28522"/>
    <cellStyle name="Normal 5 8" xfId="2226"/>
    <cellStyle name="Normal 5 8 2" xfId="4249"/>
    <cellStyle name="Normal 5 8 2 2" xfId="11962"/>
    <cellStyle name="Normal 5 8 2 3" xfId="11963"/>
    <cellStyle name="Normal 5 8 2 3 2" xfId="11964"/>
    <cellStyle name="Normal 5 8 2 3_FC with allocations" xfId="28531"/>
    <cellStyle name="Normal 5 8 2 4" xfId="11965"/>
    <cellStyle name="Normal 5 8 2 5" xfId="11961"/>
    <cellStyle name="Normal 5 8 2_FC with allocations" xfId="28530"/>
    <cellStyle name="Normal 5 8 3" xfId="11966"/>
    <cellStyle name="Normal 5 8 3 2" xfId="18402"/>
    <cellStyle name="Normal 5 8 3 3" xfId="17727"/>
    <cellStyle name="Normal 5 8 3_FC with allocations" xfId="28532"/>
    <cellStyle name="Normal 5 8 4" xfId="11960"/>
    <cellStyle name="Normal 5 8 5" xfId="17222"/>
    <cellStyle name="Normal 5 8_FC with allocations" xfId="28529"/>
    <cellStyle name="Normal 5 9" xfId="2227"/>
    <cellStyle name="Normal 5 9 2" xfId="4250"/>
    <cellStyle name="Normal 5 9 2 2" xfId="11968"/>
    <cellStyle name="Normal 5 9 2_FC with allocations" xfId="28534"/>
    <cellStyle name="Normal 5 9 3" xfId="11969"/>
    <cellStyle name="Normal 5 9 4" xfId="11967"/>
    <cellStyle name="Normal 5 9_FC with allocations" xfId="28533"/>
    <cellStyle name="Normal 5_FC" xfId="2228"/>
    <cellStyle name="Normal 50" xfId="2229"/>
    <cellStyle name="Normal 50 10" xfId="11971"/>
    <cellStyle name="Normal 50 10 2" xfId="11972"/>
    <cellStyle name="Normal 50 10 2 2" xfId="11973"/>
    <cellStyle name="Normal 50 10 2 2 2" xfId="11974"/>
    <cellStyle name="Normal 50 10 2 2 2 2" xfId="11975"/>
    <cellStyle name="Normal 50 10 2 2 2 2 2" xfId="11976"/>
    <cellStyle name="Normal 50 10 2 2 2 2_FC with allocations" xfId="28540"/>
    <cellStyle name="Normal 50 10 2 2 2 3" xfId="11977"/>
    <cellStyle name="Normal 50 10 2 2 2_FC with allocations" xfId="28539"/>
    <cellStyle name="Normal 50 10 2 2 3" xfId="11978"/>
    <cellStyle name="Normal 50 10 2 2 3 2" xfId="11979"/>
    <cellStyle name="Normal 50 10 2 2 3_FC with allocations" xfId="28541"/>
    <cellStyle name="Normal 50 10 2 2 4" xfId="11980"/>
    <cellStyle name="Normal 50 10 2 2_FC with allocations" xfId="28538"/>
    <cellStyle name="Normal 50 10 2 3" xfId="11981"/>
    <cellStyle name="Normal 50 10 2 3 2" xfId="11982"/>
    <cellStyle name="Normal 50 10 2 3 2 2" xfId="11983"/>
    <cellStyle name="Normal 50 10 2 3 2_FC with allocations" xfId="28543"/>
    <cellStyle name="Normal 50 10 2 3 3" xfId="11984"/>
    <cellStyle name="Normal 50 10 2 3_FC with allocations" xfId="28542"/>
    <cellStyle name="Normal 50 10 2 4" xfId="11985"/>
    <cellStyle name="Normal 50 10 2 4 2" xfId="11986"/>
    <cellStyle name="Normal 50 10 2 4_FC with allocations" xfId="28544"/>
    <cellStyle name="Normal 50 10 2 5" xfId="11987"/>
    <cellStyle name="Normal 50 10 2_FC with allocations" xfId="28537"/>
    <cellStyle name="Normal 50 10 3" xfId="11988"/>
    <cellStyle name="Normal 50 10 3 2" xfId="11989"/>
    <cellStyle name="Normal 50 10 3 2 2" xfId="11990"/>
    <cellStyle name="Normal 50 10 3 2 2 2" xfId="11991"/>
    <cellStyle name="Normal 50 10 3 2 2 2 2" xfId="11992"/>
    <cellStyle name="Normal 50 10 3 2 2 2_FC with allocations" xfId="28548"/>
    <cellStyle name="Normal 50 10 3 2 2 3" xfId="11993"/>
    <cellStyle name="Normal 50 10 3 2 2_FC with allocations" xfId="28547"/>
    <cellStyle name="Normal 50 10 3 2 3" xfId="11994"/>
    <cellStyle name="Normal 50 10 3 2 3 2" xfId="11995"/>
    <cellStyle name="Normal 50 10 3 2 3_FC with allocations" xfId="28549"/>
    <cellStyle name="Normal 50 10 3 2 4" xfId="11996"/>
    <cellStyle name="Normal 50 10 3 2_FC with allocations" xfId="28546"/>
    <cellStyle name="Normal 50 10 3 3" xfId="11997"/>
    <cellStyle name="Normal 50 10 3 3 2" xfId="11998"/>
    <cellStyle name="Normal 50 10 3 3 2 2" xfId="11999"/>
    <cellStyle name="Normal 50 10 3 3 2_FC with allocations" xfId="28551"/>
    <cellStyle name="Normal 50 10 3 3 3" xfId="12000"/>
    <cellStyle name="Normal 50 10 3 3_FC with allocations" xfId="28550"/>
    <cellStyle name="Normal 50 10 3 4" xfId="12001"/>
    <cellStyle name="Normal 50 10 3 4 2" xfId="12002"/>
    <cellStyle name="Normal 50 10 3 4_FC with allocations" xfId="28552"/>
    <cellStyle name="Normal 50 10 3 5" xfId="12003"/>
    <cellStyle name="Normal 50 10 3_FC with allocations" xfId="28545"/>
    <cellStyle name="Normal 50 10 4" xfId="12004"/>
    <cellStyle name="Normal 50 10 4 2" xfId="12005"/>
    <cellStyle name="Normal 50 10 4 2 2" xfId="12006"/>
    <cellStyle name="Normal 50 10 4 2 2 2" xfId="12007"/>
    <cellStyle name="Normal 50 10 4 2 2_FC with allocations" xfId="28555"/>
    <cellStyle name="Normal 50 10 4 2 3" xfId="12008"/>
    <cellStyle name="Normal 50 10 4 2_FC with allocations" xfId="28554"/>
    <cellStyle name="Normal 50 10 4 3" xfId="12009"/>
    <cellStyle name="Normal 50 10 4 3 2" xfId="12010"/>
    <cellStyle name="Normal 50 10 4 3_FC with allocations" xfId="28556"/>
    <cellStyle name="Normal 50 10 4 4" xfId="12011"/>
    <cellStyle name="Normal 50 10 4_FC with allocations" xfId="28553"/>
    <cellStyle name="Normal 50 10 5" xfId="12012"/>
    <cellStyle name="Normal 50 10 5 2" xfId="12013"/>
    <cellStyle name="Normal 50 10 5 2 2" xfId="12014"/>
    <cellStyle name="Normal 50 10 5 2_FC with allocations" xfId="28558"/>
    <cellStyle name="Normal 50 10 5 3" xfId="12015"/>
    <cellStyle name="Normal 50 10 5_FC with allocations" xfId="28557"/>
    <cellStyle name="Normal 50 10 6" xfId="12016"/>
    <cellStyle name="Normal 50 10 6 2" xfId="12017"/>
    <cellStyle name="Normal 50 10 6 2 2" xfId="12018"/>
    <cellStyle name="Normal 50 10 6 2_FC with allocations" xfId="28560"/>
    <cellStyle name="Normal 50 10 6 3" xfId="12019"/>
    <cellStyle name="Normal 50 10 6_FC with allocations" xfId="28559"/>
    <cellStyle name="Normal 50 10 7" xfId="12020"/>
    <cellStyle name="Normal 50 10 7 2" xfId="12021"/>
    <cellStyle name="Normal 50 10 7_FC with allocations" xfId="28561"/>
    <cellStyle name="Normal 50 10 8" xfId="12022"/>
    <cellStyle name="Normal 50 10_FC with allocations" xfId="28536"/>
    <cellStyle name="Normal 50 11" xfId="12023"/>
    <cellStyle name="Normal 50 11 2" xfId="12024"/>
    <cellStyle name="Normal 50 11 2 2" xfId="12025"/>
    <cellStyle name="Normal 50 11 2 2 2" xfId="12026"/>
    <cellStyle name="Normal 50 11 2 2 2 2" xfId="12027"/>
    <cellStyle name="Normal 50 11 2 2 2 2 2" xfId="12028"/>
    <cellStyle name="Normal 50 11 2 2 2 2_FC with allocations" xfId="28566"/>
    <cellStyle name="Normal 50 11 2 2 2 3" xfId="12029"/>
    <cellStyle name="Normal 50 11 2 2 2_FC with allocations" xfId="28565"/>
    <cellStyle name="Normal 50 11 2 2 3" xfId="12030"/>
    <cellStyle name="Normal 50 11 2 2 3 2" xfId="12031"/>
    <cellStyle name="Normal 50 11 2 2 3_FC with allocations" xfId="28567"/>
    <cellStyle name="Normal 50 11 2 2 4" xfId="12032"/>
    <cellStyle name="Normal 50 11 2 2_FC with allocations" xfId="28564"/>
    <cellStyle name="Normal 50 11 2 3" xfId="12033"/>
    <cellStyle name="Normal 50 11 2 3 2" xfId="12034"/>
    <cellStyle name="Normal 50 11 2 3 2 2" xfId="12035"/>
    <cellStyle name="Normal 50 11 2 3 2_FC with allocations" xfId="28569"/>
    <cellStyle name="Normal 50 11 2 3 3" xfId="12036"/>
    <cellStyle name="Normal 50 11 2 3_FC with allocations" xfId="28568"/>
    <cellStyle name="Normal 50 11 2 4" xfId="12037"/>
    <cellStyle name="Normal 50 11 2 4 2" xfId="12038"/>
    <cellStyle name="Normal 50 11 2 4_FC with allocations" xfId="28570"/>
    <cellStyle name="Normal 50 11 2 5" xfId="12039"/>
    <cellStyle name="Normal 50 11 2_FC with allocations" xfId="28563"/>
    <cellStyle name="Normal 50 11 3" xfId="12040"/>
    <cellStyle name="Normal 50 11 3 2" xfId="12041"/>
    <cellStyle name="Normal 50 11 3 2 2" xfId="12042"/>
    <cellStyle name="Normal 50 11 3 2 2 2" xfId="12043"/>
    <cellStyle name="Normal 50 11 3 2 2 2 2" xfId="12044"/>
    <cellStyle name="Normal 50 11 3 2 2 2_FC with allocations" xfId="28574"/>
    <cellStyle name="Normal 50 11 3 2 2 3" xfId="12045"/>
    <cellStyle name="Normal 50 11 3 2 2_FC with allocations" xfId="28573"/>
    <cellStyle name="Normal 50 11 3 2 3" xfId="12046"/>
    <cellStyle name="Normal 50 11 3 2 3 2" xfId="12047"/>
    <cellStyle name="Normal 50 11 3 2 3_FC with allocations" xfId="28575"/>
    <cellStyle name="Normal 50 11 3 2 4" xfId="12048"/>
    <cellStyle name="Normal 50 11 3 2_FC with allocations" xfId="28572"/>
    <cellStyle name="Normal 50 11 3 3" xfId="12049"/>
    <cellStyle name="Normal 50 11 3 3 2" xfId="12050"/>
    <cellStyle name="Normal 50 11 3 3 2 2" xfId="12051"/>
    <cellStyle name="Normal 50 11 3 3 2_FC with allocations" xfId="28577"/>
    <cellStyle name="Normal 50 11 3 3 3" xfId="12052"/>
    <cellStyle name="Normal 50 11 3 3_FC with allocations" xfId="28576"/>
    <cellStyle name="Normal 50 11 3 4" xfId="12053"/>
    <cellStyle name="Normal 50 11 3 4 2" xfId="12054"/>
    <cellStyle name="Normal 50 11 3 4_FC with allocations" xfId="28578"/>
    <cellStyle name="Normal 50 11 3 5" xfId="12055"/>
    <cellStyle name="Normal 50 11 3_FC with allocations" xfId="28571"/>
    <cellStyle name="Normal 50 11 4" xfId="12056"/>
    <cellStyle name="Normal 50 11 4 2" xfId="12057"/>
    <cellStyle name="Normal 50 11 4 2 2" xfId="12058"/>
    <cellStyle name="Normal 50 11 4 2 2 2" xfId="12059"/>
    <cellStyle name="Normal 50 11 4 2 2_FC with allocations" xfId="28581"/>
    <cellStyle name="Normal 50 11 4 2 3" xfId="12060"/>
    <cellStyle name="Normal 50 11 4 2_FC with allocations" xfId="28580"/>
    <cellStyle name="Normal 50 11 4 3" xfId="12061"/>
    <cellStyle name="Normal 50 11 4 3 2" xfId="12062"/>
    <cellStyle name="Normal 50 11 4 3_FC with allocations" xfId="28582"/>
    <cellStyle name="Normal 50 11 4 4" xfId="12063"/>
    <cellStyle name="Normal 50 11 4_FC with allocations" xfId="28579"/>
    <cellStyle name="Normal 50 11 5" xfId="12064"/>
    <cellStyle name="Normal 50 11 5 2" xfId="12065"/>
    <cellStyle name="Normal 50 11 5 2 2" xfId="12066"/>
    <cellStyle name="Normal 50 11 5 2_FC with allocations" xfId="28584"/>
    <cellStyle name="Normal 50 11 5 3" xfId="12067"/>
    <cellStyle name="Normal 50 11 5_FC with allocations" xfId="28583"/>
    <cellStyle name="Normal 50 11 6" xfId="12068"/>
    <cellStyle name="Normal 50 11 6 2" xfId="12069"/>
    <cellStyle name="Normal 50 11 6 2 2" xfId="12070"/>
    <cellStyle name="Normal 50 11 6 2_FC with allocations" xfId="28586"/>
    <cellStyle name="Normal 50 11 6 3" xfId="12071"/>
    <cellStyle name="Normal 50 11 6_FC with allocations" xfId="28585"/>
    <cellStyle name="Normal 50 11 7" xfId="12072"/>
    <cellStyle name="Normal 50 11 7 2" xfId="12073"/>
    <cellStyle name="Normal 50 11 7_FC with allocations" xfId="28587"/>
    <cellStyle name="Normal 50 11 8" xfId="12074"/>
    <cellStyle name="Normal 50 11_FC with allocations" xfId="28562"/>
    <cellStyle name="Normal 50 12" xfId="12075"/>
    <cellStyle name="Normal 50 12 2" xfId="12076"/>
    <cellStyle name="Normal 50 12 2 2" xfId="12077"/>
    <cellStyle name="Normal 50 12 2 2 2" xfId="12078"/>
    <cellStyle name="Normal 50 12 2 2 2 2" xfId="12079"/>
    <cellStyle name="Normal 50 12 2 2 2 2 2" xfId="12080"/>
    <cellStyle name="Normal 50 12 2 2 2 2_FC with allocations" xfId="28592"/>
    <cellStyle name="Normal 50 12 2 2 2 3" xfId="12081"/>
    <cellStyle name="Normal 50 12 2 2 2_FC with allocations" xfId="28591"/>
    <cellStyle name="Normal 50 12 2 2 3" xfId="12082"/>
    <cellStyle name="Normal 50 12 2 2 3 2" xfId="12083"/>
    <cellStyle name="Normal 50 12 2 2 3_FC with allocations" xfId="28593"/>
    <cellStyle name="Normal 50 12 2 2 4" xfId="12084"/>
    <cellStyle name="Normal 50 12 2 2_FC with allocations" xfId="28590"/>
    <cellStyle name="Normal 50 12 2 3" xfId="12085"/>
    <cellStyle name="Normal 50 12 2 3 2" xfId="12086"/>
    <cellStyle name="Normal 50 12 2 3 2 2" xfId="12087"/>
    <cellStyle name="Normal 50 12 2 3 2_FC with allocations" xfId="28595"/>
    <cellStyle name="Normal 50 12 2 3 3" xfId="12088"/>
    <cellStyle name="Normal 50 12 2 3_FC with allocations" xfId="28594"/>
    <cellStyle name="Normal 50 12 2 4" xfId="12089"/>
    <cellStyle name="Normal 50 12 2 4 2" xfId="12090"/>
    <cellStyle name="Normal 50 12 2 4_FC with allocations" xfId="28596"/>
    <cellStyle name="Normal 50 12 2 5" xfId="12091"/>
    <cellStyle name="Normal 50 12 2_FC with allocations" xfId="28589"/>
    <cellStyle name="Normal 50 12 3" xfId="12092"/>
    <cellStyle name="Normal 50 12 3 2" xfId="12093"/>
    <cellStyle name="Normal 50 12 3 2 2" xfId="12094"/>
    <cellStyle name="Normal 50 12 3 2 2 2" xfId="12095"/>
    <cellStyle name="Normal 50 12 3 2 2 2 2" xfId="12096"/>
    <cellStyle name="Normal 50 12 3 2 2 2_FC with allocations" xfId="28600"/>
    <cellStyle name="Normal 50 12 3 2 2 3" xfId="12097"/>
    <cellStyle name="Normal 50 12 3 2 2_FC with allocations" xfId="28599"/>
    <cellStyle name="Normal 50 12 3 2 3" xfId="12098"/>
    <cellStyle name="Normal 50 12 3 2 3 2" xfId="12099"/>
    <cellStyle name="Normal 50 12 3 2 3_FC with allocations" xfId="28601"/>
    <cellStyle name="Normal 50 12 3 2 4" xfId="12100"/>
    <cellStyle name="Normal 50 12 3 2_FC with allocations" xfId="28598"/>
    <cellStyle name="Normal 50 12 3 3" xfId="12101"/>
    <cellStyle name="Normal 50 12 3 3 2" xfId="12102"/>
    <cellStyle name="Normal 50 12 3 3 2 2" xfId="12103"/>
    <cellStyle name="Normal 50 12 3 3 2_FC with allocations" xfId="28603"/>
    <cellStyle name="Normal 50 12 3 3 3" xfId="12104"/>
    <cellStyle name="Normal 50 12 3 3_FC with allocations" xfId="28602"/>
    <cellStyle name="Normal 50 12 3 4" xfId="12105"/>
    <cellStyle name="Normal 50 12 3 4 2" xfId="12106"/>
    <cellStyle name="Normal 50 12 3 4_FC with allocations" xfId="28604"/>
    <cellStyle name="Normal 50 12 3 5" xfId="12107"/>
    <cellStyle name="Normal 50 12 3_FC with allocations" xfId="28597"/>
    <cellStyle name="Normal 50 12 4" xfId="12108"/>
    <cellStyle name="Normal 50 12 4 2" xfId="12109"/>
    <cellStyle name="Normal 50 12 4 2 2" xfId="12110"/>
    <cellStyle name="Normal 50 12 4 2 2 2" xfId="12111"/>
    <cellStyle name="Normal 50 12 4 2 2_FC with allocations" xfId="28607"/>
    <cellStyle name="Normal 50 12 4 2 3" xfId="12112"/>
    <cellStyle name="Normal 50 12 4 2_FC with allocations" xfId="28606"/>
    <cellStyle name="Normal 50 12 4 3" xfId="12113"/>
    <cellStyle name="Normal 50 12 4 3 2" xfId="12114"/>
    <cellStyle name="Normal 50 12 4 3_FC with allocations" xfId="28608"/>
    <cellStyle name="Normal 50 12 4 4" xfId="12115"/>
    <cellStyle name="Normal 50 12 4_FC with allocations" xfId="28605"/>
    <cellStyle name="Normal 50 12 5" xfId="12116"/>
    <cellStyle name="Normal 50 12 5 2" xfId="12117"/>
    <cellStyle name="Normal 50 12 5 2 2" xfId="12118"/>
    <cellStyle name="Normal 50 12 5 2_FC with allocations" xfId="28610"/>
    <cellStyle name="Normal 50 12 5 3" xfId="12119"/>
    <cellStyle name="Normal 50 12 5_FC with allocations" xfId="28609"/>
    <cellStyle name="Normal 50 12 6" xfId="12120"/>
    <cellStyle name="Normal 50 12 6 2" xfId="12121"/>
    <cellStyle name="Normal 50 12 6 2 2" xfId="12122"/>
    <cellStyle name="Normal 50 12 6 2_FC with allocations" xfId="28612"/>
    <cellStyle name="Normal 50 12 6 3" xfId="12123"/>
    <cellStyle name="Normal 50 12 6_FC with allocations" xfId="28611"/>
    <cellStyle name="Normal 50 12 7" xfId="12124"/>
    <cellStyle name="Normal 50 12 7 2" xfId="12125"/>
    <cellStyle name="Normal 50 12 7_FC with allocations" xfId="28613"/>
    <cellStyle name="Normal 50 12 8" xfId="12126"/>
    <cellStyle name="Normal 50 12_FC with allocations" xfId="28588"/>
    <cellStyle name="Normal 50 13" xfId="12127"/>
    <cellStyle name="Normal 50 13 2" xfId="12128"/>
    <cellStyle name="Normal 50 13 2 2" xfId="12129"/>
    <cellStyle name="Normal 50 13 2 2 2" xfId="12130"/>
    <cellStyle name="Normal 50 13 2 2 2 2" xfId="12131"/>
    <cellStyle name="Normal 50 13 2 2 2 2 2" xfId="12132"/>
    <cellStyle name="Normal 50 13 2 2 2 2_FC with allocations" xfId="28618"/>
    <cellStyle name="Normal 50 13 2 2 2 3" xfId="12133"/>
    <cellStyle name="Normal 50 13 2 2 2_FC with allocations" xfId="28617"/>
    <cellStyle name="Normal 50 13 2 2 3" xfId="12134"/>
    <cellStyle name="Normal 50 13 2 2 3 2" xfId="12135"/>
    <cellStyle name="Normal 50 13 2 2 3_FC with allocations" xfId="28619"/>
    <cellStyle name="Normal 50 13 2 2 4" xfId="12136"/>
    <cellStyle name="Normal 50 13 2 2_FC with allocations" xfId="28616"/>
    <cellStyle name="Normal 50 13 2 3" xfId="12137"/>
    <cellStyle name="Normal 50 13 2 3 2" xfId="12138"/>
    <cellStyle name="Normal 50 13 2 3 2 2" xfId="12139"/>
    <cellStyle name="Normal 50 13 2 3 2_FC with allocations" xfId="28621"/>
    <cellStyle name="Normal 50 13 2 3 3" xfId="12140"/>
    <cellStyle name="Normal 50 13 2 3_FC with allocations" xfId="28620"/>
    <cellStyle name="Normal 50 13 2 4" xfId="12141"/>
    <cellStyle name="Normal 50 13 2 4 2" xfId="12142"/>
    <cellStyle name="Normal 50 13 2 4_FC with allocations" xfId="28622"/>
    <cellStyle name="Normal 50 13 2 5" xfId="12143"/>
    <cellStyle name="Normal 50 13 2_FC with allocations" xfId="28615"/>
    <cellStyle name="Normal 50 13 3" xfId="12144"/>
    <cellStyle name="Normal 50 13 3 2" xfId="12145"/>
    <cellStyle name="Normal 50 13 3 2 2" xfId="12146"/>
    <cellStyle name="Normal 50 13 3 2 2 2" xfId="12147"/>
    <cellStyle name="Normal 50 13 3 2 2 2 2" xfId="12148"/>
    <cellStyle name="Normal 50 13 3 2 2 2_FC with allocations" xfId="28626"/>
    <cellStyle name="Normal 50 13 3 2 2 3" xfId="12149"/>
    <cellStyle name="Normal 50 13 3 2 2_FC with allocations" xfId="28625"/>
    <cellStyle name="Normal 50 13 3 2 3" xfId="12150"/>
    <cellStyle name="Normal 50 13 3 2 3 2" xfId="12151"/>
    <cellStyle name="Normal 50 13 3 2 3_FC with allocations" xfId="28627"/>
    <cellStyle name="Normal 50 13 3 2 4" xfId="12152"/>
    <cellStyle name="Normal 50 13 3 2_FC with allocations" xfId="28624"/>
    <cellStyle name="Normal 50 13 3 3" xfId="12153"/>
    <cellStyle name="Normal 50 13 3 3 2" xfId="12154"/>
    <cellStyle name="Normal 50 13 3 3 2 2" xfId="12155"/>
    <cellStyle name="Normal 50 13 3 3 2_FC with allocations" xfId="28629"/>
    <cellStyle name="Normal 50 13 3 3 3" xfId="12156"/>
    <cellStyle name="Normal 50 13 3 3_FC with allocations" xfId="28628"/>
    <cellStyle name="Normal 50 13 3 4" xfId="12157"/>
    <cellStyle name="Normal 50 13 3 4 2" xfId="12158"/>
    <cellStyle name="Normal 50 13 3 4_FC with allocations" xfId="28630"/>
    <cellStyle name="Normal 50 13 3 5" xfId="12159"/>
    <cellStyle name="Normal 50 13 3_FC with allocations" xfId="28623"/>
    <cellStyle name="Normal 50 13 4" xfId="12160"/>
    <cellStyle name="Normal 50 13 4 2" xfId="12161"/>
    <cellStyle name="Normal 50 13 4 2 2" xfId="12162"/>
    <cellStyle name="Normal 50 13 4 2 2 2" xfId="12163"/>
    <cellStyle name="Normal 50 13 4 2 2_FC with allocations" xfId="28633"/>
    <cellStyle name="Normal 50 13 4 2 3" xfId="12164"/>
    <cellStyle name="Normal 50 13 4 2_FC with allocations" xfId="28632"/>
    <cellStyle name="Normal 50 13 4 3" xfId="12165"/>
    <cellStyle name="Normal 50 13 4 3 2" xfId="12166"/>
    <cellStyle name="Normal 50 13 4 3_FC with allocations" xfId="28634"/>
    <cellStyle name="Normal 50 13 4 4" xfId="12167"/>
    <cellStyle name="Normal 50 13 4_FC with allocations" xfId="28631"/>
    <cellStyle name="Normal 50 13 5" xfId="12168"/>
    <cellStyle name="Normal 50 13 5 2" xfId="12169"/>
    <cellStyle name="Normal 50 13 5 2 2" xfId="12170"/>
    <cellStyle name="Normal 50 13 5 2_FC with allocations" xfId="28636"/>
    <cellStyle name="Normal 50 13 5 3" xfId="12171"/>
    <cellStyle name="Normal 50 13 5_FC with allocations" xfId="28635"/>
    <cellStyle name="Normal 50 13 6" xfId="12172"/>
    <cellStyle name="Normal 50 13 6 2" xfId="12173"/>
    <cellStyle name="Normal 50 13 6 2 2" xfId="12174"/>
    <cellStyle name="Normal 50 13 6 2_FC with allocations" xfId="28638"/>
    <cellStyle name="Normal 50 13 6 3" xfId="12175"/>
    <cellStyle name="Normal 50 13 6_FC with allocations" xfId="28637"/>
    <cellStyle name="Normal 50 13 7" xfId="12176"/>
    <cellStyle name="Normal 50 13 7 2" xfId="12177"/>
    <cellStyle name="Normal 50 13 7_FC with allocations" xfId="28639"/>
    <cellStyle name="Normal 50 13 8" xfId="12178"/>
    <cellStyle name="Normal 50 13_FC with allocations" xfId="28614"/>
    <cellStyle name="Normal 50 14" xfId="12179"/>
    <cellStyle name="Normal 50 14 2" xfId="12180"/>
    <cellStyle name="Normal 50 14 2 2" xfId="12181"/>
    <cellStyle name="Normal 50 14 2 2 2" xfId="12182"/>
    <cellStyle name="Normal 50 14 2 2 2 2" xfId="12183"/>
    <cellStyle name="Normal 50 14 2 2 2 2 2" xfId="12184"/>
    <cellStyle name="Normal 50 14 2 2 2 2_FC with allocations" xfId="28644"/>
    <cellStyle name="Normal 50 14 2 2 2 3" xfId="12185"/>
    <cellStyle name="Normal 50 14 2 2 2_FC with allocations" xfId="28643"/>
    <cellStyle name="Normal 50 14 2 2 3" xfId="12186"/>
    <cellStyle name="Normal 50 14 2 2 3 2" xfId="12187"/>
    <cellStyle name="Normal 50 14 2 2 3_FC with allocations" xfId="28645"/>
    <cellStyle name="Normal 50 14 2 2 4" xfId="12188"/>
    <cellStyle name="Normal 50 14 2 2_FC with allocations" xfId="28642"/>
    <cellStyle name="Normal 50 14 2 3" xfId="12189"/>
    <cellStyle name="Normal 50 14 2 3 2" xfId="12190"/>
    <cellStyle name="Normal 50 14 2 3 2 2" xfId="12191"/>
    <cellStyle name="Normal 50 14 2 3 2_FC with allocations" xfId="28647"/>
    <cellStyle name="Normal 50 14 2 3 3" xfId="12192"/>
    <cellStyle name="Normal 50 14 2 3_FC with allocations" xfId="28646"/>
    <cellStyle name="Normal 50 14 2 4" xfId="12193"/>
    <cellStyle name="Normal 50 14 2 4 2" xfId="12194"/>
    <cellStyle name="Normal 50 14 2 4_FC with allocations" xfId="28648"/>
    <cellStyle name="Normal 50 14 2 5" xfId="12195"/>
    <cellStyle name="Normal 50 14 2_FC with allocations" xfId="28641"/>
    <cellStyle name="Normal 50 14 3" xfId="12196"/>
    <cellStyle name="Normal 50 14 3 2" xfId="12197"/>
    <cellStyle name="Normal 50 14 3 2 2" xfId="12198"/>
    <cellStyle name="Normal 50 14 3 2 2 2" xfId="12199"/>
    <cellStyle name="Normal 50 14 3 2 2 2 2" xfId="12200"/>
    <cellStyle name="Normal 50 14 3 2 2 2_FC with allocations" xfId="28652"/>
    <cellStyle name="Normal 50 14 3 2 2 3" xfId="12201"/>
    <cellStyle name="Normal 50 14 3 2 2_FC with allocations" xfId="28651"/>
    <cellStyle name="Normal 50 14 3 2 3" xfId="12202"/>
    <cellStyle name="Normal 50 14 3 2 3 2" xfId="12203"/>
    <cellStyle name="Normal 50 14 3 2 3_FC with allocations" xfId="28653"/>
    <cellStyle name="Normal 50 14 3 2 4" xfId="12204"/>
    <cellStyle name="Normal 50 14 3 2_FC with allocations" xfId="28650"/>
    <cellStyle name="Normal 50 14 3 3" xfId="12205"/>
    <cellStyle name="Normal 50 14 3 3 2" xfId="12206"/>
    <cellStyle name="Normal 50 14 3 3 2 2" xfId="12207"/>
    <cellStyle name="Normal 50 14 3 3 2_FC with allocations" xfId="28655"/>
    <cellStyle name="Normal 50 14 3 3 3" xfId="12208"/>
    <cellStyle name="Normal 50 14 3 3_FC with allocations" xfId="28654"/>
    <cellStyle name="Normal 50 14 3 4" xfId="12209"/>
    <cellStyle name="Normal 50 14 3 4 2" xfId="12210"/>
    <cellStyle name="Normal 50 14 3 4_FC with allocations" xfId="28656"/>
    <cellStyle name="Normal 50 14 3 5" xfId="12211"/>
    <cellStyle name="Normal 50 14 3_FC with allocations" xfId="28649"/>
    <cellStyle name="Normal 50 14 4" xfId="12212"/>
    <cellStyle name="Normal 50 14 4 2" xfId="12213"/>
    <cellStyle name="Normal 50 14 4 2 2" xfId="12214"/>
    <cellStyle name="Normal 50 14 4 2 2 2" xfId="12215"/>
    <cellStyle name="Normal 50 14 4 2 2_FC with allocations" xfId="28659"/>
    <cellStyle name="Normal 50 14 4 2 3" xfId="12216"/>
    <cellStyle name="Normal 50 14 4 2_FC with allocations" xfId="28658"/>
    <cellStyle name="Normal 50 14 4 3" xfId="12217"/>
    <cellStyle name="Normal 50 14 4 3 2" xfId="12218"/>
    <cellStyle name="Normal 50 14 4 3_FC with allocations" xfId="28660"/>
    <cellStyle name="Normal 50 14 4 4" xfId="12219"/>
    <cellStyle name="Normal 50 14 4_FC with allocations" xfId="28657"/>
    <cellStyle name="Normal 50 14 5" xfId="12220"/>
    <cellStyle name="Normal 50 14 5 2" xfId="12221"/>
    <cellStyle name="Normal 50 14 5 2 2" xfId="12222"/>
    <cellStyle name="Normal 50 14 5 2_FC with allocations" xfId="28662"/>
    <cellStyle name="Normal 50 14 5 3" xfId="12223"/>
    <cellStyle name="Normal 50 14 5_FC with allocations" xfId="28661"/>
    <cellStyle name="Normal 50 14 6" xfId="12224"/>
    <cellStyle name="Normal 50 14 6 2" xfId="12225"/>
    <cellStyle name="Normal 50 14 6 2 2" xfId="12226"/>
    <cellStyle name="Normal 50 14 6 2_FC with allocations" xfId="28664"/>
    <cellStyle name="Normal 50 14 6 3" xfId="12227"/>
    <cellStyle name="Normal 50 14 6_FC with allocations" xfId="28663"/>
    <cellStyle name="Normal 50 14 7" xfId="12228"/>
    <cellStyle name="Normal 50 14 7 2" xfId="12229"/>
    <cellStyle name="Normal 50 14 7_FC with allocations" xfId="28665"/>
    <cellStyle name="Normal 50 14 8" xfId="12230"/>
    <cellStyle name="Normal 50 14_FC with allocations" xfId="28640"/>
    <cellStyle name="Normal 50 15" xfId="12231"/>
    <cellStyle name="Normal 50 15 2" xfId="12232"/>
    <cellStyle name="Normal 50 15 2 2" xfId="12233"/>
    <cellStyle name="Normal 50 15 2 2 2" xfId="12234"/>
    <cellStyle name="Normal 50 15 2 2 2 2" xfId="12235"/>
    <cellStyle name="Normal 50 15 2 2 2 2 2" xfId="12236"/>
    <cellStyle name="Normal 50 15 2 2 2 2_FC with allocations" xfId="28670"/>
    <cellStyle name="Normal 50 15 2 2 2 3" xfId="12237"/>
    <cellStyle name="Normal 50 15 2 2 2_FC with allocations" xfId="28669"/>
    <cellStyle name="Normal 50 15 2 2 3" xfId="12238"/>
    <cellStyle name="Normal 50 15 2 2 3 2" xfId="12239"/>
    <cellStyle name="Normal 50 15 2 2 3_FC with allocations" xfId="28671"/>
    <cellStyle name="Normal 50 15 2 2 4" xfId="12240"/>
    <cellStyle name="Normal 50 15 2 2_FC with allocations" xfId="28668"/>
    <cellStyle name="Normal 50 15 2 3" xfId="12241"/>
    <cellStyle name="Normal 50 15 2 3 2" xfId="12242"/>
    <cellStyle name="Normal 50 15 2 3 2 2" xfId="12243"/>
    <cellStyle name="Normal 50 15 2 3 2_FC with allocations" xfId="28673"/>
    <cellStyle name="Normal 50 15 2 3 3" xfId="12244"/>
    <cellStyle name="Normal 50 15 2 3_FC with allocations" xfId="28672"/>
    <cellStyle name="Normal 50 15 2 4" xfId="12245"/>
    <cellStyle name="Normal 50 15 2 4 2" xfId="12246"/>
    <cellStyle name="Normal 50 15 2 4_FC with allocations" xfId="28674"/>
    <cellStyle name="Normal 50 15 2 5" xfId="12247"/>
    <cellStyle name="Normal 50 15 2_FC with allocations" xfId="28667"/>
    <cellStyle name="Normal 50 15 3" xfId="12248"/>
    <cellStyle name="Normal 50 15 3 2" xfId="12249"/>
    <cellStyle name="Normal 50 15 3 2 2" xfId="12250"/>
    <cellStyle name="Normal 50 15 3 2 2 2" xfId="12251"/>
    <cellStyle name="Normal 50 15 3 2 2 2 2" xfId="12252"/>
    <cellStyle name="Normal 50 15 3 2 2 2_FC with allocations" xfId="28678"/>
    <cellStyle name="Normal 50 15 3 2 2 3" xfId="12253"/>
    <cellStyle name="Normal 50 15 3 2 2_FC with allocations" xfId="28677"/>
    <cellStyle name="Normal 50 15 3 2 3" xfId="12254"/>
    <cellStyle name="Normal 50 15 3 2 3 2" xfId="12255"/>
    <cellStyle name="Normal 50 15 3 2 3_FC with allocations" xfId="28679"/>
    <cellStyle name="Normal 50 15 3 2 4" xfId="12256"/>
    <cellStyle name="Normal 50 15 3 2_FC with allocations" xfId="28676"/>
    <cellStyle name="Normal 50 15 3 3" xfId="12257"/>
    <cellStyle name="Normal 50 15 3 3 2" xfId="12258"/>
    <cellStyle name="Normal 50 15 3 3 2 2" xfId="12259"/>
    <cellStyle name="Normal 50 15 3 3 2_FC with allocations" xfId="28681"/>
    <cellStyle name="Normal 50 15 3 3 3" xfId="12260"/>
    <cellStyle name="Normal 50 15 3 3_FC with allocations" xfId="28680"/>
    <cellStyle name="Normal 50 15 3 4" xfId="12261"/>
    <cellStyle name="Normal 50 15 3 4 2" xfId="12262"/>
    <cellStyle name="Normal 50 15 3 4_FC with allocations" xfId="28682"/>
    <cellStyle name="Normal 50 15 3 5" xfId="12263"/>
    <cellStyle name="Normal 50 15 3_FC with allocations" xfId="28675"/>
    <cellStyle name="Normal 50 15 4" xfId="12264"/>
    <cellStyle name="Normal 50 15 4 2" xfId="12265"/>
    <cellStyle name="Normal 50 15 4 2 2" xfId="12266"/>
    <cellStyle name="Normal 50 15 4 2 2 2" xfId="12267"/>
    <cellStyle name="Normal 50 15 4 2 2_FC with allocations" xfId="28685"/>
    <cellStyle name="Normal 50 15 4 2 3" xfId="12268"/>
    <cellStyle name="Normal 50 15 4 2_FC with allocations" xfId="28684"/>
    <cellStyle name="Normal 50 15 4 3" xfId="12269"/>
    <cellStyle name="Normal 50 15 4 3 2" xfId="12270"/>
    <cellStyle name="Normal 50 15 4 3_FC with allocations" xfId="28686"/>
    <cellStyle name="Normal 50 15 4 4" xfId="12271"/>
    <cellStyle name="Normal 50 15 4_FC with allocations" xfId="28683"/>
    <cellStyle name="Normal 50 15 5" xfId="12272"/>
    <cellStyle name="Normal 50 15 5 2" xfId="12273"/>
    <cellStyle name="Normal 50 15 5 2 2" xfId="12274"/>
    <cellStyle name="Normal 50 15 5 2_FC with allocations" xfId="28688"/>
    <cellStyle name="Normal 50 15 5 3" xfId="12275"/>
    <cellStyle name="Normal 50 15 5_FC with allocations" xfId="28687"/>
    <cellStyle name="Normal 50 15 6" xfId="12276"/>
    <cellStyle name="Normal 50 15 6 2" xfId="12277"/>
    <cellStyle name="Normal 50 15 6 2 2" xfId="12278"/>
    <cellStyle name="Normal 50 15 6 2_FC with allocations" xfId="28690"/>
    <cellStyle name="Normal 50 15 6 3" xfId="12279"/>
    <cellStyle name="Normal 50 15 6_FC with allocations" xfId="28689"/>
    <cellStyle name="Normal 50 15 7" xfId="12280"/>
    <cellStyle name="Normal 50 15 7 2" xfId="12281"/>
    <cellStyle name="Normal 50 15 7_FC with allocations" xfId="28691"/>
    <cellStyle name="Normal 50 15 8" xfId="12282"/>
    <cellStyle name="Normal 50 15_FC with allocations" xfId="28666"/>
    <cellStyle name="Normal 50 16" xfId="12283"/>
    <cellStyle name="Normal 50 16 2" xfId="12284"/>
    <cellStyle name="Normal 50 16 2 2" xfId="12285"/>
    <cellStyle name="Normal 50 16 2 2 2" xfId="12286"/>
    <cellStyle name="Normal 50 16 2 2 2 2" xfId="12287"/>
    <cellStyle name="Normal 50 16 2 2 2_FC with allocations" xfId="28695"/>
    <cellStyle name="Normal 50 16 2 2 3" xfId="12288"/>
    <cellStyle name="Normal 50 16 2 2_FC with allocations" xfId="28694"/>
    <cellStyle name="Normal 50 16 2 3" xfId="12289"/>
    <cellStyle name="Normal 50 16 2 3 2" xfId="12290"/>
    <cellStyle name="Normal 50 16 2 3_FC with allocations" xfId="28696"/>
    <cellStyle name="Normal 50 16 2 4" xfId="12291"/>
    <cellStyle name="Normal 50 16 2_FC with allocations" xfId="28693"/>
    <cellStyle name="Normal 50 16 3" xfId="12292"/>
    <cellStyle name="Normal 50 16 3 2" xfId="12293"/>
    <cellStyle name="Normal 50 16 3 2 2" xfId="12294"/>
    <cellStyle name="Normal 50 16 3 2_FC with allocations" xfId="28698"/>
    <cellStyle name="Normal 50 16 3 3" xfId="12295"/>
    <cellStyle name="Normal 50 16 3_FC with allocations" xfId="28697"/>
    <cellStyle name="Normal 50 16 4" xfId="12296"/>
    <cellStyle name="Normal 50 16 4 2" xfId="12297"/>
    <cellStyle name="Normal 50 16 4_FC with allocations" xfId="28699"/>
    <cellStyle name="Normal 50 16 5" xfId="12298"/>
    <cellStyle name="Normal 50 16_FC with allocations" xfId="28692"/>
    <cellStyle name="Normal 50 17" xfId="12299"/>
    <cellStyle name="Normal 50 17 2" xfId="12300"/>
    <cellStyle name="Normal 50 17 2 2" xfId="12301"/>
    <cellStyle name="Normal 50 17 2 2 2" xfId="12302"/>
    <cellStyle name="Normal 50 17 2 2 2 2" xfId="12303"/>
    <cellStyle name="Normal 50 17 2 2 2_FC with allocations" xfId="28703"/>
    <cellStyle name="Normal 50 17 2 2 3" xfId="12304"/>
    <cellStyle name="Normal 50 17 2 2_FC with allocations" xfId="28702"/>
    <cellStyle name="Normal 50 17 2 3" xfId="12305"/>
    <cellStyle name="Normal 50 17 2 3 2" xfId="12306"/>
    <cellStyle name="Normal 50 17 2 3_FC with allocations" xfId="28704"/>
    <cellStyle name="Normal 50 17 2 4" xfId="12307"/>
    <cellStyle name="Normal 50 17 2_FC with allocations" xfId="28701"/>
    <cellStyle name="Normal 50 17 3" xfId="12308"/>
    <cellStyle name="Normal 50 17 3 2" xfId="12309"/>
    <cellStyle name="Normal 50 17 3 2 2" xfId="12310"/>
    <cellStyle name="Normal 50 17 3 2_FC with allocations" xfId="28706"/>
    <cellStyle name="Normal 50 17 3 3" xfId="12311"/>
    <cellStyle name="Normal 50 17 3_FC with allocations" xfId="28705"/>
    <cellStyle name="Normal 50 17 4" xfId="12312"/>
    <cellStyle name="Normal 50 17 4 2" xfId="12313"/>
    <cellStyle name="Normal 50 17 4 2 2" xfId="12314"/>
    <cellStyle name="Normal 50 17 4 2_FC with allocations" xfId="28708"/>
    <cellStyle name="Normal 50 17 4 3" xfId="12315"/>
    <cellStyle name="Normal 50 17 4_FC with allocations" xfId="28707"/>
    <cellStyle name="Normal 50 17_FC with allocations" xfId="28700"/>
    <cellStyle name="Normal 50 18" xfId="12316"/>
    <cellStyle name="Normal 50 18 2" xfId="12317"/>
    <cellStyle name="Normal 50 18 2 2" xfId="12318"/>
    <cellStyle name="Normal 50 18 2 2 2" xfId="12319"/>
    <cellStyle name="Normal 50 18 2 2 2 2" xfId="12320"/>
    <cellStyle name="Normal 50 18 2 2 2_FC with allocations" xfId="28712"/>
    <cellStyle name="Normal 50 18 2 2 3" xfId="12321"/>
    <cellStyle name="Normal 50 18 2 2_FC with allocations" xfId="28711"/>
    <cellStyle name="Normal 50 18 2 3" xfId="12322"/>
    <cellStyle name="Normal 50 18 2 3 2" xfId="12323"/>
    <cellStyle name="Normal 50 18 2 3_FC with allocations" xfId="28713"/>
    <cellStyle name="Normal 50 18 2 4" xfId="12324"/>
    <cellStyle name="Normal 50 18 2_FC with allocations" xfId="28710"/>
    <cellStyle name="Normal 50 18 3" xfId="12325"/>
    <cellStyle name="Normal 50 18 3 2" xfId="12326"/>
    <cellStyle name="Normal 50 18 3 2 2" xfId="12327"/>
    <cellStyle name="Normal 50 18 3 2_FC with allocations" xfId="28715"/>
    <cellStyle name="Normal 50 18 3 3" xfId="12328"/>
    <cellStyle name="Normal 50 18 3_FC with allocations" xfId="28714"/>
    <cellStyle name="Normal 50 18 4" xfId="12329"/>
    <cellStyle name="Normal 50 18 4 2" xfId="12330"/>
    <cellStyle name="Normal 50 18 4_FC with allocations" xfId="28716"/>
    <cellStyle name="Normal 50 18 5" xfId="12331"/>
    <cellStyle name="Normal 50 18_FC with allocations" xfId="28709"/>
    <cellStyle name="Normal 50 19" xfId="12332"/>
    <cellStyle name="Normal 50 19 2" xfId="12333"/>
    <cellStyle name="Normal 50 19 2 2" xfId="12334"/>
    <cellStyle name="Normal 50 19 2 2 2" xfId="12335"/>
    <cellStyle name="Normal 50 19 2 2_FC with allocations" xfId="28719"/>
    <cellStyle name="Normal 50 19 2 3" xfId="12336"/>
    <cellStyle name="Normal 50 19 2_FC with allocations" xfId="28718"/>
    <cellStyle name="Normal 50 19 3" xfId="12337"/>
    <cellStyle name="Normal 50 19 3 2" xfId="12338"/>
    <cellStyle name="Normal 50 19 3_FC with allocations" xfId="28720"/>
    <cellStyle name="Normal 50 19 4" xfId="12339"/>
    <cellStyle name="Normal 50 19_FC with allocations" xfId="28717"/>
    <cellStyle name="Normal 50 2" xfId="12340"/>
    <cellStyle name="Normal 50 2 2" xfId="12341"/>
    <cellStyle name="Normal 50 2 2 2" xfId="12342"/>
    <cellStyle name="Normal 50 2 2 2 2" xfId="12343"/>
    <cellStyle name="Normal 50 2 2 2 2 2" xfId="12344"/>
    <cellStyle name="Normal 50 2 2 2 2 2 2" xfId="12345"/>
    <cellStyle name="Normal 50 2 2 2 2 2_FC with allocations" xfId="28725"/>
    <cellStyle name="Normal 50 2 2 2 2 3" xfId="12346"/>
    <cellStyle name="Normal 50 2 2 2 2_FC with allocations" xfId="28724"/>
    <cellStyle name="Normal 50 2 2 2 3" xfId="12347"/>
    <cellStyle name="Normal 50 2 2 2 3 2" xfId="12348"/>
    <cellStyle name="Normal 50 2 2 2 3_FC with allocations" xfId="28726"/>
    <cellStyle name="Normal 50 2 2 2 4" xfId="12349"/>
    <cellStyle name="Normal 50 2 2 2_FC with allocations" xfId="28723"/>
    <cellStyle name="Normal 50 2 2 3" xfId="12350"/>
    <cellStyle name="Normal 50 2 2 3 2" xfId="12351"/>
    <cellStyle name="Normal 50 2 2 3 2 2" xfId="12352"/>
    <cellStyle name="Normal 50 2 2 3 2_FC with allocations" xfId="28728"/>
    <cellStyle name="Normal 50 2 2 3 3" xfId="12353"/>
    <cellStyle name="Normal 50 2 2 3_FC with allocations" xfId="28727"/>
    <cellStyle name="Normal 50 2 2 4" xfId="12354"/>
    <cellStyle name="Normal 50 2 2 4 2" xfId="12355"/>
    <cellStyle name="Normal 50 2 2 4_FC with allocations" xfId="28729"/>
    <cellStyle name="Normal 50 2 2 5" xfId="12356"/>
    <cellStyle name="Normal 50 2 2_FC with allocations" xfId="28722"/>
    <cellStyle name="Normal 50 2 3" xfId="12357"/>
    <cellStyle name="Normal 50 2 3 2" xfId="12358"/>
    <cellStyle name="Normal 50 2 3 2 2" xfId="12359"/>
    <cellStyle name="Normal 50 2 3 2 2 2" xfId="12360"/>
    <cellStyle name="Normal 50 2 3 2 2 2 2" xfId="12361"/>
    <cellStyle name="Normal 50 2 3 2 2 2_FC with allocations" xfId="28733"/>
    <cellStyle name="Normal 50 2 3 2 2 3" xfId="12362"/>
    <cellStyle name="Normal 50 2 3 2 2_FC with allocations" xfId="28732"/>
    <cellStyle name="Normal 50 2 3 2 3" xfId="12363"/>
    <cellStyle name="Normal 50 2 3 2 3 2" xfId="12364"/>
    <cellStyle name="Normal 50 2 3 2 3_FC with allocations" xfId="28734"/>
    <cellStyle name="Normal 50 2 3 2 4" xfId="12365"/>
    <cellStyle name="Normal 50 2 3 2_FC with allocations" xfId="28731"/>
    <cellStyle name="Normal 50 2 3 3" xfId="12366"/>
    <cellStyle name="Normal 50 2 3 3 2" xfId="12367"/>
    <cellStyle name="Normal 50 2 3 3 2 2" xfId="12368"/>
    <cellStyle name="Normal 50 2 3 3 2_FC with allocations" xfId="28736"/>
    <cellStyle name="Normal 50 2 3 3 3" xfId="12369"/>
    <cellStyle name="Normal 50 2 3 3_FC with allocations" xfId="28735"/>
    <cellStyle name="Normal 50 2 3 4" xfId="12370"/>
    <cellStyle name="Normal 50 2 3 4 2" xfId="12371"/>
    <cellStyle name="Normal 50 2 3 4_FC with allocations" xfId="28737"/>
    <cellStyle name="Normal 50 2 3 5" xfId="12372"/>
    <cellStyle name="Normal 50 2 3_FC with allocations" xfId="28730"/>
    <cellStyle name="Normal 50 2 4" xfId="12373"/>
    <cellStyle name="Normal 50 2 4 2" xfId="12374"/>
    <cellStyle name="Normal 50 2 4 2 2" xfId="12375"/>
    <cellStyle name="Normal 50 2 4 2 2 2" xfId="12376"/>
    <cellStyle name="Normal 50 2 4 2 2_FC with allocations" xfId="28740"/>
    <cellStyle name="Normal 50 2 4 2 3" xfId="12377"/>
    <cellStyle name="Normal 50 2 4 2_FC with allocations" xfId="28739"/>
    <cellStyle name="Normal 50 2 4 3" xfId="12378"/>
    <cellStyle name="Normal 50 2 4 3 2" xfId="12379"/>
    <cellStyle name="Normal 50 2 4 3_FC with allocations" xfId="28741"/>
    <cellStyle name="Normal 50 2 4 4" xfId="12380"/>
    <cellStyle name="Normal 50 2 4_FC with allocations" xfId="28738"/>
    <cellStyle name="Normal 50 2 5" xfId="12381"/>
    <cellStyle name="Normal 50 2 5 2" xfId="12382"/>
    <cellStyle name="Normal 50 2 5 2 2" xfId="12383"/>
    <cellStyle name="Normal 50 2 5 2_FC with allocations" xfId="28743"/>
    <cellStyle name="Normal 50 2 5 3" xfId="12384"/>
    <cellStyle name="Normal 50 2 5_FC with allocations" xfId="28742"/>
    <cellStyle name="Normal 50 2 6" xfId="12385"/>
    <cellStyle name="Normal 50 2 6 2" xfId="12386"/>
    <cellStyle name="Normal 50 2 6 2 2" xfId="12387"/>
    <cellStyle name="Normal 50 2 6 2_FC with allocations" xfId="28745"/>
    <cellStyle name="Normal 50 2 6 3" xfId="12388"/>
    <cellStyle name="Normal 50 2 6_FC with allocations" xfId="28744"/>
    <cellStyle name="Normal 50 2 7" xfId="12389"/>
    <cellStyle name="Normal 50 2 7 2" xfId="12390"/>
    <cellStyle name="Normal 50 2 7_FC with allocations" xfId="28746"/>
    <cellStyle name="Normal 50 2 8" xfId="12391"/>
    <cellStyle name="Normal 50 2_FC with allocations" xfId="28721"/>
    <cellStyle name="Normal 50 20" xfId="12392"/>
    <cellStyle name="Normal 50 20 2" xfId="12393"/>
    <cellStyle name="Normal 50 20 2 2" xfId="12394"/>
    <cellStyle name="Normal 50 20 2_FC with allocations" xfId="28748"/>
    <cellStyle name="Normal 50 20 3" xfId="12395"/>
    <cellStyle name="Normal 50 20_FC with allocations" xfId="28747"/>
    <cellStyle name="Normal 50 21" xfId="12396"/>
    <cellStyle name="Normal 50 21 2" xfId="12397"/>
    <cellStyle name="Normal 50 21 2 2" xfId="12398"/>
    <cellStyle name="Normal 50 21 2_FC with allocations" xfId="28750"/>
    <cellStyle name="Normal 50 21 3" xfId="12399"/>
    <cellStyle name="Normal 50 21_FC with allocations" xfId="28749"/>
    <cellStyle name="Normal 50 22" xfId="12400"/>
    <cellStyle name="Normal 50 22 2" xfId="12401"/>
    <cellStyle name="Normal 50 22_FC with allocations" xfId="28751"/>
    <cellStyle name="Normal 50 23" xfId="12402"/>
    <cellStyle name="Normal 50 24" xfId="11970"/>
    <cellStyle name="Normal 50 3" xfId="12403"/>
    <cellStyle name="Normal 50 3 2" xfId="12404"/>
    <cellStyle name="Normal 50 3 2 2" xfId="12405"/>
    <cellStyle name="Normal 50 3 2 2 2" xfId="12406"/>
    <cellStyle name="Normal 50 3 2 2 2 2" xfId="12407"/>
    <cellStyle name="Normal 50 3 2 2 2 2 2" xfId="12408"/>
    <cellStyle name="Normal 50 3 2 2 2 2_FC with allocations" xfId="28756"/>
    <cellStyle name="Normal 50 3 2 2 2 3" xfId="12409"/>
    <cellStyle name="Normal 50 3 2 2 2_FC with allocations" xfId="28755"/>
    <cellStyle name="Normal 50 3 2 2 3" xfId="12410"/>
    <cellStyle name="Normal 50 3 2 2 3 2" xfId="12411"/>
    <cellStyle name="Normal 50 3 2 2 3_FC with allocations" xfId="28757"/>
    <cellStyle name="Normal 50 3 2 2 4" xfId="12412"/>
    <cellStyle name="Normal 50 3 2 2_FC with allocations" xfId="28754"/>
    <cellStyle name="Normal 50 3 2 3" xfId="12413"/>
    <cellStyle name="Normal 50 3 2 3 2" xfId="12414"/>
    <cellStyle name="Normal 50 3 2 3 2 2" xfId="12415"/>
    <cellStyle name="Normal 50 3 2 3 2_FC with allocations" xfId="28759"/>
    <cellStyle name="Normal 50 3 2 3 3" xfId="12416"/>
    <cellStyle name="Normal 50 3 2 3_FC with allocations" xfId="28758"/>
    <cellStyle name="Normal 50 3 2 4" xfId="12417"/>
    <cellStyle name="Normal 50 3 2 4 2" xfId="12418"/>
    <cellStyle name="Normal 50 3 2 4_FC with allocations" xfId="28760"/>
    <cellStyle name="Normal 50 3 2 5" xfId="12419"/>
    <cellStyle name="Normal 50 3 2_FC with allocations" xfId="28753"/>
    <cellStyle name="Normal 50 3 3" xfId="12420"/>
    <cellStyle name="Normal 50 3 3 2" xfId="12421"/>
    <cellStyle name="Normal 50 3 3 2 2" xfId="12422"/>
    <cellStyle name="Normal 50 3 3 2 2 2" xfId="12423"/>
    <cellStyle name="Normal 50 3 3 2 2 2 2" xfId="12424"/>
    <cellStyle name="Normal 50 3 3 2 2 2_FC with allocations" xfId="28764"/>
    <cellStyle name="Normal 50 3 3 2 2 3" xfId="12425"/>
    <cellStyle name="Normal 50 3 3 2 2_FC with allocations" xfId="28763"/>
    <cellStyle name="Normal 50 3 3 2 3" xfId="12426"/>
    <cellStyle name="Normal 50 3 3 2 3 2" xfId="12427"/>
    <cellStyle name="Normal 50 3 3 2 3_FC with allocations" xfId="28765"/>
    <cellStyle name="Normal 50 3 3 2 4" xfId="12428"/>
    <cellStyle name="Normal 50 3 3 2_FC with allocations" xfId="28762"/>
    <cellStyle name="Normal 50 3 3 3" xfId="12429"/>
    <cellStyle name="Normal 50 3 3 3 2" xfId="12430"/>
    <cellStyle name="Normal 50 3 3 3 2 2" xfId="12431"/>
    <cellStyle name="Normal 50 3 3 3 2_FC with allocations" xfId="28767"/>
    <cellStyle name="Normal 50 3 3 3 3" xfId="12432"/>
    <cellStyle name="Normal 50 3 3 3_FC with allocations" xfId="28766"/>
    <cellStyle name="Normal 50 3 3 4" xfId="12433"/>
    <cellStyle name="Normal 50 3 3 4 2" xfId="12434"/>
    <cellStyle name="Normal 50 3 3 4_FC with allocations" xfId="28768"/>
    <cellStyle name="Normal 50 3 3 5" xfId="12435"/>
    <cellStyle name="Normal 50 3 3_FC with allocations" xfId="28761"/>
    <cellStyle name="Normal 50 3 4" xfId="12436"/>
    <cellStyle name="Normal 50 3 4 2" xfId="12437"/>
    <cellStyle name="Normal 50 3 4 2 2" xfId="12438"/>
    <cellStyle name="Normal 50 3 4 2 2 2" xfId="12439"/>
    <cellStyle name="Normal 50 3 4 2 2_FC with allocations" xfId="28771"/>
    <cellStyle name="Normal 50 3 4 2 3" xfId="12440"/>
    <cellStyle name="Normal 50 3 4 2_FC with allocations" xfId="28770"/>
    <cellStyle name="Normal 50 3 4 3" xfId="12441"/>
    <cellStyle name="Normal 50 3 4 3 2" xfId="12442"/>
    <cellStyle name="Normal 50 3 4 3_FC with allocations" xfId="28772"/>
    <cellStyle name="Normal 50 3 4 4" xfId="12443"/>
    <cellStyle name="Normal 50 3 4_FC with allocations" xfId="28769"/>
    <cellStyle name="Normal 50 3 5" xfId="12444"/>
    <cellStyle name="Normal 50 3 5 2" xfId="12445"/>
    <cellStyle name="Normal 50 3 5 2 2" xfId="12446"/>
    <cellStyle name="Normal 50 3 5 2_FC with allocations" xfId="28774"/>
    <cellStyle name="Normal 50 3 5 3" xfId="12447"/>
    <cellStyle name="Normal 50 3 5_FC with allocations" xfId="28773"/>
    <cellStyle name="Normal 50 3 6" xfId="12448"/>
    <cellStyle name="Normal 50 3 6 2" xfId="12449"/>
    <cellStyle name="Normal 50 3 6 2 2" xfId="12450"/>
    <cellStyle name="Normal 50 3 6 2_FC with allocations" xfId="28776"/>
    <cellStyle name="Normal 50 3 6 3" xfId="12451"/>
    <cellStyle name="Normal 50 3 6_FC with allocations" xfId="28775"/>
    <cellStyle name="Normal 50 3 7" xfId="12452"/>
    <cellStyle name="Normal 50 3 7 2" xfId="12453"/>
    <cellStyle name="Normal 50 3 7_FC with allocations" xfId="28777"/>
    <cellStyle name="Normal 50 3 8" xfId="12454"/>
    <cellStyle name="Normal 50 3_FC with allocations" xfId="28752"/>
    <cellStyle name="Normal 50 4" xfId="12455"/>
    <cellStyle name="Normal 50 4 2" xfId="12456"/>
    <cellStyle name="Normal 50 4 2 2" xfId="12457"/>
    <cellStyle name="Normal 50 4 2 2 2" xfId="12458"/>
    <cellStyle name="Normal 50 4 2 2 2 2" xfId="12459"/>
    <cellStyle name="Normal 50 4 2 2 2 2 2" xfId="12460"/>
    <cellStyle name="Normal 50 4 2 2 2 2_FC with allocations" xfId="28782"/>
    <cellStyle name="Normal 50 4 2 2 2 3" xfId="12461"/>
    <cellStyle name="Normal 50 4 2 2 2_FC with allocations" xfId="28781"/>
    <cellStyle name="Normal 50 4 2 2 3" xfId="12462"/>
    <cellStyle name="Normal 50 4 2 2 3 2" xfId="12463"/>
    <cellStyle name="Normal 50 4 2 2 3_FC with allocations" xfId="28783"/>
    <cellStyle name="Normal 50 4 2 2 4" xfId="12464"/>
    <cellStyle name="Normal 50 4 2 2_FC with allocations" xfId="28780"/>
    <cellStyle name="Normal 50 4 2 3" xfId="12465"/>
    <cellStyle name="Normal 50 4 2 3 2" xfId="12466"/>
    <cellStyle name="Normal 50 4 2 3 2 2" xfId="12467"/>
    <cellStyle name="Normal 50 4 2 3 2_FC with allocations" xfId="28785"/>
    <cellStyle name="Normal 50 4 2 3 3" xfId="12468"/>
    <cellStyle name="Normal 50 4 2 3_FC with allocations" xfId="28784"/>
    <cellStyle name="Normal 50 4 2 4" xfId="12469"/>
    <cellStyle name="Normal 50 4 2 4 2" xfId="12470"/>
    <cellStyle name="Normal 50 4 2 4_FC with allocations" xfId="28786"/>
    <cellStyle name="Normal 50 4 2 5" xfId="12471"/>
    <cellStyle name="Normal 50 4 2_FC with allocations" xfId="28779"/>
    <cellStyle name="Normal 50 4 3" xfId="12472"/>
    <cellStyle name="Normal 50 4 3 2" xfId="12473"/>
    <cellStyle name="Normal 50 4 3 2 2" xfId="12474"/>
    <cellStyle name="Normal 50 4 3 2 2 2" xfId="12475"/>
    <cellStyle name="Normal 50 4 3 2 2 2 2" xfId="12476"/>
    <cellStyle name="Normal 50 4 3 2 2 2_FC with allocations" xfId="28790"/>
    <cellStyle name="Normal 50 4 3 2 2 3" xfId="12477"/>
    <cellStyle name="Normal 50 4 3 2 2_FC with allocations" xfId="28789"/>
    <cellStyle name="Normal 50 4 3 2 3" xfId="12478"/>
    <cellStyle name="Normal 50 4 3 2 3 2" xfId="12479"/>
    <cellStyle name="Normal 50 4 3 2 3_FC with allocations" xfId="28791"/>
    <cellStyle name="Normal 50 4 3 2 4" xfId="12480"/>
    <cellStyle name="Normal 50 4 3 2_FC with allocations" xfId="28788"/>
    <cellStyle name="Normal 50 4 3 3" xfId="12481"/>
    <cellStyle name="Normal 50 4 3 3 2" xfId="12482"/>
    <cellStyle name="Normal 50 4 3 3 2 2" xfId="12483"/>
    <cellStyle name="Normal 50 4 3 3 2_FC with allocations" xfId="28793"/>
    <cellStyle name="Normal 50 4 3 3 3" xfId="12484"/>
    <cellStyle name="Normal 50 4 3 3_FC with allocations" xfId="28792"/>
    <cellStyle name="Normal 50 4 3 4" xfId="12485"/>
    <cellStyle name="Normal 50 4 3 4 2" xfId="12486"/>
    <cellStyle name="Normal 50 4 3 4_FC with allocations" xfId="28794"/>
    <cellStyle name="Normal 50 4 3 5" xfId="12487"/>
    <cellStyle name="Normal 50 4 3_FC with allocations" xfId="28787"/>
    <cellStyle name="Normal 50 4 4" xfId="12488"/>
    <cellStyle name="Normal 50 4 4 2" xfId="12489"/>
    <cellStyle name="Normal 50 4 4 2 2" xfId="12490"/>
    <cellStyle name="Normal 50 4 4 2 2 2" xfId="12491"/>
    <cellStyle name="Normal 50 4 4 2 2_FC with allocations" xfId="28797"/>
    <cellStyle name="Normal 50 4 4 2 3" xfId="12492"/>
    <cellStyle name="Normal 50 4 4 2_FC with allocations" xfId="28796"/>
    <cellStyle name="Normal 50 4 4 3" xfId="12493"/>
    <cellStyle name="Normal 50 4 4 3 2" xfId="12494"/>
    <cellStyle name="Normal 50 4 4 3_FC with allocations" xfId="28798"/>
    <cellStyle name="Normal 50 4 4 4" xfId="12495"/>
    <cellStyle name="Normal 50 4 4_FC with allocations" xfId="28795"/>
    <cellStyle name="Normal 50 4 5" xfId="12496"/>
    <cellStyle name="Normal 50 4 5 2" xfId="12497"/>
    <cellStyle name="Normal 50 4 5 2 2" xfId="12498"/>
    <cellStyle name="Normal 50 4 5 2_FC with allocations" xfId="28800"/>
    <cellStyle name="Normal 50 4 5 3" xfId="12499"/>
    <cellStyle name="Normal 50 4 5_FC with allocations" xfId="28799"/>
    <cellStyle name="Normal 50 4 6" xfId="12500"/>
    <cellStyle name="Normal 50 4 6 2" xfId="12501"/>
    <cellStyle name="Normal 50 4 6 2 2" xfId="12502"/>
    <cellStyle name="Normal 50 4 6 2_FC with allocations" xfId="28802"/>
    <cellStyle name="Normal 50 4 6 3" xfId="12503"/>
    <cellStyle name="Normal 50 4 6_FC with allocations" xfId="28801"/>
    <cellStyle name="Normal 50 4 7" xfId="12504"/>
    <cellStyle name="Normal 50 4 7 2" xfId="12505"/>
    <cellStyle name="Normal 50 4 7_FC with allocations" xfId="28803"/>
    <cellStyle name="Normal 50 4 8" xfId="12506"/>
    <cellStyle name="Normal 50 4_FC with allocations" xfId="28778"/>
    <cellStyle name="Normal 50 5" xfId="12507"/>
    <cellStyle name="Normal 50 5 2" xfId="12508"/>
    <cellStyle name="Normal 50 5 2 2" xfId="12509"/>
    <cellStyle name="Normal 50 5 2 2 2" xfId="12510"/>
    <cellStyle name="Normal 50 5 2 2 2 2" xfId="12511"/>
    <cellStyle name="Normal 50 5 2 2 2 2 2" xfId="12512"/>
    <cellStyle name="Normal 50 5 2 2 2 2_FC with allocations" xfId="28808"/>
    <cellStyle name="Normal 50 5 2 2 2 3" xfId="12513"/>
    <cellStyle name="Normal 50 5 2 2 2_FC with allocations" xfId="28807"/>
    <cellStyle name="Normal 50 5 2 2 3" xfId="12514"/>
    <cellStyle name="Normal 50 5 2 2 3 2" xfId="12515"/>
    <cellStyle name="Normal 50 5 2 2 3_FC with allocations" xfId="28809"/>
    <cellStyle name="Normal 50 5 2 2 4" xfId="12516"/>
    <cellStyle name="Normal 50 5 2 2_FC with allocations" xfId="28806"/>
    <cellStyle name="Normal 50 5 2 3" xfId="12517"/>
    <cellStyle name="Normal 50 5 2 3 2" xfId="12518"/>
    <cellStyle name="Normal 50 5 2 3 2 2" xfId="12519"/>
    <cellStyle name="Normal 50 5 2 3 2_FC with allocations" xfId="28811"/>
    <cellStyle name="Normal 50 5 2 3 3" xfId="12520"/>
    <cellStyle name="Normal 50 5 2 3_FC with allocations" xfId="28810"/>
    <cellStyle name="Normal 50 5 2 4" xfId="12521"/>
    <cellStyle name="Normal 50 5 2 4 2" xfId="12522"/>
    <cellStyle name="Normal 50 5 2 4_FC with allocations" xfId="28812"/>
    <cellStyle name="Normal 50 5 2 5" xfId="12523"/>
    <cellStyle name="Normal 50 5 2_FC with allocations" xfId="28805"/>
    <cellStyle name="Normal 50 5 3" xfId="12524"/>
    <cellStyle name="Normal 50 5 3 2" xfId="12525"/>
    <cellStyle name="Normal 50 5 3 2 2" xfId="12526"/>
    <cellStyle name="Normal 50 5 3 2 2 2" xfId="12527"/>
    <cellStyle name="Normal 50 5 3 2 2 2 2" xfId="12528"/>
    <cellStyle name="Normal 50 5 3 2 2 2_FC with allocations" xfId="28816"/>
    <cellStyle name="Normal 50 5 3 2 2 3" xfId="12529"/>
    <cellStyle name="Normal 50 5 3 2 2_FC with allocations" xfId="28815"/>
    <cellStyle name="Normal 50 5 3 2 3" xfId="12530"/>
    <cellStyle name="Normal 50 5 3 2 3 2" xfId="12531"/>
    <cellStyle name="Normal 50 5 3 2 3_FC with allocations" xfId="28817"/>
    <cellStyle name="Normal 50 5 3 2 4" xfId="12532"/>
    <cellStyle name="Normal 50 5 3 2_FC with allocations" xfId="28814"/>
    <cellStyle name="Normal 50 5 3 3" xfId="12533"/>
    <cellStyle name="Normal 50 5 3 3 2" xfId="12534"/>
    <cellStyle name="Normal 50 5 3 3 2 2" xfId="12535"/>
    <cellStyle name="Normal 50 5 3 3 2_FC with allocations" xfId="28819"/>
    <cellStyle name="Normal 50 5 3 3 3" xfId="12536"/>
    <cellStyle name="Normal 50 5 3 3_FC with allocations" xfId="28818"/>
    <cellStyle name="Normal 50 5 3 4" xfId="12537"/>
    <cellStyle name="Normal 50 5 3 4 2" xfId="12538"/>
    <cellStyle name="Normal 50 5 3 4_FC with allocations" xfId="28820"/>
    <cellStyle name="Normal 50 5 3 5" xfId="12539"/>
    <cellStyle name="Normal 50 5 3_FC with allocations" xfId="28813"/>
    <cellStyle name="Normal 50 5 4" xfId="12540"/>
    <cellStyle name="Normal 50 5 4 2" xfId="12541"/>
    <cellStyle name="Normal 50 5 4 2 2" xfId="12542"/>
    <cellStyle name="Normal 50 5 4 2 2 2" xfId="12543"/>
    <cellStyle name="Normal 50 5 4 2 2_FC with allocations" xfId="28823"/>
    <cellStyle name="Normal 50 5 4 2 3" xfId="12544"/>
    <cellStyle name="Normal 50 5 4 2_FC with allocations" xfId="28822"/>
    <cellStyle name="Normal 50 5 4 3" xfId="12545"/>
    <cellStyle name="Normal 50 5 4 3 2" xfId="12546"/>
    <cellStyle name="Normal 50 5 4 3_FC with allocations" xfId="28824"/>
    <cellStyle name="Normal 50 5 4 4" xfId="12547"/>
    <cellStyle name="Normal 50 5 4_FC with allocations" xfId="28821"/>
    <cellStyle name="Normal 50 5 5" xfId="12548"/>
    <cellStyle name="Normal 50 5 5 2" xfId="12549"/>
    <cellStyle name="Normal 50 5 5 2 2" xfId="12550"/>
    <cellStyle name="Normal 50 5 5 2_FC with allocations" xfId="28826"/>
    <cellStyle name="Normal 50 5 5 3" xfId="12551"/>
    <cellStyle name="Normal 50 5 5_FC with allocations" xfId="28825"/>
    <cellStyle name="Normal 50 5 6" xfId="12552"/>
    <cellStyle name="Normal 50 5 6 2" xfId="12553"/>
    <cellStyle name="Normal 50 5 6 2 2" xfId="12554"/>
    <cellStyle name="Normal 50 5 6 2_FC with allocations" xfId="28828"/>
    <cellStyle name="Normal 50 5 6 3" xfId="12555"/>
    <cellStyle name="Normal 50 5 6_FC with allocations" xfId="28827"/>
    <cellStyle name="Normal 50 5 7" xfId="12556"/>
    <cellStyle name="Normal 50 5 7 2" xfId="12557"/>
    <cellStyle name="Normal 50 5 7_FC with allocations" xfId="28829"/>
    <cellStyle name="Normal 50 5 8" xfId="12558"/>
    <cellStyle name="Normal 50 5_FC with allocations" xfId="28804"/>
    <cellStyle name="Normal 50 6" xfId="12559"/>
    <cellStyle name="Normal 50 6 2" xfId="12560"/>
    <cellStyle name="Normal 50 6 2 2" xfId="12561"/>
    <cellStyle name="Normal 50 6 2 2 2" xfId="12562"/>
    <cellStyle name="Normal 50 6 2 2 2 2" xfId="12563"/>
    <cellStyle name="Normal 50 6 2 2 2 2 2" xfId="12564"/>
    <cellStyle name="Normal 50 6 2 2 2 2_FC with allocations" xfId="28834"/>
    <cellStyle name="Normal 50 6 2 2 2 3" xfId="12565"/>
    <cellStyle name="Normal 50 6 2 2 2_FC with allocations" xfId="28833"/>
    <cellStyle name="Normal 50 6 2 2 3" xfId="12566"/>
    <cellStyle name="Normal 50 6 2 2 3 2" xfId="12567"/>
    <cellStyle name="Normal 50 6 2 2 3_FC with allocations" xfId="28835"/>
    <cellStyle name="Normal 50 6 2 2 4" xfId="12568"/>
    <cellStyle name="Normal 50 6 2 2_FC with allocations" xfId="28832"/>
    <cellStyle name="Normal 50 6 2 3" xfId="12569"/>
    <cellStyle name="Normal 50 6 2 3 2" xfId="12570"/>
    <cellStyle name="Normal 50 6 2 3 2 2" xfId="12571"/>
    <cellStyle name="Normal 50 6 2 3 2_FC with allocations" xfId="28837"/>
    <cellStyle name="Normal 50 6 2 3 3" xfId="12572"/>
    <cellStyle name="Normal 50 6 2 3_FC with allocations" xfId="28836"/>
    <cellStyle name="Normal 50 6 2 4" xfId="12573"/>
    <cellStyle name="Normal 50 6 2 4 2" xfId="12574"/>
    <cellStyle name="Normal 50 6 2 4_FC with allocations" xfId="28838"/>
    <cellStyle name="Normal 50 6 2 5" xfId="12575"/>
    <cellStyle name="Normal 50 6 2_FC with allocations" xfId="28831"/>
    <cellStyle name="Normal 50 6 3" xfId="12576"/>
    <cellStyle name="Normal 50 6 3 2" xfId="12577"/>
    <cellStyle name="Normal 50 6 3 2 2" xfId="12578"/>
    <cellStyle name="Normal 50 6 3 2 2 2" xfId="12579"/>
    <cellStyle name="Normal 50 6 3 2 2 2 2" xfId="12580"/>
    <cellStyle name="Normal 50 6 3 2 2 2_FC with allocations" xfId="28842"/>
    <cellStyle name="Normal 50 6 3 2 2 3" xfId="12581"/>
    <cellStyle name="Normal 50 6 3 2 2_FC with allocations" xfId="28841"/>
    <cellStyle name="Normal 50 6 3 2 3" xfId="12582"/>
    <cellStyle name="Normal 50 6 3 2 3 2" xfId="12583"/>
    <cellStyle name="Normal 50 6 3 2 3_FC with allocations" xfId="28843"/>
    <cellStyle name="Normal 50 6 3 2 4" xfId="12584"/>
    <cellStyle name="Normal 50 6 3 2_FC with allocations" xfId="28840"/>
    <cellStyle name="Normal 50 6 3 3" xfId="12585"/>
    <cellStyle name="Normal 50 6 3 3 2" xfId="12586"/>
    <cellStyle name="Normal 50 6 3 3 2 2" xfId="12587"/>
    <cellStyle name="Normal 50 6 3 3 2_FC with allocations" xfId="28845"/>
    <cellStyle name="Normal 50 6 3 3 3" xfId="12588"/>
    <cellStyle name="Normal 50 6 3 3_FC with allocations" xfId="28844"/>
    <cellStyle name="Normal 50 6 3 4" xfId="12589"/>
    <cellStyle name="Normal 50 6 3 4 2" xfId="12590"/>
    <cellStyle name="Normal 50 6 3 4_FC with allocations" xfId="28846"/>
    <cellStyle name="Normal 50 6 3 5" xfId="12591"/>
    <cellStyle name="Normal 50 6 3_FC with allocations" xfId="28839"/>
    <cellStyle name="Normal 50 6 4" xfId="12592"/>
    <cellStyle name="Normal 50 6 4 2" xfId="12593"/>
    <cellStyle name="Normal 50 6 4 2 2" xfId="12594"/>
    <cellStyle name="Normal 50 6 4 2 2 2" xfId="12595"/>
    <cellStyle name="Normal 50 6 4 2 2_FC with allocations" xfId="28849"/>
    <cellStyle name="Normal 50 6 4 2 3" xfId="12596"/>
    <cellStyle name="Normal 50 6 4 2_FC with allocations" xfId="28848"/>
    <cellStyle name="Normal 50 6 4 3" xfId="12597"/>
    <cellStyle name="Normal 50 6 4 3 2" xfId="12598"/>
    <cellStyle name="Normal 50 6 4 3_FC with allocations" xfId="28850"/>
    <cellStyle name="Normal 50 6 4 4" xfId="12599"/>
    <cellStyle name="Normal 50 6 4_FC with allocations" xfId="28847"/>
    <cellStyle name="Normal 50 6 5" xfId="12600"/>
    <cellStyle name="Normal 50 6 5 2" xfId="12601"/>
    <cellStyle name="Normal 50 6 5 2 2" xfId="12602"/>
    <cellStyle name="Normal 50 6 5 2_FC with allocations" xfId="28852"/>
    <cellStyle name="Normal 50 6 5 3" xfId="12603"/>
    <cellStyle name="Normal 50 6 5_FC with allocations" xfId="28851"/>
    <cellStyle name="Normal 50 6 6" xfId="12604"/>
    <cellStyle name="Normal 50 6 6 2" xfId="12605"/>
    <cellStyle name="Normal 50 6 6 2 2" xfId="12606"/>
    <cellStyle name="Normal 50 6 6 2_FC with allocations" xfId="28854"/>
    <cellStyle name="Normal 50 6 6 3" xfId="12607"/>
    <cellStyle name="Normal 50 6 6_FC with allocations" xfId="28853"/>
    <cellStyle name="Normal 50 6 7" xfId="12608"/>
    <cellStyle name="Normal 50 6 7 2" xfId="12609"/>
    <cellStyle name="Normal 50 6 7_FC with allocations" xfId="28855"/>
    <cellStyle name="Normal 50 6 8" xfId="12610"/>
    <cellStyle name="Normal 50 6_FC with allocations" xfId="28830"/>
    <cellStyle name="Normal 50 7" xfId="12611"/>
    <cellStyle name="Normal 50 7 2" xfId="12612"/>
    <cellStyle name="Normal 50 7 2 2" xfId="12613"/>
    <cellStyle name="Normal 50 7 2 2 2" xfId="12614"/>
    <cellStyle name="Normal 50 7 2 2 2 2" xfId="12615"/>
    <cellStyle name="Normal 50 7 2 2 2 2 2" xfId="12616"/>
    <cellStyle name="Normal 50 7 2 2 2 2_FC with allocations" xfId="28860"/>
    <cellStyle name="Normal 50 7 2 2 2 3" xfId="12617"/>
    <cellStyle name="Normal 50 7 2 2 2_FC with allocations" xfId="28859"/>
    <cellStyle name="Normal 50 7 2 2 3" xfId="12618"/>
    <cellStyle name="Normal 50 7 2 2 3 2" xfId="12619"/>
    <cellStyle name="Normal 50 7 2 2 3_FC with allocations" xfId="28861"/>
    <cellStyle name="Normal 50 7 2 2 4" xfId="12620"/>
    <cellStyle name="Normal 50 7 2 2_FC with allocations" xfId="28858"/>
    <cellStyle name="Normal 50 7 2 3" xfId="12621"/>
    <cellStyle name="Normal 50 7 2 3 2" xfId="12622"/>
    <cellStyle name="Normal 50 7 2 3 2 2" xfId="12623"/>
    <cellStyle name="Normal 50 7 2 3 2_FC with allocations" xfId="28863"/>
    <cellStyle name="Normal 50 7 2 3 3" xfId="12624"/>
    <cellStyle name="Normal 50 7 2 3_FC with allocations" xfId="28862"/>
    <cellStyle name="Normal 50 7 2 4" xfId="12625"/>
    <cellStyle name="Normal 50 7 2 4 2" xfId="12626"/>
    <cellStyle name="Normal 50 7 2 4_FC with allocations" xfId="28864"/>
    <cellStyle name="Normal 50 7 2 5" xfId="12627"/>
    <cellStyle name="Normal 50 7 2_FC with allocations" xfId="28857"/>
    <cellStyle name="Normal 50 7 3" xfId="12628"/>
    <cellStyle name="Normal 50 7 3 2" xfId="12629"/>
    <cellStyle name="Normal 50 7 3 2 2" xfId="12630"/>
    <cellStyle name="Normal 50 7 3 2 2 2" xfId="12631"/>
    <cellStyle name="Normal 50 7 3 2 2 2 2" xfId="12632"/>
    <cellStyle name="Normal 50 7 3 2 2 2_FC with allocations" xfId="28868"/>
    <cellStyle name="Normal 50 7 3 2 2 3" xfId="12633"/>
    <cellStyle name="Normal 50 7 3 2 2_FC with allocations" xfId="28867"/>
    <cellStyle name="Normal 50 7 3 2 3" xfId="12634"/>
    <cellStyle name="Normal 50 7 3 2 3 2" xfId="12635"/>
    <cellStyle name="Normal 50 7 3 2 3_FC with allocations" xfId="28869"/>
    <cellStyle name="Normal 50 7 3 2 4" xfId="12636"/>
    <cellStyle name="Normal 50 7 3 2_FC with allocations" xfId="28866"/>
    <cellStyle name="Normal 50 7 3 3" xfId="12637"/>
    <cellStyle name="Normal 50 7 3 3 2" xfId="12638"/>
    <cellStyle name="Normal 50 7 3 3 2 2" xfId="12639"/>
    <cellStyle name="Normal 50 7 3 3 2_FC with allocations" xfId="28871"/>
    <cellStyle name="Normal 50 7 3 3 3" xfId="12640"/>
    <cellStyle name="Normal 50 7 3 3_FC with allocations" xfId="28870"/>
    <cellStyle name="Normal 50 7 3 4" xfId="12641"/>
    <cellStyle name="Normal 50 7 3 4 2" xfId="12642"/>
    <cellStyle name="Normal 50 7 3 4_FC with allocations" xfId="28872"/>
    <cellStyle name="Normal 50 7 3 5" xfId="12643"/>
    <cellStyle name="Normal 50 7 3_FC with allocations" xfId="28865"/>
    <cellStyle name="Normal 50 7 4" xfId="12644"/>
    <cellStyle name="Normal 50 7 4 2" xfId="12645"/>
    <cellStyle name="Normal 50 7 4 2 2" xfId="12646"/>
    <cellStyle name="Normal 50 7 4 2 2 2" xfId="12647"/>
    <cellStyle name="Normal 50 7 4 2 2_FC with allocations" xfId="28875"/>
    <cellStyle name="Normal 50 7 4 2 3" xfId="12648"/>
    <cellStyle name="Normal 50 7 4 2_FC with allocations" xfId="28874"/>
    <cellStyle name="Normal 50 7 4 3" xfId="12649"/>
    <cellStyle name="Normal 50 7 4 3 2" xfId="12650"/>
    <cellStyle name="Normal 50 7 4 3_FC with allocations" xfId="28876"/>
    <cellStyle name="Normal 50 7 4 4" xfId="12651"/>
    <cellStyle name="Normal 50 7 4_FC with allocations" xfId="28873"/>
    <cellStyle name="Normal 50 7 5" xfId="12652"/>
    <cellStyle name="Normal 50 7 5 2" xfId="12653"/>
    <cellStyle name="Normal 50 7 5 2 2" xfId="12654"/>
    <cellStyle name="Normal 50 7 5 2_FC with allocations" xfId="28878"/>
    <cellStyle name="Normal 50 7 5 3" xfId="12655"/>
    <cellStyle name="Normal 50 7 5_FC with allocations" xfId="28877"/>
    <cellStyle name="Normal 50 7 6" xfId="12656"/>
    <cellStyle name="Normal 50 7 6 2" xfId="12657"/>
    <cellStyle name="Normal 50 7 6 2 2" xfId="12658"/>
    <cellStyle name="Normal 50 7 6 2_FC with allocations" xfId="28880"/>
    <cellStyle name="Normal 50 7 6 3" xfId="12659"/>
    <cellStyle name="Normal 50 7 6_FC with allocations" xfId="28879"/>
    <cellStyle name="Normal 50 7 7" xfId="12660"/>
    <cellStyle name="Normal 50 7 7 2" xfId="12661"/>
    <cellStyle name="Normal 50 7 7_FC with allocations" xfId="28881"/>
    <cellStyle name="Normal 50 7 8" xfId="12662"/>
    <cellStyle name="Normal 50 7_FC with allocations" xfId="28856"/>
    <cellStyle name="Normal 50 8" xfId="12663"/>
    <cellStyle name="Normal 50 8 2" xfId="12664"/>
    <cellStyle name="Normal 50 8 2 2" xfId="12665"/>
    <cellStyle name="Normal 50 8 2 2 2" xfId="12666"/>
    <cellStyle name="Normal 50 8 2 2 2 2" xfId="12667"/>
    <cellStyle name="Normal 50 8 2 2 2 2 2" xfId="12668"/>
    <cellStyle name="Normal 50 8 2 2 2 2_FC with allocations" xfId="28886"/>
    <cellStyle name="Normal 50 8 2 2 2 3" xfId="12669"/>
    <cellStyle name="Normal 50 8 2 2 2_FC with allocations" xfId="28885"/>
    <cellStyle name="Normal 50 8 2 2 3" xfId="12670"/>
    <cellStyle name="Normal 50 8 2 2 3 2" xfId="12671"/>
    <cellStyle name="Normal 50 8 2 2 3_FC with allocations" xfId="28887"/>
    <cellStyle name="Normal 50 8 2 2 4" xfId="12672"/>
    <cellStyle name="Normal 50 8 2 2_FC with allocations" xfId="28884"/>
    <cellStyle name="Normal 50 8 2 3" xfId="12673"/>
    <cellStyle name="Normal 50 8 2 3 2" xfId="12674"/>
    <cellStyle name="Normal 50 8 2 3 2 2" xfId="12675"/>
    <cellStyle name="Normal 50 8 2 3 2_FC with allocations" xfId="28889"/>
    <cellStyle name="Normal 50 8 2 3 3" xfId="12676"/>
    <cellStyle name="Normal 50 8 2 3_FC with allocations" xfId="28888"/>
    <cellStyle name="Normal 50 8 2 4" xfId="12677"/>
    <cellStyle name="Normal 50 8 2 4 2" xfId="12678"/>
    <cellStyle name="Normal 50 8 2 4_FC with allocations" xfId="28890"/>
    <cellStyle name="Normal 50 8 2 5" xfId="12679"/>
    <cellStyle name="Normal 50 8 2_FC with allocations" xfId="28883"/>
    <cellStyle name="Normal 50 8 3" xfId="12680"/>
    <cellStyle name="Normal 50 8 3 2" xfId="12681"/>
    <cellStyle name="Normal 50 8 3 2 2" xfId="12682"/>
    <cellStyle name="Normal 50 8 3 2 2 2" xfId="12683"/>
    <cellStyle name="Normal 50 8 3 2 2 2 2" xfId="12684"/>
    <cellStyle name="Normal 50 8 3 2 2 2_FC with allocations" xfId="28894"/>
    <cellStyle name="Normal 50 8 3 2 2 3" xfId="12685"/>
    <cellStyle name="Normal 50 8 3 2 2_FC with allocations" xfId="28893"/>
    <cellStyle name="Normal 50 8 3 2 3" xfId="12686"/>
    <cellStyle name="Normal 50 8 3 2 3 2" xfId="12687"/>
    <cellStyle name="Normal 50 8 3 2 3_FC with allocations" xfId="28895"/>
    <cellStyle name="Normal 50 8 3 2 4" xfId="12688"/>
    <cellStyle name="Normal 50 8 3 2_FC with allocations" xfId="28892"/>
    <cellStyle name="Normal 50 8 3 3" xfId="12689"/>
    <cellStyle name="Normal 50 8 3 3 2" xfId="12690"/>
    <cellStyle name="Normal 50 8 3 3 2 2" xfId="12691"/>
    <cellStyle name="Normal 50 8 3 3 2_FC with allocations" xfId="28897"/>
    <cellStyle name="Normal 50 8 3 3 3" xfId="12692"/>
    <cellStyle name="Normal 50 8 3 3_FC with allocations" xfId="28896"/>
    <cellStyle name="Normal 50 8 3 4" xfId="12693"/>
    <cellStyle name="Normal 50 8 3 4 2" xfId="12694"/>
    <cellStyle name="Normal 50 8 3 4_FC with allocations" xfId="28898"/>
    <cellStyle name="Normal 50 8 3 5" xfId="12695"/>
    <cellStyle name="Normal 50 8 3_FC with allocations" xfId="28891"/>
    <cellStyle name="Normal 50 8 4" xfId="12696"/>
    <cellStyle name="Normal 50 8 4 2" xfId="12697"/>
    <cellStyle name="Normal 50 8 4 2 2" xfId="12698"/>
    <cellStyle name="Normal 50 8 4 2 2 2" xfId="12699"/>
    <cellStyle name="Normal 50 8 4 2 2_FC with allocations" xfId="28901"/>
    <cellStyle name="Normal 50 8 4 2 3" xfId="12700"/>
    <cellStyle name="Normal 50 8 4 2_FC with allocations" xfId="28900"/>
    <cellStyle name="Normal 50 8 4 3" xfId="12701"/>
    <cellStyle name="Normal 50 8 4 3 2" xfId="12702"/>
    <cellStyle name="Normal 50 8 4 3_FC with allocations" xfId="28902"/>
    <cellStyle name="Normal 50 8 4 4" xfId="12703"/>
    <cellStyle name="Normal 50 8 4_FC with allocations" xfId="28899"/>
    <cellStyle name="Normal 50 8 5" xfId="12704"/>
    <cellStyle name="Normal 50 8 5 2" xfId="12705"/>
    <cellStyle name="Normal 50 8 5 2 2" xfId="12706"/>
    <cellStyle name="Normal 50 8 5 2_FC with allocations" xfId="28904"/>
    <cellStyle name="Normal 50 8 5 3" xfId="12707"/>
    <cellStyle name="Normal 50 8 5_FC with allocations" xfId="28903"/>
    <cellStyle name="Normal 50 8 6" xfId="12708"/>
    <cellStyle name="Normal 50 8 6 2" xfId="12709"/>
    <cellStyle name="Normal 50 8 6 2 2" xfId="12710"/>
    <cellStyle name="Normal 50 8 6 2_FC with allocations" xfId="28906"/>
    <cellStyle name="Normal 50 8 6 3" xfId="12711"/>
    <cellStyle name="Normal 50 8 6_FC with allocations" xfId="28905"/>
    <cellStyle name="Normal 50 8 7" xfId="12712"/>
    <cellStyle name="Normal 50 8 7 2" xfId="12713"/>
    <cellStyle name="Normal 50 8 7_FC with allocations" xfId="28907"/>
    <cellStyle name="Normal 50 8 8" xfId="12714"/>
    <cellStyle name="Normal 50 8_FC with allocations" xfId="28882"/>
    <cellStyle name="Normal 50 9" xfId="12715"/>
    <cellStyle name="Normal 50 9 2" xfId="12716"/>
    <cellStyle name="Normal 50 9 2 2" xfId="12717"/>
    <cellStyle name="Normal 50 9 2 2 2" xfId="12718"/>
    <cellStyle name="Normal 50 9 2 2 2 2" xfId="12719"/>
    <cellStyle name="Normal 50 9 2 2 2 2 2" xfId="12720"/>
    <cellStyle name="Normal 50 9 2 2 2 2_FC with allocations" xfId="28912"/>
    <cellStyle name="Normal 50 9 2 2 2 3" xfId="12721"/>
    <cellStyle name="Normal 50 9 2 2 2_FC with allocations" xfId="28911"/>
    <cellStyle name="Normal 50 9 2 2 3" xfId="12722"/>
    <cellStyle name="Normal 50 9 2 2 3 2" xfId="12723"/>
    <cellStyle name="Normal 50 9 2 2 3_FC with allocations" xfId="28913"/>
    <cellStyle name="Normal 50 9 2 2 4" xfId="12724"/>
    <cellStyle name="Normal 50 9 2 2_FC with allocations" xfId="28910"/>
    <cellStyle name="Normal 50 9 2 3" xfId="12725"/>
    <cellStyle name="Normal 50 9 2 3 2" xfId="12726"/>
    <cellStyle name="Normal 50 9 2 3 2 2" xfId="12727"/>
    <cellStyle name="Normal 50 9 2 3 2_FC with allocations" xfId="28915"/>
    <cellStyle name="Normal 50 9 2 3 3" xfId="12728"/>
    <cellStyle name="Normal 50 9 2 3_FC with allocations" xfId="28914"/>
    <cellStyle name="Normal 50 9 2 4" xfId="12729"/>
    <cellStyle name="Normal 50 9 2 4 2" xfId="12730"/>
    <cellStyle name="Normal 50 9 2 4_FC with allocations" xfId="28916"/>
    <cellStyle name="Normal 50 9 2 5" xfId="12731"/>
    <cellStyle name="Normal 50 9 2_FC with allocations" xfId="28909"/>
    <cellStyle name="Normal 50 9 3" xfId="12732"/>
    <cellStyle name="Normal 50 9 3 2" xfId="12733"/>
    <cellStyle name="Normal 50 9 3 2 2" xfId="12734"/>
    <cellStyle name="Normal 50 9 3 2 2 2" xfId="12735"/>
    <cellStyle name="Normal 50 9 3 2 2 2 2" xfId="12736"/>
    <cellStyle name="Normal 50 9 3 2 2 2_FC with allocations" xfId="28920"/>
    <cellStyle name="Normal 50 9 3 2 2 3" xfId="12737"/>
    <cellStyle name="Normal 50 9 3 2 2_FC with allocations" xfId="28919"/>
    <cellStyle name="Normal 50 9 3 2 3" xfId="12738"/>
    <cellStyle name="Normal 50 9 3 2 3 2" xfId="12739"/>
    <cellStyle name="Normal 50 9 3 2 3_FC with allocations" xfId="28921"/>
    <cellStyle name="Normal 50 9 3 2 4" xfId="12740"/>
    <cellStyle name="Normal 50 9 3 2_FC with allocations" xfId="28918"/>
    <cellStyle name="Normal 50 9 3 3" xfId="12741"/>
    <cellStyle name="Normal 50 9 3 3 2" xfId="12742"/>
    <cellStyle name="Normal 50 9 3 3 2 2" xfId="12743"/>
    <cellStyle name="Normal 50 9 3 3 2_FC with allocations" xfId="28923"/>
    <cellStyle name="Normal 50 9 3 3 3" xfId="12744"/>
    <cellStyle name="Normal 50 9 3 3_FC with allocations" xfId="28922"/>
    <cellStyle name="Normal 50 9 3 4" xfId="12745"/>
    <cellStyle name="Normal 50 9 3 4 2" xfId="12746"/>
    <cellStyle name="Normal 50 9 3 4_FC with allocations" xfId="28924"/>
    <cellStyle name="Normal 50 9 3 5" xfId="12747"/>
    <cellStyle name="Normal 50 9 3_FC with allocations" xfId="28917"/>
    <cellStyle name="Normal 50 9 4" xfId="12748"/>
    <cellStyle name="Normal 50 9 4 2" xfId="12749"/>
    <cellStyle name="Normal 50 9 4 2 2" xfId="12750"/>
    <cellStyle name="Normal 50 9 4 2 2 2" xfId="12751"/>
    <cellStyle name="Normal 50 9 4 2 2_FC with allocations" xfId="28927"/>
    <cellStyle name="Normal 50 9 4 2 3" xfId="12752"/>
    <cellStyle name="Normal 50 9 4 2_FC with allocations" xfId="28926"/>
    <cellStyle name="Normal 50 9 4 3" xfId="12753"/>
    <cellStyle name="Normal 50 9 4 3 2" xfId="12754"/>
    <cellStyle name="Normal 50 9 4 3_FC with allocations" xfId="28928"/>
    <cellStyle name="Normal 50 9 4 4" xfId="12755"/>
    <cellStyle name="Normal 50 9 4_FC with allocations" xfId="28925"/>
    <cellStyle name="Normal 50 9 5" xfId="12756"/>
    <cellStyle name="Normal 50 9 5 2" xfId="12757"/>
    <cellStyle name="Normal 50 9 5 2 2" xfId="12758"/>
    <cellStyle name="Normal 50 9 5 2_FC with allocations" xfId="28930"/>
    <cellStyle name="Normal 50 9 5 3" xfId="12759"/>
    <cellStyle name="Normal 50 9 5_FC with allocations" xfId="28929"/>
    <cellStyle name="Normal 50 9 6" xfId="12760"/>
    <cellStyle name="Normal 50 9 6 2" xfId="12761"/>
    <cellStyle name="Normal 50 9 6 2 2" xfId="12762"/>
    <cellStyle name="Normal 50 9 6 2_FC with allocations" xfId="28932"/>
    <cellStyle name="Normal 50 9 6 3" xfId="12763"/>
    <cellStyle name="Normal 50 9 6_FC with allocations" xfId="28931"/>
    <cellStyle name="Normal 50 9 7" xfId="12764"/>
    <cellStyle name="Normal 50 9 7 2" xfId="12765"/>
    <cellStyle name="Normal 50 9 7_FC with allocations" xfId="28933"/>
    <cellStyle name="Normal 50 9 8" xfId="12766"/>
    <cellStyle name="Normal 50 9_FC with allocations" xfId="28908"/>
    <cellStyle name="Normal 50_FC with allocations" xfId="28535"/>
    <cellStyle name="Normal 51" xfId="2230"/>
    <cellStyle name="Normal 51 10" xfId="12768"/>
    <cellStyle name="Normal 51 10 2" xfId="12769"/>
    <cellStyle name="Normal 51 10 2 2" xfId="12770"/>
    <cellStyle name="Normal 51 10 2 2 2" xfId="12771"/>
    <cellStyle name="Normal 51 10 2 2 2 2" xfId="12772"/>
    <cellStyle name="Normal 51 10 2 2 2 2 2" xfId="12773"/>
    <cellStyle name="Normal 51 10 2 2 2 2_FC with allocations" xfId="28939"/>
    <cellStyle name="Normal 51 10 2 2 2 3" xfId="12774"/>
    <cellStyle name="Normal 51 10 2 2 2_FC with allocations" xfId="28938"/>
    <cellStyle name="Normal 51 10 2 2 3" xfId="12775"/>
    <cellStyle name="Normal 51 10 2 2 3 2" xfId="12776"/>
    <cellStyle name="Normal 51 10 2 2 3_FC with allocations" xfId="28940"/>
    <cellStyle name="Normal 51 10 2 2 4" xfId="12777"/>
    <cellStyle name="Normal 51 10 2 2_FC with allocations" xfId="28937"/>
    <cellStyle name="Normal 51 10 2 3" xfId="12778"/>
    <cellStyle name="Normal 51 10 2 3 2" xfId="12779"/>
    <cellStyle name="Normal 51 10 2 3 2 2" xfId="12780"/>
    <cellStyle name="Normal 51 10 2 3 2_FC with allocations" xfId="28942"/>
    <cellStyle name="Normal 51 10 2 3 3" xfId="12781"/>
    <cellStyle name="Normal 51 10 2 3_FC with allocations" xfId="28941"/>
    <cellStyle name="Normal 51 10 2 4" xfId="12782"/>
    <cellStyle name="Normal 51 10 2 4 2" xfId="12783"/>
    <cellStyle name="Normal 51 10 2 4_FC with allocations" xfId="28943"/>
    <cellStyle name="Normal 51 10 2 5" xfId="12784"/>
    <cellStyle name="Normal 51 10 2_FC with allocations" xfId="28936"/>
    <cellStyle name="Normal 51 10 3" xfId="12785"/>
    <cellStyle name="Normal 51 10 3 2" xfId="12786"/>
    <cellStyle name="Normal 51 10 3 2 2" xfId="12787"/>
    <cellStyle name="Normal 51 10 3 2 2 2" xfId="12788"/>
    <cellStyle name="Normal 51 10 3 2 2 2 2" xfId="12789"/>
    <cellStyle name="Normal 51 10 3 2 2 2_FC with allocations" xfId="28947"/>
    <cellStyle name="Normal 51 10 3 2 2 3" xfId="12790"/>
    <cellStyle name="Normal 51 10 3 2 2_FC with allocations" xfId="28946"/>
    <cellStyle name="Normal 51 10 3 2 3" xfId="12791"/>
    <cellStyle name="Normal 51 10 3 2 3 2" xfId="12792"/>
    <cellStyle name="Normal 51 10 3 2 3_FC with allocations" xfId="28948"/>
    <cellStyle name="Normal 51 10 3 2 4" xfId="12793"/>
    <cellStyle name="Normal 51 10 3 2_FC with allocations" xfId="28945"/>
    <cellStyle name="Normal 51 10 3 3" xfId="12794"/>
    <cellStyle name="Normal 51 10 3 3 2" xfId="12795"/>
    <cellStyle name="Normal 51 10 3 3 2 2" xfId="12796"/>
    <cellStyle name="Normal 51 10 3 3 2_FC with allocations" xfId="28950"/>
    <cellStyle name="Normal 51 10 3 3 3" xfId="12797"/>
    <cellStyle name="Normal 51 10 3 3_FC with allocations" xfId="28949"/>
    <cellStyle name="Normal 51 10 3 4" xfId="12798"/>
    <cellStyle name="Normal 51 10 3 4 2" xfId="12799"/>
    <cellStyle name="Normal 51 10 3 4_FC with allocations" xfId="28951"/>
    <cellStyle name="Normal 51 10 3 5" xfId="12800"/>
    <cellStyle name="Normal 51 10 3_FC with allocations" xfId="28944"/>
    <cellStyle name="Normal 51 10 4" xfId="12801"/>
    <cellStyle name="Normal 51 10 4 2" xfId="12802"/>
    <cellStyle name="Normal 51 10 4 2 2" xfId="12803"/>
    <cellStyle name="Normal 51 10 4 2 2 2" xfId="12804"/>
    <cellStyle name="Normal 51 10 4 2 2_FC with allocations" xfId="28954"/>
    <cellStyle name="Normal 51 10 4 2 3" xfId="12805"/>
    <cellStyle name="Normal 51 10 4 2_FC with allocations" xfId="28953"/>
    <cellStyle name="Normal 51 10 4 3" xfId="12806"/>
    <cellStyle name="Normal 51 10 4 3 2" xfId="12807"/>
    <cellStyle name="Normal 51 10 4 3_FC with allocations" xfId="28955"/>
    <cellStyle name="Normal 51 10 4 4" xfId="12808"/>
    <cellStyle name="Normal 51 10 4_FC with allocations" xfId="28952"/>
    <cellStyle name="Normal 51 10 5" xfId="12809"/>
    <cellStyle name="Normal 51 10 5 2" xfId="12810"/>
    <cellStyle name="Normal 51 10 5 2 2" xfId="12811"/>
    <cellStyle name="Normal 51 10 5 2_FC with allocations" xfId="28957"/>
    <cellStyle name="Normal 51 10 5 3" xfId="12812"/>
    <cellStyle name="Normal 51 10 5_FC with allocations" xfId="28956"/>
    <cellStyle name="Normal 51 10 6" xfId="12813"/>
    <cellStyle name="Normal 51 10 6 2" xfId="12814"/>
    <cellStyle name="Normal 51 10 6 2 2" xfId="12815"/>
    <cellStyle name="Normal 51 10 6 2_FC with allocations" xfId="28959"/>
    <cellStyle name="Normal 51 10 6 3" xfId="12816"/>
    <cellStyle name="Normal 51 10 6_FC with allocations" xfId="28958"/>
    <cellStyle name="Normal 51 10 7" xfId="12817"/>
    <cellStyle name="Normal 51 10 7 2" xfId="12818"/>
    <cellStyle name="Normal 51 10 7_FC with allocations" xfId="28960"/>
    <cellStyle name="Normal 51 10 8" xfId="12819"/>
    <cellStyle name="Normal 51 10_FC with allocations" xfId="28935"/>
    <cellStyle name="Normal 51 11" xfId="12820"/>
    <cellStyle name="Normal 51 11 2" xfId="12821"/>
    <cellStyle name="Normal 51 11 2 2" xfId="12822"/>
    <cellStyle name="Normal 51 11 2 2 2" xfId="12823"/>
    <cellStyle name="Normal 51 11 2 2 2 2" xfId="12824"/>
    <cellStyle name="Normal 51 11 2 2 2 2 2" xfId="12825"/>
    <cellStyle name="Normal 51 11 2 2 2 2_FC with allocations" xfId="28965"/>
    <cellStyle name="Normal 51 11 2 2 2 3" xfId="12826"/>
    <cellStyle name="Normal 51 11 2 2 2_FC with allocations" xfId="28964"/>
    <cellStyle name="Normal 51 11 2 2 3" xfId="12827"/>
    <cellStyle name="Normal 51 11 2 2 3 2" xfId="12828"/>
    <cellStyle name="Normal 51 11 2 2 3_FC with allocations" xfId="28966"/>
    <cellStyle name="Normal 51 11 2 2 4" xfId="12829"/>
    <cellStyle name="Normal 51 11 2 2_FC with allocations" xfId="28963"/>
    <cellStyle name="Normal 51 11 2 3" xfId="12830"/>
    <cellStyle name="Normal 51 11 2 3 2" xfId="12831"/>
    <cellStyle name="Normal 51 11 2 3 2 2" xfId="12832"/>
    <cellStyle name="Normal 51 11 2 3 2_FC with allocations" xfId="28968"/>
    <cellStyle name="Normal 51 11 2 3 3" xfId="12833"/>
    <cellStyle name="Normal 51 11 2 3_FC with allocations" xfId="28967"/>
    <cellStyle name="Normal 51 11 2 4" xfId="12834"/>
    <cellStyle name="Normal 51 11 2 4 2" xfId="12835"/>
    <cellStyle name="Normal 51 11 2 4_FC with allocations" xfId="28969"/>
    <cellStyle name="Normal 51 11 2 5" xfId="12836"/>
    <cellStyle name="Normal 51 11 2_FC with allocations" xfId="28962"/>
    <cellStyle name="Normal 51 11 3" xfId="12837"/>
    <cellStyle name="Normal 51 11 3 2" xfId="12838"/>
    <cellStyle name="Normal 51 11 3 2 2" xfId="12839"/>
    <cellStyle name="Normal 51 11 3 2 2 2" xfId="12840"/>
    <cellStyle name="Normal 51 11 3 2 2 2 2" xfId="12841"/>
    <cellStyle name="Normal 51 11 3 2 2 2_FC with allocations" xfId="28973"/>
    <cellStyle name="Normal 51 11 3 2 2 3" xfId="12842"/>
    <cellStyle name="Normal 51 11 3 2 2_FC with allocations" xfId="28972"/>
    <cellStyle name="Normal 51 11 3 2 3" xfId="12843"/>
    <cellStyle name="Normal 51 11 3 2 3 2" xfId="12844"/>
    <cellStyle name="Normal 51 11 3 2 3_FC with allocations" xfId="28974"/>
    <cellStyle name="Normal 51 11 3 2 4" xfId="12845"/>
    <cellStyle name="Normal 51 11 3 2_FC with allocations" xfId="28971"/>
    <cellStyle name="Normal 51 11 3 3" xfId="12846"/>
    <cellStyle name="Normal 51 11 3 3 2" xfId="12847"/>
    <cellStyle name="Normal 51 11 3 3 2 2" xfId="12848"/>
    <cellStyle name="Normal 51 11 3 3 2_FC with allocations" xfId="28976"/>
    <cellStyle name="Normal 51 11 3 3 3" xfId="12849"/>
    <cellStyle name="Normal 51 11 3 3_FC with allocations" xfId="28975"/>
    <cellStyle name="Normal 51 11 3 4" xfId="12850"/>
    <cellStyle name="Normal 51 11 3 4 2" xfId="12851"/>
    <cellStyle name="Normal 51 11 3 4_FC with allocations" xfId="28977"/>
    <cellStyle name="Normal 51 11 3 5" xfId="12852"/>
    <cellStyle name="Normal 51 11 3_FC with allocations" xfId="28970"/>
    <cellStyle name="Normal 51 11 4" xfId="12853"/>
    <cellStyle name="Normal 51 11 4 2" xfId="12854"/>
    <cellStyle name="Normal 51 11 4 2 2" xfId="12855"/>
    <cellStyle name="Normal 51 11 4 2 2 2" xfId="12856"/>
    <cellStyle name="Normal 51 11 4 2 2_FC with allocations" xfId="28980"/>
    <cellStyle name="Normal 51 11 4 2 3" xfId="12857"/>
    <cellStyle name="Normal 51 11 4 2_FC with allocations" xfId="28979"/>
    <cellStyle name="Normal 51 11 4 3" xfId="12858"/>
    <cellStyle name="Normal 51 11 4 3 2" xfId="12859"/>
    <cellStyle name="Normal 51 11 4 3_FC with allocations" xfId="28981"/>
    <cellStyle name="Normal 51 11 4 4" xfId="12860"/>
    <cellStyle name="Normal 51 11 4_FC with allocations" xfId="28978"/>
    <cellStyle name="Normal 51 11 5" xfId="12861"/>
    <cellStyle name="Normal 51 11 5 2" xfId="12862"/>
    <cellStyle name="Normal 51 11 5 2 2" xfId="12863"/>
    <cellStyle name="Normal 51 11 5 2_FC with allocations" xfId="28983"/>
    <cellStyle name="Normal 51 11 5 3" xfId="12864"/>
    <cellStyle name="Normal 51 11 5_FC with allocations" xfId="28982"/>
    <cellStyle name="Normal 51 11 6" xfId="12865"/>
    <cellStyle name="Normal 51 11 6 2" xfId="12866"/>
    <cellStyle name="Normal 51 11 6 2 2" xfId="12867"/>
    <cellStyle name="Normal 51 11 6 2_FC with allocations" xfId="28985"/>
    <cellStyle name="Normal 51 11 6 3" xfId="12868"/>
    <cellStyle name="Normal 51 11 6_FC with allocations" xfId="28984"/>
    <cellStyle name="Normal 51 11 7" xfId="12869"/>
    <cellStyle name="Normal 51 11 7 2" xfId="12870"/>
    <cellStyle name="Normal 51 11 7_FC with allocations" xfId="28986"/>
    <cellStyle name="Normal 51 11 8" xfId="12871"/>
    <cellStyle name="Normal 51 11_FC with allocations" xfId="28961"/>
    <cellStyle name="Normal 51 12" xfId="12872"/>
    <cellStyle name="Normal 51 12 2" xfId="12873"/>
    <cellStyle name="Normal 51 12 2 2" xfId="12874"/>
    <cellStyle name="Normal 51 12 2 2 2" xfId="12875"/>
    <cellStyle name="Normal 51 12 2 2 2 2" xfId="12876"/>
    <cellStyle name="Normal 51 12 2 2 2 2 2" xfId="12877"/>
    <cellStyle name="Normal 51 12 2 2 2 2_FC with allocations" xfId="28991"/>
    <cellStyle name="Normal 51 12 2 2 2 3" xfId="12878"/>
    <cellStyle name="Normal 51 12 2 2 2_FC with allocations" xfId="28990"/>
    <cellStyle name="Normal 51 12 2 2 3" xfId="12879"/>
    <cellStyle name="Normal 51 12 2 2 3 2" xfId="12880"/>
    <cellStyle name="Normal 51 12 2 2 3_FC with allocations" xfId="28992"/>
    <cellStyle name="Normal 51 12 2 2 4" xfId="12881"/>
    <cellStyle name="Normal 51 12 2 2_FC with allocations" xfId="28989"/>
    <cellStyle name="Normal 51 12 2 3" xfId="12882"/>
    <cellStyle name="Normal 51 12 2 3 2" xfId="12883"/>
    <cellStyle name="Normal 51 12 2 3 2 2" xfId="12884"/>
    <cellStyle name="Normal 51 12 2 3 2_FC with allocations" xfId="28994"/>
    <cellStyle name="Normal 51 12 2 3 3" xfId="12885"/>
    <cellStyle name="Normal 51 12 2 3_FC with allocations" xfId="28993"/>
    <cellStyle name="Normal 51 12 2 4" xfId="12886"/>
    <cellStyle name="Normal 51 12 2 4 2" xfId="12887"/>
    <cellStyle name="Normal 51 12 2 4_FC with allocations" xfId="28995"/>
    <cellStyle name="Normal 51 12 2 5" xfId="12888"/>
    <cellStyle name="Normal 51 12 2_FC with allocations" xfId="28988"/>
    <cellStyle name="Normal 51 12 3" xfId="12889"/>
    <cellStyle name="Normal 51 12 3 2" xfId="12890"/>
    <cellStyle name="Normal 51 12 3 2 2" xfId="12891"/>
    <cellStyle name="Normal 51 12 3 2 2 2" xfId="12892"/>
    <cellStyle name="Normal 51 12 3 2 2 2 2" xfId="12893"/>
    <cellStyle name="Normal 51 12 3 2 2 2_FC with allocations" xfId="28999"/>
    <cellStyle name="Normal 51 12 3 2 2 3" xfId="12894"/>
    <cellStyle name="Normal 51 12 3 2 2_FC with allocations" xfId="28998"/>
    <cellStyle name="Normal 51 12 3 2 3" xfId="12895"/>
    <cellStyle name="Normal 51 12 3 2 3 2" xfId="12896"/>
    <cellStyle name="Normal 51 12 3 2 3_FC with allocations" xfId="29000"/>
    <cellStyle name="Normal 51 12 3 2 4" xfId="12897"/>
    <cellStyle name="Normal 51 12 3 2_FC with allocations" xfId="28997"/>
    <cellStyle name="Normal 51 12 3 3" xfId="12898"/>
    <cellStyle name="Normal 51 12 3 3 2" xfId="12899"/>
    <cellStyle name="Normal 51 12 3 3 2 2" xfId="12900"/>
    <cellStyle name="Normal 51 12 3 3 2_FC with allocations" xfId="29002"/>
    <cellStyle name="Normal 51 12 3 3 3" xfId="12901"/>
    <cellStyle name="Normal 51 12 3 3_FC with allocations" xfId="29001"/>
    <cellStyle name="Normal 51 12 3 4" xfId="12902"/>
    <cellStyle name="Normal 51 12 3 4 2" xfId="12903"/>
    <cellStyle name="Normal 51 12 3 4_FC with allocations" xfId="29003"/>
    <cellStyle name="Normal 51 12 3 5" xfId="12904"/>
    <cellStyle name="Normal 51 12 3_FC with allocations" xfId="28996"/>
    <cellStyle name="Normal 51 12 4" xfId="12905"/>
    <cellStyle name="Normal 51 12 4 2" xfId="12906"/>
    <cellStyle name="Normal 51 12 4 2 2" xfId="12907"/>
    <cellStyle name="Normal 51 12 4 2 2 2" xfId="12908"/>
    <cellStyle name="Normal 51 12 4 2 2_FC with allocations" xfId="29006"/>
    <cellStyle name="Normal 51 12 4 2 3" xfId="12909"/>
    <cellStyle name="Normal 51 12 4 2_FC with allocations" xfId="29005"/>
    <cellStyle name="Normal 51 12 4 3" xfId="12910"/>
    <cellStyle name="Normal 51 12 4 3 2" xfId="12911"/>
    <cellStyle name="Normal 51 12 4 3_FC with allocations" xfId="29007"/>
    <cellStyle name="Normal 51 12 4 4" xfId="12912"/>
    <cellStyle name="Normal 51 12 4_FC with allocations" xfId="29004"/>
    <cellStyle name="Normal 51 12 5" xfId="12913"/>
    <cellStyle name="Normal 51 12 5 2" xfId="12914"/>
    <cellStyle name="Normal 51 12 5 2 2" xfId="12915"/>
    <cellStyle name="Normal 51 12 5 2_FC with allocations" xfId="29009"/>
    <cellStyle name="Normal 51 12 5 3" xfId="12916"/>
    <cellStyle name="Normal 51 12 5_FC with allocations" xfId="29008"/>
    <cellStyle name="Normal 51 12 6" xfId="12917"/>
    <cellStyle name="Normal 51 12 6 2" xfId="12918"/>
    <cellStyle name="Normal 51 12 6 2 2" xfId="12919"/>
    <cellStyle name="Normal 51 12 6 2_FC with allocations" xfId="29011"/>
    <cellStyle name="Normal 51 12 6 3" xfId="12920"/>
    <cellStyle name="Normal 51 12 6_FC with allocations" xfId="29010"/>
    <cellStyle name="Normal 51 12 7" xfId="12921"/>
    <cellStyle name="Normal 51 12 7 2" xfId="12922"/>
    <cellStyle name="Normal 51 12 7_FC with allocations" xfId="29012"/>
    <cellStyle name="Normal 51 12 8" xfId="12923"/>
    <cellStyle name="Normal 51 12_FC with allocations" xfId="28987"/>
    <cellStyle name="Normal 51 13" xfId="12924"/>
    <cellStyle name="Normal 51 13 2" xfId="12925"/>
    <cellStyle name="Normal 51 13 2 2" xfId="12926"/>
    <cellStyle name="Normal 51 13 2 2 2" xfId="12927"/>
    <cellStyle name="Normal 51 13 2 2 2 2" xfId="12928"/>
    <cellStyle name="Normal 51 13 2 2 2 2 2" xfId="12929"/>
    <cellStyle name="Normal 51 13 2 2 2 2_FC with allocations" xfId="29017"/>
    <cellStyle name="Normal 51 13 2 2 2 3" xfId="12930"/>
    <cellStyle name="Normal 51 13 2 2 2_FC with allocations" xfId="29016"/>
    <cellStyle name="Normal 51 13 2 2 3" xfId="12931"/>
    <cellStyle name="Normal 51 13 2 2 3 2" xfId="12932"/>
    <cellStyle name="Normal 51 13 2 2 3_FC with allocations" xfId="29018"/>
    <cellStyle name="Normal 51 13 2 2 4" xfId="12933"/>
    <cellStyle name="Normal 51 13 2 2_FC with allocations" xfId="29015"/>
    <cellStyle name="Normal 51 13 2 3" xfId="12934"/>
    <cellStyle name="Normal 51 13 2 3 2" xfId="12935"/>
    <cellStyle name="Normal 51 13 2 3 2 2" xfId="12936"/>
    <cellStyle name="Normal 51 13 2 3 2_FC with allocations" xfId="29020"/>
    <cellStyle name="Normal 51 13 2 3 3" xfId="12937"/>
    <cellStyle name="Normal 51 13 2 3_FC with allocations" xfId="29019"/>
    <cellStyle name="Normal 51 13 2 4" xfId="12938"/>
    <cellStyle name="Normal 51 13 2 4 2" xfId="12939"/>
    <cellStyle name="Normal 51 13 2 4_FC with allocations" xfId="29021"/>
    <cellStyle name="Normal 51 13 2 5" xfId="12940"/>
    <cellStyle name="Normal 51 13 2_FC with allocations" xfId="29014"/>
    <cellStyle name="Normal 51 13 3" xfId="12941"/>
    <cellStyle name="Normal 51 13 3 2" xfId="12942"/>
    <cellStyle name="Normal 51 13 3 2 2" xfId="12943"/>
    <cellStyle name="Normal 51 13 3 2 2 2" xfId="12944"/>
    <cellStyle name="Normal 51 13 3 2 2 2 2" xfId="12945"/>
    <cellStyle name="Normal 51 13 3 2 2 2_FC with allocations" xfId="29025"/>
    <cellStyle name="Normal 51 13 3 2 2 3" xfId="12946"/>
    <cellStyle name="Normal 51 13 3 2 2_FC with allocations" xfId="29024"/>
    <cellStyle name="Normal 51 13 3 2 3" xfId="12947"/>
    <cellStyle name="Normal 51 13 3 2 3 2" xfId="12948"/>
    <cellStyle name="Normal 51 13 3 2 3_FC with allocations" xfId="29026"/>
    <cellStyle name="Normal 51 13 3 2 4" xfId="12949"/>
    <cellStyle name="Normal 51 13 3 2_FC with allocations" xfId="29023"/>
    <cellStyle name="Normal 51 13 3 3" xfId="12950"/>
    <cellStyle name="Normal 51 13 3 3 2" xfId="12951"/>
    <cellStyle name="Normal 51 13 3 3 2 2" xfId="12952"/>
    <cellStyle name="Normal 51 13 3 3 2_FC with allocations" xfId="29028"/>
    <cellStyle name="Normal 51 13 3 3 3" xfId="12953"/>
    <cellStyle name="Normal 51 13 3 3_FC with allocations" xfId="29027"/>
    <cellStyle name="Normal 51 13 3 4" xfId="12954"/>
    <cellStyle name="Normal 51 13 3 4 2" xfId="12955"/>
    <cellStyle name="Normal 51 13 3 4_FC with allocations" xfId="29029"/>
    <cellStyle name="Normal 51 13 3 5" xfId="12956"/>
    <cellStyle name="Normal 51 13 3_FC with allocations" xfId="29022"/>
    <cellStyle name="Normal 51 13 4" xfId="12957"/>
    <cellStyle name="Normal 51 13 4 2" xfId="12958"/>
    <cellStyle name="Normal 51 13 4 2 2" xfId="12959"/>
    <cellStyle name="Normal 51 13 4 2 2 2" xfId="12960"/>
    <cellStyle name="Normal 51 13 4 2 2_FC with allocations" xfId="29032"/>
    <cellStyle name="Normal 51 13 4 2 3" xfId="12961"/>
    <cellStyle name="Normal 51 13 4 2_FC with allocations" xfId="29031"/>
    <cellStyle name="Normal 51 13 4 3" xfId="12962"/>
    <cellStyle name="Normal 51 13 4 3 2" xfId="12963"/>
    <cellStyle name="Normal 51 13 4 3_FC with allocations" xfId="29033"/>
    <cellStyle name="Normal 51 13 4 4" xfId="12964"/>
    <cellStyle name="Normal 51 13 4_FC with allocations" xfId="29030"/>
    <cellStyle name="Normal 51 13 5" xfId="12965"/>
    <cellStyle name="Normal 51 13 5 2" xfId="12966"/>
    <cellStyle name="Normal 51 13 5 2 2" xfId="12967"/>
    <cellStyle name="Normal 51 13 5 2_FC with allocations" xfId="29035"/>
    <cellStyle name="Normal 51 13 5 3" xfId="12968"/>
    <cellStyle name="Normal 51 13 5_FC with allocations" xfId="29034"/>
    <cellStyle name="Normal 51 13 6" xfId="12969"/>
    <cellStyle name="Normal 51 13 6 2" xfId="12970"/>
    <cellStyle name="Normal 51 13 6 2 2" xfId="12971"/>
    <cellStyle name="Normal 51 13 6 2_FC with allocations" xfId="29037"/>
    <cellStyle name="Normal 51 13 6 3" xfId="12972"/>
    <cellStyle name="Normal 51 13 6_FC with allocations" xfId="29036"/>
    <cellStyle name="Normal 51 13 7" xfId="12973"/>
    <cellStyle name="Normal 51 13 7 2" xfId="12974"/>
    <cellStyle name="Normal 51 13 7_FC with allocations" xfId="29038"/>
    <cellStyle name="Normal 51 13 8" xfId="12975"/>
    <cellStyle name="Normal 51 13_FC with allocations" xfId="29013"/>
    <cellStyle name="Normal 51 14" xfId="12976"/>
    <cellStyle name="Normal 51 14 2" xfId="12977"/>
    <cellStyle name="Normal 51 14 2 2" xfId="12978"/>
    <cellStyle name="Normal 51 14 2 2 2" xfId="12979"/>
    <cellStyle name="Normal 51 14 2 2 2 2" xfId="12980"/>
    <cellStyle name="Normal 51 14 2 2 2 2 2" xfId="12981"/>
    <cellStyle name="Normal 51 14 2 2 2 2_FC with allocations" xfId="29043"/>
    <cellStyle name="Normal 51 14 2 2 2 3" xfId="12982"/>
    <cellStyle name="Normal 51 14 2 2 2_FC with allocations" xfId="29042"/>
    <cellStyle name="Normal 51 14 2 2 3" xfId="12983"/>
    <cellStyle name="Normal 51 14 2 2 3 2" xfId="12984"/>
    <cellStyle name="Normal 51 14 2 2 3_FC with allocations" xfId="29044"/>
    <cellStyle name="Normal 51 14 2 2 4" xfId="12985"/>
    <cellStyle name="Normal 51 14 2 2_FC with allocations" xfId="29041"/>
    <cellStyle name="Normal 51 14 2 3" xfId="12986"/>
    <cellStyle name="Normal 51 14 2 3 2" xfId="12987"/>
    <cellStyle name="Normal 51 14 2 3 2 2" xfId="12988"/>
    <cellStyle name="Normal 51 14 2 3 2_FC with allocations" xfId="29046"/>
    <cellStyle name="Normal 51 14 2 3 3" xfId="12989"/>
    <cellStyle name="Normal 51 14 2 3_FC with allocations" xfId="29045"/>
    <cellStyle name="Normal 51 14 2 4" xfId="12990"/>
    <cellStyle name="Normal 51 14 2 4 2" xfId="12991"/>
    <cellStyle name="Normal 51 14 2 4_FC with allocations" xfId="29047"/>
    <cellStyle name="Normal 51 14 2 5" xfId="12992"/>
    <cellStyle name="Normal 51 14 2_FC with allocations" xfId="29040"/>
    <cellStyle name="Normal 51 14 3" xfId="12993"/>
    <cellStyle name="Normal 51 14 3 2" xfId="12994"/>
    <cellStyle name="Normal 51 14 3 2 2" xfId="12995"/>
    <cellStyle name="Normal 51 14 3 2 2 2" xfId="12996"/>
    <cellStyle name="Normal 51 14 3 2 2 2 2" xfId="12997"/>
    <cellStyle name="Normal 51 14 3 2 2 2_FC with allocations" xfId="29051"/>
    <cellStyle name="Normal 51 14 3 2 2 3" xfId="12998"/>
    <cellStyle name="Normal 51 14 3 2 2_FC with allocations" xfId="29050"/>
    <cellStyle name="Normal 51 14 3 2 3" xfId="12999"/>
    <cellStyle name="Normal 51 14 3 2 3 2" xfId="13000"/>
    <cellStyle name="Normal 51 14 3 2 3_FC with allocations" xfId="29052"/>
    <cellStyle name="Normal 51 14 3 2 4" xfId="13001"/>
    <cellStyle name="Normal 51 14 3 2_FC with allocations" xfId="29049"/>
    <cellStyle name="Normal 51 14 3 3" xfId="13002"/>
    <cellStyle name="Normal 51 14 3 3 2" xfId="13003"/>
    <cellStyle name="Normal 51 14 3 3 2 2" xfId="13004"/>
    <cellStyle name="Normal 51 14 3 3 2_FC with allocations" xfId="29054"/>
    <cellStyle name="Normal 51 14 3 3 3" xfId="13005"/>
    <cellStyle name="Normal 51 14 3 3_FC with allocations" xfId="29053"/>
    <cellStyle name="Normal 51 14 3 4" xfId="13006"/>
    <cellStyle name="Normal 51 14 3 4 2" xfId="13007"/>
    <cellStyle name="Normal 51 14 3 4_FC with allocations" xfId="29055"/>
    <cellStyle name="Normal 51 14 3 5" xfId="13008"/>
    <cellStyle name="Normal 51 14 3_FC with allocations" xfId="29048"/>
    <cellStyle name="Normal 51 14 4" xfId="13009"/>
    <cellStyle name="Normal 51 14 4 2" xfId="13010"/>
    <cellStyle name="Normal 51 14 4 2 2" xfId="13011"/>
    <cellStyle name="Normal 51 14 4 2 2 2" xfId="13012"/>
    <cellStyle name="Normal 51 14 4 2 2_FC with allocations" xfId="29058"/>
    <cellStyle name="Normal 51 14 4 2 3" xfId="13013"/>
    <cellStyle name="Normal 51 14 4 2_FC with allocations" xfId="29057"/>
    <cellStyle name="Normal 51 14 4 3" xfId="13014"/>
    <cellStyle name="Normal 51 14 4 3 2" xfId="13015"/>
    <cellStyle name="Normal 51 14 4 3_FC with allocations" xfId="29059"/>
    <cellStyle name="Normal 51 14 4 4" xfId="13016"/>
    <cellStyle name="Normal 51 14 4_FC with allocations" xfId="29056"/>
    <cellStyle name="Normal 51 14 5" xfId="13017"/>
    <cellStyle name="Normal 51 14 5 2" xfId="13018"/>
    <cellStyle name="Normal 51 14 5 2 2" xfId="13019"/>
    <cellStyle name="Normal 51 14 5 2_FC with allocations" xfId="29061"/>
    <cellStyle name="Normal 51 14 5 3" xfId="13020"/>
    <cellStyle name="Normal 51 14 5_FC with allocations" xfId="29060"/>
    <cellStyle name="Normal 51 14 6" xfId="13021"/>
    <cellStyle name="Normal 51 14 6 2" xfId="13022"/>
    <cellStyle name="Normal 51 14 6 2 2" xfId="13023"/>
    <cellStyle name="Normal 51 14 6 2_FC with allocations" xfId="29063"/>
    <cellStyle name="Normal 51 14 6 3" xfId="13024"/>
    <cellStyle name="Normal 51 14 6_FC with allocations" xfId="29062"/>
    <cellStyle name="Normal 51 14 7" xfId="13025"/>
    <cellStyle name="Normal 51 14 7 2" xfId="13026"/>
    <cellStyle name="Normal 51 14 7_FC with allocations" xfId="29064"/>
    <cellStyle name="Normal 51 14 8" xfId="13027"/>
    <cellStyle name="Normal 51 14_FC with allocations" xfId="29039"/>
    <cellStyle name="Normal 51 15" xfId="13028"/>
    <cellStyle name="Normal 51 15 2" xfId="13029"/>
    <cellStyle name="Normal 51 15 2 2" xfId="13030"/>
    <cellStyle name="Normal 51 15 2 2 2" xfId="13031"/>
    <cellStyle name="Normal 51 15 2 2 2 2" xfId="13032"/>
    <cellStyle name="Normal 51 15 2 2 2 2 2" xfId="13033"/>
    <cellStyle name="Normal 51 15 2 2 2 2_FC with allocations" xfId="29069"/>
    <cellStyle name="Normal 51 15 2 2 2 3" xfId="13034"/>
    <cellStyle name="Normal 51 15 2 2 2_FC with allocations" xfId="29068"/>
    <cellStyle name="Normal 51 15 2 2 3" xfId="13035"/>
    <cellStyle name="Normal 51 15 2 2 3 2" xfId="13036"/>
    <cellStyle name="Normal 51 15 2 2 3_FC with allocations" xfId="29070"/>
    <cellStyle name="Normal 51 15 2 2 4" xfId="13037"/>
    <cellStyle name="Normal 51 15 2 2_FC with allocations" xfId="29067"/>
    <cellStyle name="Normal 51 15 2 3" xfId="13038"/>
    <cellStyle name="Normal 51 15 2 3 2" xfId="13039"/>
    <cellStyle name="Normal 51 15 2 3 2 2" xfId="13040"/>
    <cellStyle name="Normal 51 15 2 3 2_FC with allocations" xfId="29072"/>
    <cellStyle name="Normal 51 15 2 3 3" xfId="13041"/>
    <cellStyle name="Normal 51 15 2 3_FC with allocations" xfId="29071"/>
    <cellStyle name="Normal 51 15 2 4" xfId="13042"/>
    <cellStyle name="Normal 51 15 2 4 2" xfId="13043"/>
    <cellStyle name="Normal 51 15 2 4_FC with allocations" xfId="29073"/>
    <cellStyle name="Normal 51 15 2 5" xfId="13044"/>
    <cellStyle name="Normal 51 15 2_FC with allocations" xfId="29066"/>
    <cellStyle name="Normal 51 15 3" xfId="13045"/>
    <cellStyle name="Normal 51 15 3 2" xfId="13046"/>
    <cellStyle name="Normal 51 15 3 2 2" xfId="13047"/>
    <cellStyle name="Normal 51 15 3 2 2 2" xfId="13048"/>
    <cellStyle name="Normal 51 15 3 2 2 2 2" xfId="13049"/>
    <cellStyle name="Normal 51 15 3 2 2 2_FC with allocations" xfId="29077"/>
    <cellStyle name="Normal 51 15 3 2 2 3" xfId="13050"/>
    <cellStyle name="Normal 51 15 3 2 2_FC with allocations" xfId="29076"/>
    <cellStyle name="Normal 51 15 3 2 3" xfId="13051"/>
    <cellStyle name="Normal 51 15 3 2 3 2" xfId="13052"/>
    <cellStyle name="Normal 51 15 3 2 3_FC with allocations" xfId="29078"/>
    <cellStyle name="Normal 51 15 3 2 4" xfId="13053"/>
    <cellStyle name="Normal 51 15 3 2_FC with allocations" xfId="29075"/>
    <cellStyle name="Normal 51 15 3 3" xfId="13054"/>
    <cellStyle name="Normal 51 15 3 3 2" xfId="13055"/>
    <cellStyle name="Normal 51 15 3 3 2 2" xfId="13056"/>
    <cellStyle name="Normal 51 15 3 3 2_FC with allocations" xfId="29080"/>
    <cellStyle name="Normal 51 15 3 3 3" xfId="13057"/>
    <cellStyle name="Normal 51 15 3 3_FC with allocations" xfId="29079"/>
    <cellStyle name="Normal 51 15 3 4" xfId="13058"/>
    <cellStyle name="Normal 51 15 3 4 2" xfId="13059"/>
    <cellStyle name="Normal 51 15 3 4_FC with allocations" xfId="29081"/>
    <cellStyle name="Normal 51 15 3 5" xfId="13060"/>
    <cellStyle name="Normal 51 15 3_FC with allocations" xfId="29074"/>
    <cellStyle name="Normal 51 15 4" xfId="13061"/>
    <cellStyle name="Normal 51 15 4 2" xfId="13062"/>
    <cellStyle name="Normal 51 15 4 2 2" xfId="13063"/>
    <cellStyle name="Normal 51 15 4 2 2 2" xfId="13064"/>
    <cellStyle name="Normal 51 15 4 2 2_FC with allocations" xfId="29084"/>
    <cellStyle name="Normal 51 15 4 2 3" xfId="13065"/>
    <cellStyle name="Normal 51 15 4 2_FC with allocations" xfId="29083"/>
    <cellStyle name="Normal 51 15 4 3" xfId="13066"/>
    <cellStyle name="Normal 51 15 4 3 2" xfId="13067"/>
    <cellStyle name="Normal 51 15 4 3_FC with allocations" xfId="29085"/>
    <cellStyle name="Normal 51 15 4 4" xfId="13068"/>
    <cellStyle name="Normal 51 15 4_FC with allocations" xfId="29082"/>
    <cellStyle name="Normal 51 15 5" xfId="13069"/>
    <cellStyle name="Normal 51 15 5 2" xfId="13070"/>
    <cellStyle name="Normal 51 15 5 2 2" xfId="13071"/>
    <cellStyle name="Normal 51 15 5 2_FC with allocations" xfId="29087"/>
    <cellStyle name="Normal 51 15 5 3" xfId="13072"/>
    <cellStyle name="Normal 51 15 5_FC with allocations" xfId="29086"/>
    <cellStyle name="Normal 51 15 6" xfId="13073"/>
    <cellStyle name="Normal 51 15 6 2" xfId="13074"/>
    <cellStyle name="Normal 51 15 6 2 2" xfId="13075"/>
    <cellStyle name="Normal 51 15 6 2_FC with allocations" xfId="29089"/>
    <cellStyle name="Normal 51 15 6 3" xfId="13076"/>
    <cellStyle name="Normal 51 15 6_FC with allocations" xfId="29088"/>
    <cellStyle name="Normal 51 15 7" xfId="13077"/>
    <cellStyle name="Normal 51 15 7 2" xfId="13078"/>
    <cellStyle name="Normal 51 15 7_FC with allocations" xfId="29090"/>
    <cellStyle name="Normal 51 15 8" xfId="13079"/>
    <cellStyle name="Normal 51 15_FC with allocations" xfId="29065"/>
    <cellStyle name="Normal 51 16" xfId="13080"/>
    <cellStyle name="Normal 51 16 2" xfId="13081"/>
    <cellStyle name="Normal 51 16 2 2" xfId="13082"/>
    <cellStyle name="Normal 51 16 2 2 2" xfId="13083"/>
    <cellStyle name="Normal 51 16 2 2 2 2" xfId="13084"/>
    <cellStyle name="Normal 51 16 2 2 2_FC with allocations" xfId="29094"/>
    <cellStyle name="Normal 51 16 2 2 3" xfId="13085"/>
    <cellStyle name="Normal 51 16 2 2_FC with allocations" xfId="29093"/>
    <cellStyle name="Normal 51 16 2 3" xfId="13086"/>
    <cellStyle name="Normal 51 16 2 3 2" xfId="13087"/>
    <cellStyle name="Normal 51 16 2 3_FC with allocations" xfId="29095"/>
    <cellStyle name="Normal 51 16 2 4" xfId="13088"/>
    <cellStyle name="Normal 51 16 2_FC with allocations" xfId="29092"/>
    <cellStyle name="Normal 51 16 3" xfId="13089"/>
    <cellStyle name="Normal 51 16 3 2" xfId="13090"/>
    <cellStyle name="Normal 51 16 3 2 2" xfId="13091"/>
    <cellStyle name="Normal 51 16 3 2_FC with allocations" xfId="29097"/>
    <cellStyle name="Normal 51 16 3 3" xfId="13092"/>
    <cellStyle name="Normal 51 16 3_FC with allocations" xfId="29096"/>
    <cellStyle name="Normal 51 16 4" xfId="13093"/>
    <cellStyle name="Normal 51 16 4 2" xfId="13094"/>
    <cellStyle name="Normal 51 16 4_FC with allocations" xfId="29098"/>
    <cellStyle name="Normal 51 16 5" xfId="13095"/>
    <cellStyle name="Normal 51 16_FC with allocations" xfId="29091"/>
    <cellStyle name="Normal 51 17" xfId="13096"/>
    <cellStyle name="Normal 51 17 2" xfId="13097"/>
    <cellStyle name="Normal 51 17 2 2" xfId="13098"/>
    <cellStyle name="Normal 51 17 2 2 2" xfId="13099"/>
    <cellStyle name="Normal 51 17 2 2 2 2" xfId="13100"/>
    <cellStyle name="Normal 51 17 2 2 2_FC with allocations" xfId="29102"/>
    <cellStyle name="Normal 51 17 2 2 3" xfId="13101"/>
    <cellStyle name="Normal 51 17 2 2_FC with allocations" xfId="29101"/>
    <cellStyle name="Normal 51 17 2 3" xfId="13102"/>
    <cellStyle name="Normal 51 17 2 3 2" xfId="13103"/>
    <cellStyle name="Normal 51 17 2 3_FC with allocations" xfId="29103"/>
    <cellStyle name="Normal 51 17 2 4" xfId="13104"/>
    <cellStyle name="Normal 51 17 2_FC with allocations" xfId="29100"/>
    <cellStyle name="Normal 51 17 3" xfId="13105"/>
    <cellStyle name="Normal 51 17 3 2" xfId="13106"/>
    <cellStyle name="Normal 51 17 3 2 2" xfId="13107"/>
    <cellStyle name="Normal 51 17 3 2_FC with allocations" xfId="29105"/>
    <cellStyle name="Normal 51 17 3 3" xfId="13108"/>
    <cellStyle name="Normal 51 17 3_FC with allocations" xfId="29104"/>
    <cellStyle name="Normal 51 17 4" xfId="13109"/>
    <cellStyle name="Normal 51 17 4 2" xfId="13110"/>
    <cellStyle name="Normal 51 17 4 2 2" xfId="13111"/>
    <cellStyle name="Normal 51 17 4 2_FC with allocations" xfId="29107"/>
    <cellStyle name="Normal 51 17 4 3" xfId="13112"/>
    <cellStyle name="Normal 51 17 4_FC with allocations" xfId="29106"/>
    <cellStyle name="Normal 51 17_FC with allocations" xfId="29099"/>
    <cellStyle name="Normal 51 18" xfId="13113"/>
    <cellStyle name="Normal 51 18 2" xfId="13114"/>
    <cellStyle name="Normal 51 18 2 2" xfId="13115"/>
    <cellStyle name="Normal 51 18 2 2 2" xfId="13116"/>
    <cellStyle name="Normal 51 18 2 2 2 2" xfId="13117"/>
    <cellStyle name="Normal 51 18 2 2 2_FC with allocations" xfId="29111"/>
    <cellStyle name="Normal 51 18 2 2 3" xfId="13118"/>
    <cellStyle name="Normal 51 18 2 2_FC with allocations" xfId="29110"/>
    <cellStyle name="Normal 51 18 2 3" xfId="13119"/>
    <cellStyle name="Normal 51 18 2 3 2" xfId="13120"/>
    <cellStyle name="Normal 51 18 2 3_FC with allocations" xfId="29112"/>
    <cellStyle name="Normal 51 18 2 4" xfId="13121"/>
    <cellStyle name="Normal 51 18 2_FC with allocations" xfId="29109"/>
    <cellStyle name="Normal 51 18 3" xfId="13122"/>
    <cellStyle name="Normal 51 18 3 2" xfId="13123"/>
    <cellStyle name="Normal 51 18 3 2 2" xfId="13124"/>
    <cellStyle name="Normal 51 18 3 2_FC with allocations" xfId="29114"/>
    <cellStyle name="Normal 51 18 3 3" xfId="13125"/>
    <cellStyle name="Normal 51 18 3_FC with allocations" xfId="29113"/>
    <cellStyle name="Normal 51 18 4" xfId="13126"/>
    <cellStyle name="Normal 51 18 4 2" xfId="13127"/>
    <cellStyle name="Normal 51 18 4_FC with allocations" xfId="29115"/>
    <cellStyle name="Normal 51 18 5" xfId="13128"/>
    <cellStyle name="Normal 51 18_FC with allocations" xfId="29108"/>
    <cellStyle name="Normal 51 19" xfId="13129"/>
    <cellStyle name="Normal 51 19 2" xfId="13130"/>
    <cellStyle name="Normal 51 19 2 2" xfId="13131"/>
    <cellStyle name="Normal 51 19 2 2 2" xfId="13132"/>
    <cellStyle name="Normal 51 19 2 2_FC with allocations" xfId="29118"/>
    <cellStyle name="Normal 51 19 2 3" xfId="13133"/>
    <cellStyle name="Normal 51 19 2_FC with allocations" xfId="29117"/>
    <cellStyle name="Normal 51 19 3" xfId="13134"/>
    <cellStyle name="Normal 51 19 3 2" xfId="13135"/>
    <cellStyle name="Normal 51 19 3_FC with allocations" xfId="29119"/>
    <cellStyle name="Normal 51 19 4" xfId="13136"/>
    <cellStyle name="Normal 51 19_FC with allocations" xfId="29116"/>
    <cellStyle name="Normal 51 2" xfId="2231"/>
    <cellStyle name="Normal 51 2 2" xfId="13138"/>
    <cellStyle name="Normal 51 2 2 2" xfId="13139"/>
    <cellStyle name="Normal 51 2 2 2 2" xfId="13140"/>
    <cellStyle name="Normal 51 2 2 2 2 2" xfId="13141"/>
    <cellStyle name="Normal 51 2 2 2 2 2 2" xfId="13142"/>
    <cellStyle name="Normal 51 2 2 2 2 2_FC with allocations" xfId="29124"/>
    <cellStyle name="Normal 51 2 2 2 2 3" xfId="13143"/>
    <cellStyle name="Normal 51 2 2 2 2_FC with allocations" xfId="29123"/>
    <cellStyle name="Normal 51 2 2 2 3" xfId="13144"/>
    <cellStyle name="Normal 51 2 2 2 3 2" xfId="13145"/>
    <cellStyle name="Normal 51 2 2 2 3_FC with allocations" xfId="29125"/>
    <cellStyle name="Normal 51 2 2 2 4" xfId="13146"/>
    <cellStyle name="Normal 51 2 2 2_FC with allocations" xfId="29122"/>
    <cellStyle name="Normal 51 2 2 3" xfId="13147"/>
    <cellStyle name="Normal 51 2 2 3 2" xfId="13148"/>
    <cellStyle name="Normal 51 2 2 3 2 2" xfId="13149"/>
    <cellStyle name="Normal 51 2 2 3 2_FC with allocations" xfId="29127"/>
    <cellStyle name="Normal 51 2 2 3 3" xfId="13150"/>
    <cellStyle name="Normal 51 2 2 3_FC with allocations" xfId="29126"/>
    <cellStyle name="Normal 51 2 2 4" xfId="13151"/>
    <cellStyle name="Normal 51 2 2 4 2" xfId="13152"/>
    <cellStyle name="Normal 51 2 2 4_FC with allocations" xfId="29128"/>
    <cellStyle name="Normal 51 2 2 5" xfId="13153"/>
    <cellStyle name="Normal 51 2 2_FC with allocations" xfId="29121"/>
    <cellStyle name="Normal 51 2 3" xfId="13154"/>
    <cellStyle name="Normal 51 2 3 2" xfId="13155"/>
    <cellStyle name="Normal 51 2 3 2 2" xfId="13156"/>
    <cellStyle name="Normal 51 2 3 2 2 2" xfId="13157"/>
    <cellStyle name="Normal 51 2 3 2 2 2 2" xfId="13158"/>
    <cellStyle name="Normal 51 2 3 2 2 2_FC with allocations" xfId="29132"/>
    <cellStyle name="Normal 51 2 3 2 2 3" xfId="13159"/>
    <cellStyle name="Normal 51 2 3 2 2_FC with allocations" xfId="29131"/>
    <cellStyle name="Normal 51 2 3 2 3" xfId="13160"/>
    <cellStyle name="Normal 51 2 3 2 3 2" xfId="13161"/>
    <cellStyle name="Normal 51 2 3 2 3_FC with allocations" xfId="29133"/>
    <cellStyle name="Normal 51 2 3 2 4" xfId="13162"/>
    <cellStyle name="Normal 51 2 3 2_FC with allocations" xfId="29130"/>
    <cellStyle name="Normal 51 2 3 3" xfId="13163"/>
    <cellStyle name="Normal 51 2 3 3 2" xfId="13164"/>
    <cellStyle name="Normal 51 2 3 3 2 2" xfId="13165"/>
    <cellStyle name="Normal 51 2 3 3 2_FC with allocations" xfId="29135"/>
    <cellStyle name="Normal 51 2 3 3 3" xfId="13166"/>
    <cellStyle name="Normal 51 2 3 3_FC with allocations" xfId="29134"/>
    <cellStyle name="Normal 51 2 3 4" xfId="13167"/>
    <cellStyle name="Normal 51 2 3 4 2" xfId="13168"/>
    <cellStyle name="Normal 51 2 3 4_FC with allocations" xfId="29136"/>
    <cellStyle name="Normal 51 2 3 5" xfId="13169"/>
    <cellStyle name="Normal 51 2 3_FC with allocations" xfId="29129"/>
    <cellStyle name="Normal 51 2 4" xfId="13170"/>
    <cellStyle name="Normal 51 2 4 2" xfId="13171"/>
    <cellStyle name="Normal 51 2 4 2 2" xfId="13172"/>
    <cellStyle name="Normal 51 2 4 2 2 2" xfId="13173"/>
    <cellStyle name="Normal 51 2 4 2 2_FC with allocations" xfId="29139"/>
    <cellStyle name="Normal 51 2 4 2 3" xfId="13174"/>
    <cellStyle name="Normal 51 2 4 2_FC with allocations" xfId="29138"/>
    <cellStyle name="Normal 51 2 4 3" xfId="13175"/>
    <cellStyle name="Normal 51 2 4 3 2" xfId="13176"/>
    <cellStyle name="Normal 51 2 4 3_FC with allocations" xfId="29140"/>
    <cellStyle name="Normal 51 2 4 4" xfId="13177"/>
    <cellStyle name="Normal 51 2 4_FC with allocations" xfId="29137"/>
    <cellStyle name="Normal 51 2 5" xfId="13178"/>
    <cellStyle name="Normal 51 2 5 2" xfId="13179"/>
    <cellStyle name="Normal 51 2 5 2 2" xfId="13180"/>
    <cellStyle name="Normal 51 2 5 2_FC with allocations" xfId="29142"/>
    <cellStyle name="Normal 51 2 5 3" xfId="13181"/>
    <cellStyle name="Normal 51 2 5_FC with allocations" xfId="29141"/>
    <cellStyle name="Normal 51 2 6" xfId="13182"/>
    <cellStyle name="Normal 51 2 6 2" xfId="13183"/>
    <cellStyle name="Normal 51 2 6 2 2" xfId="13184"/>
    <cellStyle name="Normal 51 2 6 2_FC with allocations" xfId="29144"/>
    <cellStyle name="Normal 51 2 6 3" xfId="13185"/>
    <cellStyle name="Normal 51 2 6_FC with allocations" xfId="29143"/>
    <cellStyle name="Normal 51 2 7" xfId="13186"/>
    <cellStyle name="Normal 51 2 7 2" xfId="13187"/>
    <cellStyle name="Normal 51 2 7_FC with allocations" xfId="29145"/>
    <cellStyle name="Normal 51 2 8" xfId="13188"/>
    <cellStyle name="Normal 51 2 9" xfId="13137"/>
    <cellStyle name="Normal 51 2_FC with allocations" xfId="29120"/>
    <cellStyle name="Normal 51 20" xfId="13189"/>
    <cellStyle name="Normal 51 20 2" xfId="13190"/>
    <cellStyle name="Normal 51 20 2 2" xfId="13191"/>
    <cellStyle name="Normal 51 20 2_FC with allocations" xfId="29147"/>
    <cellStyle name="Normal 51 20 3" xfId="13192"/>
    <cellStyle name="Normal 51 20_FC with allocations" xfId="29146"/>
    <cellStyle name="Normal 51 21" xfId="13193"/>
    <cellStyle name="Normal 51 21 2" xfId="13194"/>
    <cellStyle name="Normal 51 21 2 2" xfId="13195"/>
    <cellStyle name="Normal 51 21 2_FC with allocations" xfId="29149"/>
    <cellStyle name="Normal 51 21 3" xfId="13196"/>
    <cellStyle name="Normal 51 21_FC with allocations" xfId="29148"/>
    <cellStyle name="Normal 51 22" xfId="13197"/>
    <cellStyle name="Normal 51 22 2" xfId="13198"/>
    <cellStyle name="Normal 51 22_FC with allocations" xfId="29150"/>
    <cellStyle name="Normal 51 23" xfId="13199"/>
    <cellStyle name="Normal 51 24" xfId="12767"/>
    <cellStyle name="Normal 51 3" xfId="13200"/>
    <cellStyle name="Normal 51 3 2" xfId="13201"/>
    <cellStyle name="Normal 51 3 2 2" xfId="13202"/>
    <cellStyle name="Normal 51 3 2 2 2" xfId="13203"/>
    <cellStyle name="Normal 51 3 2 2 2 2" xfId="13204"/>
    <cellStyle name="Normal 51 3 2 2 2 2 2" xfId="13205"/>
    <cellStyle name="Normal 51 3 2 2 2 2_FC with allocations" xfId="29155"/>
    <cellStyle name="Normal 51 3 2 2 2 3" xfId="13206"/>
    <cellStyle name="Normal 51 3 2 2 2_FC with allocations" xfId="29154"/>
    <cellStyle name="Normal 51 3 2 2 3" xfId="13207"/>
    <cellStyle name="Normal 51 3 2 2 3 2" xfId="13208"/>
    <cellStyle name="Normal 51 3 2 2 3_FC with allocations" xfId="29156"/>
    <cellStyle name="Normal 51 3 2 2 4" xfId="13209"/>
    <cellStyle name="Normal 51 3 2 2_FC with allocations" xfId="29153"/>
    <cellStyle name="Normal 51 3 2 3" xfId="13210"/>
    <cellStyle name="Normal 51 3 2 3 2" xfId="13211"/>
    <cellStyle name="Normal 51 3 2 3 2 2" xfId="13212"/>
    <cellStyle name="Normal 51 3 2 3 2_FC with allocations" xfId="29158"/>
    <cellStyle name="Normal 51 3 2 3 3" xfId="13213"/>
    <cellStyle name="Normal 51 3 2 3_FC with allocations" xfId="29157"/>
    <cellStyle name="Normal 51 3 2 4" xfId="13214"/>
    <cellStyle name="Normal 51 3 2 4 2" xfId="13215"/>
    <cellStyle name="Normal 51 3 2 4_FC with allocations" xfId="29159"/>
    <cellStyle name="Normal 51 3 2 5" xfId="13216"/>
    <cellStyle name="Normal 51 3 2_FC with allocations" xfId="29152"/>
    <cellStyle name="Normal 51 3 3" xfId="13217"/>
    <cellStyle name="Normal 51 3 3 2" xfId="13218"/>
    <cellStyle name="Normal 51 3 3 2 2" xfId="13219"/>
    <cellStyle name="Normal 51 3 3 2 2 2" xfId="13220"/>
    <cellStyle name="Normal 51 3 3 2 2 2 2" xfId="13221"/>
    <cellStyle name="Normal 51 3 3 2 2 2_FC with allocations" xfId="29163"/>
    <cellStyle name="Normal 51 3 3 2 2 3" xfId="13222"/>
    <cellStyle name="Normal 51 3 3 2 2_FC with allocations" xfId="29162"/>
    <cellStyle name="Normal 51 3 3 2 3" xfId="13223"/>
    <cellStyle name="Normal 51 3 3 2 3 2" xfId="13224"/>
    <cellStyle name="Normal 51 3 3 2 3_FC with allocations" xfId="29164"/>
    <cellStyle name="Normal 51 3 3 2 4" xfId="13225"/>
    <cellStyle name="Normal 51 3 3 2_FC with allocations" xfId="29161"/>
    <cellStyle name="Normal 51 3 3 3" xfId="13226"/>
    <cellStyle name="Normal 51 3 3 3 2" xfId="13227"/>
    <cellStyle name="Normal 51 3 3 3 2 2" xfId="13228"/>
    <cellStyle name="Normal 51 3 3 3 2_FC with allocations" xfId="29166"/>
    <cellStyle name="Normal 51 3 3 3 3" xfId="13229"/>
    <cellStyle name="Normal 51 3 3 3_FC with allocations" xfId="29165"/>
    <cellStyle name="Normal 51 3 3 4" xfId="13230"/>
    <cellStyle name="Normal 51 3 3 4 2" xfId="13231"/>
    <cellStyle name="Normal 51 3 3 4_FC with allocations" xfId="29167"/>
    <cellStyle name="Normal 51 3 3 5" xfId="13232"/>
    <cellStyle name="Normal 51 3 3_FC with allocations" xfId="29160"/>
    <cellStyle name="Normal 51 3 4" xfId="13233"/>
    <cellStyle name="Normal 51 3 4 2" xfId="13234"/>
    <cellStyle name="Normal 51 3 4 2 2" xfId="13235"/>
    <cellStyle name="Normal 51 3 4 2 2 2" xfId="13236"/>
    <cellStyle name="Normal 51 3 4 2 2_FC with allocations" xfId="29170"/>
    <cellStyle name="Normal 51 3 4 2 3" xfId="13237"/>
    <cellStyle name="Normal 51 3 4 2_FC with allocations" xfId="29169"/>
    <cellStyle name="Normal 51 3 4 3" xfId="13238"/>
    <cellStyle name="Normal 51 3 4 3 2" xfId="13239"/>
    <cellStyle name="Normal 51 3 4 3_FC with allocations" xfId="29171"/>
    <cellStyle name="Normal 51 3 4 4" xfId="13240"/>
    <cellStyle name="Normal 51 3 4_FC with allocations" xfId="29168"/>
    <cellStyle name="Normal 51 3 5" xfId="13241"/>
    <cellStyle name="Normal 51 3 5 2" xfId="13242"/>
    <cellStyle name="Normal 51 3 5 2 2" xfId="13243"/>
    <cellStyle name="Normal 51 3 5 2_FC with allocations" xfId="29173"/>
    <cellStyle name="Normal 51 3 5 3" xfId="13244"/>
    <cellStyle name="Normal 51 3 5_FC with allocations" xfId="29172"/>
    <cellStyle name="Normal 51 3 6" xfId="13245"/>
    <cellStyle name="Normal 51 3 6 2" xfId="13246"/>
    <cellStyle name="Normal 51 3 6 2 2" xfId="13247"/>
    <cellStyle name="Normal 51 3 6 2_FC with allocations" xfId="29175"/>
    <cellStyle name="Normal 51 3 6 3" xfId="13248"/>
    <cellStyle name="Normal 51 3 6_FC with allocations" xfId="29174"/>
    <cellStyle name="Normal 51 3 7" xfId="13249"/>
    <cellStyle name="Normal 51 3 7 2" xfId="13250"/>
    <cellStyle name="Normal 51 3 7_FC with allocations" xfId="29176"/>
    <cellStyle name="Normal 51 3 8" xfId="13251"/>
    <cellStyle name="Normal 51 3_FC with allocations" xfId="29151"/>
    <cellStyle name="Normal 51 4" xfId="13252"/>
    <cellStyle name="Normal 51 4 2" xfId="13253"/>
    <cellStyle name="Normal 51 4 2 2" xfId="13254"/>
    <cellStyle name="Normal 51 4 2 2 2" xfId="13255"/>
    <cellStyle name="Normal 51 4 2 2 2 2" xfId="13256"/>
    <cellStyle name="Normal 51 4 2 2 2 2 2" xfId="13257"/>
    <cellStyle name="Normal 51 4 2 2 2 2_FC with allocations" xfId="29181"/>
    <cellStyle name="Normal 51 4 2 2 2 3" xfId="13258"/>
    <cellStyle name="Normal 51 4 2 2 2_FC with allocations" xfId="29180"/>
    <cellStyle name="Normal 51 4 2 2 3" xfId="13259"/>
    <cellStyle name="Normal 51 4 2 2 3 2" xfId="13260"/>
    <cellStyle name="Normal 51 4 2 2 3_FC with allocations" xfId="29182"/>
    <cellStyle name="Normal 51 4 2 2 4" xfId="13261"/>
    <cellStyle name="Normal 51 4 2 2_FC with allocations" xfId="29179"/>
    <cellStyle name="Normal 51 4 2 3" xfId="13262"/>
    <cellStyle name="Normal 51 4 2 3 2" xfId="13263"/>
    <cellStyle name="Normal 51 4 2 3 2 2" xfId="13264"/>
    <cellStyle name="Normal 51 4 2 3 2_FC with allocations" xfId="29184"/>
    <cellStyle name="Normal 51 4 2 3 3" xfId="13265"/>
    <cellStyle name="Normal 51 4 2 3_FC with allocations" xfId="29183"/>
    <cellStyle name="Normal 51 4 2 4" xfId="13266"/>
    <cellStyle name="Normal 51 4 2 4 2" xfId="13267"/>
    <cellStyle name="Normal 51 4 2 4_FC with allocations" xfId="29185"/>
    <cellStyle name="Normal 51 4 2 5" xfId="13268"/>
    <cellStyle name="Normal 51 4 2_FC with allocations" xfId="29178"/>
    <cellStyle name="Normal 51 4 3" xfId="13269"/>
    <cellStyle name="Normal 51 4 3 2" xfId="13270"/>
    <cellStyle name="Normal 51 4 3 2 2" xfId="13271"/>
    <cellStyle name="Normal 51 4 3 2 2 2" xfId="13272"/>
    <cellStyle name="Normal 51 4 3 2 2 2 2" xfId="13273"/>
    <cellStyle name="Normal 51 4 3 2 2 2_FC with allocations" xfId="29189"/>
    <cellStyle name="Normal 51 4 3 2 2 3" xfId="13274"/>
    <cellStyle name="Normal 51 4 3 2 2_FC with allocations" xfId="29188"/>
    <cellStyle name="Normal 51 4 3 2 3" xfId="13275"/>
    <cellStyle name="Normal 51 4 3 2 3 2" xfId="13276"/>
    <cellStyle name="Normal 51 4 3 2 3_FC with allocations" xfId="29190"/>
    <cellStyle name="Normal 51 4 3 2 4" xfId="13277"/>
    <cellStyle name="Normal 51 4 3 2_FC with allocations" xfId="29187"/>
    <cellStyle name="Normal 51 4 3 3" xfId="13278"/>
    <cellStyle name="Normal 51 4 3 3 2" xfId="13279"/>
    <cellStyle name="Normal 51 4 3 3 2 2" xfId="13280"/>
    <cellStyle name="Normal 51 4 3 3 2_FC with allocations" xfId="29192"/>
    <cellStyle name="Normal 51 4 3 3 3" xfId="13281"/>
    <cellStyle name="Normal 51 4 3 3_FC with allocations" xfId="29191"/>
    <cellStyle name="Normal 51 4 3 4" xfId="13282"/>
    <cellStyle name="Normal 51 4 3 4 2" xfId="13283"/>
    <cellStyle name="Normal 51 4 3 4_FC with allocations" xfId="29193"/>
    <cellStyle name="Normal 51 4 3 5" xfId="13284"/>
    <cellStyle name="Normal 51 4 3_FC with allocations" xfId="29186"/>
    <cellStyle name="Normal 51 4 4" xfId="13285"/>
    <cellStyle name="Normal 51 4 4 2" xfId="13286"/>
    <cellStyle name="Normal 51 4 4 2 2" xfId="13287"/>
    <cellStyle name="Normal 51 4 4 2 2 2" xfId="13288"/>
    <cellStyle name="Normal 51 4 4 2 2_FC with allocations" xfId="29196"/>
    <cellStyle name="Normal 51 4 4 2 3" xfId="13289"/>
    <cellStyle name="Normal 51 4 4 2_FC with allocations" xfId="29195"/>
    <cellStyle name="Normal 51 4 4 3" xfId="13290"/>
    <cellStyle name="Normal 51 4 4 3 2" xfId="13291"/>
    <cellStyle name="Normal 51 4 4 3_FC with allocations" xfId="29197"/>
    <cellStyle name="Normal 51 4 4 4" xfId="13292"/>
    <cellStyle name="Normal 51 4 4_FC with allocations" xfId="29194"/>
    <cellStyle name="Normal 51 4 5" xfId="13293"/>
    <cellStyle name="Normal 51 4 5 2" xfId="13294"/>
    <cellStyle name="Normal 51 4 5 2 2" xfId="13295"/>
    <cellStyle name="Normal 51 4 5 2_FC with allocations" xfId="29199"/>
    <cellStyle name="Normal 51 4 5 3" xfId="13296"/>
    <cellStyle name="Normal 51 4 5_FC with allocations" xfId="29198"/>
    <cellStyle name="Normal 51 4 6" xfId="13297"/>
    <cellStyle name="Normal 51 4 6 2" xfId="13298"/>
    <cellStyle name="Normal 51 4 6 2 2" xfId="13299"/>
    <cellStyle name="Normal 51 4 6 2_FC with allocations" xfId="29201"/>
    <cellStyle name="Normal 51 4 6 3" xfId="13300"/>
    <cellStyle name="Normal 51 4 6_FC with allocations" xfId="29200"/>
    <cellStyle name="Normal 51 4 7" xfId="13301"/>
    <cellStyle name="Normal 51 4 7 2" xfId="13302"/>
    <cellStyle name="Normal 51 4 7_FC with allocations" xfId="29202"/>
    <cellStyle name="Normal 51 4 8" xfId="13303"/>
    <cellStyle name="Normal 51 4_FC with allocations" xfId="29177"/>
    <cellStyle name="Normal 51 5" xfId="13304"/>
    <cellStyle name="Normal 51 5 2" xfId="13305"/>
    <cellStyle name="Normal 51 5 2 2" xfId="13306"/>
    <cellStyle name="Normal 51 5 2 2 2" xfId="13307"/>
    <cellStyle name="Normal 51 5 2 2 2 2" xfId="13308"/>
    <cellStyle name="Normal 51 5 2 2 2 2 2" xfId="13309"/>
    <cellStyle name="Normal 51 5 2 2 2 2_FC with allocations" xfId="29207"/>
    <cellStyle name="Normal 51 5 2 2 2 3" xfId="13310"/>
    <cellStyle name="Normal 51 5 2 2 2_FC with allocations" xfId="29206"/>
    <cellStyle name="Normal 51 5 2 2 3" xfId="13311"/>
    <cellStyle name="Normal 51 5 2 2 3 2" xfId="13312"/>
    <cellStyle name="Normal 51 5 2 2 3_FC with allocations" xfId="29208"/>
    <cellStyle name="Normal 51 5 2 2 4" xfId="13313"/>
    <cellStyle name="Normal 51 5 2 2_FC with allocations" xfId="29205"/>
    <cellStyle name="Normal 51 5 2 3" xfId="13314"/>
    <cellStyle name="Normal 51 5 2 3 2" xfId="13315"/>
    <cellStyle name="Normal 51 5 2 3 2 2" xfId="13316"/>
    <cellStyle name="Normal 51 5 2 3 2_FC with allocations" xfId="29210"/>
    <cellStyle name="Normal 51 5 2 3 3" xfId="13317"/>
    <cellStyle name="Normal 51 5 2 3_FC with allocations" xfId="29209"/>
    <cellStyle name="Normal 51 5 2 4" xfId="13318"/>
    <cellStyle name="Normal 51 5 2 4 2" xfId="13319"/>
    <cellStyle name="Normal 51 5 2 4_FC with allocations" xfId="29211"/>
    <cellStyle name="Normal 51 5 2 5" xfId="13320"/>
    <cellStyle name="Normal 51 5 2_FC with allocations" xfId="29204"/>
    <cellStyle name="Normal 51 5 3" xfId="13321"/>
    <cellStyle name="Normal 51 5 3 2" xfId="13322"/>
    <cellStyle name="Normal 51 5 3 2 2" xfId="13323"/>
    <cellStyle name="Normal 51 5 3 2 2 2" xfId="13324"/>
    <cellStyle name="Normal 51 5 3 2 2 2 2" xfId="13325"/>
    <cellStyle name="Normal 51 5 3 2 2 2_FC with allocations" xfId="29215"/>
    <cellStyle name="Normal 51 5 3 2 2 3" xfId="13326"/>
    <cellStyle name="Normal 51 5 3 2 2_FC with allocations" xfId="29214"/>
    <cellStyle name="Normal 51 5 3 2 3" xfId="13327"/>
    <cellStyle name="Normal 51 5 3 2 3 2" xfId="13328"/>
    <cellStyle name="Normal 51 5 3 2 3_FC with allocations" xfId="29216"/>
    <cellStyle name="Normal 51 5 3 2 4" xfId="13329"/>
    <cellStyle name="Normal 51 5 3 2_FC with allocations" xfId="29213"/>
    <cellStyle name="Normal 51 5 3 3" xfId="13330"/>
    <cellStyle name="Normal 51 5 3 3 2" xfId="13331"/>
    <cellStyle name="Normal 51 5 3 3 2 2" xfId="13332"/>
    <cellStyle name="Normal 51 5 3 3 2_FC with allocations" xfId="29218"/>
    <cellStyle name="Normal 51 5 3 3 3" xfId="13333"/>
    <cellStyle name="Normal 51 5 3 3_FC with allocations" xfId="29217"/>
    <cellStyle name="Normal 51 5 3 4" xfId="13334"/>
    <cellStyle name="Normal 51 5 3 4 2" xfId="13335"/>
    <cellStyle name="Normal 51 5 3 4_FC with allocations" xfId="29219"/>
    <cellStyle name="Normal 51 5 3 5" xfId="13336"/>
    <cellStyle name="Normal 51 5 3_FC with allocations" xfId="29212"/>
    <cellStyle name="Normal 51 5 4" xfId="13337"/>
    <cellStyle name="Normal 51 5 4 2" xfId="13338"/>
    <cellStyle name="Normal 51 5 4 2 2" xfId="13339"/>
    <cellStyle name="Normal 51 5 4 2 2 2" xfId="13340"/>
    <cellStyle name="Normal 51 5 4 2 2_FC with allocations" xfId="29222"/>
    <cellStyle name="Normal 51 5 4 2 3" xfId="13341"/>
    <cellStyle name="Normal 51 5 4 2_FC with allocations" xfId="29221"/>
    <cellStyle name="Normal 51 5 4 3" xfId="13342"/>
    <cellStyle name="Normal 51 5 4 3 2" xfId="13343"/>
    <cellStyle name="Normal 51 5 4 3_FC with allocations" xfId="29223"/>
    <cellStyle name="Normal 51 5 4 4" xfId="13344"/>
    <cellStyle name="Normal 51 5 4_FC with allocations" xfId="29220"/>
    <cellStyle name="Normal 51 5 5" xfId="13345"/>
    <cellStyle name="Normal 51 5 5 2" xfId="13346"/>
    <cellStyle name="Normal 51 5 5 2 2" xfId="13347"/>
    <cellStyle name="Normal 51 5 5 2_FC with allocations" xfId="29225"/>
    <cellStyle name="Normal 51 5 5 3" xfId="13348"/>
    <cellStyle name="Normal 51 5 5_FC with allocations" xfId="29224"/>
    <cellStyle name="Normal 51 5 6" xfId="13349"/>
    <cellStyle name="Normal 51 5 6 2" xfId="13350"/>
    <cellStyle name="Normal 51 5 6 2 2" xfId="13351"/>
    <cellStyle name="Normal 51 5 6 2_FC with allocations" xfId="29227"/>
    <cellStyle name="Normal 51 5 6 3" xfId="13352"/>
    <cellStyle name="Normal 51 5 6_FC with allocations" xfId="29226"/>
    <cellStyle name="Normal 51 5 7" xfId="13353"/>
    <cellStyle name="Normal 51 5 7 2" xfId="13354"/>
    <cellStyle name="Normal 51 5 7_FC with allocations" xfId="29228"/>
    <cellStyle name="Normal 51 5 8" xfId="13355"/>
    <cellStyle name="Normal 51 5_FC with allocations" xfId="29203"/>
    <cellStyle name="Normal 51 6" xfId="13356"/>
    <cellStyle name="Normal 51 6 2" xfId="13357"/>
    <cellStyle name="Normal 51 6 2 2" xfId="13358"/>
    <cellStyle name="Normal 51 6 2 2 2" xfId="13359"/>
    <cellStyle name="Normal 51 6 2 2 2 2" xfId="13360"/>
    <cellStyle name="Normal 51 6 2 2 2 2 2" xfId="13361"/>
    <cellStyle name="Normal 51 6 2 2 2 2_FC with allocations" xfId="29233"/>
    <cellStyle name="Normal 51 6 2 2 2 3" xfId="13362"/>
    <cellStyle name="Normal 51 6 2 2 2_FC with allocations" xfId="29232"/>
    <cellStyle name="Normal 51 6 2 2 3" xfId="13363"/>
    <cellStyle name="Normal 51 6 2 2 3 2" xfId="13364"/>
    <cellStyle name="Normal 51 6 2 2 3_FC with allocations" xfId="29234"/>
    <cellStyle name="Normal 51 6 2 2 4" xfId="13365"/>
    <cellStyle name="Normal 51 6 2 2_FC with allocations" xfId="29231"/>
    <cellStyle name="Normal 51 6 2 3" xfId="13366"/>
    <cellStyle name="Normal 51 6 2 3 2" xfId="13367"/>
    <cellStyle name="Normal 51 6 2 3 2 2" xfId="13368"/>
    <cellStyle name="Normal 51 6 2 3 2_FC with allocations" xfId="29236"/>
    <cellStyle name="Normal 51 6 2 3 3" xfId="13369"/>
    <cellStyle name="Normal 51 6 2 3_FC with allocations" xfId="29235"/>
    <cellStyle name="Normal 51 6 2 4" xfId="13370"/>
    <cellStyle name="Normal 51 6 2 4 2" xfId="13371"/>
    <cellStyle name="Normal 51 6 2 4_FC with allocations" xfId="29237"/>
    <cellStyle name="Normal 51 6 2 5" xfId="13372"/>
    <cellStyle name="Normal 51 6 2_FC with allocations" xfId="29230"/>
    <cellStyle name="Normal 51 6 3" xfId="13373"/>
    <cellStyle name="Normal 51 6 3 2" xfId="13374"/>
    <cellStyle name="Normal 51 6 3 2 2" xfId="13375"/>
    <cellStyle name="Normal 51 6 3 2 2 2" xfId="13376"/>
    <cellStyle name="Normal 51 6 3 2 2 2 2" xfId="13377"/>
    <cellStyle name="Normal 51 6 3 2 2 2_FC with allocations" xfId="29241"/>
    <cellStyle name="Normal 51 6 3 2 2 3" xfId="13378"/>
    <cellStyle name="Normal 51 6 3 2 2_FC with allocations" xfId="29240"/>
    <cellStyle name="Normal 51 6 3 2 3" xfId="13379"/>
    <cellStyle name="Normal 51 6 3 2 3 2" xfId="13380"/>
    <cellStyle name="Normal 51 6 3 2 3_FC with allocations" xfId="29242"/>
    <cellStyle name="Normal 51 6 3 2 4" xfId="13381"/>
    <cellStyle name="Normal 51 6 3 2_FC with allocations" xfId="29239"/>
    <cellStyle name="Normal 51 6 3 3" xfId="13382"/>
    <cellStyle name="Normal 51 6 3 3 2" xfId="13383"/>
    <cellStyle name="Normal 51 6 3 3 2 2" xfId="13384"/>
    <cellStyle name="Normal 51 6 3 3 2_FC with allocations" xfId="29244"/>
    <cellStyle name="Normal 51 6 3 3 3" xfId="13385"/>
    <cellStyle name="Normal 51 6 3 3_FC with allocations" xfId="29243"/>
    <cellStyle name="Normal 51 6 3 4" xfId="13386"/>
    <cellStyle name="Normal 51 6 3 4 2" xfId="13387"/>
    <cellStyle name="Normal 51 6 3 4_FC with allocations" xfId="29245"/>
    <cellStyle name="Normal 51 6 3 5" xfId="13388"/>
    <cellStyle name="Normal 51 6 3_FC with allocations" xfId="29238"/>
    <cellStyle name="Normal 51 6 4" xfId="13389"/>
    <cellStyle name="Normal 51 6 4 2" xfId="13390"/>
    <cellStyle name="Normal 51 6 4 2 2" xfId="13391"/>
    <cellStyle name="Normal 51 6 4 2 2 2" xfId="13392"/>
    <cellStyle name="Normal 51 6 4 2 2_FC with allocations" xfId="29248"/>
    <cellStyle name="Normal 51 6 4 2 3" xfId="13393"/>
    <cellStyle name="Normal 51 6 4 2_FC with allocations" xfId="29247"/>
    <cellStyle name="Normal 51 6 4 3" xfId="13394"/>
    <cellStyle name="Normal 51 6 4 3 2" xfId="13395"/>
    <cellStyle name="Normal 51 6 4 3_FC with allocations" xfId="29249"/>
    <cellStyle name="Normal 51 6 4 4" xfId="13396"/>
    <cellStyle name="Normal 51 6 4_FC with allocations" xfId="29246"/>
    <cellStyle name="Normal 51 6 5" xfId="13397"/>
    <cellStyle name="Normal 51 6 5 2" xfId="13398"/>
    <cellStyle name="Normal 51 6 5 2 2" xfId="13399"/>
    <cellStyle name="Normal 51 6 5 2_FC with allocations" xfId="29251"/>
    <cellStyle name="Normal 51 6 5 3" xfId="13400"/>
    <cellStyle name="Normal 51 6 5_FC with allocations" xfId="29250"/>
    <cellStyle name="Normal 51 6 6" xfId="13401"/>
    <cellStyle name="Normal 51 6 6 2" xfId="13402"/>
    <cellStyle name="Normal 51 6 6 2 2" xfId="13403"/>
    <cellStyle name="Normal 51 6 6 2_FC with allocations" xfId="29253"/>
    <cellStyle name="Normal 51 6 6 3" xfId="13404"/>
    <cellStyle name="Normal 51 6 6_FC with allocations" xfId="29252"/>
    <cellStyle name="Normal 51 6 7" xfId="13405"/>
    <cellStyle name="Normal 51 6 7 2" xfId="13406"/>
    <cellStyle name="Normal 51 6 7_FC with allocations" xfId="29254"/>
    <cellStyle name="Normal 51 6 8" xfId="13407"/>
    <cellStyle name="Normal 51 6_FC with allocations" xfId="29229"/>
    <cellStyle name="Normal 51 7" xfId="13408"/>
    <cellStyle name="Normal 51 7 2" xfId="13409"/>
    <cellStyle name="Normal 51 7 2 2" xfId="13410"/>
    <cellStyle name="Normal 51 7 2 2 2" xfId="13411"/>
    <cellStyle name="Normal 51 7 2 2 2 2" xfId="13412"/>
    <cellStyle name="Normal 51 7 2 2 2 2 2" xfId="13413"/>
    <cellStyle name="Normal 51 7 2 2 2 2_FC with allocations" xfId="29259"/>
    <cellStyle name="Normal 51 7 2 2 2 3" xfId="13414"/>
    <cellStyle name="Normal 51 7 2 2 2_FC with allocations" xfId="29258"/>
    <cellStyle name="Normal 51 7 2 2 3" xfId="13415"/>
    <cellStyle name="Normal 51 7 2 2 3 2" xfId="13416"/>
    <cellStyle name="Normal 51 7 2 2 3_FC with allocations" xfId="29260"/>
    <cellStyle name="Normal 51 7 2 2 4" xfId="13417"/>
    <cellStyle name="Normal 51 7 2 2_FC with allocations" xfId="29257"/>
    <cellStyle name="Normal 51 7 2 3" xfId="13418"/>
    <cellStyle name="Normal 51 7 2 3 2" xfId="13419"/>
    <cellStyle name="Normal 51 7 2 3 2 2" xfId="13420"/>
    <cellStyle name="Normal 51 7 2 3 2_FC with allocations" xfId="29262"/>
    <cellStyle name="Normal 51 7 2 3 3" xfId="13421"/>
    <cellStyle name="Normal 51 7 2 3_FC with allocations" xfId="29261"/>
    <cellStyle name="Normal 51 7 2 4" xfId="13422"/>
    <cellStyle name="Normal 51 7 2 4 2" xfId="13423"/>
    <cellStyle name="Normal 51 7 2 4_FC with allocations" xfId="29263"/>
    <cellStyle name="Normal 51 7 2 5" xfId="13424"/>
    <cellStyle name="Normal 51 7 2_FC with allocations" xfId="29256"/>
    <cellStyle name="Normal 51 7 3" xfId="13425"/>
    <cellStyle name="Normal 51 7 3 2" xfId="13426"/>
    <cellStyle name="Normal 51 7 3 2 2" xfId="13427"/>
    <cellStyle name="Normal 51 7 3 2 2 2" xfId="13428"/>
    <cellStyle name="Normal 51 7 3 2 2 2 2" xfId="13429"/>
    <cellStyle name="Normal 51 7 3 2 2 2_FC with allocations" xfId="29267"/>
    <cellStyle name="Normal 51 7 3 2 2 3" xfId="13430"/>
    <cellStyle name="Normal 51 7 3 2 2_FC with allocations" xfId="29266"/>
    <cellStyle name="Normal 51 7 3 2 3" xfId="13431"/>
    <cellStyle name="Normal 51 7 3 2 3 2" xfId="13432"/>
    <cellStyle name="Normal 51 7 3 2 3_FC with allocations" xfId="29268"/>
    <cellStyle name="Normal 51 7 3 2 4" xfId="13433"/>
    <cellStyle name="Normal 51 7 3 2_FC with allocations" xfId="29265"/>
    <cellStyle name="Normal 51 7 3 3" xfId="13434"/>
    <cellStyle name="Normal 51 7 3 3 2" xfId="13435"/>
    <cellStyle name="Normal 51 7 3 3 2 2" xfId="13436"/>
    <cellStyle name="Normal 51 7 3 3 2_FC with allocations" xfId="29270"/>
    <cellStyle name="Normal 51 7 3 3 3" xfId="13437"/>
    <cellStyle name="Normal 51 7 3 3_FC with allocations" xfId="29269"/>
    <cellStyle name="Normal 51 7 3 4" xfId="13438"/>
    <cellStyle name="Normal 51 7 3 4 2" xfId="13439"/>
    <cellStyle name="Normal 51 7 3 4_FC with allocations" xfId="29271"/>
    <cellStyle name="Normal 51 7 3 5" xfId="13440"/>
    <cellStyle name="Normal 51 7 3_FC with allocations" xfId="29264"/>
    <cellStyle name="Normal 51 7 4" xfId="13441"/>
    <cellStyle name="Normal 51 7 4 2" xfId="13442"/>
    <cellStyle name="Normal 51 7 4 2 2" xfId="13443"/>
    <cellStyle name="Normal 51 7 4 2 2 2" xfId="13444"/>
    <cellStyle name="Normal 51 7 4 2 2_FC with allocations" xfId="29274"/>
    <cellStyle name="Normal 51 7 4 2 3" xfId="13445"/>
    <cellStyle name="Normal 51 7 4 2_FC with allocations" xfId="29273"/>
    <cellStyle name="Normal 51 7 4 3" xfId="13446"/>
    <cellStyle name="Normal 51 7 4 3 2" xfId="13447"/>
    <cellStyle name="Normal 51 7 4 3_FC with allocations" xfId="29275"/>
    <cellStyle name="Normal 51 7 4 4" xfId="13448"/>
    <cellStyle name="Normal 51 7 4_FC with allocations" xfId="29272"/>
    <cellStyle name="Normal 51 7 5" xfId="13449"/>
    <cellStyle name="Normal 51 7 5 2" xfId="13450"/>
    <cellStyle name="Normal 51 7 5 2 2" xfId="13451"/>
    <cellStyle name="Normal 51 7 5 2_FC with allocations" xfId="29277"/>
    <cellStyle name="Normal 51 7 5 3" xfId="13452"/>
    <cellStyle name="Normal 51 7 5_FC with allocations" xfId="29276"/>
    <cellStyle name="Normal 51 7 6" xfId="13453"/>
    <cellStyle name="Normal 51 7 6 2" xfId="13454"/>
    <cellStyle name="Normal 51 7 6 2 2" xfId="13455"/>
    <cellStyle name="Normal 51 7 6 2_FC with allocations" xfId="29279"/>
    <cellStyle name="Normal 51 7 6 3" xfId="13456"/>
    <cellStyle name="Normal 51 7 6_FC with allocations" xfId="29278"/>
    <cellStyle name="Normal 51 7 7" xfId="13457"/>
    <cellStyle name="Normal 51 7 7 2" xfId="13458"/>
    <cellStyle name="Normal 51 7 7_FC with allocations" xfId="29280"/>
    <cellStyle name="Normal 51 7 8" xfId="13459"/>
    <cellStyle name="Normal 51 7_FC with allocations" xfId="29255"/>
    <cellStyle name="Normal 51 8" xfId="13460"/>
    <cellStyle name="Normal 51 8 2" xfId="13461"/>
    <cellStyle name="Normal 51 8 2 2" xfId="13462"/>
    <cellStyle name="Normal 51 8 2 2 2" xfId="13463"/>
    <cellStyle name="Normal 51 8 2 2 2 2" xfId="13464"/>
    <cellStyle name="Normal 51 8 2 2 2 2 2" xfId="13465"/>
    <cellStyle name="Normal 51 8 2 2 2 2_FC with allocations" xfId="29285"/>
    <cellStyle name="Normal 51 8 2 2 2 3" xfId="13466"/>
    <cellStyle name="Normal 51 8 2 2 2_FC with allocations" xfId="29284"/>
    <cellStyle name="Normal 51 8 2 2 3" xfId="13467"/>
    <cellStyle name="Normal 51 8 2 2 3 2" xfId="13468"/>
    <cellStyle name="Normal 51 8 2 2 3_FC with allocations" xfId="29286"/>
    <cellStyle name="Normal 51 8 2 2 4" xfId="13469"/>
    <cellStyle name="Normal 51 8 2 2_FC with allocations" xfId="29283"/>
    <cellStyle name="Normal 51 8 2 3" xfId="13470"/>
    <cellStyle name="Normal 51 8 2 3 2" xfId="13471"/>
    <cellStyle name="Normal 51 8 2 3 2 2" xfId="13472"/>
    <cellStyle name="Normal 51 8 2 3 2_FC with allocations" xfId="29288"/>
    <cellStyle name="Normal 51 8 2 3 3" xfId="13473"/>
    <cellStyle name="Normal 51 8 2 3_FC with allocations" xfId="29287"/>
    <cellStyle name="Normal 51 8 2 4" xfId="13474"/>
    <cellStyle name="Normal 51 8 2 4 2" xfId="13475"/>
    <cellStyle name="Normal 51 8 2 4_FC with allocations" xfId="29289"/>
    <cellStyle name="Normal 51 8 2 5" xfId="13476"/>
    <cellStyle name="Normal 51 8 2_FC with allocations" xfId="29282"/>
    <cellStyle name="Normal 51 8 3" xfId="13477"/>
    <cellStyle name="Normal 51 8 3 2" xfId="13478"/>
    <cellStyle name="Normal 51 8 3 2 2" xfId="13479"/>
    <cellStyle name="Normal 51 8 3 2 2 2" xfId="13480"/>
    <cellStyle name="Normal 51 8 3 2 2 2 2" xfId="13481"/>
    <cellStyle name="Normal 51 8 3 2 2 2_FC with allocations" xfId="29293"/>
    <cellStyle name="Normal 51 8 3 2 2 3" xfId="13482"/>
    <cellStyle name="Normal 51 8 3 2 2_FC with allocations" xfId="29292"/>
    <cellStyle name="Normal 51 8 3 2 3" xfId="13483"/>
    <cellStyle name="Normal 51 8 3 2 3 2" xfId="13484"/>
    <cellStyle name="Normal 51 8 3 2 3_FC with allocations" xfId="29294"/>
    <cellStyle name="Normal 51 8 3 2 4" xfId="13485"/>
    <cellStyle name="Normal 51 8 3 2_FC with allocations" xfId="29291"/>
    <cellStyle name="Normal 51 8 3 3" xfId="13486"/>
    <cellStyle name="Normal 51 8 3 3 2" xfId="13487"/>
    <cellStyle name="Normal 51 8 3 3 2 2" xfId="13488"/>
    <cellStyle name="Normal 51 8 3 3 2_FC with allocations" xfId="29296"/>
    <cellStyle name="Normal 51 8 3 3 3" xfId="13489"/>
    <cellStyle name="Normal 51 8 3 3_FC with allocations" xfId="29295"/>
    <cellStyle name="Normal 51 8 3 4" xfId="13490"/>
    <cellStyle name="Normal 51 8 3 4 2" xfId="13491"/>
    <cellStyle name="Normal 51 8 3 4_FC with allocations" xfId="29297"/>
    <cellStyle name="Normal 51 8 3 5" xfId="13492"/>
    <cellStyle name="Normal 51 8 3_FC with allocations" xfId="29290"/>
    <cellStyle name="Normal 51 8 4" xfId="13493"/>
    <cellStyle name="Normal 51 8 4 2" xfId="13494"/>
    <cellStyle name="Normal 51 8 4 2 2" xfId="13495"/>
    <cellStyle name="Normal 51 8 4 2 2 2" xfId="13496"/>
    <cellStyle name="Normal 51 8 4 2 2_FC with allocations" xfId="29300"/>
    <cellStyle name="Normal 51 8 4 2 3" xfId="13497"/>
    <cellStyle name="Normal 51 8 4 2_FC with allocations" xfId="29299"/>
    <cellStyle name="Normal 51 8 4 3" xfId="13498"/>
    <cellStyle name="Normal 51 8 4 3 2" xfId="13499"/>
    <cellStyle name="Normal 51 8 4 3_FC with allocations" xfId="29301"/>
    <cellStyle name="Normal 51 8 4 4" xfId="13500"/>
    <cellStyle name="Normal 51 8 4_FC with allocations" xfId="29298"/>
    <cellStyle name="Normal 51 8 5" xfId="13501"/>
    <cellStyle name="Normal 51 8 5 2" xfId="13502"/>
    <cellStyle name="Normal 51 8 5 2 2" xfId="13503"/>
    <cellStyle name="Normal 51 8 5 2_FC with allocations" xfId="29303"/>
    <cellStyle name="Normal 51 8 5 3" xfId="13504"/>
    <cellStyle name="Normal 51 8 5_FC with allocations" xfId="29302"/>
    <cellStyle name="Normal 51 8 6" xfId="13505"/>
    <cellStyle name="Normal 51 8 6 2" xfId="13506"/>
    <cellStyle name="Normal 51 8 6 2 2" xfId="13507"/>
    <cellStyle name="Normal 51 8 6 2_FC with allocations" xfId="29305"/>
    <cellStyle name="Normal 51 8 6 3" xfId="13508"/>
    <cellStyle name="Normal 51 8 6_FC with allocations" xfId="29304"/>
    <cellStyle name="Normal 51 8 7" xfId="13509"/>
    <cellStyle name="Normal 51 8 7 2" xfId="13510"/>
    <cellStyle name="Normal 51 8 7_FC with allocations" xfId="29306"/>
    <cellStyle name="Normal 51 8 8" xfId="13511"/>
    <cellStyle name="Normal 51 8_FC with allocations" xfId="29281"/>
    <cellStyle name="Normal 51 9" xfId="13512"/>
    <cellStyle name="Normal 51 9 2" xfId="13513"/>
    <cellStyle name="Normal 51 9 2 2" xfId="13514"/>
    <cellStyle name="Normal 51 9 2 2 2" xfId="13515"/>
    <cellStyle name="Normal 51 9 2 2 2 2" xfId="13516"/>
    <cellStyle name="Normal 51 9 2 2 2 2 2" xfId="13517"/>
    <cellStyle name="Normal 51 9 2 2 2 2_FC with allocations" xfId="29311"/>
    <cellStyle name="Normal 51 9 2 2 2 3" xfId="13518"/>
    <cellStyle name="Normal 51 9 2 2 2_FC with allocations" xfId="29310"/>
    <cellStyle name="Normal 51 9 2 2 3" xfId="13519"/>
    <cellStyle name="Normal 51 9 2 2 3 2" xfId="13520"/>
    <cellStyle name="Normal 51 9 2 2 3_FC with allocations" xfId="29312"/>
    <cellStyle name="Normal 51 9 2 2 4" xfId="13521"/>
    <cellStyle name="Normal 51 9 2 2_FC with allocations" xfId="29309"/>
    <cellStyle name="Normal 51 9 2 3" xfId="13522"/>
    <cellStyle name="Normal 51 9 2 3 2" xfId="13523"/>
    <cellStyle name="Normal 51 9 2 3 2 2" xfId="13524"/>
    <cellStyle name="Normal 51 9 2 3 2_FC with allocations" xfId="29314"/>
    <cellStyle name="Normal 51 9 2 3 3" xfId="13525"/>
    <cellStyle name="Normal 51 9 2 3_FC with allocations" xfId="29313"/>
    <cellStyle name="Normal 51 9 2 4" xfId="13526"/>
    <cellStyle name="Normal 51 9 2 4 2" xfId="13527"/>
    <cellStyle name="Normal 51 9 2 4_FC with allocations" xfId="29315"/>
    <cellStyle name="Normal 51 9 2 5" xfId="13528"/>
    <cellStyle name="Normal 51 9 2_FC with allocations" xfId="29308"/>
    <cellStyle name="Normal 51 9 3" xfId="13529"/>
    <cellStyle name="Normal 51 9 3 2" xfId="13530"/>
    <cellStyle name="Normal 51 9 3 2 2" xfId="13531"/>
    <cellStyle name="Normal 51 9 3 2 2 2" xfId="13532"/>
    <cellStyle name="Normal 51 9 3 2 2 2 2" xfId="13533"/>
    <cellStyle name="Normal 51 9 3 2 2 2_FC with allocations" xfId="29319"/>
    <cellStyle name="Normal 51 9 3 2 2 3" xfId="13534"/>
    <cellStyle name="Normal 51 9 3 2 2_FC with allocations" xfId="29318"/>
    <cellStyle name="Normal 51 9 3 2 3" xfId="13535"/>
    <cellStyle name="Normal 51 9 3 2 3 2" xfId="13536"/>
    <cellStyle name="Normal 51 9 3 2 3_FC with allocations" xfId="29320"/>
    <cellStyle name="Normal 51 9 3 2 4" xfId="13537"/>
    <cellStyle name="Normal 51 9 3 2_FC with allocations" xfId="29317"/>
    <cellStyle name="Normal 51 9 3 3" xfId="13538"/>
    <cellStyle name="Normal 51 9 3 3 2" xfId="13539"/>
    <cellStyle name="Normal 51 9 3 3 2 2" xfId="13540"/>
    <cellStyle name="Normal 51 9 3 3 2_FC with allocations" xfId="29322"/>
    <cellStyle name="Normal 51 9 3 3 3" xfId="13541"/>
    <cellStyle name="Normal 51 9 3 3_FC with allocations" xfId="29321"/>
    <cellStyle name="Normal 51 9 3 4" xfId="13542"/>
    <cellStyle name="Normal 51 9 3 4 2" xfId="13543"/>
    <cellStyle name="Normal 51 9 3 4_FC with allocations" xfId="29323"/>
    <cellStyle name="Normal 51 9 3 5" xfId="13544"/>
    <cellStyle name="Normal 51 9 3_FC with allocations" xfId="29316"/>
    <cellStyle name="Normal 51 9 4" xfId="13545"/>
    <cellStyle name="Normal 51 9 4 2" xfId="13546"/>
    <cellStyle name="Normal 51 9 4 2 2" xfId="13547"/>
    <cellStyle name="Normal 51 9 4 2 2 2" xfId="13548"/>
    <cellStyle name="Normal 51 9 4 2 2_FC with allocations" xfId="29326"/>
    <cellStyle name="Normal 51 9 4 2 3" xfId="13549"/>
    <cellStyle name="Normal 51 9 4 2_FC with allocations" xfId="29325"/>
    <cellStyle name="Normal 51 9 4 3" xfId="13550"/>
    <cellStyle name="Normal 51 9 4 3 2" xfId="13551"/>
    <cellStyle name="Normal 51 9 4 3_FC with allocations" xfId="29327"/>
    <cellStyle name="Normal 51 9 4 4" xfId="13552"/>
    <cellStyle name="Normal 51 9 4_FC with allocations" xfId="29324"/>
    <cellStyle name="Normal 51 9 5" xfId="13553"/>
    <cellStyle name="Normal 51 9 5 2" xfId="13554"/>
    <cellStyle name="Normal 51 9 5 2 2" xfId="13555"/>
    <cellStyle name="Normal 51 9 5 2_FC with allocations" xfId="29329"/>
    <cellStyle name="Normal 51 9 5 3" xfId="13556"/>
    <cellStyle name="Normal 51 9 5_FC with allocations" xfId="29328"/>
    <cellStyle name="Normal 51 9 6" xfId="13557"/>
    <cellStyle name="Normal 51 9 6 2" xfId="13558"/>
    <cellStyle name="Normal 51 9 6 2 2" xfId="13559"/>
    <cellStyle name="Normal 51 9 6 2_FC with allocations" xfId="29331"/>
    <cellStyle name="Normal 51 9 6 3" xfId="13560"/>
    <cellStyle name="Normal 51 9 6_FC with allocations" xfId="29330"/>
    <cellStyle name="Normal 51 9 7" xfId="13561"/>
    <cellStyle name="Normal 51 9 7 2" xfId="13562"/>
    <cellStyle name="Normal 51 9 7_FC with allocations" xfId="29332"/>
    <cellStyle name="Normal 51 9 8" xfId="13563"/>
    <cellStyle name="Normal 51 9_FC with allocations" xfId="29307"/>
    <cellStyle name="Normal 51_FC with allocations" xfId="28934"/>
    <cellStyle name="Normal 52" xfId="2232"/>
    <cellStyle name="Normal 52 2" xfId="2233"/>
    <cellStyle name="Normal 52 2 2" xfId="13566"/>
    <cellStyle name="Normal 52 2 2 2" xfId="13567"/>
    <cellStyle name="Normal 52 2 2 2 2" xfId="13568"/>
    <cellStyle name="Normal 52 2 2 2 2 2" xfId="13569"/>
    <cellStyle name="Normal 52 2 2 2 2 2 2" xfId="13570"/>
    <cellStyle name="Normal 52 2 2 2 2 2_FC with allocations" xfId="29338"/>
    <cellStyle name="Normal 52 2 2 2 2 3" xfId="13571"/>
    <cellStyle name="Normal 52 2 2 2 2_FC with allocations" xfId="29337"/>
    <cellStyle name="Normal 52 2 2 2 3" xfId="13572"/>
    <cellStyle name="Normal 52 2 2 2 3 2" xfId="13573"/>
    <cellStyle name="Normal 52 2 2 2 3_FC with allocations" xfId="29339"/>
    <cellStyle name="Normal 52 2 2 2 4" xfId="13574"/>
    <cellStyle name="Normal 52 2 2 2_FC with allocations" xfId="29336"/>
    <cellStyle name="Normal 52 2 2 3" xfId="13575"/>
    <cellStyle name="Normal 52 2 2 3 2" xfId="13576"/>
    <cellStyle name="Normal 52 2 2 3 2 2" xfId="13577"/>
    <cellStyle name="Normal 52 2 2 3 2_FC with allocations" xfId="29341"/>
    <cellStyle name="Normal 52 2 2 3 3" xfId="13578"/>
    <cellStyle name="Normal 52 2 2 3_FC with allocations" xfId="29340"/>
    <cellStyle name="Normal 52 2 2 4" xfId="13579"/>
    <cellStyle name="Normal 52 2 2 4 2" xfId="13580"/>
    <cellStyle name="Normal 52 2 2 4_FC with allocations" xfId="29342"/>
    <cellStyle name="Normal 52 2 2 5" xfId="13581"/>
    <cellStyle name="Normal 52 2 2_FC with allocations" xfId="29335"/>
    <cellStyle name="Normal 52 2 3" xfId="13582"/>
    <cellStyle name="Normal 52 2 3 2" xfId="13583"/>
    <cellStyle name="Normal 52 2 3 2 2" xfId="13584"/>
    <cellStyle name="Normal 52 2 3 2 2 2" xfId="13585"/>
    <cellStyle name="Normal 52 2 3 2 2 2 2" xfId="13586"/>
    <cellStyle name="Normal 52 2 3 2 2 2_FC with allocations" xfId="29346"/>
    <cellStyle name="Normal 52 2 3 2 2 3" xfId="13587"/>
    <cellStyle name="Normal 52 2 3 2 2_FC with allocations" xfId="29345"/>
    <cellStyle name="Normal 52 2 3 2 3" xfId="13588"/>
    <cellStyle name="Normal 52 2 3 2 3 2" xfId="13589"/>
    <cellStyle name="Normal 52 2 3 2 3_FC with allocations" xfId="29347"/>
    <cellStyle name="Normal 52 2 3 2 4" xfId="13590"/>
    <cellStyle name="Normal 52 2 3 2_FC with allocations" xfId="29344"/>
    <cellStyle name="Normal 52 2 3 3" xfId="13591"/>
    <cellStyle name="Normal 52 2 3 3 2" xfId="13592"/>
    <cellStyle name="Normal 52 2 3 3 2 2" xfId="13593"/>
    <cellStyle name="Normal 52 2 3 3 2_FC with allocations" xfId="29349"/>
    <cellStyle name="Normal 52 2 3 3 3" xfId="13594"/>
    <cellStyle name="Normal 52 2 3 3_FC with allocations" xfId="29348"/>
    <cellStyle name="Normal 52 2 3 4" xfId="13595"/>
    <cellStyle name="Normal 52 2 3 4 2" xfId="13596"/>
    <cellStyle name="Normal 52 2 3 4_FC with allocations" xfId="29350"/>
    <cellStyle name="Normal 52 2 3 5" xfId="13597"/>
    <cellStyle name="Normal 52 2 3_FC with allocations" xfId="29343"/>
    <cellStyle name="Normal 52 2 4" xfId="13598"/>
    <cellStyle name="Normal 52 2 4 2" xfId="13599"/>
    <cellStyle name="Normal 52 2 4 2 2" xfId="13600"/>
    <cellStyle name="Normal 52 2 4 2 2 2" xfId="13601"/>
    <cellStyle name="Normal 52 2 4 2 2_FC with allocations" xfId="29353"/>
    <cellStyle name="Normal 52 2 4 2 3" xfId="13602"/>
    <cellStyle name="Normal 52 2 4 2_FC with allocations" xfId="29352"/>
    <cellStyle name="Normal 52 2 4 3" xfId="13603"/>
    <cellStyle name="Normal 52 2 4 3 2" xfId="13604"/>
    <cellStyle name="Normal 52 2 4 3_FC with allocations" xfId="29354"/>
    <cellStyle name="Normal 52 2 4 4" xfId="13605"/>
    <cellStyle name="Normal 52 2 4_FC with allocations" xfId="29351"/>
    <cellStyle name="Normal 52 2 5" xfId="13606"/>
    <cellStyle name="Normal 52 2 5 2" xfId="13607"/>
    <cellStyle name="Normal 52 2 5 2 2" xfId="13608"/>
    <cellStyle name="Normal 52 2 5 2_FC with allocations" xfId="29356"/>
    <cellStyle name="Normal 52 2 5 3" xfId="13609"/>
    <cellStyle name="Normal 52 2 5_FC with allocations" xfId="29355"/>
    <cellStyle name="Normal 52 2 6" xfId="13610"/>
    <cellStyle name="Normal 52 2 6 2" xfId="13611"/>
    <cellStyle name="Normal 52 2 6 2 2" xfId="13612"/>
    <cellStyle name="Normal 52 2 6 2_FC with allocations" xfId="29358"/>
    <cellStyle name="Normal 52 2 6 3" xfId="13613"/>
    <cellStyle name="Normal 52 2 6_FC with allocations" xfId="29357"/>
    <cellStyle name="Normal 52 2 7" xfId="13614"/>
    <cellStyle name="Normal 52 2 7 2" xfId="13615"/>
    <cellStyle name="Normal 52 2 7_FC with allocations" xfId="29359"/>
    <cellStyle name="Normal 52 2 8" xfId="13616"/>
    <cellStyle name="Normal 52 2 9" xfId="13565"/>
    <cellStyle name="Normal 52 2_FC with allocations" xfId="29334"/>
    <cellStyle name="Normal 52 3" xfId="13617"/>
    <cellStyle name="Normal 52 4" xfId="13618"/>
    <cellStyle name="Normal 52 5" xfId="13619"/>
    <cellStyle name="Normal 52 5 2" xfId="13620"/>
    <cellStyle name="Normal 52 5_FC with allocations" xfId="29360"/>
    <cellStyle name="Normal 52 6" xfId="13621"/>
    <cellStyle name="Normal 52 7" xfId="13564"/>
    <cellStyle name="Normal 52_FC with allocations" xfId="29333"/>
    <cellStyle name="Normal 53" xfId="2234"/>
    <cellStyle name="Normal 53 2" xfId="2235"/>
    <cellStyle name="Normal 53 2 2" xfId="13624"/>
    <cellStyle name="Normal 53 2 2 2" xfId="13625"/>
    <cellStyle name="Normal 53 2 2 2 2" xfId="13626"/>
    <cellStyle name="Normal 53 2 2 2 2 2" xfId="13627"/>
    <cellStyle name="Normal 53 2 2 2 2 2 2" xfId="13628"/>
    <cellStyle name="Normal 53 2 2 2 2 2_FC with allocations" xfId="29366"/>
    <cellStyle name="Normal 53 2 2 2 2 3" xfId="13629"/>
    <cellStyle name="Normal 53 2 2 2 2_FC with allocations" xfId="29365"/>
    <cellStyle name="Normal 53 2 2 2 3" xfId="13630"/>
    <cellStyle name="Normal 53 2 2 2 3 2" xfId="13631"/>
    <cellStyle name="Normal 53 2 2 2 3_FC with allocations" xfId="29367"/>
    <cellStyle name="Normal 53 2 2 2 4" xfId="13632"/>
    <cellStyle name="Normal 53 2 2 2_FC with allocations" xfId="29364"/>
    <cellStyle name="Normal 53 2 2 3" xfId="13633"/>
    <cellStyle name="Normal 53 2 2 3 2" xfId="13634"/>
    <cellStyle name="Normal 53 2 2 3 2 2" xfId="13635"/>
    <cellStyle name="Normal 53 2 2 3 2_FC with allocations" xfId="29369"/>
    <cellStyle name="Normal 53 2 2 3 3" xfId="13636"/>
    <cellStyle name="Normal 53 2 2 3_FC with allocations" xfId="29368"/>
    <cellStyle name="Normal 53 2 2 4" xfId="13637"/>
    <cellStyle name="Normal 53 2 2 4 2" xfId="13638"/>
    <cellStyle name="Normal 53 2 2 4_FC with allocations" xfId="29370"/>
    <cellStyle name="Normal 53 2 2 5" xfId="13639"/>
    <cellStyle name="Normal 53 2 2_FC with allocations" xfId="29363"/>
    <cellStyle name="Normal 53 2 3" xfId="13640"/>
    <cellStyle name="Normal 53 2 3 2" xfId="13641"/>
    <cellStyle name="Normal 53 2 3 2 2" xfId="13642"/>
    <cellStyle name="Normal 53 2 3 2 2 2" xfId="13643"/>
    <cellStyle name="Normal 53 2 3 2 2 2 2" xfId="13644"/>
    <cellStyle name="Normal 53 2 3 2 2 2_FC with allocations" xfId="29374"/>
    <cellStyle name="Normal 53 2 3 2 2 3" xfId="13645"/>
    <cellStyle name="Normal 53 2 3 2 2_FC with allocations" xfId="29373"/>
    <cellStyle name="Normal 53 2 3 2 3" xfId="13646"/>
    <cellStyle name="Normal 53 2 3 2 3 2" xfId="13647"/>
    <cellStyle name="Normal 53 2 3 2 3_FC with allocations" xfId="29375"/>
    <cellStyle name="Normal 53 2 3 2 4" xfId="13648"/>
    <cellStyle name="Normal 53 2 3 2_FC with allocations" xfId="29372"/>
    <cellStyle name="Normal 53 2 3 3" xfId="13649"/>
    <cellStyle name="Normal 53 2 3 3 2" xfId="13650"/>
    <cellStyle name="Normal 53 2 3 3 2 2" xfId="13651"/>
    <cellStyle name="Normal 53 2 3 3 2_FC with allocations" xfId="29377"/>
    <cellStyle name="Normal 53 2 3 3 3" xfId="13652"/>
    <cellStyle name="Normal 53 2 3 3_FC with allocations" xfId="29376"/>
    <cellStyle name="Normal 53 2 3 4" xfId="13653"/>
    <cellStyle name="Normal 53 2 3 4 2" xfId="13654"/>
    <cellStyle name="Normal 53 2 3 4_FC with allocations" xfId="29378"/>
    <cellStyle name="Normal 53 2 3 5" xfId="13655"/>
    <cellStyle name="Normal 53 2 3_FC with allocations" xfId="29371"/>
    <cellStyle name="Normal 53 2 4" xfId="13656"/>
    <cellStyle name="Normal 53 2 4 2" xfId="13657"/>
    <cellStyle name="Normal 53 2 4 2 2" xfId="13658"/>
    <cellStyle name="Normal 53 2 4 2 2 2" xfId="13659"/>
    <cellStyle name="Normal 53 2 4 2 2_FC with allocations" xfId="29381"/>
    <cellStyle name="Normal 53 2 4 2 3" xfId="13660"/>
    <cellStyle name="Normal 53 2 4 2_FC with allocations" xfId="29380"/>
    <cellStyle name="Normal 53 2 4 3" xfId="13661"/>
    <cellStyle name="Normal 53 2 4 3 2" xfId="13662"/>
    <cellStyle name="Normal 53 2 4 3_FC with allocations" xfId="29382"/>
    <cellStyle name="Normal 53 2 4 4" xfId="13663"/>
    <cellStyle name="Normal 53 2 4_FC with allocations" xfId="29379"/>
    <cellStyle name="Normal 53 2 5" xfId="13664"/>
    <cellStyle name="Normal 53 2 5 2" xfId="13665"/>
    <cellStyle name="Normal 53 2 5 2 2" xfId="13666"/>
    <cellStyle name="Normal 53 2 5 2_FC with allocations" xfId="29384"/>
    <cellStyle name="Normal 53 2 5 3" xfId="13667"/>
    <cellStyle name="Normal 53 2 5_FC with allocations" xfId="29383"/>
    <cellStyle name="Normal 53 2 6" xfId="13668"/>
    <cellStyle name="Normal 53 2 6 2" xfId="13669"/>
    <cellStyle name="Normal 53 2 6 2 2" xfId="13670"/>
    <cellStyle name="Normal 53 2 6 2_FC with allocations" xfId="29386"/>
    <cellStyle name="Normal 53 2 6 3" xfId="13671"/>
    <cellStyle name="Normal 53 2 6_FC with allocations" xfId="29385"/>
    <cellStyle name="Normal 53 2 7" xfId="13672"/>
    <cellStyle name="Normal 53 2 7 2" xfId="13673"/>
    <cellStyle name="Normal 53 2 7_FC with allocations" xfId="29387"/>
    <cellStyle name="Normal 53 2 8" xfId="13674"/>
    <cellStyle name="Normal 53 2 9" xfId="13623"/>
    <cellStyle name="Normal 53 2_FC with allocations" xfId="29362"/>
    <cellStyle name="Normal 53 3" xfId="13675"/>
    <cellStyle name="Normal 53 4" xfId="13676"/>
    <cellStyle name="Normal 53 5" xfId="13677"/>
    <cellStyle name="Normal 53 5 2" xfId="13678"/>
    <cellStyle name="Normal 53 5_FC with allocations" xfId="29388"/>
    <cellStyle name="Normal 53 6" xfId="13679"/>
    <cellStyle name="Normal 53 7" xfId="13622"/>
    <cellStyle name="Normal 53_FC with allocations" xfId="29361"/>
    <cellStyle name="Normal 54" xfId="2236"/>
    <cellStyle name="Normal 54 2" xfId="2237"/>
    <cellStyle name="Normal 54 2 2" xfId="13682"/>
    <cellStyle name="Normal 54 2 2 2" xfId="13683"/>
    <cellStyle name="Normal 54 2 2 2 2" xfId="13684"/>
    <cellStyle name="Normal 54 2 2 2 2 2" xfId="13685"/>
    <cellStyle name="Normal 54 2 2 2 2 2 2" xfId="13686"/>
    <cellStyle name="Normal 54 2 2 2 2 2_FC with allocations" xfId="29394"/>
    <cellStyle name="Normal 54 2 2 2 2 3" xfId="13687"/>
    <cellStyle name="Normal 54 2 2 2 2_FC with allocations" xfId="29393"/>
    <cellStyle name="Normal 54 2 2 2 3" xfId="13688"/>
    <cellStyle name="Normal 54 2 2 2 3 2" xfId="13689"/>
    <cellStyle name="Normal 54 2 2 2 3_FC with allocations" xfId="29395"/>
    <cellStyle name="Normal 54 2 2 2 4" xfId="13690"/>
    <cellStyle name="Normal 54 2 2 2_FC with allocations" xfId="29392"/>
    <cellStyle name="Normal 54 2 2 3" xfId="13691"/>
    <cellStyle name="Normal 54 2 2 3 2" xfId="13692"/>
    <cellStyle name="Normal 54 2 2 3 2 2" xfId="13693"/>
    <cellStyle name="Normal 54 2 2 3 2_FC with allocations" xfId="29397"/>
    <cellStyle name="Normal 54 2 2 3 3" xfId="13694"/>
    <cellStyle name="Normal 54 2 2 3_FC with allocations" xfId="29396"/>
    <cellStyle name="Normal 54 2 2 4" xfId="13695"/>
    <cellStyle name="Normal 54 2 2 4 2" xfId="13696"/>
    <cellStyle name="Normal 54 2 2 4_FC with allocations" xfId="29398"/>
    <cellStyle name="Normal 54 2 2 5" xfId="13697"/>
    <cellStyle name="Normal 54 2 2_FC with allocations" xfId="29391"/>
    <cellStyle name="Normal 54 2 3" xfId="13698"/>
    <cellStyle name="Normal 54 2 3 2" xfId="13699"/>
    <cellStyle name="Normal 54 2 3 2 2" xfId="13700"/>
    <cellStyle name="Normal 54 2 3 2 2 2" xfId="13701"/>
    <cellStyle name="Normal 54 2 3 2 2 2 2" xfId="13702"/>
    <cellStyle name="Normal 54 2 3 2 2 2_FC with allocations" xfId="29402"/>
    <cellStyle name="Normal 54 2 3 2 2 3" xfId="13703"/>
    <cellStyle name="Normal 54 2 3 2 2_FC with allocations" xfId="29401"/>
    <cellStyle name="Normal 54 2 3 2 3" xfId="13704"/>
    <cellStyle name="Normal 54 2 3 2 3 2" xfId="13705"/>
    <cellStyle name="Normal 54 2 3 2 3_FC with allocations" xfId="29403"/>
    <cellStyle name="Normal 54 2 3 2 4" xfId="13706"/>
    <cellStyle name="Normal 54 2 3 2_FC with allocations" xfId="29400"/>
    <cellStyle name="Normal 54 2 3 3" xfId="13707"/>
    <cellStyle name="Normal 54 2 3 3 2" xfId="13708"/>
    <cellStyle name="Normal 54 2 3 3 2 2" xfId="13709"/>
    <cellStyle name="Normal 54 2 3 3 2_FC with allocations" xfId="29405"/>
    <cellStyle name="Normal 54 2 3 3 3" xfId="13710"/>
    <cellStyle name="Normal 54 2 3 3_FC with allocations" xfId="29404"/>
    <cellStyle name="Normal 54 2 3 4" xfId="13711"/>
    <cellStyle name="Normal 54 2 3 4 2" xfId="13712"/>
    <cellStyle name="Normal 54 2 3 4_FC with allocations" xfId="29406"/>
    <cellStyle name="Normal 54 2 3 5" xfId="13713"/>
    <cellStyle name="Normal 54 2 3_FC with allocations" xfId="29399"/>
    <cellStyle name="Normal 54 2 4" xfId="13714"/>
    <cellStyle name="Normal 54 2 4 2" xfId="13715"/>
    <cellStyle name="Normal 54 2 4 2 2" xfId="13716"/>
    <cellStyle name="Normal 54 2 4 2 2 2" xfId="13717"/>
    <cellStyle name="Normal 54 2 4 2 2_FC with allocations" xfId="29409"/>
    <cellStyle name="Normal 54 2 4 2 3" xfId="13718"/>
    <cellStyle name="Normal 54 2 4 2_FC with allocations" xfId="29408"/>
    <cellStyle name="Normal 54 2 4 3" xfId="13719"/>
    <cellStyle name="Normal 54 2 4 3 2" xfId="13720"/>
    <cellStyle name="Normal 54 2 4 3_FC with allocations" xfId="29410"/>
    <cellStyle name="Normal 54 2 4 4" xfId="13721"/>
    <cellStyle name="Normal 54 2 4_FC with allocations" xfId="29407"/>
    <cellStyle name="Normal 54 2 5" xfId="13722"/>
    <cellStyle name="Normal 54 2 5 2" xfId="13723"/>
    <cellStyle name="Normal 54 2 5 2 2" xfId="13724"/>
    <cellStyle name="Normal 54 2 5 2_FC with allocations" xfId="29412"/>
    <cellStyle name="Normal 54 2 5 3" xfId="13725"/>
    <cellStyle name="Normal 54 2 5_FC with allocations" xfId="29411"/>
    <cellStyle name="Normal 54 2 6" xfId="13726"/>
    <cellStyle name="Normal 54 2 6 2" xfId="13727"/>
    <cellStyle name="Normal 54 2 6 2 2" xfId="13728"/>
    <cellStyle name="Normal 54 2 6 2_FC with allocations" xfId="29414"/>
    <cellStyle name="Normal 54 2 6 3" xfId="13729"/>
    <cellStyle name="Normal 54 2 6_FC with allocations" xfId="29413"/>
    <cellStyle name="Normal 54 2 7" xfId="13730"/>
    <cellStyle name="Normal 54 2 7 2" xfId="13731"/>
    <cellStyle name="Normal 54 2 7_FC with allocations" xfId="29415"/>
    <cellStyle name="Normal 54 2 8" xfId="13732"/>
    <cellStyle name="Normal 54 2 9" xfId="13681"/>
    <cellStyle name="Normal 54 2_FC with allocations" xfId="29390"/>
    <cellStyle name="Normal 54 3" xfId="13733"/>
    <cellStyle name="Normal 54 4" xfId="13734"/>
    <cellStyle name="Normal 54 5" xfId="13735"/>
    <cellStyle name="Normal 54 5 2" xfId="13736"/>
    <cellStyle name="Normal 54 5_FC with allocations" xfId="29416"/>
    <cellStyle name="Normal 54 6" xfId="13737"/>
    <cellStyle name="Normal 54 7" xfId="13680"/>
    <cellStyle name="Normal 54_FC with allocations" xfId="29389"/>
    <cellStyle name="Normal 55" xfId="2238"/>
    <cellStyle name="Normal 55 2" xfId="2239"/>
    <cellStyle name="Normal 55 2 2" xfId="13740"/>
    <cellStyle name="Normal 55 2 2 2" xfId="13741"/>
    <cellStyle name="Normal 55 2 2 2 2" xfId="13742"/>
    <cellStyle name="Normal 55 2 2 2 2 2" xfId="13743"/>
    <cellStyle name="Normal 55 2 2 2 2 2 2" xfId="13744"/>
    <cellStyle name="Normal 55 2 2 2 2 2_FC with allocations" xfId="29422"/>
    <cellStyle name="Normal 55 2 2 2 2 3" xfId="13745"/>
    <cellStyle name="Normal 55 2 2 2 2_FC with allocations" xfId="29421"/>
    <cellStyle name="Normal 55 2 2 2 3" xfId="13746"/>
    <cellStyle name="Normal 55 2 2 2 3 2" xfId="13747"/>
    <cellStyle name="Normal 55 2 2 2 3_FC with allocations" xfId="29423"/>
    <cellStyle name="Normal 55 2 2 2 4" xfId="13748"/>
    <cellStyle name="Normal 55 2 2 2_FC with allocations" xfId="29420"/>
    <cellStyle name="Normal 55 2 2 3" xfId="13749"/>
    <cellStyle name="Normal 55 2 2 3 2" xfId="13750"/>
    <cellStyle name="Normal 55 2 2 3 2 2" xfId="13751"/>
    <cellStyle name="Normal 55 2 2 3 2_FC with allocations" xfId="29425"/>
    <cellStyle name="Normal 55 2 2 3 3" xfId="13752"/>
    <cellStyle name="Normal 55 2 2 3_FC with allocations" xfId="29424"/>
    <cellStyle name="Normal 55 2 2 4" xfId="13753"/>
    <cellStyle name="Normal 55 2 2 4 2" xfId="13754"/>
    <cellStyle name="Normal 55 2 2 4_FC with allocations" xfId="29426"/>
    <cellStyle name="Normal 55 2 2 5" xfId="13755"/>
    <cellStyle name="Normal 55 2 2_FC with allocations" xfId="29419"/>
    <cellStyle name="Normal 55 2 3" xfId="13756"/>
    <cellStyle name="Normal 55 2 3 2" xfId="13757"/>
    <cellStyle name="Normal 55 2 3 2 2" xfId="13758"/>
    <cellStyle name="Normal 55 2 3 2 2 2" xfId="13759"/>
    <cellStyle name="Normal 55 2 3 2 2 2 2" xfId="13760"/>
    <cellStyle name="Normal 55 2 3 2 2 2_FC with allocations" xfId="29430"/>
    <cellStyle name="Normal 55 2 3 2 2 3" xfId="13761"/>
    <cellStyle name="Normal 55 2 3 2 2_FC with allocations" xfId="29429"/>
    <cellStyle name="Normal 55 2 3 2 3" xfId="13762"/>
    <cellStyle name="Normal 55 2 3 2 3 2" xfId="13763"/>
    <cellStyle name="Normal 55 2 3 2 3_FC with allocations" xfId="29431"/>
    <cellStyle name="Normal 55 2 3 2 4" xfId="13764"/>
    <cellStyle name="Normal 55 2 3 2_FC with allocations" xfId="29428"/>
    <cellStyle name="Normal 55 2 3 3" xfId="13765"/>
    <cellStyle name="Normal 55 2 3 3 2" xfId="13766"/>
    <cellStyle name="Normal 55 2 3 3 2 2" xfId="13767"/>
    <cellStyle name="Normal 55 2 3 3 2_FC with allocations" xfId="29433"/>
    <cellStyle name="Normal 55 2 3 3 3" xfId="13768"/>
    <cellStyle name="Normal 55 2 3 3_FC with allocations" xfId="29432"/>
    <cellStyle name="Normal 55 2 3 4" xfId="13769"/>
    <cellStyle name="Normal 55 2 3 4 2" xfId="13770"/>
    <cellStyle name="Normal 55 2 3 4_FC with allocations" xfId="29434"/>
    <cellStyle name="Normal 55 2 3 5" xfId="13771"/>
    <cellStyle name="Normal 55 2 3_FC with allocations" xfId="29427"/>
    <cellStyle name="Normal 55 2 4" xfId="13772"/>
    <cellStyle name="Normal 55 2 4 2" xfId="13773"/>
    <cellStyle name="Normal 55 2 4 2 2" xfId="13774"/>
    <cellStyle name="Normal 55 2 4 2 2 2" xfId="13775"/>
    <cellStyle name="Normal 55 2 4 2 2_FC with allocations" xfId="29437"/>
    <cellStyle name="Normal 55 2 4 2 3" xfId="13776"/>
    <cellStyle name="Normal 55 2 4 2_FC with allocations" xfId="29436"/>
    <cellStyle name="Normal 55 2 4 3" xfId="13777"/>
    <cellStyle name="Normal 55 2 4 3 2" xfId="13778"/>
    <cellStyle name="Normal 55 2 4 3_FC with allocations" xfId="29438"/>
    <cellStyle name="Normal 55 2 4 4" xfId="13779"/>
    <cellStyle name="Normal 55 2 4_FC with allocations" xfId="29435"/>
    <cellStyle name="Normal 55 2 5" xfId="13780"/>
    <cellStyle name="Normal 55 2 5 2" xfId="13781"/>
    <cellStyle name="Normal 55 2 5 2 2" xfId="13782"/>
    <cellStyle name="Normal 55 2 5 2_FC with allocations" xfId="29440"/>
    <cellStyle name="Normal 55 2 5 3" xfId="13783"/>
    <cellStyle name="Normal 55 2 5_FC with allocations" xfId="29439"/>
    <cellStyle name="Normal 55 2 6" xfId="13784"/>
    <cellStyle name="Normal 55 2 6 2" xfId="13785"/>
    <cellStyle name="Normal 55 2 6 2 2" xfId="13786"/>
    <cellStyle name="Normal 55 2 6 2_FC with allocations" xfId="29442"/>
    <cellStyle name="Normal 55 2 6 3" xfId="13787"/>
    <cellStyle name="Normal 55 2 6_FC with allocations" xfId="29441"/>
    <cellStyle name="Normal 55 2 7" xfId="13788"/>
    <cellStyle name="Normal 55 2 7 2" xfId="13789"/>
    <cellStyle name="Normal 55 2 7_FC with allocations" xfId="29443"/>
    <cellStyle name="Normal 55 2 8" xfId="13790"/>
    <cellStyle name="Normal 55 2 9" xfId="13739"/>
    <cellStyle name="Normal 55 2_FC with allocations" xfId="29418"/>
    <cellStyle name="Normal 55 3" xfId="13791"/>
    <cellStyle name="Normal 55 4" xfId="13792"/>
    <cellStyle name="Normal 55 5" xfId="13793"/>
    <cellStyle name="Normal 55 5 2" xfId="13794"/>
    <cellStyle name="Normal 55 5_FC with allocations" xfId="29444"/>
    <cellStyle name="Normal 55 6" xfId="13795"/>
    <cellStyle name="Normal 55 7" xfId="13738"/>
    <cellStyle name="Normal 55_FC with allocations" xfId="29417"/>
    <cellStyle name="Normal 56" xfId="2240"/>
    <cellStyle name="Normal 56 2" xfId="2241"/>
    <cellStyle name="Normal 56 2 2" xfId="13798"/>
    <cellStyle name="Normal 56 2 2 2" xfId="13799"/>
    <cellStyle name="Normal 56 2 2 2 2" xfId="13800"/>
    <cellStyle name="Normal 56 2 2 2 2 2" xfId="13801"/>
    <cellStyle name="Normal 56 2 2 2 2 2 2" xfId="13802"/>
    <cellStyle name="Normal 56 2 2 2 2 2_FC with allocations" xfId="29450"/>
    <cellStyle name="Normal 56 2 2 2 2 3" xfId="13803"/>
    <cellStyle name="Normal 56 2 2 2 2_FC with allocations" xfId="29449"/>
    <cellStyle name="Normal 56 2 2 2 3" xfId="13804"/>
    <cellStyle name="Normal 56 2 2 2 3 2" xfId="13805"/>
    <cellStyle name="Normal 56 2 2 2 3_FC with allocations" xfId="29451"/>
    <cellStyle name="Normal 56 2 2 2 4" xfId="13806"/>
    <cellStyle name="Normal 56 2 2 2_FC with allocations" xfId="29448"/>
    <cellStyle name="Normal 56 2 2 3" xfId="13807"/>
    <cellStyle name="Normal 56 2 2 3 2" xfId="13808"/>
    <cellStyle name="Normal 56 2 2 3 2 2" xfId="13809"/>
    <cellStyle name="Normal 56 2 2 3 2_FC with allocations" xfId="29453"/>
    <cellStyle name="Normal 56 2 2 3 3" xfId="13810"/>
    <cellStyle name="Normal 56 2 2 3_FC with allocations" xfId="29452"/>
    <cellStyle name="Normal 56 2 2 4" xfId="13811"/>
    <cellStyle name="Normal 56 2 2 4 2" xfId="13812"/>
    <cellStyle name="Normal 56 2 2 4_FC with allocations" xfId="29454"/>
    <cellStyle name="Normal 56 2 2 5" xfId="13813"/>
    <cellStyle name="Normal 56 2 2_FC with allocations" xfId="29447"/>
    <cellStyle name="Normal 56 2 3" xfId="13814"/>
    <cellStyle name="Normal 56 2 3 2" xfId="13815"/>
    <cellStyle name="Normal 56 2 3 2 2" xfId="13816"/>
    <cellStyle name="Normal 56 2 3 2 2 2" xfId="13817"/>
    <cellStyle name="Normal 56 2 3 2 2 2 2" xfId="13818"/>
    <cellStyle name="Normal 56 2 3 2 2 2_FC with allocations" xfId="29458"/>
    <cellStyle name="Normal 56 2 3 2 2 3" xfId="13819"/>
    <cellStyle name="Normal 56 2 3 2 2_FC with allocations" xfId="29457"/>
    <cellStyle name="Normal 56 2 3 2 3" xfId="13820"/>
    <cellStyle name="Normal 56 2 3 2 3 2" xfId="13821"/>
    <cellStyle name="Normal 56 2 3 2 3_FC with allocations" xfId="29459"/>
    <cellStyle name="Normal 56 2 3 2 4" xfId="13822"/>
    <cellStyle name="Normal 56 2 3 2_FC with allocations" xfId="29456"/>
    <cellStyle name="Normal 56 2 3 3" xfId="13823"/>
    <cellStyle name="Normal 56 2 3 3 2" xfId="13824"/>
    <cellStyle name="Normal 56 2 3 3 2 2" xfId="13825"/>
    <cellStyle name="Normal 56 2 3 3 2_FC with allocations" xfId="29461"/>
    <cellStyle name="Normal 56 2 3 3 3" xfId="13826"/>
    <cellStyle name="Normal 56 2 3 3_FC with allocations" xfId="29460"/>
    <cellStyle name="Normal 56 2 3 4" xfId="13827"/>
    <cellStyle name="Normal 56 2 3 4 2" xfId="13828"/>
    <cellStyle name="Normal 56 2 3 4_FC with allocations" xfId="29462"/>
    <cellStyle name="Normal 56 2 3 5" xfId="13829"/>
    <cellStyle name="Normal 56 2 3_FC with allocations" xfId="29455"/>
    <cellStyle name="Normal 56 2 4" xfId="13830"/>
    <cellStyle name="Normal 56 2 4 2" xfId="13831"/>
    <cellStyle name="Normal 56 2 4 2 2" xfId="13832"/>
    <cellStyle name="Normal 56 2 4 2 2 2" xfId="13833"/>
    <cellStyle name="Normal 56 2 4 2 2_FC with allocations" xfId="29465"/>
    <cellStyle name="Normal 56 2 4 2 3" xfId="13834"/>
    <cellStyle name="Normal 56 2 4 2_FC with allocations" xfId="29464"/>
    <cellStyle name="Normal 56 2 4 3" xfId="13835"/>
    <cellStyle name="Normal 56 2 4 3 2" xfId="13836"/>
    <cellStyle name="Normal 56 2 4 3_FC with allocations" xfId="29466"/>
    <cellStyle name="Normal 56 2 4 4" xfId="13837"/>
    <cellStyle name="Normal 56 2 4_FC with allocations" xfId="29463"/>
    <cellStyle name="Normal 56 2 5" xfId="13838"/>
    <cellStyle name="Normal 56 2 5 2" xfId="13839"/>
    <cellStyle name="Normal 56 2 5 2 2" xfId="13840"/>
    <cellStyle name="Normal 56 2 5 2_FC with allocations" xfId="29468"/>
    <cellStyle name="Normal 56 2 5 3" xfId="13841"/>
    <cellStyle name="Normal 56 2 5_FC with allocations" xfId="29467"/>
    <cellStyle name="Normal 56 2 6" xfId="13842"/>
    <cellStyle name="Normal 56 2 6 2" xfId="13843"/>
    <cellStyle name="Normal 56 2 6 2 2" xfId="13844"/>
    <cellStyle name="Normal 56 2 6 2_FC with allocations" xfId="29470"/>
    <cellStyle name="Normal 56 2 6 3" xfId="13845"/>
    <cellStyle name="Normal 56 2 6_FC with allocations" xfId="29469"/>
    <cellStyle name="Normal 56 2 7" xfId="13846"/>
    <cellStyle name="Normal 56 2 7 2" xfId="13847"/>
    <cellStyle name="Normal 56 2 7_FC with allocations" xfId="29471"/>
    <cellStyle name="Normal 56 2 8" xfId="13848"/>
    <cellStyle name="Normal 56 2 9" xfId="13797"/>
    <cellStyle name="Normal 56 2_FC with allocations" xfId="29446"/>
    <cellStyle name="Normal 56 3" xfId="13849"/>
    <cellStyle name="Normal 56 4" xfId="13850"/>
    <cellStyle name="Normal 56 5" xfId="13851"/>
    <cellStyle name="Normal 56 5 2" xfId="13852"/>
    <cellStyle name="Normal 56 5_FC with allocations" xfId="29472"/>
    <cellStyle name="Normal 56 6" xfId="13853"/>
    <cellStyle name="Normal 56 7" xfId="13796"/>
    <cellStyle name="Normal 56_FC with allocations" xfId="29445"/>
    <cellStyle name="Normal 57" xfId="2242"/>
    <cellStyle name="Normal 57 2" xfId="2243"/>
    <cellStyle name="Normal 57 2 2" xfId="13856"/>
    <cellStyle name="Normal 57 2 2 2" xfId="13857"/>
    <cellStyle name="Normal 57 2 2 2 2" xfId="13858"/>
    <cellStyle name="Normal 57 2 2 2 2 2" xfId="13859"/>
    <cellStyle name="Normal 57 2 2 2 2 2 2" xfId="13860"/>
    <cellStyle name="Normal 57 2 2 2 2 2_FC with allocations" xfId="29478"/>
    <cellStyle name="Normal 57 2 2 2 2 3" xfId="13861"/>
    <cellStyle name="Normal 57 2 2 2 2_FC with allocations" xfId="29477"/>
    <cellStyle name="Normal 57 2 2 2 3" xfId="13862"/>
    <cellStyle name="Normal 57 2 2 2 3 2" xfId="13863"/>
    <cellStyle name="Normal 57 2 2 2 3_FC with allocations" xfId="29479"/>
    <cellStyle name="Normal 57 2 2 2 4" xfId="13864"/>
    <cellStyle name="Normal 57 2 2 2_FC with allocations" xfId="29476"/>
    <cellStyle name="Normal 57 2 2 3" xfId="13865"/>
    <cellStyle name="Normal 57 2 2 3 2" xfId="13866"/>
    <cellStyle name="Normal 57 2 2 3 2 2" xfId="13867"/>
    <cellStyle name="Normal 57 2 2 3 2_FC with allocations" xfId="29481"/>
    <cellStyle name="Normal 57 2 2 3 3" xfId="13868"/>
    <cellStyle name="Normal 57 2 2 3_FC with allocations" xfId="29480"/>
    <cellStyle name="Normal 57 2 2 4" xfId="13869"/>
    <cellStyle name="Normal 57 2 2 4 2" xfId="13870"/>
    <cellStyle name="Normal 57 2 2 4_FC with allocations" xfId="29482"/>
    <cellStyle name="Normal 57 2 2 5" xfId="13871"/>
    <cellStyle name="Normal 57 2 2_FC with allocations" xfId="29475"/>
    <cellStyle name="Normal 57 2 3" xfId="13872"/>
    <cellStyle name="Normal 57 2 3 2" xfId="13873"/>
    <cellStyle name="Normal 57 2 3 2 2" xfId="13874"/>
    <cellStyle name="Normal 57 2 3 2 2 2" xfId="13875"/>
    <cellStyle name="Normal 57 2 3 2 2 2 2" xfId="13876"/>
    <cellStyle name="Normal 57 2 3 2 2 2_FC with allocations" xfId="29486"/>
    <cellStyle name="Normal 57 2 3 2 2 3" xfId="13877"/>
    <cellStyle name="Normal 57 2 3 2 2_FC with allocations" xfId="29485"/>
    <cellStyle name="Normal 57 2 3 2 3" xfId="13878"/>
    <cellStyle name="Normal 57 2 3 2 3 2" xfId="13879"/>
    <cellStyle name="Normal 57 2 3 2 3_FC with allocations" xfId="29487"/>
    <cellStyle name="Normal 57 2 3 2 4" xfId="13880"/>
    <cellStyle name="Normal 57 2 3 2_FC with allocations" xfId="29484"/>
    <cellStyle name="Normal 57 2 3 3" xfId="13881"/>
    <cellStyle name="Normal 57 2 3 3 2" xfId="13882"/>
    <cellStyle name="Normal 57 2 3 3 2 2" xfId="13883"/>
    <cellStyle name="Normal 57 2 3 3 2_FC with allocations" xfId="29489"/>
    <cellStyle name="Normal 57 2 3 3 3" xfId="13884"/>
    <cellStyle name="Normal 57 2 3 3_FC with allocations" xfId="29488"/>
    <cellStyle name="Normal 57 2 3 4" xfId="13885"/>
    <cellStyle name="Normal 57 2 3 4 2" xfId="13886"/>
    <cellStyle name="Normal 57 2 3 4_FC with allocations" xfId="29490"/>
    <cellStyle name="Normal 57 2 3 5" xfId="13887"/>
    <cellStyle name="Normal 57 2 3_FC with allocations" xfId="29483"/>
    <cellStyle name="Normal 57 2 4" xfId="13888"/>
    <cellStyle name="Normal 57 2 4 2" xfId="13889"/>
    <cellStyle name="Normal 57 2 4 2 2" xfId="13890"/>
    <cellStyle name="Normal 57 2 4 2 2 2" xfId="13891"/>
    <cellStyle name="Normal 57 2 4 2 2_FC with allocations" xfId="29493"/>
    <cellStyle name="Normal 57 2 4 2 3" xfId="13892"/>
    <cellStyle name="Normal 57 2 4 2_FC with allocations" xfId="29492"/>
    <cellStyle name="Normal 57 2 4 3" xfId="13893"/>
    <cellStyle name="Normal 57 2 4 3 2" xfId="13894"/>
    <cellStyle name="Normal 57 2 4 3_FC with allocations" xfId="29494"/>
    <cellStyle name="Normal 57 2 4 4" xfId="13895"/>
    <cellStyle name="Normal 57 2 4_FC with allocations" xfId="29491"/>
    <cellStyle name="Normal 57 2 5" xfId="13896"/>
    <cellStyle name="Normal 57 2 5 2" xfId="13897"/>
    <cellStyle name="Normal 57 2 5 2 2" xfId="13898"/>
    <cellStyle name="Normal 57 2 5 2_FC with allocations" xfId="29496"/>
    <cellStyle name="Normal 57 2 5 3" xfId="13899"/>
    <cellStyle name="Normal 57 2 5_FC with allocations" xfId="29495"/>
    <cellStyle name="Normal 57 2 6" xfId="13900"/>
    <cellStyle name="Normal 57 2 6 2" xfId="13901"/>
    <cellStyle name="Normal 57 2 6 2 2" xfId="13902"/>
    <cellStyle name="Normal 57 2 6 2_FC with allocations" xfId="29498"/>
    <cellStyle name="Normal 57 2 6 3" xfId="13903"/>
    <cellStyle name="Normal 57 2 6_FC with allocations" xfId="29497"/>
    <cellStyle name="Normal 57 2 7" xfId="13904"/>
    <cellStyle name="Normal 57 2 7 2" xfId="13905"/>
    <cellStyle name="Normal 57 2 7_FC with allocations" xfId="29499"/>
    <cellStyle name="Normal 57 2 8" xfId="13906"/>
    <cellStyle name="Normal 57 2 9" xfId="13855"/>
    <cellStyle name="Normal 57 2_FC with allocations" xfId="29474"/>
    <cellStyle name="Normal 57 3" xfId="13907"/>
    <cellStyle name="Normal 57 4" xfId="13908"/>
    <cellStyle name="Normal 57 5" xfId="13909"/>
    <cellStyle name="Normal 57 5 2" xfId="13910"/>
    <cellStyle name="Normal 57 5_FC with allocations" xfId="29500"/>
    <cellStyle name="Normal 57 6" xfId="13911"/>
    <cellStyle name="Normal 57 7" xfId="13854"/>
    <cellStyle name="Normal 57_FC with allocations" xfId="29473"/>
    <cellStyle name="Normal 58" xfId="2244"/>
    <cellStyle name="Normal 58 2" xfId="2245"/>
    <cellStyle name="Normal 58 2 2" xfId="13914"/>
    <cellStyle name="Normal 58 2 2 2" xfId="13915"/>
    <cellStyle name="Normal 58 2 2 2 2" xfId="13916"/>
    <cellStyle name="Normal 58 2 2 2 2 2" xfId="13917"/>
    <cellStyle name="Normal 58 2 2 2 2 2 2" xfId="13918"/>
    <cellStyle name="Normal 58 2 2 2 2 2_FC with allocations" xfId="29506"/>
    <cellStyle name="Normal 58 2 2 2 2 3" xfId="13919"/>
    <cellStyle name="Normal 58 2 2 2 2_FC with allocations" xfId="29505"/>
    <cellStyle name="Normal 58 2 2 2 3" xfId="13920"/>
    <cellStyle name="Normal 58 2 2 2 3 2" xfId="13921"/>
    <cellStyle name="Normal 58 2 2 2 3_FC with allocations" xfId="29507"/>
    <cellStyle name="Normal 58 2 2 2 4" xfId="13922"/>
    <cellStyle name="Normal 58 2 2 2_FC with allocations" xfId="29504"/>
    <cellStyle name="Normal 58 2 2 3" xfId="13923"/>
    <cellStyle name="Normal 58 2 2 3 2" xfId="13924"/>
    <cellStyle name="Normal 58 2 2 3 2 2" xfId="13925"/>
    <cellStyle name="Normal 58 2 2 3 2_FC with allocations" xfId="29509"/>
    <cellStyle name="Normal 58 2 2 3 3" xfId="13926"/>
    <cellStyle name="Normal 58 2 2 3_FC with allocations" xfId="29508"/>
    <cellStyle name="Normal 58 2 2 4" xfId="13927"/>
    <cellStyle name="Normal 58 2 2 4 2" xfId="13928"/>
    <cellStyle name="Normal 58 2 2 4_FC with allocations" xfId="29510"/>
    <cellStyle name="Normal 58 2 2 5" xfId="13929"/>
    <cellStyle name="Normal 58 2 2_FC with allocations" xfId="29503"/>
    <cellStyle name="Normal 58 2 3" xfId="13930"/>
    <cellStyle name="Normal 58 2 3 2" xfId="13931"/>
    <cellStyle name="Normal 58 2 3 2 2" xfId="13932"/>
    <cellStyle name="Normal 58 2 3 2 2 2" xfId="13933"/>
    <cellStyle name="Normal 58 2 3 2 2 2 2" xfId="13934"/>
    <cellStyle name="Normal 58 2 3 2 2 2_FC with allocations" xfId="29514"/>
    <cellStyle name="Normal 58 2 3 2 2 3" xfId="13935"/>
    <cellStyle name="Normal 58 2 3 2 2_FC with allocations" xfId="29513"/>
    <cellStyle name="Normal 58 2 3 2 3" xfId="13936"/>
    <cellStyle name="Normal 58 2 3 2 3 2" xfId="13937"/>
    <cellStyle name="Normal 58 2 3 2 3_FC with allocations" xfId="29515"/>
    <cellStyle name="Normal 58 2 3 2 4" xfId="13938"/>
    <cellStyle name="Normal 58 2 3 2_FC with allocations" xfId="29512"/>
    <cellStyle name="Normal 58 2 3 3" xfId="13939"/>
    <cellStyle name="Normal 58 2 3 3 2" xfId="13940"/>
    <cellStyle name="Normal 58 2 3 3 2 2" xfId="13941"/>
    <cellStyle name="Normal 58 2 3 3 2_FC with allocations" xfId="29517"/>
    <cellStyle name="Normal 58 2 3 3 3" xfId="13942"/>
    <cellStyle name="Normal 58 2 3 3_FC with allocations" xfId="29516"/>
    <cellStyle name="Normal 58 2 3 4" xfId="13943"/>
    <cellStyle name="Normal 58 2 3 4 2" xfId="13944"/>
    <cellStyle name="Normal 58 2 3 4_FC with allocations" xfId="29518"/>
    <cellStyle name="Normal 58 2 3 5" xfId="13945"/>
    <cellStyle name="Normal 58 2 3_FC with allocations" xfId="29511"/>
    <cellStyle name="Normal 58 2 4" xfId="13946"/>
    <cellStyle name="Normal 58 2 4 2" xfId="13947"/>
    <cellStyle name="Normal 58 2 4 2 2" xfId="13948"/>
    <cellStyle name="Normal 58 2 4 2 2 2" xfId="13949"/>
    <cellStyle name="Normal 58 2 4 2 2_FC with allocations" xfId="29521"/>
    <cellStyle name="Normal 58 2 4 2 3" xfId="13950"/>
    <cellStyle name="Normal 58 2 4 2_FC with allocations" xfId="29520"/>
    <cellStyle name="Normal 58 2 4 3" xfId="13951"/>
    <cellStyle name="Normal 58 2 4 3 2" xfId="13952"/>
    <cellStyle name="Normal 58 2 4 3_FC with allocations" xfId="29522"/>
    <cellStyle name="Normal 58 2 4 4" xfId="13953"/>
    <cellStyle name="Normal 58 2 4_FC with allocations" xfId="29519"/>
    <cellStyle name="Normal 58 2 5" xfId="13954"/>
    <cellStyle name="Normal 58 2 5 2" xfId="13955"/>
    <cellStyle name="Normal 58 2 5 2 2" xfId="13956"/>
    <cellStyle name="Normal 58 2 5 2_FC with allocations" xfId="29524"/>
    <cellStyle name="Normal 58 2 5 3" xfId="13957"/>
    <cellStyle name="Normal 58 2 5_FC with allocations" xfId="29523"/>
    <cellStyle name="Normal 58 2 6" xfId="13958"/>
    <cellStyle name="Normal 58 2 6 2" xfId="13959"/>
    <cellStyle name="Normal 58 2 6 2 2" xfId="13960"/>
    <cellStyle name="Normal 58 2 6 2_FC with allocations" xfId="29526"/>
    <cellStyle name="Normal 58 2 6 3" xfId="13961"/>
    <cellStyle name="Normal 58 2 6_FC with allocations" xfId="29525"/>
    <cellStyle name="Normal 58 2 7" xfId="13962"/>
    <cellStyle name="Normal 58 2 7 2" xfId="13963"/>
    <cellStyle name="Normal 58 2 7_FC with allocations" xfId="29527"/>
    <cellStyle name="Normal 58 2 8" xfId="13964"/>
    <cellStyle name="Normal 58 2 9" xfId="13913"/>
    <cellStyle name="Normal 58 2_FC with allocations" xfId="29502"/>
    <cellStyle name="Normal 58 3" xfId="13965"/>
    <cellStyle name="Normal 58 4" xfId="13966"/>
    <cellStyle name="Normal 58 5" xfId="13967"/>
    <cellStyle name="Normal 58 5 2" xfId="13968"/>
    <cellStyle name="Normal 58 5_FC with allocations" xfId="29528"/>
    <cellStyle name="Normal 58 6" xfId="13969"/>
    <cellStyle name="Normal 58 7" xfId="13912"/>
    <cellStyle name="Normal 58_FC with allocations" xfId="29501"/>
    <cellStyle name="Normal 59" xfId="2246"/>
    <cellStyle name="Normal 59 2" xfId="2247"/>
    <cellStyle name="Normal 59 2 2" xfId="13971"/>
    <cellStyle name="Normal 59 2_FC with allocations" xfId="29530"/>
    <cellStyle name="Normal 59 3" xfId="13970"/>
    <cellStyle name="Normal 59_FC with allocations" xfId="29529"/>
    <cellStyle name="Normal 6" xfId="2248"/>
    <cellStyle name="Normal 6 10" xfId="2249"/>
    <cellStyle name="Normal 6 10 2" xfId="2250"/>
    <cellStyle name="Normal 6 10 2 2" xfId="4251"/>
    <cellStyle name="Normal 6 10 2 3" xfId="13974"/>
    <cellStyle name="Normal 6 10 2 3 2" xfId="18403"/>
    <cellStyle name="Normal 6 10 2 3 3" xfId="17728"/>
    <cellStyle name="Normal 6 10 2 3_FC with allocations" xfId="29533"/>
    <cellStyle name="Normal 6 10 2 4" xfId="17223"/>
    <cellStyle name="Normal 6 10 2_FC with allocations" xfId="29532"/>
    <cellStyle name="Normal 6 10 3" xfId="13973"/>
    <cellStyle name="Normal 6 10_FC with allocations" xfId="29531"/>
    <cellStyle name="Normal 6 11" xfId="2251"/>
    <cellStyle name="Normal 6 11 2" xfId="2252"/>
    <cellStyle name="Normal 6 11 2 2" xfId="4252"/>
    <cellStyle name="Normal 6 11 2 3" xfId="13976"/>
    <cellStyle name="Normal 6 11 2 3 2" xfId="18404"/>
    <cellStyle name="Normal 6 11 2 3 3" xfId="17729"/>
    <cellStyle name="Normal 6 11 2 3_FC with allocations" xfId="29536"/>
    <cellStyle name="Normal 6 11 2 4" xfId="17224"/>
    <cellStyle name="Normal 6 11 2_FC with allocations" xfId="29535"/>
    <cellStyle name="Normal 6 11 3" xfId="13975"/>
    <cellStyle name="Normal 6 11_FC with allocations" xfId="29534"/>
    <cellStyle name="Normal 6 12" xfId="2253"/>
    <cellStyle name="Normal 6 12 2" xfId="13978"/>
    <cellStyle name="Normal 6 12 3" xfId="13979"/>
    <cellStyle name="Normal 6 12 3 2" xfId="13980"/>
    <cellStyle name="Normal 6 12 3_FC with allocations" xfId="29538"/>
    <cellStyle name="Normal 6 12 4" xfId="13981"/>
    <cellStyle name="Normal 6 12 5" xfId="13977"/>
    <cellStyle name="Normal 6 12_FC with allocations" xfId="29537"/>
    <cellStyle name="Normal 6 13" xfId="13982"/>
    <cellStyle name="Normal 6 14" xfId="13972"/>
    <cellStyle name="Normal 6 2" xfId="2254"/>
    <cellStyle name="Normal 6 2 2" xfId="2255"/>
    <cellStyle name="Normal 6 2 2 2" xfId="2256"/>
    <cellStyle name="Normal 6 2 2 2 2" xfId="2257"/>
    <cellStyle name="Normal 6 2 2 2 2 2" xfId="2258"/>
    <cellStyle name="Normal 6 2 2 2 2 2 2" xfId="2259"/>
    <cellStyle name="Normal 6 2 2 2 2 2 2 2" xfId="4256"/>
    <cellStyle name="Normal 6 2 2 2 2 2 2 2 2" xfId="13990"/>
    <cellStyle name="Normal 6 2 2 2 2 2 2 2 3" xfId="13989"/>
    <cellStyle name="Normal 6 2 2 2 2 2 2 2_FC with allocations" xfId="29544"/>
    <cellStyle name="Normal 6 2 2 2 2 2 2 3" xfId="13991"/>
    <cellStyle name="Normal 6 2 2 2 2 2 2 3 2" xfId="18405"/>
    <cellStyle name="Normal 6 2 2 2 2 2 2 3 3" xfId="17733"/>
    <cellStyle name="Normal 6 2 2 2 2 2 2 3_FC with allocations" xfId="29545"/>
    <cellStyle name="Normal 6 2 2 2 2 2 2 4" xfId="13988"/>
    <cellStyle name="Normal 6 2 2 2 2 2 2 5" xfId="17228"/>
    <cellStyle name="Normal 6 2 2 2 2 2 2_FC with allocations" xfId="29543"/>
    <cellStyle name="Normal 6 2 2 2 2 2 3" xfId="4255"/>
    <cellStyle name="Normal 6 2 2 2 2 2 3 2" xfId="13993"/>
    <cellStyle name="Normal 6 2 2 2 2 2 3 3" xfId="13992"/>
    <cellStyle name="Normal 6 2 2 2 2 2 3_FC with allocations" xfId="29546"/>
    <cellStyle name="Normal 6 2 2 2 2 2 4" xfId="13994"/>
    <cellStyle name="Normal 6 2 2 2 2 2 4 2" xfId="18406"/>
    <cellStyle name="Normal 6 2 2 2 2 2 4 3" xfId="17732"/>
    <cellStyle name="Normal 6 2 2 2 2 2 4_FC with allocations" xfId="29547"/>
    <cellStyle name="Normal 6 2 2 2 2 2 5" xfId="13987"/>
    <cellStyle name="Normal 6 2 2 2 2 2 6" xfId="17227"/>
    <cellStyle name="Normal 6 2 2 2 2 2_FC with allocations" xfId="29542"/>
    <cellStyle name="Normal 6 2 2 2 2 3" xfId="2260"/>
    <cellStyle name="Normal 6 2 2 2 2 3 2" xfId="4257"/>
    <cellStyle name="Normal 6 2 2 2 2 3 2 2" xfId="13997"/>
    <cellStyle name="Normal 6 2 2 2 2 3 2 3" xfId="13996"/>
    <cellStyle name="Normal 6 2 2 2 2 3 2_FC with allocations" xfId="29549"/>
    <cellStyle name="Normal 6 2 2 2 2 3 3" xfId="13998"/>
    <cellStyle name="Normal 6 2 2 2 2 3 3 2" xfId="18407"/>
    <cellStyle name="Normal 6 2 2 2 2 3 3 3" xfId="17734"/>
    <cellStyle name="Normal 6 2 2 2 2 3 3_FC with allocations" xfId="29550"/>
    <cellStyle name="Normal 6 2 2 2 2 3 4" xfId="13995"/>
    <cellStyle name="Normal 6 2 2 2 2 3 5" xfId="17229"/>
    <cellStyle name="Normal 6 2 2 2 2 3_FC with allocations" xfId="29548"/>
    <cellStyle name="Normal 6 2 2 2 2 4" xfId="4254"/>
    <cellStyle name="Normal 6 2 2 2 2 4 2" xfId="14000"/>
    <cellStyle name="Normal 6 2 2 2 2 4 3" xfId="13999"/>
    <cellStyle name="Normal 6 2 2 2 2 4_FC with allocations" xfId="29551"/>
    <cellStyle name="Normal 6 2 2 2 2 5" xfId="14001"/>
    <cellStyle name="Normal 6 2 2 2 2 5 2" xfId="18408"/>
    <cellStyle name="Normal 6 2 2 2 2 5 3" xfId="17731"/>
    <cellStyle name="Normal 6 2 2 2 2 5_FC with allocations" xfId="29552"/>
    <cellStyle name="Normal 6 2 2 2 2 6" xfId="13986"/>
    <cellStyle name="Normal 6 2 2 2 2 7" xfId="17226"/>
    <cellStyle name="Normal 6 2 2 2 2_FC with allocations" xfId="29541"/>
    <cellStyle name="Normal 6 2 2 2 3" xfId="2261"/>
    <cellStyle name="Normal 6 2 2 2 3 2" xfId="2262"/>
    <cellStyle name="Normal 6 2 2 2 3 2 2" xfId="4259"/>
    <cellStyle name="Normal 6 2 2 2 3 2 2 2" xfId="14005"/>
    <cellStyle name="Normal 6 2 2 2 3 2 2 3" xfId="14004"/>
    <cellStyle name="Normal 6 2 2 2 3 2 2_FC with allocations" xfId="29555"/>
    <cellStyle name="Normal 6 2 2 2 3 2 3" xfId="14006"/>
    <cellStyle name="Normal 6 2 2 2 3 2 3 2" xfId="18409"/>
    <cellStyle name="Normal 6 2 2 2 3 2 3 3" xfId="17736"/>
    <cellStyle name="Normal 6 2 2 2 3 2 3_FC with allocations" xfId="29556"/>
    <cellStyle name="Normal 6 2 2 2 3 2 4" xfId="14003"/>
    <cellStyle name="Normal 6 2 2 2 3 2 5" xfId="17231"/>
    <cellStyle name="Normal 6 2 2 2 3 2_FC with allocations" xfId="29554"/>
    <cellStyle name="Normal 6 2 2 2 3 3" xfId="4258"/>
    <cellStyle name="Normal 6 2 2 2 3 3 2" xfId="14008"/>
    <cellStyle name="Normal 6 2 2 2 3 3 3" xfId="14007"/>
    <cellStyle name="Normal 6 2 2 2 3 3_FC with allocations" xfId="29557"/>
    <cellStyle name="Normal 6 2 2 2 3 4" xfId="14009"/>
    <cellStyle name="Normal 6 2 2 2 3 4 2" xfId="18410"/>
    <cellStyle name="Normal 6 2 2 2 3 4 3" xfId="17735"/>
    <cellStyle name="Normal 6 2 2 2 3 4_FC with allocations" xfId="29558"/>
    <cellStyle name="Normal 6 2 2 2 3 5" xfId="14002"/>
    <cellStyle name="Normal 6 2 2 2 3 6" xfId="17230"/>
    <cellStyle name="Normal 6 2 2 2 3_FC with allocations" xfId="29553"/>
    <cellStyle name="Normal 6 2 2 2 4" xfId="2263"/>
    <cellStyle name="Normal 6 2 2 2 4 2" xfId="4260"/>
    <cellStyle name="Normal 6 2 2 2 4 2 2" xfId="14012"/>
    <cellStyle name="Normal 6 2 2 2 4 2 3" xfId="14011"/>
    <cellStyle name="Normal 6 2 2 2 4 2_FC with allocations" xfId="29560"/>
    <cellStyle name="Normal 6 2 2 2 4 3" xfId="14013"/>
    <cellStyle name="Normal 6 2 2 2 4 3 2" xfId="18411"/>
    <cellStyle name="Normal 6 2 2 2 4 3 3" xfId="17737"/>
    <cellStyle name="Normal 6 2 2 2 4 3_FC with allocations" xfId="29561"/>
    <cellStyle name="Normal 6 2 2 2 4 4" xfId="14010"/>
    <cellStyle name="Normal 6 2 2 2 4 5" xfId="17232"/>
    <cellStyle name="Normal 6 2 2 2 4_FC with allocations" xfId="29559"/>
    <cellStyle name="Normal 6 2 2 2 5" xfId="4253"/>
    <cellStyle name="Normal 6 2 2 2 5 2" xfId="14015"/>
    <cellStyle name="Normal 6 2 2 2 5 3" xfId="14014"/>
    <cellStyle name="Normal 6 2 2 2 5_FC with allocations" xfId="29562"/>
    <cellStyle name="Normal 6 2 2 2 6" xfId="14016"/>
    <cellStyle name="Normal 6 2 2 2 6 2" xfId="18412"/>
    <cellStyle name="Normal 6 2 2 2 6 3" xfId="17730"/>
    <cellStyle name="Normal 6 2 2 2 6_FC with allocations" xfId="29563"/>
    <cellStyle name="Normal 6 2 2 2 7" xfId="13985"/>
    <cellStyle name="Normal 6 2 2 2 8" xfId="17225"/>
    <cellStyle name="Normal 6 2 2 2_FC with allocations" xfId="29540"/>
    <cellStyle name="Normal 6 2 2 3" xfId="2264"/>
    <cellStyle name="Normal 6 2 2 3 2" xfId="2265"/>
    <cellStyle name="Normal 6 2 2 3 2 2" xfId="2266"/>
    <cellStyle name="Normal 6 2 2 3 2 2 2" xfId="4263"/>
    <cellStyle name="Normal 6 2 2 3 2 2 2 2" xfId="14021"/>
    <cellStyle name="Normal 6 2 2 3 2 2 2 3" xfId="14020"/>
    <cellStyle name="Normal 6 2 2 3 2 2 2_FC with allocations" xfId="29567"/>
    <cellStyle name="Normal 6 2 2 3 2 2 3" xfId="14022"/>
    <cellStyle name="Normal 6 2 2 3 2 2 3 2" xfId="18413"/>
    <cellStyle name="Normal 6 2 2 3 2 2 3 3" xfId="17740"/>
    <cellStyle name="Normal 6 2 2 3 2 2 3_FC with allocations" xfId="29568"/>
    <cellStyle name="Normal 6 2 2 3 2 2 4" xfId="14019"/>
    <cellStyle name="Normal 6 2 2 3 2 2 5" xfId="17235"/>
    <cellStyle name="Normal 6 2 2 3 2 2_FC with allocations" xfId="29566"/>
    <cellStyle name="Normal 6 2 2 3 2 3" xfId="4262"/>
    <cellStyle name="Normal 6 2 2 3 2 3 2" xfId="14024"/>
    <cellStyle name="Normal 6 2 2 3 2 3 3" xfId="14023"/>
    <cellStyle name="Normal 6 2 2 3 2 3_FC with allocations" xfId="29569"/>
    <cellStyle name="Normal 6 2 2 3 2 4" xfId="14025"/>
    <cellStyle name="Normal 6 2 2 3 2 4 2" xfId="18414"/>
    <cellStyle name="Normal 6 2 2 3 2 4 3" xfId="17739"/>
    <cellStyle name="Normal 6 2 2 3 2 4_FC with allocations" xfId="29570"/>
    <cellStyle name="Normal 6 2 2 3 2 5" xfId="14018"/>
    <cellStyle name="Normal 6 2 2 3 2 6" xfId="17234"/>
    <cellStyle name="Normal 6 2 2 3 2_FC with allocations" xfId="29565"/>
    <cellStyle name="Normal 6 2 2 3 3" xfId="2267"/>
    <cellStyle name="Normal 6 2 2 3 3 2" xfId="4264"/>
    <cellStyle name="Normal 6 2 2 3 3 2 2" xfId="14028"/>
    <cellStyle name="Normal 6 2 2 3 3 2 3" xfId="14027"/>
    <cellStyle name="Normal 6 2 2 3 3 2_FC with allocations" xfId="29572"/>
    <cellStyle name="Normal 6 2 2 3 3 3" xfId="14029"/>
    <cellStyle name="Normal 6 2 2 3 3 3 2" xfId="18415"/>
    <cellStyle name="Normal 6 2 2 3 3 3 3" xfId="17741"/>
    <cellStyle name="Normal 6 2 2 3 3 3_FC with allocations" xfId="29573"/>
    <cellStyle name="Normal 6 2 2 3 3 4" xfId="14026"/>
    <cellStyle name="Normal 6 2 2 3 3 5" xfId="17236"/>
    <cellStyle name="Normal 6 2 2 3 3_FC with allocations" xfId="29571"/>
    <cellStyle name="Normal 6 2 2 3 4" xfId="4261"/>
    <cellStyle name="Normal 6 2 2 3 4 2" xfId="14031"/>
    <cellStyle name="Normal 6 2 2 3 4 3" xfId="14030"/>
    <cellStyle name="Normal 6 2 2 3 4_FC with allocations" xfId="29574"/>
    <cellStyle name="Normal 6 2 2 3 5" xfId="14032"/>
    <cellStyle name="Normal 6 2 2 3 5 2" xfId="18416"/>
    <cellStyle name="Normal 6 2 2 3 5 3" xfId="17738"/>
    <cellStyle name="Normal 6 2 2 3 5_FC with allocations" xfId="29575"/>
    <cellStyle name="Normal 6 2 2 3 6" xfId="14017"/>
    <cellStyle name="Normal 6 2 2 3 7" xfId="17233"/>
    <cellStyle name="Normal 6 2 2 3_FC with allocations" xfId="29564"/>
    <cellStyle name="Normal 6 2 2 4" xfId="2268"/>
    <cellStyle name="Normal 6 2 2 4 2" xfId="2269"/>
    <cellStyle name="Normal 6 2 2 4 2 2" xfId="2270"/>
    <cellStyle name="Normal 6 2 2 4 2 2 2" xfId="4267"/>
    <cellStyle name="Normal 6 2 2 4 2 2 2 2" xfId="14036"/>
    <cellStyle name="Normal 6 2 2 4 2 2 2_FC with allocations" xfId="29579"/>
    <cellStyle name="Normal 6 2 2 4 2 2 3" xfId="14035"/>
    <cellStyle name="Normal 6 2 2 4 2 2 3 2" xfId="18419"/>
    <cellStyle name="Normal 6 2 2 4 2 2 3 3" xfId="17744"/>
    <cellStyle name="Normal 6 2 2 4 2 2 3_FC with allocations" xfId="29580"/>
    <cellStyle name="Normal 6 2 2 4 2 2 4" xfId="17239"/>
    <cellStyle name="Normal 6 2 2 4 2 2_FC with allocations" xfId="29578"/>
    <cellStyle name="Normal 6 2 2 4 2 3" xfId="4266"/>
    <cellStyle name="Normal 6 2 2 4 2 3 2" xfId="14037"/>
    <cellStyle name="Normal 6 2 2 4 2 3_FC with allocations" xfId="29581"/>
    <cellStyle name="Normal 6 2 2 4 2 4" xfId="14034"/>
    <cellStyle name="Normal 6 2 2 4 2 4 2" xfId="18418"/>
    <cellStyle name="Normal 6 2 2 4 2 4 3" xfId="17743"/>
    <cellStyle name="Normal 6 2 2 4 2 4_FC with allocations" xfId="29582"/>
    <cellStyle name="Normal 6 2 2 4 2 5" xfId="17238"/>
    <cellStyle name="Normal 6 2 2 4 2_FC with allocations" xfId="29577"/>
    <cellStyle name="Normal 6 2 2 4 3" xfId="2271"/>
    <cellStyle name="Normal 6 2 2 4 3 2" xfId="4268"/>
    <cellStyle name="Normal 6 2 2 4 3 2 2" xfId="14039"/>
    <cellStyle name="Normal 6 2 2 4 3 2_FC with allocations" xfId="29584"/>
    <cellStyle name="Normal 6 2 2 4 3 3" xfId="14038"/>
    <cellStyle name="Normal 6 2 2 4 3 3 2" xfId="18420"/>
    <cellStyle name="Normal 6 2 2 4 3 3 3" xfId="17745"/>
    <cellStyle name="Normal 6 2 2 4 3 3_FC with allocations" xfId="29585"/>
    <cellStyle name="Normal 6 2 2 4 3 4" xfId="17240"/>
    <cellStyle name="Normal 6 2 2 4 3_FC with allocations" xfId="29583"/>
    <cellStyle name="Normal 6 2 2 4 4" xfId="4265"/>
    <cellStyle name="Normal 6 2 2 4 4 2" xfId="14040"/>
    <cellStyle name="Normal 6 2 2 4 4_FC with allocations" xfId="29586"/>
    <cellStyle name="Normal 6 2 2 4 5" xfId="14033"/>
    <cellStyle name="Normal 6 2 2 4 5 2" xfId="18417"/>
    <cellStyle name="Normal 6 2 2 4 5 3" xfId="17742"/>
    <cellStyle name="Normal 6 2 2 4 5_FC with allocations" xfId="29587"/>
    <cellStyle name="Normal 6 2 2 4 6" xfId="17237"/>
    <cellStyle name="Normal 6 2 2 4_FC with allocations" xfId="29576"/>
    <cellStyle name="Normal 6 2 2 5" xfId="2272"/>
    <cellStyle name="Normal 6 2 2 5 2" xfId="2273"/>
    <cellStyle name="Normal 6 2 2 5 2 2" xfId="4270"/>
    <cellStyle name="Normal 6 2 2 5 2 2 2" xfId="14043"/>
    <cellStyle name="Normal 6 2 2 5 2 2_FC with allocations" xfId="29590"/>
    <cellStyle name="Normal 6 2 2 5 2 3" xfId="14042"/>
    <cellStyle name="Normal 6 2 2 5 2 3 2" xfId="18422"/>
    <cellStyle name="Normal 6 2 2 5 2 3 3" xfId="17747"/>
    <cellStyle name="Normal 6 2 2 5 2 3_FC with allocations" xfId="29591"/>
    <cellStyle name="Normal 6 2 2 5 2 4" xfId="17242"/>
    <cellStyle name="Normal 6 2 2 5 2_FC with allocations" xfId="29589"/>
    <cellStyle name="Normal 6 2 2 5 3" xfId="4269"/>
    <cellStyle name="Normal 6 2 2 5 3 2" xfId="14044"/>
    <cellStyle name="Normal 6 2 2 5 3_FC with allocations" xfId="29592"/>
    <cellStyle name="Normal 6 2 2 5 4" xfId="14041"/>
    <cellStyle name="Normal 6 2 2 5 4 2" xfId="18421"/>
    <cellStyle name="Normal 6 2 2 5 4 3" xfId="17746"/>
    <cellStyle name="Normal 6 2 2 5 4_FC with allocations" xfId="29593"/>
    <cellStyle name="Normal 6 2 2 5 5" xfId="17241"/>
    <cellStyle name="Normal 6 2 2 5_FC with allocations" xfId="29588"/>
    <cellStyle name="Normal 6 2 2 6" xfId="2274"/>
    <cellStyle name="Normal 6 2 2 6 2" xfId="4271"/>
    <cellStyle name="Normal 6 2 2 6 2 2" xfId="14047"/>
    <cellStyle name="Normal 6 2 2 6 2 3" xfId="14046"/>
    <cellStyle name="Normal 6 2 2 6 2_FC with allocations" xfId="29595"/>
    <cellStyle name="Normal 6 2 2 6 3" xfId="14048"/>
    <cellStyle name="Normal 6 2 2 6 3 2" xfId="18423"/>
    <cellStyle name="Normal 6 2 2 6 3 3" xfId="17748"/>
    <cellStyle name="Normal 6 2 2 6 3_FC with allocations" xfId="29596"/>
    <cellStyle name="Normal 6 2 2 6 4" xfId="14045"/>
    <cellStyle name="Normal 6 2 2 6 5" xfId="17243"/>
    <cellStyle name="Normal 6 2 2 6_FC with allocations" xfId="29594"/>
    <cellStyle name="Normal 6 2 2 7" xfId="2275"/>
    <cellStyle name="Normal 6 2 2 7 2" xfId="4272"/>
    <cellStyle name="Normal 6 2 2 7 3" xfId="14049"/>
    <cellStyle name="Normal 6 2 2 7 3 2" xfId="18424"/>
    <cellStyle name="Normal 6 2 2 7 3 3" xfId="17749"/>
    <cellStyle name="Normal 6 2 2 7 3_FC with allocations" xfId="29598"/>
    <cellStyle name="Normal 6 2 2 7 4" xfId="17244"/>
    <cellStyle name="Normal 6 2 2 7_FC with allocations" xfId="29597"/>
    <cellStyle name="Normal 6 2 2 8" xfId="13984"/>
    <cellStyle name="Normal 6 2 2_FC with allocations" xfId="29539"/>
    <cellStyle name="Normal 6 2 3" xfId="2276"/>
    <cellStyle name="Normal 6 2 3 2" xfId="2277"/>
    <cellStyle name="Normal 6 2 3 2 2" xfId="2278"/>
    <cellStyle name="Normal 6 2 3 2 2 2" xfId="2279"/>
    <cellStyle name="Normal 6 2 3 2 2 2 2" xfId="4276"/>
    <cellStyle name="Normal 6 2 3 2 2 2 2 2" xfId="14055"/>
    <cellStyle name="Normal 6 2 3 2 2 2 2 3" xfId="14054"/>
    <cellStyle name="Normal 6 2 3 2 2 2 2_FC with allocations" xfId="29603"/>
    <cellStyle name="Normal 6 2 3 2 2 2 3" xfId="14056"/>
    <cellStyle name="Normal 6 2 3 2 2 2 3 2" xfId="18425"/>
    <cellStyle name="Normal 6 2 3 2 2 2 3 3" xfId="17753"/>
    <cellStyle name="Normal 6 2 3 2 2 2 3_FC with allocations" xfId="29604"/>
    <cellStyle name="Normal 6 2 3 2 2 2 4" xfId="14053"/>
    <cellStyle name="Normal 6 2 3 2 2 2 5" xfId="17248"/>
    <cellStyle name="Normal 6 2 3 2 2 2_FC with allocations" xfId="29602"/>
    <cellStyle name="Normal 6 2 3 2 2 3" xfId="4275"/>
    <cellStyle name="Normal 6 2 3 2 2 3 2" xfId="14058"/>
    <cellStyle name="Normal 6 2 3 2 2 3 3" xfId="14057"/>
    <cellStyle name="Normal 6 2 3 2 2 3_FC with allocations" xfId="29605"/>
    <cellStyle name="Normal 6 2 3 2 2 4" xfId="14059"/>
    <cellStyle name="Normal 6 2 3 2 2 4 2" xfId="18426"/>
    <cellStyle name="Normal 6 2 3 2 2 4 3" xfId="17752"/>
    <cellStyle name="Normal 6 2 3 2 2 4_FC with allocations" xfId="29606"/>
    <cellStyle name="Normal 6 2 3 2 2 5" xfId="14052"/>
    <cellStyle name="Normal 6 2 3 2 2 6" xfId="17247"/>
    <cellStyle name="Normal 6 2 3 2 2_FC with allocations" xfId="29601"/>
    <cellStyle name="Normal 6 2 3 2 3" xfId="2280"/>
    <cellStyle name="Normal 6 2 3 2 3 2" xfId="4277"/>
    <cellStyle name="Normal 6 2 3 2 3 2 2" xfId="14062"/>
    <cellStyle name="Normal 6 2 3 2 3 2 3" xfId="14061"/>
    <cellStyle name="Normal 6 2 3 2 3 2_FC with allocations" xfId="29608"/>
    <cellStyle name="Normal 6 2 3 2 3 3" xfId="14063"/>
    <cellStyle name="Normal 6 2 3 2 3 3 2" xfId="18427"/>
    <cellStyle name="Normal 6 2 3 2 3 3 3" xfId="17754"/>
    <cellStyle name="Normal 6 2 3 2 3 3_FC with allocations" xfId="29609"/>
    <cellStyle name="Normal 6 2 3 2 3 4" xfId="14060"/>
    <cellStyle name="Normal 6 2 3 2 3 5" xfId="17249"/>
    <cellStyle name="Normal 6 2 3 2 3_FC with allocations" xfId="29607"/>
    <cellStyle name="Normal 6 2 3 2 4" xfId="4274"/>
    <cellStyle name="Normal 6 2 3 2 4 2" xfId="14065"/>
    <cellStyle name="Normal 6 2 3 2 4 3" xfId="14064"/>
    <cellStyle name="Normal 6 2 3 2 4_FC with allocations" xfId="29610"/>
    <cellStyle name="Normal 6 2 3 2 5" xfId="14066"/>
    <cellStyle name="Normal 6 2 3 2 5 2" xfId="18428"/>
    <cellStyle name="Normal 6 2 3 2 5 3" xfId="17751"/>
    <cellStyle name="Normal 6 2 3 2 5_FC with allocations" xfId="29611"/>
    <cellStyle name="Normal 6 2 3 2 6" xfId="14051"/>
    <cellStyle name="Normal 6 2 3 2 7" xfId="17246"/>
    <cellStyle name="Normal 6 2 3 2_FC with allocations" xfId="29600"/>
    <cellStyle name="Normal 6 2 3 3" xfId="2281"/>
    <cellStyle name="Normal 6 2 3 3 2" xfId="2282"/>
    <cellStyle name="Normal 6 2 3 3 2 2" xfId="4279"/>
    <cellStyle name="Normal 6 2 3 3 2 2 2" xfId="14070"/>
    <cellStyle name="Normal 6 2 3 3 2 2 3" xfId="14069"/>
    <cellStyle name="Normal 6 2 3 3 2 2_FC with allocations" xfId="29614"/>
    <cellStyle name="Normal 6 2 3 3 2 3" xfId="14071"/>
    <cellStyle name="Normal 6 2 3 3 2 3 2" xfId="18429"/>
    <cellStyle name="Normal 6 2 3 3 2 3 3" xfId="17756"/>
    <cellStyle name="Normal 6 2 3 3 2 3_FC with allocations" xfId="29615"/>
    <cellStyle name="Normal 6 2 3 3 2 4" xfId="14068"/>
    <cellStyle name="Normal 6 2 3 3 2 5" xfId="17251"/>
    <cellStyle name="Normal 6 2 3 3 2_FC with allocations" xfId="29613"/>
    <cellStyle name="Normal 6 2 3 3 3" xfId="4278"/>
    <cellStyle name="Normal 6 2 3 3 3 2" xfId="14073"/>
    <cellStyle name="Normal 6 2 3 3 3 3" xfId="14072"/>
    <cellStyle name="Normal 6 2 3 3 3_FC with allocations" xfId="29616"/>
    <cellStyle name="Normal 6 2 3 3 4" xfId="14074"/>
    <cellStyle name="Normal 6 2 3 3 4 2" xfId="18430"/>
    <cellStyle name="Normal 6 2 3 3 4 3" xfId="17755"/>
    <cellStyle name="Normal 6 2 3 3 4_FC with allocations" xfId="29617"/>
    <cellStyle name="Normal 6 2 3 3 5" xfId="14067"/>
    <cellStyle name="Normal 6 2 3 3 6" xfId="17250"/>
    <cellStyle name="Normal 6 2 3 3_FC with allocations" xfId="29612"/>
    <cellStyle name="Normal 6 2 3 4" xfId="2283"/>
    <cellStyle name="Normal 6 2 3 4 2" xfId="4280"/>
    <cellStyle name="Normal 6 2 3 4 2 2" xfId="14077"/>
    <cellStyle name="Normal 6 2 3 4 2 3" xfId="14076"/>
    <cellStyle name="Normal 6 2 3 4 2_FC with allocations" xfId="29619"/>
    <cellStyle name="Normal 6 2 3 4 3" xfId="14078"/>
    <cellStyle name="Normal 6 2 3 4 3 2" xfId="18431"/>
    <cellStyle name="Normal 6 2 3 4 3 3" xfId="17757"/>
    <cellStyle name="Normal 6 2 3 4 3_FC with allocations" xfId="29620"/>
    <cellStyle name="Normal 6 2 3 4 4" xfId="14075"/>
    <cellStyle name="Normal 6 2 3 4 5" xfId="17252"/>
    <cellStyle name="Normal 6 2 3 4_FC with allocations" xfId="29618"/>
    <cellStyle name="Normal 6 2 3 5" xfId="4273"/>
    <cellStyle name="Normal 6 2 3 5 2" xfId="14079"/>
    <cellStyle name="Normal 6 2 3 5_FC with allocations" xfId="29621"/>
    <cellStyle name="Normal 6 2 3 6" xfId="14080"/>
    <cellStyle name="Normal 6 2 3 6 2" xfId="14081"/>
    <cellStyle name="Normal 6 2 3 6 3" xfId="18432"/>
    <cellStyle name="Normal 6 2 3 6 4" xfId="17750"/>
    <cellStyle name="Normal 6 2 3 6_FC with allocations" xfId="29622"/>
    <cellStyle name="Normal 6 2 3 7" xfId="14082"/>
    <cellStyle name="Normal 6 2 3 8" xfId="14050"/>
    <cellStyle name="Normal 6 2 3 9" xfId="17245"/>
    <cellStyle name="Normal 6 2 3_FC with allocations" xfId="29599"/>
    <cellStyle name="Normal 6 2 4" xfId="2284"/>
    <cellStyle name="Normal 6 2 4 2" xfId="2285"/>
    <cellStyle name="Normal 6 2 4 2 2" xfId="2286"/>
    <cellStyle name="Normal 6 2 4 2 2 2" xfId="4283"/>
    <cellStyle name="Normal 6 2 4 2 2 2 2" xfId="14087"/>
    <cellStyle name="Normal 6 2 4 2 2 2 3" xfId="14086"/>
    <cellStyle name="Normal 6 2 4 2 2 2_FC with allocations" xfId="29626"/>
    <cellStyle name="Normal 6 2 4 2 2 3" xfId="14088"/>
    <cellStyle name="Normal 6 2 4 2 2 3 2" xfId="18433"/>
    <cellStyle name="Normal 6 2 4 2 2 3 3" xfId="17760"/>
    <cellStyle name="Normal 6 2 4 2 2 3_FC with allocations" xfId="29627"/>
    <cellStyle name="Normal 6 2 4 2 2 4" xfId="14085"/>
    <cellStyle name="Normal 6 2 4 2 2 5" xfId="17255"/>
    <cellStyle name="Normal 6 2 4 2 2_FC with allocations" xfId="29625"/>
    <cellStyle name="Normal 6 2 4 2 3" xfId="4282"/>
    <cellStyle name="Normal 6 2 4 2 3 2" xfId="14090"/>
    <cellStyle name="Normal 6 2 4 2 3 3" xfId="14089"/>
    <cellStyle name="Normal 6 2 4 2 3_FC with allocations" xfId="29628"/>
    <cellStyle name="Normal 6 2 4 2 4" xfId="14091"/>
    <cellStyle name="Normal 6 2 4 2 4 2" xfId="18434"/>
    <cellStyle name="Normal 6 2 4 2 4 3" xfId="17759"/>
    <cellStyle name="Normal 6 2 4 2 4_FC with allocations" xfId="29629"/>
    <cellStyle name="Normal 6 2 4 2 5" xfId="14084"/>
    <cellStyle name="Normal 6 2 4 2 6" xfId="17254"/>
    <cellStyle name="Normal 6 2 4 2_FC with allocations" xfId="29624"/>
    <cellStyle name="Normal 6 2 4 3" xfId="2287"/>
    <cellStyle name="Normal 6 2 4 3 2" xfId="4284"/>
    <cellStyle name="Normal 6 2 4 3 2 2" xfId="14094"/>
    <cellStyle name="Normal 6 2 4 3 2 3" xfId="14093"/>
    <cellStyle name="Normal 6 2 4 3 2_FC with allocations" xfId="29631"/>
    <cellStyle name="Normal 6 2 4 3 3" xfId="14095"/>
    <cellStyle name="Normal 6 2 4 3 3 2" xfId="18435"/>
    <cellStyle name="Normal 6 2 4 3 3 3" xfId="17761"/>
    <cellStyle name="Normal 6 2 4 3 3_FC with allocations" xfId="29632"/>
    <cellStyle name="Normal 6 2 4 3 4" xfId="14092"/>
    <cellStyle name="Normal 6 2 4 3 5" xfId="17256"/>
    <cellStyle name="Normal 6 2 4 3_FC with allocations" xfId="29630"/>
    <cellStyle name="Normal 6 2 4 4" xfId="4281"/>
    <cellStyle name="Normal 6 2 4 4 2" xfId="14097"/>
    <cellStyle name="Normal 6 2 4 4 3" xfId="14096"/>
    <cellStyle name="Normal 6 2 4 4_FC with allocations" xfId="29633"/>
    <cellStyle name="Normal 6 2 4 5" xfId="14098"/>
    <cellStyle name="Normal 6 2 4 5 2" xfId="18436"/>
    <cellStyle name="Normal 6 2 4 5 3" xfId="17758"/>
    <cellStyle name="Normal 6 2 4 5_FC with allocations" xfId="29634"/>
    <cellStyle name="Normal 6 2 4 6" xfId="14083"/>
    <cellStyle name="Normal 6 2 4 7" xfId="17253"/>
    <cellStyle name="Normal 6 2 4_FC with allocations" xfId="29623"/>
    <cellStyle name="Normal 6 2 5" xfId="2288"/>
    <cellStyle name="Normal 6 2 5 2" xfId="2289"/>
    <cellStyle name="Normal 6 2 5 2 2" xfId="2290"/>
    <cellStyle name="Normal 6 2 5 2 2 2" xfId="4287"/>
    <cellStyle name="Normal 6 2 5 2 2 2 2" xfId="14102"/>
    <cellStyle name="Normal 6 2 5 2 2 2_FC with allocations" xfId="29638"/>
    <cellStyle name="Normal 6 2 5 2 2 3" xfId="14101"/>
    <cellStyle name="Normal 6 2 5 2 2 3 2" xfId="18439"/>
    <cellStyle name="Normal 6 2 5 2 2 3 3" xfId="17764"/>
    <cellStyle name="Normal 6 2 5 2 2 3_FC with allocations" xfId="29639"/>
    <cellStyle name="Normal 6 2 5 2 2 4" xfId="17259"/>
    <cellStyle name="Normal 6 2 5 2 2_FC with allocations" xfId="29637"/>
    <cellStyle name="Normal 6 2 5 2 3" xfId="4286"/>
    <cellStyle name="Normal 6 2 5 2 3 2" xfId="14103"/>
    <cellStyle name="Normal 6 2 5 2 3_FC with allocations" xfId="29640"/>
    <cellStyle name="Normal 6 2 5 2 4" xfId="14100"/>
    <cellStyle name="Normal 6 2 5 2 4 2" xfId="18438"/>
    <cellStyle name="Normal 6 2 5 2 4 3" xfId="17763"/>
    <cellStyle name="Normal 6 2 5 2 4_FC with allocations" xfId="29641"/>
    <cellStyle name="Normal 6 2 5 2 5" xfId="17258"/>
    <cellStyle name="Normal 6 2 5 2_FC with allocations" xfId="29636"/>
    <cellStyle name="Normal 6 2 5 3" xfId="2291"/>
    <cellStyle name="Normal 6 2 5 3 2" xfId="4288"/>
    <cellStyle name="Normal 6 2 5 3 2 2" xfId="14105"/>
    <cellStyle name="Normal 6 2 5 3 2_FC with allocations" xfId="29643"/>
    <cellStyle name="Normal 6 2 5 3 3" xfId="14104"/>
    <cellStyle name="Normal 6 2 5 3 3 2" xfId="18440"/>
    <cellStyle name="Normal 6 2 5 3 3 3" xfId="17765"/>
    <cellStyle name="Normal 6 2 5 3 3_FC with allocations" xfId="29644"/>
    <cellStyle name="Normal 6 2 5 3 4" xfId="17260"/>
    <cellStyle name="Normal 6 2 5 3_FC with allocations" xfId="29642"/>
    <cellStyle name="Normal 6 2 5 4" xfId="4285"/>
    <cellStyle name="Normal 6 2 5 4 2" xfId="14106"/>
    <cellStyle name="Normal 6 2 5 4_FC with allocations" xfId="29645"/>
    <cellStyle name="Normal 6 2 5 5" xfId="14099"/>
    <cellStyle name="Normal 6 2 5 5 2" xfId="18437"/>
    <cellStyle name="Normal 6 2 5 5 3" xfId="17762"/>
    <cellStyle name="Normal 6 2 5 5_FC with allocations" xfId="29646"/>
    <cellStyle name="Normal 6 2 5 6" xfId="17257"/>
    <cellStyle name="Normal 6 2 5_FC with allocations" xfId="29635"/>
    <cellStyle name="Normal 6 2 6" xfId="2292"/>
    <cellStyle name="Normal 6 2 6 2" xfId="2293"/>
    <cellStyle name="Normal 6 2 6 2 2" xfId="4290"/>
    <cellStyle name="Normal 6 2 6 2 2 2" xfId="14109"/>
    <cellStyle name="Normal 6 2 6 2 2_FC with allocations" xfId="29649"/>
    <cellStyle name="Normal 6 2 6 2 3" xfId="14108"/>
    <cellStyle name="Normal 6 2 6 2 3 2" xfId="18442"/>
    <cellStyle name="Normal 6 2 6 2 3 3" xfId="17767"/>
    <cellStyle name="Normal 6 2 6 2 3_FC with allocations" xfId="29650"/>
    <cellStyle name="Normal 6 2 6 2 4" xfId="17262"/>
    <cellStyle name="Normal 6 2 6 2_FC with allocations" xfId="29648"/>
    <cellStyle name="Normal 6 2 6 3" xfId="4289"/>
    <cellStyle name="Normal 6 2 6 3 2" xfId="14110"/>
    <cellStyle name="Normal 6 2 6 3_FC with allocations" xfId="29651"/>
    <cellStyle name="Normal 6 2 6 4" xfId="14107"/>
    <cellStyle name="Normal 6 2 6 4 2" xfId="18441"/>
    <cellStyle name="Normal 6 2 6 4 3" xfId="17766"/>
    <cellStyle name="Normal 6 2 6 4_FC with allocations" xfId="29652"/>
    <cellStyle name="Normal 6 2 6 5" xfId="17261"/>
    <cellStyle name="Normal 6 2 6_FC with allocations" xfId="29647"/>
    <cellStyle name="Normal 6 2 7" xfId="2294"/>
    <cellStyle name="Normal 6 2 7 2" xfId="4291"/>
    <cellStyle name="Normal 6 2 7 2 2" xfId="14113"/>
    <cellStyle name="Normal 6 2 7 2 3" xfId="14112"/>
    <cellStyle name="Normal 6 2 7 2_FC with allocations" xfId="29654"/>
    <cellStyle name="Normal 6 2 7 3" xfId="14114"/>
    <cellStyle name="Normal 6 2 7 3 2" xfId="18443"/>
    <cellStyle name="Normal 6 2 7 3 3" xfId="17768"/>
    <cellStyle name="Normal 6 2 7 3_FC with allocations" xfId="29655"/>
    <cellStyle name="Normal 6 2 7 4" xfId="14111"/>
    <cellStyle name="Normal 6 2 7 5" xfId="17263"/>
    <cellStyle name="Normal 6 2 7_FC with allocations" xfId="29653"/>
    <cellStyle name="Normal 6 2 8" xfId="2295"/>
    <cellStyle name="Normal 6 2 8 2" xfId="4292"/>
    <cellStyle name="Normal 6 2 8 3" xfId="17769"/>
    <cellStyle name="Normal 6 2 8 4" xfId="17264"/>
    <cellStyle name="Normal 6 2 8_FC with allocations" xfId="29656"/>
    <cellStyle name="Normal 6 2 9" xfId="13983"/>
    <cellStyle name="Normal 6 2_Customers" xfId="2296"/>
    <cellStyle name="Normal 6 3" xfId="2297"/>
    <cellStyle name="Normal 6 3 2" xfId="2298"/>
    <cellStyle name="Normal 6 3 2 2" xfId="14117"/>
    <cellStyle name="Normal 6 3 2 2 2" xfId="14118"/>
    <cellStyle name="Normal 6 3 2 2 2 2" xfId="14119"/>
    <cellStyle name="Normal 6 3 2 2 2 2 2" xfId="14120"/>
    <cellStyle name="Normal 6 3 2 2 2 2 2 2" xfId="14121"/>
    <cellStyle name="Normal 6 3 2 2 2 2 2 2 2" xfId="14122"/>
    <cellStyle name="Normal 6 3 2 2 2 2 2 2_FC with allocations" xfId="29663"/>
    <cellStyle name="Normal 6 3 2 2 2 2 2 3" xfId="14123"/>
    <cellStyle name="Normal 6 3 2 2 2 2 2_FC with allocations" xfId="29662"/>
    <cellStyle name="Normal 6 3 2 2 2 2 3" xfId="14124"/>
    <cellStyle name="Normal 6 3 2 2 2 2 3 2" xfId="14125"/>
    <cellStyle name="Normal 6 3 2 2 2 2 3_FC with allocations" xfId="29664"/>
    <cellStyle name="Normal 6 3 2 2 2 2 4" xfId="14126"/>
    <cellStyle name="Normal 6 3 2 2 2 2_FC with allocations" xfId="29661"/>
    <cellStyle name="Normal 6 3 2 2 2 3" xfId="14127"/>
    <cellStyle name="Normal 6 3 2 2 2 3 2" xfId="14128"/>
    <cellStyle name="Normal 6 3 2 2 2 3 2 2" xfId="14129"/>
    <cellStyle name="Normal 6 3 2 2 2 3 2_FC with allocations" xfId="29666"/>
    <cellStyle name="Normal 6 3 2 2 2 3 3" xfId="14130"/>
    <cellStyle name="Normal 6 3 2 2 2 3_FC with allocations" xfId="29665"/>
    <cellStyle name="Normal 6 3 2 2 2 4" xfId="14131"/>
    <cellStyle name="Normal 6 3 2 2 2 4 2" xfId="14132"/>
    <cellStyle name="Normal 6 3 2 2 2 4_FC with allocations" xfId="29667"/>
    <cellStyle name="Normal 6 3 2 2 2 5" xfId="14133"/>
    <cellStyle name="Normal 6 3 2 2 2_FC with allocations" xfId="29660"/>
    <cellStyle name="Normal 6 3 2 2 3" xfId="14134"/>
    <cellStyle name="Normal 6 3 2 2 3 2" xfId="14135"/>
    <cellStyle name="Normal 6 3 2 2 3 2 2" xfId="14136"/>
    <cellStyle name="Normal 6 3 2 2 3 2 2 2" xfId="14137"/>
    <cellStyle name="Normal 6 3 2 2 3 2 2_FC with allocations" xfId="29670"/>
    <cellStyle name="Normal 6 3 2 2 3 2 3" xfId="14138"/>
    <cellStyle name="Normal 6 3 2 2 3 2_FC with allocations" xfId="29669"/>
    <cellStyle name="Normal 6 3 2 2 3 3" xfId="14139"/>
    <cellStyle name="Normal 6 3 2 2 3 3 2" xfId="14140"/>
    <cellStyle name="Normal 6 3 2 2 3 3_FC with allocations" xfId="29671"/>
    <cellStyle name="Normal 6 3 2 2 3 4" xfId="14141"/>
    <cellStyle name="Normal 6 3 2 2 3_FC with allocations" xfId="29668"/>
    <cellStyle name="Normal 6 3 2 2 4" xfId="14142"/>
    <cellStyle name="Normal 6 3 2 2 4 2" xfId="14143"/>
    <cellStyle name="Normal 6 3 2 2 4 2 2" xfId="14144"/>
    <cellStyle name="Normal 6 3 2 2 4 2_FC with allocations" xfId="29673"/>
    <cellStyle name="Normal 6 3 2 2 4 3" xfId="14145"/>
    <cellStyle name="Normal 6 3 2 2 4_FC with allocations" xfId="29672"/>
    <cellStyle name="Normal 6 3 2 2 5" xfId="14146"/>
    <cellStyle name="Normal 6 3 2 2 5 2" xfId="14147"/>
    <cellStyle name="Normal 6 3 2 2 5_FC with allocations" xfId="29674"/>
    <cellStyle name="Normal 6 3 2 2 6" xfId="14148"/>
    <cellStyle name="Normal 6 3 2 2_FC with allocations" xfId="29659"/>
    <cellStyle name="Normal 6 3 2 3" xfId="14149"/>
    <cellStyle name="Normal 6 3 2 3 2" xfId="14150"/>
    <cellStyle name="Normal 6 3 2 3 2 2" xfId="14151"/>
    <cellStyle name="Normal 6 3 2 3 2 2 2" xfId="14152"/>
    <cellStyle name="Normal 6 3 2 3 2 2 2 2" xfId="14153"/>
    <cellStyle name="Normal 6 3 2 3 2 2 2_FC with allocations" xfId="29678"/>
    <cellStyle name="Normal 6 3 2 3 2 2 3" xfId="14154"/>
    <cellStyle name="Normal 6 3 2 3 2 2_FC with allocations" xfId="29677"/>
    <cellStyle name="Normal 6 3 2 3 2 3" xfId="14155"/>
    <cellStyle name="Normal 6 3 2 3 2 3 2" xfId="14156"/>
    <cellStyle name="Normal 6 3 2 3 2 3_FC with allocations" xfId="29679"/>
    <cellStyle name="Normal 6 3 2 3 2 4" xfId="14157"/>
    <cellStyle name="Normal 6 3 2 3 2_FC with allocations" xfId="29676"/>
    <cellStyle name="Normal 6 3 2 3 3" xfId="14158"/>
    <cellStyle name="Normal 6 3 2 3 3 2" xfId="14159"/>
    <cellStyle name="Normal 6 3 2 3 3 2 2" xfId="14160"/>
    <cellStyle name="Normal 6 3 2 3 3 2_FC with allocations" xfId="29681"/>
    <cellStyle name="Normal 6 3 2 3 3 3" xfId="14161"/>
    <cellStyle name="Normal 6 3 2 3 3_FC with allocations" xfId="29680"/>
    <cellStyle name="Normal 6 3 2 3 4" xfId="14162"/>
    <cellStyle name="Normal 6 3 2 3 4 2" xfId="14163"/>
    <cellStyle name="Normal 6 3 2 3 4_FC with allocations" xfId="29682"/>
    <cellStyle name="Normal 6 3 2 3 5" xfId="14164"/>
    <cellStyle name="Normal 6 3 2 3_FC with allocations" xfId="29675"/>
    <cellStyle name="Normal 6 3 2 4" xfId="14165"/>
    <cellStyle name="Normal 6 3 2 4 2" xfId="14166"/>
    <cellStyle name="Normal 6 3 2 4 2 2" xfId="14167"/>
    <cellStyle name="Normal 6 3 2 4 2 2 2" xfId="14168"/>
    <cellStyle name="Normal 6 3 2 4 2 2_FC with allocations" xfId="29685"/>
    <cellStyle name="Normal 6 3 2 4 2 3" xfId="14169"/>
    <cellStyle name="Normal 6 3 2 4 2_FC with allocations" xfId="29684"/>
    <cellStyle name="Normal 6 3 2 4 3" xfId="14170"/>
    <cellStyle name="Normal 6 3 2 4 3 2" xfId="14171"/>
    <cellStyle name="Normal 6 3 2 4 3_FC with allocations" xfId="29686"/>
    <cellStyle name="Normal 6 3 2 4 4" xfId="14172"/>
    <cellStyle name="Normal 6 3 2 4_FC with allocations" xfId="29683"/>
    <cellStyle name="Normal 6 3 2 5" xfId="14173"/>
    <cellStyle name="Normal 6 3 2 5 2" xfId="14174"/>
    <cellStyle name="Normal 6 3 2 5 2 2" xfId="14175"/>
    <cellStyle name="Normal 6 3 2 5 2_FC with allocations" xfId="29688"/>
    <cellStyle name="Normal 6 3 2 5 3" xfId="14176"/>
    <cellStyle name="Normal 6 3 2 5_FC with allocations" xfId="29687"/>
    <cellStyle name="Normal 6 3 2 6" xfId="14177"/>
    <cellStyle name="Normal 6 3 2 7" xfId="14178"/>
    <cellStyle name="Normal 6 3 2 7 2" xfId="14179"/>
    <cellStyle name="Normal 6 3 2 7_FC with allocations" xfId="29689"/>
    <cellStyle name="Normal 6 3 2 8" xfId="14180"/>
    <cellStyle name="Normal 6 3 2 9" xfId="14116"/>
    <cellStyle name="Normal 6 3 2_FC with allocations" xfId="29658"/>
    <cellStyle name="Normal 6 3 3" xfId="14181"/>
    <cellStyle name="Normal 6 3 3 2" xfId="14182"/>
    <cellStyle name="Normal 6 3 3 2 2" xfId="14183"/>
    <cellStyle name="Normal 6 3 3 2 2 2" xfId="14184"/>
    <cellStyle name="Normal 6 3 3 2 2 2 2" xfId="14185"/>
    <cellStyle name="Normal 6 3 3 2 2 2 2 2" xfId="14186"/>
    <cellStyle name="Normal 6 3 3 2 2 2 2_FC with allocations" xfId="29694"/>
    <cellStyle name="Normal 6 3 3 2 2 2 3" xfId="14187"/>
    <cellStyle name="Normal 6 3 3 2 2 2_FC with allocations" xfId="29693"/>
    <cellStyle name="Normal 6 3 3 2 2 3" xfId="14188"/>
    <cellStyle name="Normal 6 3 3 2 2 3 2" xfId="14189"/>
    <cellStyle name="Normal 6 3 3 2 2 3_FC with allocations" xfId="29695"/>
    <cellStyle name="Normal 6 3 3 2 2 4" xfId="14190"/>
    <cellStyle name="Normal 6 3 3 2 2_FC with allocations" xfId="29692"/>
    <cellStyle name="Normal 6 3 3 2 3" xfId="14191"/>
    <cellStyle name="Normal 6 3 3 2 3 2" xfId="14192"/>
    <cellStyle name="Normal 6 3 3 2 3 2 2" xfId="14193"/>
    <cellStyle name="Normal 6 3 3 2 3 2_FC with allocations" xfId="29697"/>
    <cellStyle name="Normal 6 3 3 2 3 3" xfId="14194"/>
    <cellStyle name="Normal 6 3 3 2 3_FC with allocations" xfId="29696"/>
    <cellStyle name="Normal 6 3 3 2 4" xfId="14195"/>
    <cellStyle name="Normal 6 3 3 2 4 2" xfId="14196"/>
    <cellStyle name="Normal 6 3 3 2 4_FC with allocations" xfId="29698"/>
    <cellStyle name="Normal 6 3 3 2 5" xfId="14197"/>
    <cellStyle name="Normal 6 3 3 2_FC with allocations" xfId="29691"/>
    <cellStyle name="Normal 6 3 3 3" xfId="14198"/>
    <cellStyle name="Normal 6 3 3 3 2" xfId="14199"/>
    <cellStyle name="Normal 6 3 3 3 2 2" xfId="14200"/>
    <cellStyle name="Normal 6 3 3 3 2 2 2" xfId="14201"/>
    <cellStyle name="Normal 6 3 3 3 2 2_FC with allocations" xfId="29701"/>
    <cellStyle name="Normal 6 3 3 3 2 3" xfId="14202"/>
    <cellStyle name="Normal 6 3 3 3 2_FC with allocations" xfId="29700"/>
    <cellStyle name="Normal 6 3 3 3 3" xfId="14203"/>
    <cellStyle name="Normal 6 3 3 3 3 2" xfId="14204"/>
    <cellStyle name="Normal 6 3 3 3 3_FC with allocations" xfId="29702"/>
    <cellStyle name="Normal 6 3 3 3 4" xfId="14205"/>
    <cellStyle name="Normal 6 3 3 3_FC with allocations" xfId="29699"/>
    <cellStyle name="Normal 6 3 3 4" xfId="14206"/>
    <cellStyle name="Normal 6 3 3 4 2" xfId="14207"/>
    <cellStyle name="Normal 6 3 3 4 2 2" xfId="14208"/>
    <cellStyle name="Normal 6 3 3 4 2_FC with allocations" xfId="29704"/>
    <cellStyle name="Normal 6 3 3 4 3" xfId="14209"/>
    <cellStyle name="Normal 6 3 3 4_FC with allocations" xfId="29703"/>
    <cellStyle name="Normal 6 3 3 5" xfId="14210"/>
    <cellStyle name="Normal 6 3 3 6" xfId="14211"/>
    <cellStyle name="Normal 6 3 3 6 2" xfId="14212"/>
    <cellStyle name="Normal 6 3 3 6_FC with allocations" xfId="29705"/>
    <cellStyle name="Normal 6 3 3 7" xfId="14213"/>
    <cellStyle name="Normal 6 3 3_FC with allocations" xfId="29690"/>
    <cellStyle name="Normal 6 3 4" xfId="14214"/>
    <cellStyle name="Normal 6 3 4 2" xfId="14215"/>
    <cellStyle name="Normal 6 3 4 2 2" xfId="14216"/>
    <cellStyle name="Normal 6 3 4 2 2 2" xfId="14217"/>
    <cellStyle name="Normal 6 3 4 2 2 2 2" xfId="14218"/>
    <cellStyle name="Normal 6 3 4 2 2 2_FC with allocations" xfId="29709"/>
    <cellStyle name="Normal 6 3 4 2 2 3" xfId="14219"/>
    <cellStyle name="Normal 6 3 4 2 2_FC with allocations" xfId="29708"/>
    <cellStyle name="Normal 6 3 4 2 3" xfId="14220"/>
    <cellStyle name="Normal 6 3 4 2 3 2" xfId="14221"/>
    <cellStyle name="Normal 6 3 4 2 3_FC with allocations" xfId="29710"/>
    <cellStyle name="Normal 6 3 4 2 4" xfId="14222"/>
    <cellStyle name="Normal 6 3 4 2_FC with allocations" xfId="29707"/>
    <cellStyle name="Normal 6 3 4 3" xfId="14223"/>
    <cellStyle name="Normal 6 3 4 3 2" xfId="14224"/>
    <cellStyle name="Normal 6 3 4 3 2 2" xfId="14225"/>
    <cellStyle name="Normal 6 3 4 3 2_FC with allocations" xfId="29712"/>
    <cellStyle name="Normal 6 3 4 3 3" xfId="14226"/>
    <cellStyle name="Normal 6 3 4 3_FC with allocations" xfId="29711"/>
    <cellStyle name="Normal 6 3 4 4" xfId="14227"/>
    <cellStyle name="Normal 6 3 4 4 2" xfId="14228"/>
    <cellStyle name="Normal 6 3 4 4_FC with allocations" xfId="29713"/>
    <cellStyle name="Normal 6 3 4 5" xfId="14229"/>
    <cellStyle name="Normal 6 3 4_FC with allocations" xfId="29706"/>
    <cellStyle name="Normal 6 3 5" xfId="14230"/>
    <cellStyle name="Normal 6 3 5 2" xfId="14231"/>
    <cellStyle name="Normal 6 3 5 2 2" xfId="14232"/>
    <cellStyle name="Normal 6 3 5 2 2 2" xfId="14233"/>
    <cellStyle name="Normal 6 3 5 2 2_FC with allocations" xfId="29716"/>
    <cellStyle name="Normal 6 3 5 2 3" xfId="14234"/>
    <cellStyle name="Normal 6 3 5 2_FC with allocations" xfId="29715"/>
    <cellStyle name="Normal 6 3 5 3" xfId="14235"/>
    <cellStyle name="Normal 6 3 5 3 2" xfId="14236"/>
    <cellStyle name="Normal 6 3 5 3_FC with allocations" xfId="29717"/>
    <cellStyle name="Normal 6 3 5 4" xfId="14237"/>
    <cellStyle name="Normal 6 3 5_FC with allocations" xfId="29714"/>
    <cellStyle name="Normal 6 3 6" xfId="14238"/>
    <cellStyle name="Normal 6 3 6 2" xfId="14239"/>
    <cellStyle name="Normal 6 3 6 2 2" xfId="14240"/>
    <cellStyle name="Normal 6 3 6 2_FC with allocations" xfId="29719"/>
    <cellStyle name="Normal 6 3 6 3" xfId="14241"/>
    <cellStyle name="Normal 6 3 6_FC with allocations" xfId="29718"/>
    <cellStyle name="Normal 6 3 7" xfId="14242"/>
    <cellStyle name="Normal 6 3 7 2" xfId="14243"/>
    <cellStyle name="Normal 6 3 7 2 2" xfId="14244"/>
    <cellStyle name="Normal 6 3 7 2_FC with allocations" xfId="29721"/>
    <cellStyle name="Normal 6 3 7 3" xfId="14245"/>
    <cellStyle name="Normal 6 3 7_FC with allocations" xfId="29720"/>
    <cellStyle name="Normal 6 3 8" xfId="14115"/>
    <cellStyle name="Normal 6 3_FC with allocations" xfId="29657"/>
    <cellStyle name="Normal 6 4" xfId="2299"/>
    <cellStyle name="Normal 6 4 2" xfId="2300"/>
    <cellStyle name="Normal 6 4 2 2" xfId="2301"/>
    <cellStyle name="Normal 6 4 2 2 2" xfId="2302"/>
    <cellStyle name="Normal 6 4 2 2 2 2" xfId="2303"/>
    <cellStyle name="Normal 6 4 2 2 2 2 2" xfId="4295"/>
    <cellStyle name="Normal 6 4 2 2 2 2 2 2" xfId="14252"/>
    <cellStyle name="Normal 6 4 2 2 2 2 2 3" xfId="14251"/>
    <cellStyle name="Normal 6 4 2 2 2 2 2_FC with allocations" xfId="29727"/>
    <cellStyle name="Normal 6 4 2 2 2 2 3" xfId="14253"/>
    <cellStyle name="Normal 6 4 2 2 2 2 3 2" xfId="18444"/>
    <cellStyle name="Normal 6 4 2 2 2 2 3 3" xfId="17772"/>
    <cellStyle name="Normal 6 4 2 2 2 2 3_FC with allocations" xfId="29728"/>
    <cellStyle name="Normal 6 4 2 2 2 2 4" xfId="14250"/>
    <cellStyle name="Normal 6 4 2 2 2 2 5" xfId="17267"/>
    <cellStyle name="Normal 6 4 2 2 2 2_FC with allocations" xfId="29726"/>
    <cellStyle name="Normal 6 4 2 2 2 3" xfId="4294"/>
    <cellStyle name="Normal 6 4 2 2 2 3 2" xfId="14255"/>
    <cellStyle name="Normal 6 4 2 2 2 3 3" xfId="14254"/>
    <cellStyle name="Normal 6 4 2 2 2 3_FC with allocations" xfId="29729"/>
    <cellStyle name="Normal 6 4 2 2 2 4" xfId="14256"/>
    <cellStyle name="Normal 6 4 2 2 2 4 2" xfId="18445"/>
    <cellStyle name="Normal 6 4 2 2 2 4 3" xfId="17771"/>
    <cellStyle name="Normal 6 4 2 2 2 4_FC with allocations" xfId="29730"/>
    <cellStyle name="Normal 6 4 2 2 2 5" xfId="14249"/>
    <cellStyle name="Normal 6 4 2 2 2 6" xfId="17266"/>
    <cellStyle name="Normal 6 4 2 2 2_FC with allocations" xfId="29725"/>
    <cellStyle name="Normal 6 4 2 2 3" xfId="2304"/>
    <cellStyle name="Normal 6 4 2 2 3 2" xfId="4296"/>
    <cellStyle name="Normal 6 4 2 2 3 2 2" xfId="14259"/>
    <cellStyle name="Normal 6 4 2 2 3 2 3" xfId="14258"/>
    <cellStyle name="Normal 6 4 2 2 3 2_FC with allocations" xfId="29732"/>
    <cellStyle name="Normal 6 4 2 2 3 3" xfId="14260"/>
    <cellStyle name="Normal 6 4 2 2 3 3 2" xfId="18446"/>
    <cellStyle name="Normal 6 4 2 2 3 3 3" xfId="17773"/>
    <cellStyle name="Normal 6 4 2 2 3 3_FC with allocations" xfId="29733"/>
    <cellStyle name="Normal 6 4 2 2 3 4" xfId="14257"/>
    <cellStyle name="Normal 6 4 2 2 3 5" xfId="17268"/>
    <cellStyle name="Normal 6 4 2 2 3_FC with allocations" xfId="29731"/>
    <cellStyle name="Normal 6 4 2 2 4" xfId="4293"/>
    <cellStyle name="Normal 6 4 2 2 4 2" xfId="14262"/>
    <cellStyle name="Normal 6 4 2 2 4 3" xfId="14261"/>
    <cellStyle name="Normal 6 4 2 2 4_FC with allocations" xfId="29734"/>
    <cellStyle name="Normal 6 4 2 2 5" xfId="14263"/>
    <cellStyle name="Normal 6 4 2 2 5 2" xfId="18447"/>
    <cellStyle name="Normal 6 4 2 2 5 3" xfId="17770"/>
    <cellStyle name="Normal 6 4 2 2 5_FC with allocations" xfId="29735"/>
    <cellStyle name="Normal 6 4 2 2 6" xfId="14248"/>
    <cellStyle name="Normal 6 4 2 2 7" xfId="17265"/>
    <cellStyle name="Normal 6 4 2 2_FC with allocations" xfId="29724"/>
    <cellStyle name="Normal 6 4 2 3" xfId="2305"/>
    <cellStyle name="Normal 6 4 2 3 2" xfId="2306"/>
    <cellStyle name="Normal 6 4 2 3 2 2" xfId="4298"/>
    <cellStyle name="Normal 6 4 2 3 2 2 2" xfId="14267"/>
    <cellStyle name="Normal 6 4 2 3 2 2 3" xfId="14266"/>
    <cellStyle name="Normal 6 4 2 3 2 2_FC with allocations" xfId="29738"/>
    <cellStyle name="Normal 6 4 2 3 2 3" xfId="14268"/>
    <cellStyle name="Normal 6 4 2 3 2 3 2" xfId="18448"/>
    <cellStyle name="Normal 6 4 2 3 2 3 3" xfId="17775"/>
    <cellStyle name="Normal 6 4 2 3 2 3_FC with allocations" xfId="29739"/>
    <cellStyle name="Normal 6 4 2 3 2 4" xfId="14265"/>
    <cellStyle name="Normal 6 4 2 3 2 5" xfId="17270"/>
    <cellStyle name="Normal 6 4 2 3 2_FC with allocations" xfId="29737"/>
    <cellStyle name="Normal 6 4 2 3 3" xfId="4297"/>
    <cellStyle name="Normal 6 4 2 3 3 2" xfId="14270"/>
    <cellStyle name="Normal 6 4 2 3 3 3" xfId="14269"/>
    <cellStyle name="Normal 6 4 2 3 3_FC with allocations" xfId="29740"/>
    <cellStyle name="Normal 6 4 2 3 4" xfId="14271"/>
    <cellStyle name="Normal 6 4 2 3 4 2" xfId="18449"/>
    <cellStyle name="Normal 6 4 2 3 4 3" xfId="17774"/>
    <cellStyle name="Normal 6 4 2 3 4_FC with allocations" xfId="29741"/>
    <cellStyle name="Normal 6 4 2 3 5" xfId="14264"/>
    <cellStyle name="Normal 6 4 2 3 6" xfId="17269"/>
    <cellStyle name="Normal 6 4 2 3_FC with allocations" xfId="29736"/>
    <cellStyle name="Normal 6 4 2 4" xfId="2307"/>
    <cellStyle name="Normal 6 4 2 4 2" xfId="4299"/>
    <cellStyle name="Normal 6 4 2 4 2 2" xfId="14274"/>
    <cellStyle name="Normal 6 4 2 4 2 3" xfId="14273"/>
    <cellStyle name="Normal 6 4 2 4 2_FC with allocations" xfId="29743"/>
    <cellStyle name="Normal 6 4 2 4 3" xfId="14275"/>
    <cellStyle name="Normal 6 4 2 4 3 2" xfId="18450"/>
    <cellStyle name="Normal 6 4 2 4 3 3" xfId="17776"/>
    <cellStyle name="Normal 6 4 2 4 3_FC with allocations" xfId="29744"/>
    <cellStyle name="Normal 6 4 2 4 4" xfId="14272"/>
    <cellStyle name="Normal 6 4 2 4 5" xfId="17271"/>
    <cellStyle name="Normal 6 4 2 4_FC with allocations" xfId="29742"/>
    <cellStyle name="Normal 6 4 2 5" xfId="2308"/>
    <cellStyle name="Normal 6 4 2 5 2" xfId="4300"/>
    <cellStyle name="Normal 6 4 2 5 3" xfId="14276"/>
    <cellStyle name="Normal 6 4 2 5 3 2" xfId="18451"/>
    <cellStyle name="Normal 6 4 2 5 3 3" xfId="17777"/>
    <cellStyle name="Normal 6 4 2 5 3_FC with allocations" xfId="29746"/>
    <cellStyle name="Normal 6 4 2 5 4" xfId="17272"/>
    <cellStyle name="Normal 6 4 2 5_FC with allocations" xfId="29745"/>
    <cellStyle name="Normal 6 4 2 6" xfId="14277"/>
    <cellStyle name="Normal 6 4 2 6 2" xfId="14278"/>
    <cellStyle name="Normal 6 4 2 6_FC with allocations" xfId="29747"/>
    <cellStyle name="Normal 6 4 2 7" xfId="14279"/>
    <cellStyle name="Normal 6 4 2 8" xfId="14247"/>
    <cellStyle name="Normal 6 4 2_FC with allocations" xfId="29723"/>
    <cellStyle name="Normal 6 4 3" xfId="2309"/>
    <cellStyle name="Normal 6 4 3 10" xfId="16843"/>
    <cellStyle name="Normal 6 4 3 10 2" xfId="20346"/>
    <cellStyle name="Normal 6 4 3 10 3" xfId="22486"/>
    <cellStyle name="Normal 6 4 3 10_FC with allocations" xfId="29749"/>
    <cellStyle name="Normal 6 4 3 11" xfId="18805"/>
    <cellStyle name="Normal 6 4 3 11 2" xfId="20958"/>
    <cellStyle name="Normal 6 4 3 11 3" xfId="23115"/>
    <cellStyle name="Normal 6 4 3 11_FC with allocations" xfId="29750"/>
    <cellStyle name="Normal 6 4 3 2" xfId="2310"/>
    <cellStyle name="Normal 6 4 3 2 2" xfId="2311"/>
    <cellStyle name="Normal 6 4 3 2 2 2" xfId="4302"/>
    <cellStyle name="Normal 6 4 3 2 2 2 2" xfId="14284"/>
    <cellStyle name="Normal 6 4 3 2 2 2 3" xfId="14283"/>
    <cellStyle name="Normal 6 4 3 2 2 2_FC with allocations" xfId="29753"/>
    <cellStyle name="Normal 6 4 3 2 2 3" xfId="14285"/>
    <cellStyle name="Normal 6 4 3 2 2 3 2" xfId="18452"/>
    <cellStyle name="Normal 6 4 3 2 2 3 3" xfId="17779"/>
    <cellStyle name="Normal 6 4 3 2 2 3_FC with allocations" xfId="29754"/>
    <cellStyle name="Normal 6 4 3 2 2 4" xfId="14282"/>
    <cellStyle name="Normal 6 4 3 2 2 5" xfId="17275"/>
    <cellStyle name="Normal 6 4 3 2 2_FC with allocations" xfId="29752"/>
    <cellStyle name="Normal 6 4 3 2 3" xfId="4301"/>
    <cellStyle name="Normal 6 4 3 2 3 2" xfId="14287"/>
    <cellStyle name="Normal 6 4 3 2 3 3" xfId="14286"/>
    <cellStyle name="Normal 6 4 3 2 3_FC with allocations" xfId="29755"/>
    <cellStyle name="Normal 6 4 3 2 4" xfId="14288"/>
    <cellStyle name="Normal 6 4 3 2 4 2" xfId="18453"/>
    <cellStyle name="Normal 6 4 3 2 4 3" xfId="17778"/>
    <cellStyle name="Normal 6 4 3 2 4_FC with allocations" xfId="29756"/>
    <cellStyle name="Normal 6 4 3 2 5" xfId="14281"/>
    <cellStyle name="Normal 6 4 3 2 6" xfId="17274"/>
    <cellStyle name="Normal 6 4 3 2_FC with allocations" xfId="29751"/>
    <cellStyle name="Normal 6 4 3 3" xfId="2312"/>
    <cellStyle name="Normal 6 4 3 3 2" xfId="4303"/>
    <cellStyle name="Normal 6 4 3 3 2 2" xfId="14291"/>
    <cellStyle name="Normal 6 4 3 3 2 3" xfId="14290"/>
    <cellStyle name="Normal 6 4 3 3 2_FC with allocations" xfId="29758"/>
    <cellStyle name="Normal 6 4 3 3 3" xfId="14292"/>
    <cellStyle name="Normal 6 4 3 3 3 2" xfId="18454"/>
    <cellStyle name="Normal 6 4 3 3 3 3" xfId="17780"/>
    <cellStyle name="Normal 6 4 3 3 3_FC with allocations" xfId="29759"/>
    <cellStyle name="Normal 6 4 3 3 4" xfId="14289"/>
    <cellStyle name="Normal 6 4 3 3 5" xfId="17276"/>
    <cellStyle name="Normal 6 4 3 3_FC with allocations" xfId="29757"/>
    <cellStyle name="Normal 6 4 3 4" xfId="2313"/>
    <cellStyle name="Normal 6 4 3 4 2" xfId="4304"/>
    <cellStyle name="Normal 6 4 3 4 3" xfId="14293"/>
    <cellStyle name="Normal 6 4 3 4_FC with allocations" xfId="29760"/>
    <cellStyle name="Normal 6 4 3 5" xfId="4489"/>
    <cellStyle name="Normal 6 4 3 5 10" xfId="19829"/>
    <cellStyle name="Normal 6 4 3 5 10 2" xfId="21838"/>
    <cellStyle name="Normal 6 4 3 5 10 3" xfId="23996"/>
    <cellStyle name="Normal 6 4 3 5 10_FC with allocations" xfId="29762"/>
    <cellStyle name="Normal 6 4 3 5 11" xfId="19906"/>
    <cellStyle name="Normal 6 4 3 5 12" xfId="21899"/>
    <cellStyle name="Normal 6 4 3 5 2" xfId="4795"/>
    <cellStyle name="Normal 6 4 3 5 2 2" xfId="14295"/>
    <cellStyle name="Normal 6 4 3 5 2 3" xfId="16673"/>
    <cellStyle name="Normal 6 4 3 5 2 3 2" xfId="18695"/>
    <cellStyle name="Normal 6 4 3 5 2 3 2 2" xfId="19714"/>
    <cellStyle name="Normal 6 4 3 5 2 3 2 2 2" xfId="21724"/>
    <cellStyle name="Normal 6 4 3 5 2 3 2 2 3" xfId="23882"/>
    <cellStyle name="Normal 6 4 3 5 2 3 2 2_FC with allocations" xfId="29766"/>
    <cellStyle name="Normal 6 4 3 5 2 3 2 3" xfId="20848"/>
    <cellStyle name="Normal 6 4 3 5 2 3 2 4" xfId="23005"/>
    <cellStyle name="Normal 6 4 3 5 2 3 2_FC with allocations" xfId="29765"/>
    <cellStyle name="Normal 6 4 3 5 2 3 3" xfId="19182"/>
    <cellStyle name="Normal 6 4 3 5 2 3 3 2" xfId="21315"/>
    <cellStyle name="Normal 6 4 3 5 2 3 3 3" xfId="23472"/>
    <cellStyle name="Normal 6 4 3 5 2 3 3_FC with allocations" xfId="29767"/>
    <cellStyle name="Normal 6 4 3 5 2 3 4" xfId="20233"/>
    <cellStyle name="Normal 6 4 3 5 2 3 5" xfId="22350"/>
    <cellStyle name="Normal 6 4 3 5 2 3_FC with allocations" xfId="29764"/>
    <cellStyle name="Normal 6 4 3 5 2 4" xfId="18258"/>
    <cellStyle name="Normal 6 4 3 5 2 4 2" xfId="19549"/>
    <cellStyle name="Normal 6 4 3 5 2 4 2 2" xfId="21559"/>
    <cellStyle name="Normal 6 4 3 5 2 4 2 3" xfId="23717"/>
    <cellStyle name="Normal 6 4 3 5 2 4 2_FC with allocations" xfId="29769"/>
    <cellStyle name="Normal 6 4 3 5 2 4 3" xfId="20682"/>
    <cellStyle name="Normal 6 4 3 5 2 4 4" xfId="22824"/>
    <cellStyle name="Normal 6 4 3 5 2 4_FC with allocations" xfId="29768"/>
    <cellStyle name="Normal 6 4 3 5 2 5" xfId="17953"/>
    <cellStyle name="Normal 6 4 3 5 2 5 2" xfId="20410"/>
    <cellStyle name="Normal 6 4 3 5 2 5 3" xfId="22550"/>
    <cellStyle name="Normal 6 4 3 5 2 5_FC with allocations" xfId="29770"/>
    <cellStyle name="Normal 6 4 3 5 2 6" xfId="18914"/>
    <cellStyle name="Normal 6 4 3 5 2 6 2" xfId="21066"/>
    <cellStyle name="Normal 6 4 3 5 2 6 3" xfId="23223"/>
    <cellStyle name="Normal 6 4 3 5 2 6_FC with allocations" xfId="29771"/>
    <cellStyle name="Normal 6 4 3 5 2 7" xfId="20065"/>
    <cellStyle name="Normal 6 4 3 5 2 8" xfId="22060"/>
    <cellStyle name="Normal 6 4 3 5 2_FC with allocations" xfId="29763"/>
    <cellStyle name="Normal 6 4 3 5 3" xfId="14294"/>
    <cellStyle name="Normal 6 4 3 5 3 2" xfId="18455"/>
    <cellStyle name="Normal 6 4 3 5 3 3" xfId="18009"/>
    <cellStyle name="Normal 6 4 3 5 3 3 2" xfId="20463"/>
    <cellStyle name="Normal 6 4 3 5 3 3 3" xfId="22603"/>
    <cellStyle name="Normal 6 4 3 5 3 3_FC with allocations" xfId="29773"/>
    <cellStyle name="Normal 6 4 3 5 3_FC with allocations" xfId="29772"/>
    <cellStyle name="Normal 6 4 3 5 4" xfId="16620"/>
    <cellStyle name="Normal 6 4 3 5 4 2" xfId="18642"/>
    <cellStyle name="Normal 6 4 3 5 4 2 2" xfId="19661"/>
    <cellStyle name="Normal 6 4 3 5 4 2 2 2" xfId="21671"/>
    <cellStyle name="Normal 6 4 3 5 4 2 2 3" xfId="23829"/>
    <cellStyle name="Normal 6 4 3 5 4 2 2_FC with allocations" xfId="29776"/>
    <cellStyle name="Normal 6 4 3 5 4 2 3" xfId="20795"/>
    <cellStyle name="Normal 6 4 3 5 4 2 4" xfId="22952"/>
    <cellStyle name="Normal 6 4 3 5 4 2_FC with allocations" xfId="29775"/>
    <cellStyle name="Normal 6 4 3 5 4 3" xfId="19128"/>
    <cellStyle name="Normal 6 4 3 5 4 3 2" xfId="21261"/>
    <cellStyle name="Normal 6 4 3 5 4 3 3" xfId="23418"/>
    <cellStyle name="Normal 6 4 3 5 4 3_FC with allocations" xfId="29777"/>
    <cellStyle name="Normal 6 4 3 5 4 4" xfId="20180"/>
    <cellStyle name="Normal 6 4 3 5 4 5" xfId="22297"/>
    <cellStyle name="Normal 6 4 3 5 4_FC with allocations" xfId="29774"/>
    <cellStyle name="Normal 6 4 3 5 5" xfId="4695"/>
    <cellStyle name="Normal 6 4 3 5 5 2" xfId="18205"/>
    <cellStyle name="Normal 6 4 3 5 5 2 2" xfId="19496"/>
    <cellStyle name="Normal 6 4 3 5 5 2 2 2" xfId="21506"/>
    <cellStyle name="Normal 6 4 3 5 5 2 2 3" xfId="23664"/>
    <cellStyle name="Normal 6 4 3 5 5 2 2_FC with allocations" xfId="29780"/>
    <cellStyle name="Normal 6 4 3 5 5 2 3" xfId="20629"/>
    <cellStyle name="Normal 6 4 3 5 5 2 4" xfId="22771"/>
    <cellStyle name="Normal 6 4 3 5 5 2_FC with allocations" xfId="29779"/>
    <cellStyle name="Normal 6 4 3 5 5 3" xfId="19083"/>
    <cellStyle name="Normal 6 4 3 5 5 3 2" xfId="21218"/>
    <cellStyle name="Normal 6 4 3 5 5 3 3" xfId="23375"/>
    <cellStyle name="Normal 6 4 3 5 5 3_FC with allocations" xfId="29781"/>
    <cellStyle name="Normal 6 4 3 5 5 4" xfId="20012"/>
    <cellStyle name="Normal 6 4 3 5 5 5" xfId="22007"/>
    <cellStyle name="Normal 6 4 3 5 5_FC with allocations" xfId="29778"/>
    <cellStyle name="Normal 6 4 3 5 6" xfId="16751"/>
    <cellStyle name="Normal 6 4 3 5 6 2" xfId="18755"/>
    <cellStyle name="Normal 6 4 3 5 6 2 2" xfId="20908"/>
    <cellStyle name="Normal 6 4 3 5 6 2 3" xfId="23065"/>
    <cellStyle name="Normal 6 4 3 5 6 2_FC with allocations" xfId="29783"/>
    <cellStyle name="Normal 6 4 3 5 6 3" xfId="19775"/>
    <cellStyle name="Normal 6 4 3 5 6 3 2" xfId="21785"/>
    <cellStyle name="Normal 6 4 3 5 6 3 3" xfId="23943"/>
    <cellStyle name="Normal 6 4 3 5 6 3_FC with allocations" xfId="29784"/>
    <cellStyle name="Normal 6 4 3 5 6 4" xfId="20294"/>
    <cellStyle name="Normal 6 4 3 5 6 5" xfId="22422"/>
    <cellStyle name="Normal 6 4 3 5 6_FC with allocations" xfId="29782"/>
    <cellStyle name="Normal 6 4 3 5 7" xfId="18071"/>
    <cellStyle name="Normal 6 4 3 5 7 2" xfId="19390"/>
    <cellStyle name="Normal 6 4 3 5 7 2 2" xfId="21400"/>
    <cellStyle name="Normal 6 4 3 5 7 2 3" xfId="23558"/>
    <cellStyle name="Normal 6 4 3 5 7 2_FC with allocations" xfId="29786"/>
    <cellStyle name="Normal 6 4 3 5 7 3" xfId="20523"/>
    <cellStyle name="Normal 6 4 3 5 7 4" xfId="22665"/>
    <cellStyle name="Normal 6 4 3 5 7_FC with allocations" xfId="29785"/>
    <cellStyle name="Normal 6 4 3 5 8" xfId="17273"/>
    <cellStyle name="Normal 6 4 3 5 9" xfId="18861"/>
    <cellStyle name="Normal 6 4 3 5 9 2" xfId="21013"/>
    <cellStyle name="Normal 6 4 3 5 9 3" xfId="23170"/>
    <cellStyle name="Normal 6 4 3 5 9_FC with allocations" xfId="29787"/>
    <cellStyle name="Normal 6 4 3 5_FC with allocations" xfId="29761"/>
    <cellStyle name="Normal 6 4 3 6" xfId="4603"/>
    <cellStyle name="Normal 6 4 3 6 2" xfId="14296"/>
    <cellStyle name="Normal 6 4 3 6_FC with allocations" xfId="29788"/>
    <cellStyle name="Normal 6 4 3 7" xfId="14280"/>
    <cellStyle name="Normal 6 4 3 8" xfId="16561"/>
    <cellStyle name="Normal 6 4 3 8 2" xfId="18587"/>
    <cellStyle name="Normal 6 4 3 8 2 2" xfId="19606"/>
    <cellStyle name="Normal 6 4 3 8 2 2 2" xfId="21616"/>
    <cellStyle name="Normal 6 4 3 8 2 2 3" xfId="23774"/>
    <cellStyle name="Normal 6 4 3 8 2 2_FC with allocations" xfId="29791"/>
    <cellStyle name="Normal 6 4 3 8 2 3" xfId="20740"/>
    <cellStyle name="Normal 6 4 3 8 2 4" xfId="22897"/>
    <cellStyle name="Normal 6 4 3 8 2_FC with allocations" xfId="29790"/>
    <cellStyle name="Normal 6 4 3 8 3" xfId="19012"/>
    <cellStyle name="Normal 6 4 3 8 3 2" xfId="21164"/>
    <cellStyle name="Normal 6 4 3 8 3 3" xfId="23321"/>
    <cellStyle name="Normal 6 4 3 8 3_FC with allocations" xfId="29792"/>
    <cellStyle name="Normal 6 4 3 8 4" xfId="20125"/>
    <cellStyle name="Normal 6 4 3 8 5" xfId="22241"/>
    <cellStyle name="Normal 6 4 3 8_FC with allocations" xfId="29789"/>
    <cellStyle name="Normal 6 4 3 9" xfId="4546"/>
    <cellStyle name="Normal 6 4 3 9 2" xfId="18122"/>
    <cellStyle name="Normal 6 4 3 9 2 2" xfId="19441"/>
    <cellStyle name="Normal 6 4 3 9 2 2 2" xfId="21451"/>
    <cellStyle name="Normal 6 4 3 9 2 2 3" xfId="23609"/>
    <cellStyle name="Normal 6 4 3 9 2 2_FC with allocations" xfId="29795"/>
    <cellStyle name="Normal 6 4 3 9 2 3" xfId="20574"/>
    <cellStyle name="Normal 6 4 3 9 2 4" xfId="22716"/>
    <cellStyle name="Normal 6 4 3 9 2_FC with allocations" xfId="29794"/>
    <cellStyle name="Normal 6 4 3 9 3" xfId="18976"/>
    <cellStyle name="Normal 6 4 3 9 3 2" xfId="21128"/>
    <cellStyle name="Normal 6 4 3 9 3 3" xfId="23285"/>
    <cellStyle name="Normal 6 4 3 9 3_FC with allocations" xfId="29796"/>
    <cellStyle name="Normal 6 4 3 9 4" xfId="19957"/>
    <cellStyle name="Normal 6 4 3 9 5" xfId="21952"/>
    <cellStyle name="Normal 6 4 3 9_FC with allocations" xfId="29793"/>
    <cellStyle name="Normal 6 4 3_FC with allocations" xfId="29748"/>
    <cellStyle name="Normal 6 4 4" xfId="2314"/>
    <cellStyle name="Normal 6 4 4 2" xfId="2315"/>
    <cellStyle name="Normal 6 4 4 2 2" xfId="2316"/>
    <cellStyle name="Normal 6 4 4 2 2 2" xfId="4307"/>
    <cellStyle name="Normal 6 4 4 2 2 2 2" xfId="14300"/>
    <cellStyle name="Normal 6 4 4 2 2 2_FC with allocations" xfId="29800"/>
    <cellStyle name="Normal 6 4 4 2 2 3" xfId="14299"/>
    <cellStyle name="Normal 6 4 4 2 2 3 2" xfId="18458"/>
    <cellStyle name="Normal 6 4 4 2 2 3 3" xfId="17783"/>
    <cellStyle name="Normal 6 4 4 2 2 3_FC with allocations" xfId="29801"/>
    <cellStyle name="Normal 6 4 4 2 2 4" xfId="17279"/>
    <cellStyle name="Normal 6 4 4 2 2_FC with allocations" xfId="29799"/>
    <cellStyle name="Normal 6 4 4 2 3" xfId="4306"/>
    <cellStyle name="Normal 6 4 4 2 3 2" xfId="14301"/>
    <cellStyle name="Normal 6 4 4 2 3_FC with allocations" xfId="29802"/>
    <cellStyle name="Normal 6 4 4 2 4" xfId="14298"/>
    <cellStyle name="Normal 6 4 4 2 4 2" xfId="18457"/>
    <cellStyle name="Normal 6 4 4 2 4 3" xfId="17782"/>
    <cellStyle name="Normal 6 4 4 2 4_FC with allocations" xfId="29803"/>
    <cellStyle name="Normal 6 4 4 2 5" xfId="17278"/>
    <cellStyle name="Normal 6 4 4 2_FC with allocations" xfId="29798"/>
    <cellStyle name="Normal 6 4 4 3" xfId="2317"/>
    <cellStyle name="Normal 6 4 4 3 2" xfId="4308"/>
    <cellStyle name="Normal 6 4 4 3 2 2" xfId="14303"/>
    <cellStyle name="Normal 6 4 4 3 2_FC with allocations" xfId="29805"/>
    <cellStyle name="Normal 6 4 4 3 3" xfId="14302"/>
    <cellStyle name="Normal 6 4 4 3 3 2" xfId="18459"/>
    <cellStyle name="Normal 6 4 4 3 3 3" xfId="17784"/>
    <cellStyle name="Normal 6 4 4 3 3_FC with allocations" xfId="29806"/>
    <cellStyle name="Normal 6 4 4 3 4" xfId="17280"/>
    <cellStyle name="Normal 6 4 4 3_FC with allocations" xfId="29804"/>
    <cellStyle name="Normal 6 4 4 4" xfId="4305"/>
    <cellStyle name="Normal 6 4 4 4 2" xfId="14304"/>
    <cellStyle name="Normal 6 4 4 4_FC with allocations" xfId="29807"/>
    <cellStyle name="Normal 6 4 4 5" xfId="14297"/>
    <cellStyle name="Normal 6 4 4 5 2" xfId="18456"/>
    <cellStyle name="Normal 6 4 4 5 3" xfId="17781"/>
    <cellStyle name="Normal 6 4 4 5_FC with allocations" xfId="29808"/>
    <cellStyle name="Normal 6 4 4 6" xfId="17277"/>
    <cellStyle name="Normal 6 4 4_FC with allocations" xfId="29797"/>
    <cellStyle name="Normal 6 4 5" xfId="2318"/>
    <cellStyle name="Normal 6 4 5 2" xfId="2319"/>
    <cellStyle name="Normal 6 4 5 2 2" xfId="4310"/>
    <cellStyle name="Normal 6 4 5 2 2 2" xfId="14307"/>
    <cellStyle name="Normal 6 4 5 2 2_FC with allocations" xfId="29811"/>
    <cellStyle name="Normal 6 4 5 2 3" xfId="14306"/>
    <cellStyle name="Normal 6 4 5 2 3 2" xfId="18461"/>
    <cellStyle name="Normal 6 4 5 2 3 3" xfId="17786"/>
    <cellStyle name="Normal 6 4 5 2 3_FC with allocations" xfId="29812"/>
    <cellStyle name="Normal 6 4 5 2 4" xfId="17282"/>
    <cellStyle name="Normal 6 4 5 2_FC with allocations" xfId="29810"/>
    <cellStyle name="Normal 6 4 5 3" xfId="4309"/>
    <cellStyle name="Normal 6 4 5 3 2" xfId="14308"/>
    <cellStyle name="Normal 6 4 5 3_FC with allocations" xfId="29813"/>
    <cellStyle name="Normal 6 4 5 4" xfId="14305"/>
    <cellStyle name="Normal 6 4 5 4 2" xfId="18460"/>
    <cellStyle name="Normal 6 4 5 4 3" xfId="17785"/>
    <cellStyle name="Normal 6 4 5 4_FC with allocations" xfId="29814"/>
    <cellStyle name="Normal 6 4 5 5" xfId="17281"/>
    <cellStyle name="Normal 6 4 5_FC with allocations" xfId="29809"/>
    <cellStyle name="Normal 6 4 6" xfId="2320"/>
    <cellStyle name="Normal 6 4 6 2" xfId="4311"/>
    <cellStyle name="Normal 6 4 6 2 2" xfId="14311"/>
    <cellStyle name="Normal 6 4 6 2 3" xfId="14310"/>
    <cellStyle name="Normal 6 4 6 2_FC with allocations" xfId="29816"/>
    <cellStyle name="Normal 6 4 6 3" xfId="14312"/>
    <cellStyle name="Normal 6 4 6 3 2" xfId="18462"/>
    <cellStyle name="Normal 6 4 6 3 3" xfId="17787"/>
    <cellStyle name="Normal 6 4 6 3_FC with allocations" xfId="29817"/>
    <cellStyle name="Normal 6 4 6 4" xfId="14309"/>
    <cellStyle name="Normal 6 4 6 5" xfId="17283"/>
    <cellStyle name="Normal 6 4 6_FC with allocations" xfId="29815"/>
    <cellStyle name="Normal 6 4 7" xfId="14246"/>
    <cellStyle name="Normal 6 4_FC with allocations" xfId="29722"/>
    <cellStyle name="Normal 6 5" xfId="2321"/>
    <cellStyle name="Normal 6 5 2" xfId="2322"/>
    <cellStyle name="Normal 6 5 2 2" xfId="14315"/>
    <cellStyle name="Normal 6 5 2 2 2" xfId="14316"/>
    <cellStyle name="Normal 6 5 2 2 2 2" xfId="14317"/>
    <cellStyle name="Normal 6 5 2 2 2 2 2" xfId="14318"/>
    <cellStyle name="Normal 6 5 2 2 2 2_FC with allocations" xfId="29822"/>
    <cellStyle name="Normal 6 5 2 2 2 3" xfId="14319"/>
    <cellStyle name="Normal 6 5 2 2 2_FC with allocations" xfId="29821"/>
    <cellStyle name="Normal 6 5 2 2 3" xfId="14320"/>
    <cellStyle name="Normal 6 5 2 2 3 2" xfId="14321"/>
    <cellStyle name="Normal 6 5 2 2 3_FC with allocations" xfId="29823"/>
    <cellStyle name="Normal 6 5 2 2 4" xfId="14322"/>
    <cellStyle name="Normal 6 5 2 2_FC with allocations" xfId="29820"/>
    <cellStyle name="Normal 6 5 2 3" xfId="14323"/>
    <cellStyle name="Normal 6 5 2 3 2" xfId="14324"/>
    <cellStyle name="Normal 6 5 2 3 2 2" xfId="14325"/>
    <cellStyle name="Normal 6 5 2 3 2_FC with allocations" xfId="29825"/>
    <cellStyle name="Normal 6 5 2 3 3" xfId="14326"/>
    <cellStyle name="Normal 6 5 2 3_FC with allocations" xfId="29824"/>
    <cellStyle name="Normal 6 5 2 4" xfId="14327"/>
    <cellStyle name="Normal 6 5 2 5" xfId="14328"/>
    <cellStyle name="Normal 6 5 2 5 2" xfId="14329"/>
    <cellStyle name="Normal 6 5 2 5_FC with allocations" xfId="29826"/>
    <cellStyle name="Normal 6 5 2 6" xfId="14330"/>
    <cellStyle name="Normal 6 5 2 7" xfId="14314"/>
    <cellStyle name="Normal 6 5 2_FC with allocations" xfId="29819"/>
    <cellStyle name="Normal 6 5 3" xfId="14331"/>
    <cellStyle name="Normal 6 5 3 2" xfId="14332"/>
    <cellStyle name="Normal 6 5 3 2 2" xfId="14333"/>
    <cellStyle name="Normal 6 5 3 2 2 2" xfId="14334"/>
    <cellStyle name="Normal 6 5 3 2 2_FC with allocations" xfId="29829"/>
    <cellStyle name="Normal 6 5 3 2 3" xfId="14335"/>
    <cellStyle name="Normal 6 5 3 2_FC with allocations" xfId="29828"/>
    <cellStyle name="Normal 6 5 3 3" xfId="14336"/>
    <cellStyle name="Normal 6 5 3 4" xfId="14337"/>
    <cellStyle name="Normal 6 5 3 4 2" xfId="14338"/>
    <cellStyle name="Normal 6 5 3 4_FC with allocations" xfId="29830"/>
    <cellStyle name="Normal 6 5 3 5" xfId="14339"/>
    <cellStyle name="Normal 6 5 3_FC with allocations" xfId="29827"/>
    <cellStyle name="Normal 6 5 4" xfId="14340"/>
    <cellStyle name="Normal 6 5 4 2" xfId="14341"/>
    <cellStyle name="Normal 6 5 4 2 2" xfId="14342"/>
    <cellStyle name="Normal 6 5 4 2_FC with allocations" xfId="29832"/>
    <cellStyle name="Normal 6 5 4 3" xfId="14343"/>
    <cellStyle name="Normal 6 5 4_FC with allocations" xfId="29831"/>
    <cellStyle name="Normal 6 5 5" xfId="14344"/>
    <cellStyle name="Normal 6 5 5 2" xfId="14345"/>
    <cellStyle name="Normal 6 5 5 2 2" xfId="14346"/>
    <cellStyle name="Normal 6 5 5 2_FC with allocations" xfId="29834"/>
    <cellStyle name="Normal 6 5 5 3" xfId="14347"/>
    <cellStyle name="Normal 6 5 5_FC with allocations" xfId="29833"/>
    <cellStyle name="Normal 6 5 6" xfId="14313"/>
    <cellStyle name="Normal 6 5_FC with allocations" xfId="29818"/>
    <cellStyle name="Normal 6 6" xfId="2323"/>
    <cellStyle name="Normal 6 6 2" xfId="2324"/>
    <cellStyle name="Normal 6 6 2 2" xfId="2325"/>
    <cellStyle name="Normal 6 6 2 2 2" xfId="2326"/>
    <cellStyle name="Normal 6 6 2 2 2 2" xfId="4314"/>
    <cellStyle name="Normal 6 6 2 2 2 2 2" xfId="14352"/>
    <cellStyle name="Normal 6 6 2 2 2 2_FC with allocations" xfId="29839"/>
    <cellStyle name="Normal 6 6 2 2 2 3" xfId="14351"/>
    <cellStyle name="Normal 6 6 2 2 2 3 2" xfId="18464"/>
    <cellStyle name="Normal 6 6 2 2 2 3 3" xfId="17790"/>
    <cellStyle name="Normal 6 6 2 2 2 3_FC with allocations" xfId="29840"/>
    <cellStyle name="Normal 6 6 2 2 2 4" xfId="17286"/>
    <cellStyle name="Normal 6 6 2 2 2_FC with allocations" xfId="29838"/>
    <cellStyle name="Normal 6 6 2 2 3" xfId="4313"/>
    <cellStyle name="Normal 6 6 2 2 3 2" xfId="14353"/>
    <cellStyle name="Normal 6 6 2 2 3_FC with allocations" xfId="29841"/>
    <cellStyle name="Normal 6 6 2 2 4" xfId="14350"/>
    <cellStyle name="Normal 6 6 2 2 4 2" xfId="18463"/>
    <cellStyle name="Normal 6 6 2 2 4 3" xfId="17789"/>
    <cellStyle name="Normal 6 6 2 2 4_FC with allocations" xfId="29842"/>
    <cellStyle name="Normal 6 6 2 2 5" xfId="17285"/>
    <cellStyle name="Normal 6 6 2 2_FC with allocations" xfId="29837"/>
    <cellStyle name="Normal 6 6 2 3" xfId="2327"/>
    <cellStyle name="Normal 6 6 2 3 2" xfId="4315"/>
    <cellStyle name="Normal 6 6 2 3 3" xfId="14354"/>
    <cellStyle name="Normal 6 6 2 3 3 2" xfId="18465"/>
    <cellStyle name="Normal 6 6 2 3 3 3" xfId="17791"/>
    <cellStyle name="Normal 6 6 2 3 3_FC with allocations" xfId="29844"/>
    <cellStyle name="Normal 6 6 2 3 4" xfId="17287"/>
    <cellStyle name="Normal 6 6 2 3_FC with allocations" xfId="29843"/>
    <cellStyle name="Normal 6 6 2 4" xfId="4312"/>
    <cellStyle name="Normal 6 6 2 4 2" xfId="14356"/>
    <cellStyle name="Normal 6 6 2 4 3" xfId="14355"/>
    <cellStyle name="Normal 6 6 2 4_FC with allocations" xfId="29845"/>
    <cellStyle name="Normal 6 6 2 5" xfId="14357"/>
    <cellStyle name="Normal 6 6 2 5 2" xfId="18466"/>
    <cellStyle name="Normal 6 6 2 5 3" xfId="17788"/>
    <cellStyle name="Normal 6 6 2 5_FC with allocations" xfId="29846"/>
    <cellStyle name="Normal 6 6 2 6" xfId="14349"/>
    <cellStyle name="Normal 6 6 2 7" xfId="17284"/>
    <cellStyle name="Normal 6 6 2_FC with allocations" xfId="29836"/>
    <cellStyle name="Normal 6 6 3" xfId="2328"/>
    <cellStyle name="Normal 6 6 3 2" xfId="2329"/>
    <cellStyle name="Normal 6 6 3 2 2" xfId="4317"/>
    <cellStyle name="Normal 6 6 3 2 3" xfId="14359"/>
    <cellStyle name="Normal 6 6 3 2 3 2" xfId="18467"/>
    <cellStyle name="Normal 6 6 3 2 3 3" xfId="17793"/>
    <cellStyle name="Normal 6 6 3 2 3_FC with allocations" xfId="29849"/>
    <cellStyle name="Normal 6 6 3 2 4" xfId="17289"/>
    <cellStyle name="Normal 6 6 3 2_FC with allocations" xfId="29848"/>
    <cellStyle name="Normal 6 6 3 3" xfId="4316"/>
    <cellStyle name="Normal 6 6 3 3 2" xfId="14361"/>
    <cellStyle name="Normal 6 6 3 3 3" xfId="14360"/>
    <cellStyle name="Normal 6 6 3 3_FC with allocations" xfId="29850"/>
    <cellStyle name="Normal 6 6 3 4" xfId="14362"/>
    <cellStyle name="Normal 6 6 3 4 2" xfId="18468"/>
    <cellStyle name="Normal 6 6 3 4 3" xfId="17792"/>
    <cellStyle name="Normal 6 6 3 4_FC with allocations" xfId="29851"/>
    <cellStyle name="Normal 6 6 3 5" xfId="14358"/>
    <cellStyle name="Normal 6 6 3 6" xfId="17288"/>
    <cellStyle name="Normal 6 6 3_FC with allocations" xfId="29847"/>
    <cellStyle name="Normal 6 6 4" xfId="2330"/>
    <cellStyle name="Normal 6 6 4 2" xfId="4318"/>
    <cellStyle name="Normal 6 6 4 2 2" xfId="14365"/>
    <cellStyle name="Normal 6 6 4 2 3" xfId="14364"/>
    <cellStyle name="Normal 6 6 4 2_FC with allocations" xfId="29853"/>
    <cellStyle name="Normal 6 6 4 3" xfId="14366"/>
    <cellStyle name="Normal 6 6 4 3 2" xfId="18469"/>
    <cellStyle name="Normal 6 6 4 3 3" xfId="17794"/>
    <cellStyle name="Normal 6 6 4 3_FC with allocations" xfId="29854"/>
    <cellStyle name="Normal 6 6 4 4" xfId="14363"/>
    <cellStyle name="Normal 6 6 4 5" xfId="17290"/>
    <cellStyle name="Normal 6 6 4_FC with allocations" xfId="29852"/>
    <cellStyle name="Normal 6 6 5" xfId="2331"/>
    <cellStyle name="Normal 6 6 5 2" xfId="4319"/>
    <cellStyle name="Normal 6 6 5 3" xfId="17795"/>
    <cellStyle name="Normal 6 6 5 4" xfId="17291"/>
    <cellStyle name="Normal 6 6 5_FC with allocations" xfId="29855"/>
    <cellStyle name="Normal 6 6 6" xfId="14348"/>
    <cellStyle name="Normal 6 6_FC with allocations" xfId="29835"/>
    <cellStyle name="Normal 6 7" xfId="2332"/>
    <cellStyle name="Normal 6 7 2" xfId="2333"/>
    <cellStyle name="Normal 6 7 2 2" xfId="2334"/>
    <cellStyle name="Normal 6 7 2 2 2" xfId="4321"/>
    <cellStyle name="Normal 6 7 2 2 3" xfId="14369"/>
    <cellStyle name="Normal 6 7 2 2 3 2" xfId="18470"/>
    <cellStyle name="Normal 6 7 2 2 3 3" xfId="17797"/>
    <cellStyle name="Normal 6 7 2 2 3_FC with allocations" xfId="29859"/>
    <cellStyle name="Normal 6 7 2 2 4" xfId="17293"/>
    <cellStyle name="Normal 6 7 2 2_FC with allocations" xfId="29858"/>
    <cellStyle name="Normal 6 7 2 3" xfId="4320"/>
    <cellStyle name="Normal 6 7 2 3 2" xfId="14371"/>
    <cellStyle name="Normal 6 7 2 3 3" xfId="14370"/>
    <cellStyle name="Normal 6 7 2 3_FC with allocations" xfId="29860"/>
    <cellStyle name="Normal 6 7 2 4" xfId="14372"/>
    <cellStyle name="Normal 6 7 2 4 2" xfId="18471"/>
    <cellStyle name="Normal 6 7 2 4 3" xfId="17796"/>
    <cellStyle name="Normal 6 7 2 4_FC with allocations" xfId="29861"/>
    <cellStyle name="Normal 6 7 2 5" xfId="14368"/>
    <cellStyle name="Normal 6 7 2 6" xfId="17292"/>
    <cellStyle name="Normal 6 7 2_FC with allocations" xfId="29857"/>
    <cellStyle name="Normal 6 7 3" xfId="2335"/>
    <cellStyle name="Normal 6 7 3 2" xfId="4322"/>
    <cellStyle name="Normal 6 7 3 2 2" xfId="14374"/>
    <cellStyle name="Normal 6 7 3 2_FC with allocations" xfId="29863"/>
    <cellStyle name="Normal 6 7 3 3" xfId="14375"/>
    <cellStyle name="Normal 6 7 3 3 2" xfId="14376"/>
    <cellStyle name="Normal 6 7 3 3 3" xfId="18472"/>
    <cellStyle name="Normal 6 7 3 3 4" xfId="17798"/>
    <cellStyle name="Normal 6 7 3 3_FC with allocations" xfId="29864"/>
    <cellStyle name="Normal 6 7 3 4" xfId="14377"/>
    <cellStyle name="Normal 6 7 3 5" xfId="14373"/>
    <cellStyle name="Normal 6 7 3 6" xfId="17294"/>
    <cellStyle name="Normal 6 7 3_FC with allocations" xfId="29862"/>
    <cellStyle name="Normal 6 7 4" xfId="2336"/>
    <cellStyle name="Normal 6 7 4 2" xfId="4323"/>
    <cellStyle name="Normal 6 7 4 3" xfId="17799"/>
    <cellStyle name="Normal 6 7 4 4" xfId="17295"/>
    <cellStyle name="Normal 6 7 4_FC with allocations" xfId="29865"/>
    <cellStyle name="Normal 6 7 5" xfId="14367"/>
    <cellStyle name="Normal 6 7_FC with allocations" xfId="29856"/>
    <cellStyle name="Normal 6 8" xfId="2337"/>
    <cellStyle name="Normal 6 8 2" xfId="2338"/>
    <cellStyle name="Normal 6 8 2 2" xfId="2339"/>
    <cellStyle name="Normal 6 8 2 2 2" xfId="4325"/>
    <cellStyle name="Normal 6 8 2 2 3" xfId="14380"/>
    <cellStyle name="Normal 6 8 2 2 3 2" xfId="18473"/>
    <cellStyle name="Normal 6 8 2 2 3 3" xfId="17801"/>
    <cellStyle name="Normal 6 8 2 2 3_FC with allocations" xfId="29869"/>
    <cellStyle name="Normal 6 8 2 2 4" xfId="17297"/>
    <cellStyle name="Normal 6 8 2 2_FC with allocations" xfId="29868"/>
    <cellStyle name="Normal 6 8 2 3" xfId="4324"/>
    <cellStyle name="Normal 6 8 2 3 2" xfId="14382"/>
    <cellStyle name="Normal 6 8 2 3 3" xfId="14381"/>
    <cellStyle name="Normal 6 8 2 3_FC with allocations" xfId="29870"/>
    <cellStyle name="Normal 6 8 2 4" xfId="14383"/>
    <cellStyle name="Normal 6 8 2 4 2" xfId="18474"/>
    <cellStyle name="Normal 6 8 2 4 3" xfId="17800"/>
    <cellStyle name="Normal 6 8 2 4_FC with allocations" xfId="29871"/>
    <cellStyle name="Normal 6 8 2 5" xfId="14379"/>
    <cellStyle name="Normal 6 8 2 6" xfId="17296"/>
    <cellStyle name="Normal 6 8 2_FC with allocations" xfId="29867"/>
    <cellStyle name="Normal 6 8 3" xfId="2340"/>
    <cellStyle name="Normal 6 8 3 2" xfId="4326"/>
    <cellStyle name="Normal 6 8 3 3" xfId="14384"/>
    <cellStyle name="Normal 6 8 3 3 2" xfId="18475"/>
    <cellStyle name="Normal 6 8 3 3 3" xfId="17802"/>
    <cellStyle name="Normal 6 8 3 3_FC with allocations" xfId="29873"/>
    <cellStyle name="Normal 6 8 3 4" xfId="17298"/>
    <cellStyle name="Normal 6 8 3_FC with allocations" xfId="29872"/>
    <cellStyle name="Normal 6 8 4" xfId="2341"/>
    <cellStyle name="Normal 6 8 4 2" xfId="4327"/>
    <cellStyle name="Normal 6 8 4 3" xfId="17803"/>
    <cellStyle name="Normal 6 8 4 4" xfId="17299"/>
    <cellStyle name="Normal 6 8 4_FC with allocations" xfId="29874"/>
    <cellStyle name="Normal 6 8 5" xfId="14378"/>
    <cellStyle name="Normal 6 8_FC with allocations" xfId="29866"/>
    <cellStyle name="Normal 6 9" xfId="2342"/>
    <cellStyle name="Normal 6 9 2" xfId="2343"/>
    <cellStyle name="Normal 6 9 2 2" xfId="4328"/>
    <cellStyle name="Normal 6 9 2 3" xfId="14386"/>
    <cellStyle name="Normal 6 9 2 3 2" xfId="18476"/>
    <cellStyle name="Normal 6 9 2 3 3" xfId="17804"/>
    <cellStyle name="Normal 6 9 2 3_FC with allocations" xfId="29877"/>
    <cellStyle name="Normal 6 9 2 4" xfId="17300"/>
    <cellStyle name="Normal 6 9 2_FC with allocations" xfId="29876"/>
    <cellStyle name="Normal 6 9 3" xfId="2344"/>
    <cellStyle name="Normal 6 9 3 2" xfId="4329"/>
    <cellStyle name="Normal 6 9 3 3" xfId="14387"/>
    <cellStyle name="Normal 6 9 3 3 2" xfId="18477"/>
    <cellStyle name="Normal 6 9 3 3 3" xfId="17805"/>
    <cellStyle name="Normal 6 9 3 3_FC with allocations" xfId="29879"/>
    <cellStyle name="Normal 6 9 3 4" xfId="17301"/>
    <cellStyle name="Normal 6 9 3_FC with allocations" xfId="29878"/>
    <cellStyle name="Normal 6 9 4" xfId="14385"/>
    <cellStyle name="Normal 6 9_FC with allocations" xfId="29875"/>
    <cellStyle name="Normal 6_Customers" xfId="2345"/>
    <cellStyle name="Normal 60" xfId="2346"/>
    <cellStyle name="Normal 60 2" xfId="14389"/>
    <cellStyle name="Normal 60 2 2" xfId="14390"/>
    <cellStyle name="Normal 60 2 2 2" xfId="14391"/>
    <cellStyle name="Normal 60 2 2 2 2" xfId="14392"/>
    <cellStyle name="Normal 60 2 2 2 2 2" xfId="14393"/>
    <cellStyle name="Normal 60 2 2 2 2_FC with allocations" xfId="29884"/>
    <cellStyle name="Normal 60 2 2 2 3" xfId="14394"/>
    <cellStyle name="Normal 60 2 2 2_FC with allocations" xfId="29883"/>
    <cellStyle name="Normal 60 2 2 3" xfId="14395"/>
    <cellStyle name="Normal 60 2 2 3 2" xfId="14396"/>
    <cellStyle name="Normal 60 2 2 3_FC with allocations" xfId="29885"/>
    <cellStyle name="Normal 60 2 2 4" xfId="14397"/>
    <cellStyle name="Normal 60 2 2_FC with allocations" xfId="29882"/>
    <cellStyle name="Normal 60 2 3" xfId="14398"/>
    <cellStyle name="Normal 60 2 3 2" xfId="14399"/>
    <cellStyle name="Normal 60 2 3 2 2" xfId="14400"/>
    <cellStyle name="Normal 60 2 3 2_FC with allocations" xfId="29887"/>
    <cellStyle name="Normal 60 2 3 3" xfId="14401"/>
    <cellStyle name="Normal 60 2 3_FC with allocations" xfId="29886"/>
    <cellStyle name="Normal 60 2 4" xfId="14402"/>
    <cellStyle name="Normal 60 2 4 2" xfId="14403"/>
    <cellStyle name="Normal 60 2 4_FC with allocations" xfId="29888"/>
    <cellStyle name="Normal 60 2 5" xfId="14404"/>
    <cellStyle name="Normal 60 2_FC with allocations" xfId="29881"/>
    <cellStyle name="Normal 60 3" xfId="14405"/>
    <cellStyle name="Normal 60 3 2" xfId="14406"/>
    <cellStyle name="Normal 60 3 2 2" xfId="14407"/>
    <cellStyle name="Normal 60 3 2 2 2" xfId="14408"/>
    <cellStyle name="Normal 60 3 2 2 2 2" xfId="14409"/>
    <cellStyle name="Normal 60 3 2 2 2_FC with allocations" xfId="29892"/>
    <cellStyle name="Normal 60 3 2 2 3" xfId="14410"/>
    <cellStyle name="Normal 60 3 2 2_FC with allocations" xfId="29891"/>
    <cellStyle name="Normal 60 3 2 3" xfId="14411"/>
    <cellStyle name="Normal 60 3 2 3 2" xfId="14412"/>
    <cellStyle name="Normal 60 3 2 3_FC with allocations" xfId="29893"/>
    <cellStyle name="Normal 60 3 2 4" xfId="14413"/>
    <cellStyle name="Normal 60 3 2_FC with allocations" xfId="29890"/>
    <cellStyle name="Normal 60 3 3" xfId="14414"/>
    <cellStyle name="Normal 60 3 3 2" xfId="14415"/>
    <cellStyle name="Normal 60 3 3 2 2" xfId="14416"/>
    <cellStyle name="Normal 60 3 3 2_FC with allocations" xfId="29895"/>
    <cellStyle name="Normal 60 3 3 3" xfId="14417"/>
    <cellStyle name="Normal 60 3 3_FC with allocations" xfId="29894"/>
    <cellStyle name="Normal 60 3 4" xfId="14418"/>
    <cellStyle name="Normal 60 3 4 2" xfId="14419"/>
    <cellStyle name="Normal 60 3 4_FC with allocations" xfId="29896"/>
    <cellStyle name="Normal 60 3 5" xfId="14420"/>
    <cellStyle name="Normal 60 3_FC with allocations" xfId="29889"/>
    <cellStyle name="Normal 60 4" xfId="14421"/>
    <cellStyle name="Normal 60 4 2" xfId="14422"/>
    <cellStyle name="Normal 60 4 2 2" xfId="14423"/>
    <cellStyle name="Normal 60 4 2 2 2" xfId="14424"/>
    <cellStyle name="Normal 60 4 2 2 2 2" xfId="14425"/>
    <cellStyle name="Normal 60 4 2 2 2_FC with allocations" xfId="29900"/>
    <cellStyle name="Normal 60 4 2 2 3" xfId="14426"/>
    <cellStyle name="Normal 60 4 2 2_FC with allocations" xfId="29899"/>
    <cellStyle name="Normal 60 4 2 3" xfId="14427"/>
    <cellStyle name="Normal 60 4 2 3 2" xfId="14428"/>
    <cellStyle name="Normal 60 4 2 3_FC with allocations" xfId="29901"/>
    <cellStyle name="Normal 60 4 2 4" xfId="14429"/>
    <cellStyle name="Normal 60 4 2_FC with allocations" xfId="29898"/>
    <cellStyle name="Normal 60 4 3" xfId="14430"/>
    <cellStyle name="Normal 60 4 3 2" xfId="14431"/>
    <cellStyle name="Normal 60 4 3 2 2" xfId="14432"/>
    <cellStyle name="Normal 60 4 3 2_FC with allocations" xfId="29903"/>
    <cellStyle name="Normal 60 4 3 3" xfId="14433"/>
    <cellStyle name="Normal 60 4 3_FC with allocations" xfId="29902"/>
    <cellStyle name="Normal 60 4 4" xfId="14434"/>
    <cellStyle name="Normal 60 4 4 2" xfId="14435"/>
    <cellStyle name="Normal 60 4 4_FC with allocations" xfId="29904"/>
    <cellStyle name="Normal 60 4 5" xfId="14436"/>
    <cellStyle name="Normal 60 4_FC with allocations" xfId="29897"/>
    <cellStyle name="Normal 60 5" xfId="14437"/>
    <cellStyle name="Normal 60 5 2" xfId="14438"/>
    <cellStyle name="Normal 60 5 2 2" xfId="14439"/>
    <cellStyle name="Normal 60 5 2 2 2" xfId="14440"/>
    <cellStyle name="Normal 60 5 2 2_FC with allocations" xfId="29907"/>
    <cellStyle name="Normal 60 5 2 3" xfId="14441"/>
    <cellStyle name="Normal 60 5 2_FC with allocations" xfId="29906"/>
    <cellStyle name="Normal 60 5 3" xfId="14442"/>
    <cellStyle name="Normal 60 5 3 2" xfId="14443"/>
    <cellStyle name="Normal 60 5 3_FC with allocations" xfId="29908"/>
    <cellStyle name="Normal 60 5 4" xfId="14444"/>
    <cellStyle name="Normal 60 5_FC with allocations" xfId="29905"/>
    <cellStyle name="Normal 60 6" xfId="14445"/>
    <cellStyle name="Normal 60 6 2" xfId="14446"/>
    <cellStyle name="Normal 60 6 2 2" xfId="14447"/>
    <cellStyle name="Normal 60 6 2_FC with allocations" xfId="29910"/>
    <cellStyle name="Normal 60 6 3" xfId="14448"/>
    <cellStyle name="Normal 60 6_FC with allocations" xfId="29909"/>
    <cellStyle name="Normal 60 7" xfId="14449"/>
    <cellStyle name="Normal 60 7 2" xfId="14450"/>
    <cellStyle name="Normal 60 7 2 2" xfId="14451"/>
    <cellStyle name="Normal 60 7 2_FC with allocations" xfId="29912"/>
    <cellStyle name="Normal 60 7 3" xfId="14452"/>
    <cellStyle name="Normal 60 7_FC with allocations" xfId="29911"/>
    <cellStyle name="Normal 60 8" xfId="14453"/>
    <cellStyle name="Normal 60 8 2" xfId="14454"/>
    <cellStyle name="Normal 60 8 2 2" xfId="14455"/>
    <cellStyle name="Normal 60 8 2_FC with allocations" xfId="29914"/>
    <cellStyle name="Normal 60 8 3" xfId="14456"/>
    <cellStyle name="Normal 60 8_FC with allocations" xfId="29913"/>
    <cellStyle name="Normal 60 9" xfId="14388"/>
    <cellStyle name="Normal 60_FC with allocations" xfId="29880"/>
    <cellStyle name="Normal 61" xfId="2347"/>
    <cellStyle name="Normal 61 2" xfId="2348"/>
    <cellStyle name="Normal 61 2 2" xfId="14459"/>
    <cellStyle name="Normal 61 2 2 2" xfId="14460"/>
    <cellStyle name="Normal 61 2 2 2 2" xfId="14461"/>
    <cellStyle name="Normal 61 2 2 2 2 2" xfId="14462"/>
    <cellStyle name="Normal 61 2 2 2 2_FC with allocations" xfId="29919"/>
    <cellStyle name="Normal 61 2 2 2 3" xfId="14463"/>
    <cellStyle name="Normal 61 2 2 2_FC with allocations" xfId="29918"/>
    <cellStyle name="Normal 61 2 2 3" xfId="14464"/>
    <cellStyle name="Normal 61 2 2 3 2" xfId="14465"/>
    <cellStyle name="Normal 61 2 2 3_FC with allocations" xfId="29920"/>
    <cellStyle name="Normal 61 2 2 4" xfId="14466"/>
    <cellStyle name="Normal 61 2 2_FC with allocations" xfId="29917"/>
    <cellStyle name="Normal 61 2 3" xfId="14467"/>
    <cellStyle name="Normal 61 2 3 2" xfId="14468"/>
    <cellStyle name="Normal 61 2 3 2 2" xfId="14469"/>
    <cellStyle name="Normal 61 2 3 2_FC with allocations" xfId="29922"/>
    <cellStyle name="Normal 61 2 3 3" xfId="14470"/>
    <cellStyle name="Normal 61 2 3_FC with allocations" xfId="29921"/>
    <cellStyle name="Normal 61 2 4" xfId="14471"/>
    <cellStyle name="Normal 61 2 4 2" xfId="14472"/>
    <cellStyle name="Normal 61 2 4_FC with allocations" xfId="29923"/>
    <cellStyle name="Normal 61 2 5" xfId="14473"/>
    <cellStyle name="Normal 61 2 6" xfId="14458"/>
    <cellStyle name="Normal 61 2_FC with allocations" xfId="29916"/>
    <cellStyle name="Normal 61 3" xfId="2349"/>
    <cellStyle name="Normal 61 3 2" xfId="14475"/>
    <cellStyle name="Normal 61 3 2 2" xfId="14476"/>
    <cellStyle name="Normal 61 3 2 2 2" xfId="14477"/>
    <cellStyle name="Normal 61 3 2 2 2 2" xfId="14478"/>
    <cellStyle name="Normal 61 3 2 2 2_FC with allocations" xfId="29927"/>
    <cellStyle name="Normal 61 3 2 2 3" xfId="14479"/>
    <cellStyle name="Normal 61 3 2 2_FC with allocations" xfId="29926"/>
    <cellStyle name="Normal 61 3 2 3" xfId="14480"/>
    <cellStyle name="Normal 61 3 2 3 2" xfId="14481"/>
    <cellStyle name="Normal 61 3 2 3_FC with allocations" xfId="29928"/>
    <cellStyle name="Normal 61 3 2 4" xfId="14482"/>
    <cellStyle name="Normal 61 3 2_FC with allocations" xfId="29925"/>
    <cellStyle name="Normal 61 3 3" xfId="14483"/>
    <cellStyle name="Normal 61 3 3 2" xfId="14484"/>
    <cellStyle name="Normal 61 3 3 2 2" xfId="14485"/>
    <cellStyle name="Normal 61 3 3 2_FC with allocations" xfId="29930"/>
    <cellStyle name="Normal 61 3 3 3" xfId="14486"/>
    <cellStyle name="Normal 61 3 3_FC with allocations" xfId="29929"/>
    <cellStyle name="Normal 61 3 4" xfId="14487"/>
    <cellStyle name="Normal 61 3 4 2" xfId="14488"/>
    <cellStyle name="Normal 61 3 4_FC with allocations" xfId="29931"/>
    <cellStyle name="Normal 61 3 5" xfId="14489"/>
    <cellStyle name="Normal 61 3 6" xfId="14474"/>
    <cellStyle name="Normal 61 3_FC with allocations" xfId="29924"/>
    <cellStyle name="Normal 61 4" xfId="14490"/>
    <cellStyle name="Normal 61 4 2" xfId="14491"/>
    <cellStyle name="Normal 61 4 2 2" xfId="14492"/>
    <cellStyle name="Normal 61 4 2 2 2" xfId="14493"/>
    <cellStyle name="Normal 61 4 2 2 2 2" xfId="14494"/>
    <cellStyle name="Normal 61 4 2 2 2_FC with allocations" xfId="29935"/>
    <cellStyle name="Normal 61 4 2 2 3" xfId="14495"/>
    <cellStyle name="Normal 61 4 2 2_FC with allocations" xfId="29934"/>
    <cellStyle name="Normal 61 4 2 3" xfId="14496"/>
    <cellStyle name="Normal 61 4 2 3 2" xfId="14497"/>
    <cellStyle name="Normal 61 4 2 3_FC with allocations" xfId="29936"/>
    <cellStyle name="Normal 61 4 2 4" xfId="14498"/>
    <cellStyle name="Normal 61 4 2_FC with allocations" xfId="29933"/>
    <cellStyle name="Normal 61 4 3" xfId="14499"/>
    <cellStyle name="Normal 61 4 3 2" xfId="14500"/>
    <cellStyle name="Normal 61 4 3 2 2" xfId="14501"/>
    <cellStyle name="Normal 61 4 3 2_FC with allocations" xfId="29938"/>
    <cellStyle name="Normal 61 4 3 3" xfId="14502"/>
    <cellStyle name="Normal 61 4 3_FC with allocations" xfId="29937"/>
    <cellStyle name="Normal 61 4 4" xfId="14503"/>
    <cellStyle name="Normal 61 4 4 2" xfId="14504"/>
    <cellStyle name="Normal 61 4 4_FC with allocations" xfId="29939"/>
    <cellStyle name="Normal 61 4 5" xfId="14505"/>
    <cellStyle name="Normal 61 4_FC with allocations" xfId="29932"/>
    <cellStyle name="Normal 61 5" xfId="14506"/>
    <cellStyle name="Normal 61 5 2" xfId="14507"/>
    <cellStyle name="Normal 61 5 2 2" xfId="14508"/>
    <cellStyle name="Normal 61 5 2 2 2" xfId="14509"/>
    <cellStyle name="Normal 61 5 2 2_FC with allocations" xfId="29942"/>
    <cellStyle name="Normal 61 5 2 3" xfId="14510"/>
    <cellStyle name="Normal 61 5 2_FC with allocations" xfId="29941"/>
    <cellStyle name="Normal 61 5 3" xfId="14511"/>
    <cellStyle name="Normal 61 5 3 2" xfId="14512"/>
    <cellStyle name="Normal 61 5 3_FC with allocations" xfId="29943"/>
    <cellStyle name="Normal 61 5 4" xfId="14513"/>
    <cellStyle name="Normal 61 5_FC with allocations" xfId="29940"/>
    <cellStyle name="Normal 61 6" xfId="14514"/>
    <cellStyle name="Normal 61 6 2" xfId="14515"/>
    <cellStyle name="Normal 61 6 2 2" xfId="14516"/>
    <cellStyle name="Normal 61 6 2_FC with allocations" xfId="29945"/>
    <cellStyle name="Normal 61 6 3" xfId="14517"/>
    <cellStyle name="Normal 61 6_FC with allocations" xfId="29944"/>
    <cellStyle name="Normal 61 7" xfId="14518"/>
    <cellStyle name="Normal 61 7 2" xfId="14519"/>
    <cellStyle name="Normal 61 7 2 2" xfId="14520"/>
    <cellStyle name="Normal 61 7 2_FC with allocations" xfId="29947"/>
    <cellStyle name="Normal 61 7 3" xfId="14521"/>
    <cellStyle name="Normal 61 7_FC with allocations" xfId="29946"/>
    <cellStyle name="Normal 61 8" xfId="14522"/>
    <cellStyle name="Normal 61 8 2" xfId="14523"/>
    <cellStyle name="Normal 61 8 2 2" xfId="14524"/>
    <cellStyle name="Normal 61 8 2_FC with allocations" xfId="29949"/>
    <cellStyle name="Normal 61 8 3" xfId="14525"/>
    <cellStyle name="Normal 61 8_FC with allocations" xfId="29948"/>
    <cellStyle name="Normal 61 9" xfId="14457"/>
    <cellStyle name="Normal 61_FC with allocations" xfId="29915"/>
    <cellStyle name="Normal 62" xfId="2350"/>
    <cellStyle name="Normal 62 2" xfId="2351"/>
    <cellStyle name="Normal 62 2 2" xfId="14528"/>
    <cellStyle name="Normal 62 2 2 2" xfId="14529"/>
    <cellStyle name="Normal 62 2 2 2 2" xfId="14530"/>
    <cellStyle name="Normal 62 2 2 2 2 2" xfId="14531"/>
    <cellStyle name="Normal 62 2 2 2 2_FC with allocations" xfId="29954"/>
    <cellStyle name="Normal 62 2 2 2 3" xfId="14532"/>
    <cellStyle name="Normal 62 2 2 2_FC with allocations" xfId="29953"/>
    <cellStyle name="Normal 62 2 2 3" xfId="14533"/>
    <cellStyle name="Normal 62 2 2 3 2" xfId="14534"/>
    <cellStyle name="Normal 62 2 2 3_FC with allocations" xfId="29955"/>
    <cellStyle name="Normal 62 2 2 4" xfId="14535"/>
    <cellStyle name="Normal 62 2 2_FC with allocations" xfId="29952"/>
    <cellStyle name="Normal 62 2 3" xfId="14536"/>
    <cellStyle name="Normal 62 2 3 2" xfId="14537"/>
    <cellStyle name="Normal 62 2 3 2 2" xfId="14538"/>
    <cellStyle name="Normal 62 2 3 2_FC with allocations" xfId="29957"/>
    <cellStyle name="Normal 62 2 3 3" xfId="14539"/>
    <cellStyle name="Normal 62 2 3_FC with allocations" xfId="29956"/>
    <cellStyle name="Normal 62 2 4" xfId="14540"/>
    <cellStyle name="Normal 62 2 4 2" xfId="14541"/>
    <cellStyle name="Normal 62 2 4_FC with allocations" xfId="29958"/>
    <cellStyle name="Normal 62 2 5" xfId="14542"/>
    <cellStyle name="Normal 62 2 6" xfId="14527"/>
    <cellStyle name="Normal 62 2_FC with allocations" xfId="29951"/>
    <cellStyle name="Normal 62 3" xfId="2352"/>
    <cellStyle name="Normal 62 3 2" xfId="14544"/>
    <cellStyle name="Normal 62 3 2 2" xfId="14545"/>
    <cellStyle name="Normal 62 3 2 2 2" xfId="14546"/>
    <cellStyle name="Normal 62 3 2 2 2 2" xfId="14547"/>
    <cellStyle name="Normal 62 3 2 2 2_FC with allocations" xfId="29962"/>
    <cellStyle name="Normal 62 3 2 2 3" xfId="14548"/>
    <cellStyle name="Normal 62 3 2 2_FC with allocations" xfId="29961"/>
    <cellStyle name="Normal 62 3 2 3" xfId="14549"/>
    <cellStyle name="Normal 62 3 2 3 2" xfId="14550"/>
    <cellStyle name="Normal 62 3 2 3_FC with allocations" xfId="29963"/>
    <cellStyle name="Normal 62 3 2 4" xfId="14551"/>
    <cellStyle name="Normal 62 3 2_FC with allocations" xfId="29960"/>
    <cellStyle name="Normal 62 3 3" xfId="14552"/>
    <cellStyle name="Normal 62 3 3 2" xfId="14553"/>
    <cellStyle name="Normal 62 3 3 2 2" xfId="14554"/>
    <cellStyle name="Normal 62 3 3 2_FC with allocations" xfId="29965"/>
    <cellStyle name="Normal 62 3 3 3" xfId="14555"/>
    <cellStyle name="Normal 62 3 3_FC with allocations" xfId="29964"/>
    <cellStyle name="Normal 62 3 4" xfId="14556"/>
    <cellStyle name="Normal 62 3 4 2" xfId="14557"/>
    <cellStyle name="Normal 62 3 4_FC with allocations" xfId="29966"/>
    <cellStyle name="Normal 62 3 5" xfId="14558"/>
    <cellStyle name="Normal 62 3 6" xfId="14543"/>
    <cellStyle name="Normal 62 3_FC with allocations" xfId="29959"/>
    <cellStyle name="Normal 62 4" xfId="14559"/>
    <cellStyle name="Normal 62 4 2" xfId="14560"/>
    <cellStyle name="Normal 62 4 2 2" xfId="14561"/>
    <cellStyle name="Normal 62 4 2 2 2" xfId="14562"/>
    <cellStyle name="Normal 62 4 2 2 2 2" xfId="14563"/>
    <cellStyle name="Normal 62 4 2 2 2_FC with allocations" xfId="29970"/>
    <cellStyle name="Normal 62 4 2 2 3" xfId="14564"/>
    <cellStyle name="Normal 62 4 2 2_FC with allocations" xfId="29969"/>
    <cellStyle name="Normal 62 4 2 3" xfId="14565"/>
    <cellStyle name="Normal 62 4 2 3 2" xfId="14566"/>
    <cellStyle name="Normal 62 4 2 3_FC with allocations" xfId="29971"/>
    <cellStyle name="Normal 62 4 2 4" xfId="14567"/>
    <cellStyle name="Normal 62 4 2_FC with allocations" xfId="29968"/>
    <cellStyle name="Normal 62 4 3" xfId="14568"/>
    <cellStyle name="Normal 62 4 3 2" xfId="14569"/>
    <cellStyle name="Normal 62 4 3 2 2" xfId="14570"/>
    <cellStyle name="Normal 62 4 3 2_FC with allocations" xfId="29973"/>
    <cellStyle name="Normal 62 4 3 3" xfId="14571"/>
    <cellStyle name="Normal 62 4 3_FC with allocations" xfId="29972"/>
    <cellStyle name="Normal 62 4 4" xfId="14572"/>
    <cellStyle name="Normal 62 4 4 2" xfId="14573"/>
    <cellStyle name="Normal 62 4 4_FC with allocations" xfId="29974"/>
    <cellStyle name="Normal 62 4 5" xfId="14574"/>
    <cellStyle name="Normal 62 4_FC with allocations" xfId="29967"/>
    <cellStyle name="Normal 62 5" xfId="14575"/>
    <cellStyle name="Normal 62 5 2" xfId="14576"/>
    <cellStyle name="Normal 62 5 2 2" xfId="14577"/>
    <cellStyle name="Normal 62 5 2 2 2" xfId="14578"/>
    <cellStyle name="Normal 62 5 2 2_FC with allocations" xfId="29977"/>
    <cellStyle name="Normal 62 5 2 3" xfId="14579"/>
    <cellStyle name="Normal 62 5 2_FC with allocations" xfId="29976"/>
    <cellStyle name="Normal 62 5 3" xfId="14580"/>
    <cellStyle name="Normal 62 5 3 2" xfId="14581"/>
    <cellStyle name="Normal 62 5 3_FC with allocations" xfId="29978"/>
    <cellStyle name="Normal 62 5 4" xfId="14582"/>
    <cellStyle name="Normal 62 5_FC with allocations" xfId="29975"/>
    <cellStyle name="Normal 62 6" xfId="14583"/>
    <cellStyle name="Normal 62 6 2" xfId="14584"/>
    <cellStyle name="Normal 62 6 2 2" xfId="14585"/>
    <cellStyle name="Normal 62 6 2_FC with allocations" xfId="29980"/>
    <cellStyle name="Normal 62 6 3" xfId="14586"/>
    <cellStyle name="Normal 62 6_FC with allocations" xfId="29979"/>
    <cellStyle name="Normal 62 7" xfId="14587"/>
    <cellStyle name="Normal 62 7 2" xfId="14588"/>
    <cellStyle name="Normal 62 7 2 2" xfId="14589"/>
    <cellStyle name="Normal 62 7 2_FC with allocations" xfId="29982"/>
    <cellStyle name="Normal 62 7 3" xfId="14590"/>
    <cellStyle name="Normal 62 7_FC with allocations" xfId="29981"/>
    <cellStyle name="Normal 62 8" xfId="14591"/>
    <cellStyle name="Normal 62 8 2" xfId="14592"/>
    <cellStyle name="Normal 62 8 2 2" xfId="14593"/>
    <cellStyle name="Normal 62 8 2_FC with allocations" xfId="29984"/>
    <cellStyle name="Normal 62 8 3" xfId="14594"/>
    <cellStyle name="Normal 62 8_FC with allocations" xfId="29983"/>
    <cellStyle name="Normal 62 9" xfId="14526"/>
    <cellStyle name="Normal 62_FC with allocations" xfId="29950"/>
    <cellStyle name="Normal 63" xfId="2353"/>
    <cellStyle name="Normal 63 2" xfId="2354"/>
    <cellStyle name="Normal 63 2 2" xfId="14597"/>
    <cellStyle name="Normal 63 2 2 2" xfId="14598"/>
    <cellStyle name="Normal 63 2 2 2 2" xfId="14599"/>
    <cellStyle name="Normal 63 2 2 2 2 2" xfId="14600"/>
    <cellStyle name="Normal 63 2 2 2 2_FC with allocations" xfId="29989"/>
    <cellStyle name="Normal 63 2 2 2 3" xfId="14601"/>
    <cellStyle name="Normal 63 2 2 2_FC with allocations" xfId="29988"/>
    <cellStyle name="Normal 63 2 2 3" xfId="14602"/>
    <cellStyle name="Normal 63 2 2 3 2" xfId="14603"/>
    <cellStyle name="Normal 63 2 2 3_FC with allocations" xfId="29990"/>
    <cellStyle name="Normal 63 2 2 4" xfId="14604"/>
    <cellStyle name="Normal 63 2 2_FC with allocations" xfId="29987"/>
    <cellStyle name="Normal 63 2 3" xfId="14605"/>
    <cellStyle name="Normal 63 2 3 2" xfId="14606"/>
    <cellStyle name="Normal 63 2 3 2 2" xfId="14607"/>
    <cellStyle name="Normal 63 2 3 2_FC with allocations" xfId="29992"/>
    <cellStyle name="Normal 63 2 3 3" xfId="14608"/>
    <cellStyle name="Normal 63 2 3_FC with allocations" xfId="29991"/>
    <cellStyle name="Normal 63 2 4" xfId="14609"/>
    <cellStyle name="Normal 63 2 4 2" xfId="14610"/>
    <cellStyle name="Normal 63 2 4_FC with allocations" xfId="29993"/>
    <cellStyle name="Normal 63 2 5" xfId="14611"/>
    <cellStyle name="Normal 63 2 6" xfId="14596"/>
    <cellStyle name="Normal 63 2_FC with allocations" xfId="29986"/>
    <cellStyle name="Normal 63 3" xfId="2355"/>
    <cellStyle name="Normal 63 3 2" xfId="14613"/>
    <cellStyle name="Normal 63 3 2 2" xfId="14614"/>
    <cellStyle name="Normal 63 3 2 2 2" xfId="14615"/>
    <cellStyle name="Normal 63 3 2 2 2 2" xfId="14616"/>
    <cellStyle name="Normal 63 3 2 2 2_FC with allocations" xfId="29997"/>
    <cellStyle name="Normal 63 3 2 2 3" xfId="14617"/>
    <cellStyle name="Normal 63 3 2 2_FC with allocations" xfId="29996"/>
    <cellStyle name="Normal 63 3 2 3" xfId="14618"/>
    <cellStyle name="Normal 63 3 2 3 2" xfId="14619"/>
    <cellStyle name="Normal 63 3 2 3_FC with allocations" xfId="29998"/>
    <cellStyle name="Normal 63 3 2 4" xfId="14620"/>
    <cellStyle name="Normal 63 3 2_FC with allocations" xfId="29995"/>
    <cellStyle name="Normal 63 3 3" xfId="14621"/>
    <cellStyle name="Normal 63 3 3 2" xfId="14622"/>
    <cellStyle name="Normal 63 3 3 2 2" xfId="14623"/>
    <cellStyle name="Normal 63 3 3 2_FC with allocations" xfId="30000"/>
    <cellStyle name="Normal 63 3 3 3" xfId="14624"/>
    <cellStyle name="Normal 63 3 3_FC with allocations" xfId="29999"/>
    <cellStyle name="Normal 63 3 4" xfId="14625"/>
    <cellStyle name="Normal 63 3 4 2" xfId="14626"/>
    <cellStyle name="Normal 63 3 4_FC with allocations" xfId="30001"/>
    <cellStyle name="Normal 63 3 5" xfId="14627"/>
    <cellStyle name="Normal 63 3 6" xfId="14612"/>
    <cellStyle name="Normal 63 3_FC with allocations" xfId="29994"/>
    <cellStyle name="Normal 63 4" xfId="14628"/>
    <cellStyle name="Normal 63 4 2" xfId="14629"/>
    <cellStyle name="Normal 63 4 2 2" xfId="14630"/>
    <cellStyle name="Normal 63 4 2 2 2" xfId="14631"/>
    <cellStyle name="Normal 63 4 2 2 2 2" xfId="14632"/>
    <cellStyle name="Normal 63 4 2 2 2_FC with allocations" xfId="30005"/>
    <cellStyle name="Normal 63 4 2 2 3" xfId="14633"/>
    <cellStyle name="Normal 63 4 2 2_FC with allocations" xfId="30004"/>
    <cellStyle name="Normal 63 4 2 3" xfId="14634"/>
    <cellStyle name="Normal 63 4 2 3 2" xfId="14635"/>
    <cellStyle name="Normal 63 4 2 3_FC with allocations" xfId="30006"/>
    <cellStyle name="Normal 63 4 2 4" xfId="14636"/>
    <cellStyle name="Normal 63 4 2_FC with allocations" xfId="30003"/>
    <cellStyle name="Normal 63 4 3" xfId="14637"/>
    <cellStyle name="Normal 63 4 3 2" xfId="14638"/>
    <cellStyle name="Normal 63 4 3 2 2" xfId="14639"/>
    <cellStyle name="Normal 63 4 3 2_FC with allocations" xfId="30008"/>
    <cellStyle name="Normal 63 4 3 3" xfId="14640"/>
    <cellStyle name="Normal 63 4 3_FC with allocations" xfId="30007"/>
    <cellStyle name="Normal 63 4 4" xfId="14641"/>
    <cellStyle name="Normal 63 4 4 2" xfId="14642"/>
    <cellStyle name="Normal 63 4 4_FC with allocations" xfId="30009"/>
    <cellStyle name="Normal 63 4 5" xfId="14643"/>
    <cellStyle name="Normal 63 4_FC with allocations" xfId="30002"/>
    <cellStyle name="Normal 63 5" xfId="14644"/>
    <cellStyle name="Normal 63 5 2" xfId="14645"/>
    <cellStyle name="Normal 63 5 2 2" xfId="14646"/>
    <cellStyle name="Normal 63 5 2 2 2" xfId="14647"/>
    <cellStyle name="Normal 63 5 2 2_FC with allocations" xfId="30012"/>
    <cellStyle name="Normal 63 5 2 3" xfId="14648"/>
    <cellStyle name="Normal 63 5 2_FC with allocations" xfId="30011"/>
    <cellStyle name="Normal 63 5 3" xfId="14649"/>
    <cellStyle name="Normal 63 5 3 2" xfId="14650"/>
    <cellStyle name="Normal 63 5 3_FC with allocations" xfId="30013"/>
    <cellStyle name="Normal 63 5 4" xfId="14651"/>
    <cellStyle name="Normal 63 5_FC with allocations" xfId="30010"/>
    <cellStyle name="Normal 63 6" xfId="14652"/>
    <cellStyle name="Normal 63 6 2" xfId="14653"/>
    <cellStyle name="Normal 63 6 2 2" xfId="14654"/>
    <cellStyle name="Normal 63 6 2_FC with allocations" xfId="30015"/>
    <cellStyle name="Normal 63 6 3" xfId="14655"/>
    <cellStyle name="Normal 63 6_FC with allocations" xfId="30014"/>
    <cellStyle name="Normal 63 7" xfId="14656"/>
    <cellStyle name="Normal 63 7 2" xfId="14657"/>
    <cellStyle name="Normal 63 7 2 2" xfId="14658"/>
    <cellStyle name="Normal 63 7 2_FC with allocations" xfId="30017"/>
    <cellStyle name="Normal 63 7 3" xfId="14659"/>
    <cellStyle name="Normal 63 7_FC with allocations" xfId="30016"/>
    <cellStyle name="Normal 63 8" xfId="14660"/>
    <cellStyle name="Normal 63 8 2" xfId="14661"/>
    <cellStyle name="Normal 63 8 2 2" xfId="14662"/>
    <cellStyle name="Normal 63 8 2_FC with allocations" xfId="30019"/>
    <cellStyle name="Normal 63 8 3" xfId="14663"/>
    <cellStyle name="Normal 63 8_FC with allocations" xfId="30018"/>
    <cellStyle name="Normal 63 9" xfId="14595"/>
    <cellStyle name="Normal 63_FC with allocations" xfId="29985"/>
    <cellStyle name="Normal 64" xfId="2356"/>
    <cellStyle name="Normal 64 2" xfId="2357"/>
    <cellStyle name="Normal 64 2 2" xfId="14666"/>
    <cellStyle name="Normal 64 2 2 2" xfId="14667"/>
    <cellStyle name="Normal 64 2 2 2 2" xfId="14668"/>
    <cellStyle name="Normal 64 2 2 2 2 2" xfId="14669"/>
    <cellStyle name="Normal 64 2 2 2 2_FC with allocations" xfId="30024"/>
    <cellStyle name="Normal 64 2 2 2 3" xfId="14670"/>
    <cellStyle name="Normal 64 2 2 2_FC with allocations" xfId="30023"/>
    <cellStyle name="Normal 64 2 2 3" xfId="14671"/>
    <cellStyle name="Normal 64 2 2 3 2" xfId="14672"/>
    <cellStyle name="Normal 64 2 2 3_FC with allocations" xfId="30025"/>
    <cellStyle name="Normal 64 2 2 4" xfId="14673"/>
    <cellStyle name="Normal 64 2 2_FC with allocations" xfId="30022"/>
    <cellStyle name="Normal 64 2 3" xfId="14674"/>
    <cellStyle name="Normal 64 2 3 2" xfId="14675"/>
    <cellStyle name="Normal 64 2 3 2 2" xfId="14676"/>
    <cellStyle name="Normal 64 2 3 2_FC with allocations" xfId="30027"/>
    <cellStyle name="Normal 64 2 3 3" xfId="14677"/>
    <cellStyle name="Normal 64 2 3_FC with allocations" xfId="30026"/>
    <cellStyle name="Normal 64 2 4" xfId="14678"/>
    <cellStyle name="Normal 64 2 4 2" xfId="14679"/>
    <cellStyle name="Normal 64 2 4_FC with allocations" xfId="30028"/>
    <cellStyle name="Normal 64 2 5" xfId="14680"/>
    <cellStyle name="Normal 64 2 6" xfId="14665"/>
    <cellStyle name="Normal 64 2_FC with allocations" xfId="30021"/>
    <cellStyle name="Normal 64 3" xfId="2358"/>
    <cellStyle name="Normal 64 3 2" xfId="4330"/>
    <cellStyle name="Normal 64 3 2 2" xfId="14683"/>
    <cellStyle name="Normal 64 3 2 2 2" xfId="14684"/>
    <cellStyle name="Normal 64 3 2 2 2 2" xfId="14685"/>
    <cellStyle name="Normal 64 3 2 2 2_FC with allocations" xfId="30032"/>
    <cellStyle name="Normal 64 3 2 2 3" xfId="14686"/>
    <cellStyle name="Normal 64 3 2 2_FC with allocations" xfId="30031"/>
    <cellStyle name="Normal 64 3 2 3" xfId="14687"/>
    <cellStyle name="Normal 64 3 2 3 2" xfId="14688"/>
    <cellStyle name="Normal 64 3 2 3_FC with allocations" xfId="30033"/>
    <cellStyle name="Normal 64 3 2 4" xfId="14689"/>
    <cellStyle name="Normal 64 3 2 5" xfId="14682"/>
    <cellStyle name="Normal 64 3 2_FC with allocations" xfId="30030"/>
    <cellStyle name="Normal 64 3 3" xfId="14690"/>
    <cellStyle name="Normal 64 3 3 2" xfId="14691"/>
    <cellStyle name="Normal 64 3 3 2 2" xfId="14692"/>
    <cellStyle name="Normal 64 3 3 2_FC with allocations" xfId="30035"/>
    <cellStyle name="Normal 64 3 3 3" xfId="14693"/>
    <cellStyle name="Normal 64 3 3 4" xfId="18478"/>
    <cellStyle name="Normal 64 3 3 5" xfId="17806"/>
    <cellStyle name="Normal 64 3 3_FC with allocations" xfId="30034"/>
    <cellStyle name="Normal 64 3 4" xfId="14694"/>
    <cellStyle name="Normal 64 3 4 2" xfId="14695"/>
    <cellStyle name="Normal 64 3 4_FC with allocations" xfId="30036"/>
    <cellStyle name="Normal 64 3 5" xfId="14696"/>
    <cellStyle name="Normal 64 3 6" xfId="14681"/>
    <cellStyle name="Normal 64 3 7" xfId="17302"/>
    <cellStyle name="Normal 64 3_FC with allocations" xfId="30029"/>
    <cellStyle name="Normal 64 4" xfId="14697"/>
    <cellStyle name="Normal 64 4 2" xfId="14698"/>
    <cellStyle name="Normal 64 4 2 2" xfId="14699"/>
    <cellStyle name="Normal 64 4 2 2 2" xfId="14700"/>
    <cellStyle name="Normal 64 4 2 2 2 2" xfId="14701"/>
    <cellStyle name="Normal 64 4 2 2 2_FC with allocations" xfId="30040"/>
    <cellStyle name="Normal 64 4 2 2 3" xfId="14702"/>
    <cellStyle name="Normal 64 4 2 2_FC with allocations" xfId="30039"/>
    <cellStyle name="Normal 64 4 2 3" xfId="14703"/>
    <cellStyle name="Normal 64 4 2 3 2" xfId="14704"/>
    <cellStyle name="Normal 64 4 2 3_FC with allocations" xfId="30041"/>
    <cellStyle name="Normal 64 4 2 4" xfId="14705"/>
    <cellStyle name="Normal 64 4 2_FC with allocations" xfId="30038"/>
    <cellStyle name="Normal 64 4 3" xfId="14706"/>
    <cellStyle name="Normal 64 4 3 2" xfId="14707"/>
    <cellStyle name="Normal 64 4 3 2 2" xfId="14708"/>
    <cellStyle name="Normal 64 4 3 2_FC with allocations" xfId="30043"/>
    <cellStyle name="Normal 64 4 3 3" xfId="14709"/>
    <cellStyle name="Normal 64 4 3_FC with allocations" xfId="30042"/>
    <cellStyle name="Normal 64 4 4" xfId="14710"/>
    <cellStyle name="Normal 64 4 4 2" xfId="14711"/>
    <cellStyle name="Normal 64 4 4_FC with allocations" xfId="30044"/>
    <cellStyle name="Normal 64 4 5" xfId="14712"/>
    <cellStyle name="Normal 64 4_FC with allocations" xfId="30037"/>
    <cellStyle name="Normal 64 5" xfId="14713"/>
    <cellStyle name="Normal 64 5 2" xfId="14714"/>
    <cellStyle name="Normal 64 5 2 2" xfId="14715"/>
    <cellStyle name="Normal 64 5 2 2 2" xfId="14716"/>
    <cellStyle name="Normal 64 5 2 2_FC with allocations" xfId="30047"/>
    <cellStyle name="Normal 64 5 2 3" xfId="14717"/>
    <cellStyle name="Normal 64 5 2_FC with allocations" xfId="30046"/>
    <cellStyle name="Normal 64 5 3" xfId="14718"/>
    <cellStyle name="Normal 64 5 3 2" xfId="14719"/>
    <cellStyle name="Normal 64 5 3_FC with allocations" xfId="30048"/>
    <cellStyle name="Normal 64 5 4" xfId="14720"/>
    <cellStyle name="Normal 64 5_FC with allocations" xfId="30045"/>
    <cellStyle name="Normal 64 6" xfId="14721"/>
    <cellStyle name="Normal 64 6 2" xfId="14722"/>
    <cellStyle name="Normal 64 6 2 2" xfId="14723"/>
    <cellStyle name="Normal 64 6 2_FC with allocations" xfId="30050"/>
    <cellStyle name="Normal 64 6 3" xfId="14724"/>
    <cellStyle name="Normal 64 6_FC with allocations" xfId="30049"/>
    <cellStyle name="Normal 64 7" xfId="14725"/>
    <cellStyle name="Normal 64 7 2" xfId="14726"/>
    <cellStyle name="Normal 64 7 2 2" xfId="14727"/>
    <cellStyle name="Normal 64 7 2_FC with allocations" xfId="30052"/>
    <cellStyle name="Normal 64 7 3" xfId="14728"/>
    <cellStyle name="Normal 64 7_FC with allocations" xfId="30051"/>
    <cellStyle name="Normal 64 8" xfId="14729"/>
    <cellStyle name="Normal 64 8 2" xfId="14730"/>
    <cellStyle name="Normal 64 8 2 2" xfId="14731"/>
    <cellStyle name="Normal 64 8 2_FC with allocations" xfId="30054"/>
    <cellStyle name="Normal 64 8 3" xfId="14732"/>
    <cellStyle name="Normal 64 8_FC with allocations" xfId="30053"/>
    <cellStyle name="Normal 64 9" xfId="14664"/>
    <cellStyle name="Normal 64_FC with allocations" xfId="30020"/>
    <cellStyle name="Normal 65" xfId="2359"/>
    <cellStyle name="Normal 65 2" xfId="2360"/>
    <cellStyle name="Normal 65 2 2" xfId="14735"/>
    <cellStyle name="Normal 65 2 2 2" xfId="14736"/>
    <cellStyle name="Normal 65 2 2 2 2" xfId="14737"/>
    <cellStyle name="Normal 65 2 2 2 2 2" xfId="14738"/>
    <cellStyle name="Normal 65 2 2 2 2_FC with allocations" xfId="30059"/>
    <cellStyle name="Normal 65 2 2 2 3" xfId="14739"/>
    <cellStyle name="Normal 65 2 2 2_FC with allocations" xfId="30058"/>
    <cellStyle name="Normal 65 2 2 3" xfId="14740"/>
    <cellStyle name="Normal 65 2 2 3 2" xfId="14741"/>
    <cellStyle name="Normal 65 2 2 3_FC with allocations" xfId="30060"/>
    <cellStyle name="Normal 65 2 2 4" xfId="14742"/>
    <cellStyle name="Normal 65 2 2_FC with allocations" xfId="30057"/>
    <cellStyle name="Normal 65 2 3" xfId="14743"/>
    <cellStyle name="Normal 65 2 3 2" xfId="14744"/>
    <cellStyle name="Normal 65 2 3 2 2" xfId="14745"/>
    <cellStyle name="Normal 65 2 3 2_FC with allocations" xfId="30062"/>
    <cellStyle name="Normal 65 2 3 3" xfId="14746"/>
    <cellStyle name="Normal 65 2 3_FC with allocations" xfId="30061"/>
    <cellStyle name="Normal 65 2 4" xfId="14747"/>
    <cellStyle name="Normal 65 2 4 2" xfId="14748"/>
    <cellStyle name="Normal 65 2 4_FC with allocations" xfId="30063"/>
    <cellStyle name="Normal 65 2 5" xfId="14749"/>
    <cellStyle name="Normal 65 2 6" xfId="14734"/>
    <cellStyle name="Normal 65 2_FC with allocations" xfId="30056"/>
    <cellStyle name="Normal 65 3" xfId="2361"/>
    <cellStyle name="Normal 65 3 2" xfId="4331"/>
    <cellStyle name="Normal 65 3 2 2" xfId="14752"/>
    <cellStyle name="Normal 65 3 2 2 2" xfId="14753"/>
    <cellStyle name="Normal 65 3 2 2 2 2" xfId="14754"/>
    <cellStyle name="Normal 65 3 2 2 2_FC with allocations" xfId="30067"/>
    <cellStyle name="Normal 65 3 2 2 3" xfId="14755"/>
    <cellStyle name="Normal 65 3 2 2_FC with allocations" xfId="30066"/>
    <cellStyle name="Normal 65 3 2 3" xfId="14756"/>
    <cellStyle name="Normal 65 3 2 3 2" xfId="14757"/>
    <cellStyle name="Normal 65 3 2 3_FC with allocations" xfId="30068"/>
    <cellStyle name="Normal 65 3 2 4" xfId="14758"/>
    <cellStyle name="Normal 65 3 2 5" xfId="14751"/>
    <cellStyle name="Normal 65 3 2_FC with allocations" xfId="30065"/>
    <cellStyle name="Normal 65 3 3" xfId="14759"/>
    <cellStyle name="Normal 65 3 3 2" xfId="14760"/>
    <cellStyle name="Normal 65 3 3 2 2" xfId="14761"/>
    <cellStyle name="Normal 65 3 3 2_FC with allocations" xfId="30070"/>
    <cellStyle name="Normal 65 3 3 3" xfId="14762"/>
    <cellStyle name="Normal 65 3 3 4" xfId="18479"/>
    <cellStyle name="Normal 65 3 3 5" xfId="17807"/>
    <cellStyle name="Normal 65 3 3_FC with allocations" xfId="30069"/>
    <cellStyle name="Normal 65 3 4" xfId="14763"/>
    <cellStyle name="Normal 65 3 4 2" xfId="14764"/>
    <cellStyle name="Normal 65 3 4_FC with allocations" xfId="30071"/>
    <cellStyle name="Normal 65 3 5" xfId="14765"/>
    <cellStyle name="Normal 65 3 6" xfId="14750"/>
    <cellStyle name="Normal 65 3 7" xfId="17303"/>
    <cellStyle name="Normal 65 3_FC with allocations" xfId="30064"/>
    <cellStyle name="Normal 65 4" xfId="14766"/>
    <cellStyle name="Normal 65 4 2" xfId="14767"/>
    <cellStyle name="Normal 65 4 2 2" xfId="14768"/>
    <cellStyle name="Normal 65 4 2 2 2" xfId="14769"/>
    <cellStyle name="Normal 65 4 2 2 2 2" xfId="14770"/>
    <cellStyle name="Normal 65 4 2 2 2_FC with allocations" xfId="30075"/>
    <cellStyle name="Normal 65 4 2 2 3" xfId="14771"/>
    <cellStyle name="Normal 65 4 2 2_FC with allocations" xfId="30074"/>
    <cellStyle name="Normal 65 4 2 3" xfId="14772"/>
    <cellStyle name="Normal 65 4 2 3 2" xfId="14773"/>
    <cellStyle name="Normal 65 4 2 3_FC with allocations" xfId="30076"/>
    <cellStyle name="Normal 65 4 2 4" xfId="14774"/>
    <cellStyle name="Normal 65 4 2_FC with allocations" xfId="30073"/>
    <cellStyle name="Normal 65 4 3" xfId="14775"/>
    <cellStyle name="Normal 65 4 3 2" xfId="14776"/>
    <cellStyle name="Normal 65 4 3 2 2" xfId="14777"/>
    <cellStyle name="Normal 65 4 3 2_FC with allocations" xfId="30078"/>
    <cellStyle name="Normal 65 4 3 3" xfId="14778"/>
    <cellStyle name="Normal 65 4 3_FC with allocations" xfId="30077"/>
    <cellStyle name="Normal 65 4 4" xfId="14779"/>
    <cellStyle name="Normal 65 4 4 2" xfId="14780"/>
    <cellStyle name="Normal 65 4 4_FC with allocations" xfId="30079"/>
    <cellStyle name="Normal 65 4 5" xfId="14781"/>
    <cellStyle name="Normal 65 4_FC with allocations" xfId="30072"/>
    <cellStyle name="Normal 65 5" xfId="14782"/>
    <cellStyle name="Normal 65 5 2" xfId="14783"/>
    <cellStyle name="Normal 65 5 2 2" xfId="14784"/>
    <cellStyle name="Normal 65 5 2 2 2" xfId="14785"/>
    <cellStyle name="Normal 65 5 2 2_FC with allocations" xfId="30082"/>
    <cellStyle name="Normal 65 5 2 3" xfId="14786"/>
    <cellStyle name="Normal 65 5 2_FC with allocations" xfId="30081"/>
    <cellStyle name="Normal 65 5 3" xfId="14787"/>
    <cellStyle name="Normal 65 5 3 2" xfId="14788"/>
    <cellStyle name="Normal 65 5 3_FC with allocations" xfId="30083"/>
    <cellStyle name="Normal 65 5 4" xfId="14789"/>
    <cellStyle name="Normal 65 5_FC with allocations" xfId="30080"/>
    <cellStyle name="Normal 65 6" xfId="14790"/>
    <cellStyle name="Normal 65 6 2" xfId="14791"/>
    <cellStyle name="Normal 65 6 2 2" xfId="14792"/>
    <cellStyle name="Normal 65 6 2_FC with allocations" xfId="30085"/>
    <cellStyle name="Normal 65 6 3" xfId="14793"/>
    <cellStyle name="Normal 65 6_FC with allocations" xfId="30084"/>
    <cellStyle name="Normal 65 7" xfId="14794"/>
    <cellStyle name="Normal 65 7 2" xfId="14795"/>
    <cellStyle name="Normal 65 7 2 2" xfId="14796"/>
    <cellStyle name="Normal 65 7 2_FC with allocations" xfId="30087"/>
    <cellStyle name="Normal 65 7 3" xfId="14797"/>
    <cellStyle name="Normal 65 7_FC with allocations" xfId="30086"/>
    <cellStyle name="Normal 65 8" xfId="14798"/>
    <cellStyle name="Normal 65 8 2" xfId="14799"/>
    <cellStyle name="Normal 65 8 2 2" xfId="14800"/>
    <cellStyle name="Normal 65 8 2_FC with allocations" xfId="30089"/>
    <cellStyle name="Normal 65 8 3" xfId="14801"/>
    <cellStyle name="Normal 65 8_FC with allocations" xfId="30088"/>
    <cellStyle name="Normal 65 9" xfId="14733"/>
    <cellStyle name="Normal 65_FC with allocations" xfId="30055"/>
    <cellStyle name="Normal 66" xfId="2362"/>
    <cellStyle name="Normal 66 2" xfId="14803"/>
    <cellStyle name="Normal 66 2 2" xfId="14804"/>
    <cellStyle name="Normal 66 2 2 2" xfId="14805"/>
    <cellStyle name="Normal 66 2 2 2 2" xfId="14806"/>
    <cellStyle name="Normal 66 2 2 2 2 2" xfId="14807"/>
    <cellStyle name="Normal 66 2 2 2 2_FC with allocations" xfId="30094"/>
    <cellStyle name="Normal 66 2 2 2 3" xfId="14808"/>
    <cellStyle name="Normal 66 2 2 2_FC with allocations" xfId="30093"/>
    <cellStyle name="Normal 66 2 2 3" xfId="14809"/>
    <cellStyle name="Normal 66 2 2 3 2" xfId="14810"/>
    <cellStyle name="Normal 66 2 2 3_FC with allocations" xfId="30095"/>
    <cellStyle name="Normal 66 2 2 4" xfId="14811"/>
    <cellStyle name="Normal 66 2 2_FC with allocations" xfId="30092"/>
    <cellStyle name="Normal 66 2 3" xfId="14812"/>
    <cellStyle name="Normal 66 2 3 2" xfId="14813"/>
    <cellStyle name="Normal 66 2 3 2 2" xfId="14814"/>
    <cellStyle name="Normal 66 2 3 2_FC with allocations" xfId="30097"/>
    <cellStyle name="Normal 66 2 3 3" xfId="14815"/>
    <cellStyle name="Normal 66 2 3_FC with allocations" xfId="30096"/>
    <cellStyle name="Normal 66 2 4" xfId="14816"/>
    <cellStyle name="Normal 66 2 4 2" xfId="14817"/>
    <cellStyle name="Normal 66 2 4_FC with allocations" xfId="30098"/>
    <cellStyle name="Normal 66 2 5" xfId="14818"/>
    <cellStyle name="Normal 66 2_FC with allocations" xfId="30091"/>
    <cellStyle name="Normal 66 3" xfId="14819"/>
    <cellStyle name="Normal 66 3 2" xfId="14820"/>
    <cellStyle name="Normal 66 3 2 2" xfId="14821"/>
    <cellStyle name="Normal 66 3 2 2 2" xfId="14822"/>
    <cellStyle name="Normal 66 3 2 2 2 2" xfId="14823"/>
    <cellStyle name="Normal 66 3 2 2 2_FC with allocations" xfId="30102"/>
    <cellStyle name="Normal 66 3 2 2 3" xfId="14824"/>
    <cellStyle name="Normal 66 3 2 2_FC with allocations" xfId="30101"/>
    <cellStyle name="Normal 66 3 2 3" xfId="14825"/>
    <cellStyle name="Normal 66 3 2 3 2" xfId="14826"/>
    <cellStyle name="Normal 66 3 2 3_FC with allocations" xfId="30103"/>
    <cellStyle name="Normal 66 3 2 4" xfId="14827"/>
    <cellStyle name="Normal 66 3 2_FC with allocations" xfId="30100"/>
    <cellStyle name="Normal 66 3 3" xfId="14828"/>
    <cellStyle name="Normal 66 3 3 2" xfId="14829"/>
    <cellStyle name="Normal 66 3 3 2 2" xfId="14830"/>
    <cellStyle name="Normal 66 3 3 2_FC with allocations" xfId="30105"/>
    <cellStyle name="Normal 66 3 3 3" xfId="14831"/>
    <cellStyle name="Normal 66 3 3_FC with allocations" xfId="30104"/>
    <cellStyle name="Normal 66 3 4" xfId="14832"/>
    <cellStyle name="Normal 66 3 4 2" xfId="14833"/>
    <cellStyle name="Normal 66 3 4_FC with allocations" xfId="30106"/>
    <cellStyle name="Normal 66 3 5" xfId="14834"/>
    <cellStyle name="Normal 66 3_FC with allocations" xfId="30099"/>
    <cellStyle name="Normal 66 4" xfId="14835"/>
    <cellStyle name="Normal 66 4 2" xfId="14836"/>
    <cellStyle name="Normal 66 4 2 2" xfId="14837"/>
    <cellStyle name="Normal 66 4 2 2 2" xfId="14838"/>
    <cellStyle name="Normal 66 4 2 2 2 2" xfId="14839"/>
    <cellStyle name="Normal 66 4 2 2 2_FC with allocations" xfId="30110"/>
    <cellStyle name="Normal 66 4 2 2 3" xfId="14840"/>
    <cellStyle name="Normal 66 4 2 2_FC with allocations" xfId="30109"/>
    <cellStyle name="Normal 66 4 2 3" xfId="14841"/>
    <cellStyle name="Normal 66 4 2 3 2" xfId="14842"/>
    <cellStyle name="Normal 66 4 2 3_FC with allocations" xfId="30111"/>
    <cellStyle name="Normal 66 4 2 4" xfId="14843"/>
    <cellStyle name="Normal 66 4 2_FC with allocations" xfId="30108"/>
    <cellStyle name="Normal 66 4 3" xfId="14844"/>
    <cellStyle name="Normal 66 4 3 2" xfId="14845"/>
    <cellStyle name="Normal 66 4 3 2 2" xfId="14846"/>
    <cellStyle name="Normal 66 4 3 2_FC with allocations" xfId="30113"/>
    <cellStyle name="Normal 66 4 3 3" xfId="14847"/>
    <cellStyle name="Normal 66 4 3_FC with allocations" xfId="30112"/>
    <cellStyle name="Normal 66 4 4" xfId="14848"/>
    <cellStyle name="Normal 66 4 4 2" xfId="14849"/>
    <cellStyle name="Normal 66 4 4_FC with allocations" xfId="30114"/>
    <cellStyle name="Normal 66 4 5" xfId="14850"/>
    <cellStyle name="Normal 66 4_FC with allocations" xfId="30107"/>
    <cellStyle name="Normal 66 5" xfId="14851"/>
    <cellStyle name="Normal 66 5 2" xfId="14852"/>
    <cellStyle name="Normal 66 5 2 2" xfId="14853"/>
    <cellStyle name="Normal 66 5 2 2 2" xfId="14854"/>
    <cellStyle name="Normal 66 5 2 2_FC with allocations" xfId="30117"/>
    <cellStyle name="Normal 66 5 2 3" xfId="14855"/>
    <cellStyle name="Normal 66 5 2_FC with allocations" xfId="30116"/>
    <cellStyle name="Normal 66 5 3" xfId="14856"/>
    <cellStyle name="Normal 66 5 3 2" xfId="14857"/>
    <cellStyle name="Normal 66 5 3_FC with allocations" xfId="30118"/>
    <cellStyle name="Normal 66 5 4" xfId="14858"/>
    <cellStyle name="Normal 66 5_FC with allocations" xfId="30115"/>
    <cellStyle name="Normal 66 6" xfId="14859"/>
    <cellStyle name="Normal 66 6 2" xfId="14860"/>
    <cellStyle name="Normal 66 6 2 2" xfId="14861"/>
    <cellStyle name="Normal 66 6 2_FC with allocations" xfId="30120"/>
    <cellStyle name="Normal 66 6 3" xfId="14862"/>
    <cellStyle name="Normal 66 6_FC with allocations" xfId="30119"/>
    <cellStyle name="Normal 66 7" xfId="14863"/>
    <cellStyle name="Normal 66 7 2" xfId="14864"/>
    <cellStyle name="Normal 66 7 2 2" xfId="14865"/>
    <cellStyle name="Normal 66 7 2_FC with allocations" xfId="30122"/>
    <cellStyle name="Normal 66 7 3" xfId="14866"/>
    <cellStyle name="Normal 66 7_FC with allocations" xfId="30121"/>
    <cellStyle name="Normal 66 8" xfId="14867"/>
    <cellStyle name="Normal 66 8 2" xfId="14868"/>
    <cellStyle name="Normal 66 8 2 2" xfId="14869"/>
    <cellStyle name="Normal 66 8 2_FC with allocations" xfId="30124"/>
    <cellStyle name="Normal 66 8 3" xfId="14870"/>
    <cellStyle name="Normal 66 8_FC with allocations" xfId="30123"/>
    <cellStyle name="Normal 66 9" xfId="14802"/>
    <cellStyle name="Normal 66_FC with allocations" xfId="30090"/>
    <cellStyle name="Normal 67" xfId="2363"/>
    <cellStyle name="Normal 67 2" xfId="14872"/>
    <cellStyle name="Normal 67 2 2" xfId="14873"/>
    <cellStyle name="Normal 67 2 2 2" xfId="14874"/>
    <cellStyle name="Normal 67 2 2 2 2" xfId="14875"/>
    <cellStyle name="Normal 67 2 2 2 2 2" xfId="14876"/>
    <cellStyle name="Normal 67 2 2 2 2_FC with allocations" xfId="30129"/>
    <cellStyle name="Normal 67 2 2 2 3" xfId="14877"/>
    <cellStyle name="Normal 67 2 2 2_FC with allocations" xfId="30128"/>
    <cellStyle name="Normal 67 2 2 3" xfId="14878"/>
    <cellStyle name="Normal 67 2 2 3 2" xfId="14879"/>
    <cellStyle name="Normal 67 2 2 3_FC with allocations" xfId="30130"/>
    <cellStyle name="Normal 67 2 2 4" xfId="14880"/>
    <cellStyle name="Normal 67 2 2_FC with allocations" xfId="30127"/>
    <cellStyle name="Normal 67 2 3" xfId="14881"/>
    <cellStyle name="Normal 67 2 3 2" xfId="14882"/>
    <cellStyle name="Normal 67 2 3 2 2" xfId="14883"/>
    <cellStyle name="Normal 67 2 3 2_FC with allocations" xfId="30132"/>
    <cellStyle name="Normal 67 2 3 3" xfId="14884"/>
    <cellStyle name="Normal 67 2 3_FC with allocations" xfId="30131"/>
    <cellStyle name="Normal 67 2 4" xfId="14885"/>
    <cellStyle name="Normal 67 2 4 2" xfId="14886"/>
    <cellStyle name="Normal 67 2 4_FC with allocations" xfId="30133"/>
    <cellStyle name="Normal 67 2 5" xfId="14887"/>
    <cellStyle name="Normal 67 2_FC with allocations" xfId="30126"/>
    <cellStyle name="Normal 67 3" xfId="14888"/>
    <cellStyle name="Normal 67 3 2" xfId="14889"/>
    <cellStyle name="Normal 67 3 2 2" xfId="14890"/>
    <cellStyle name="Normal 67 3 2 2 2" xfId="14891"/>
    <cellStyle name="Normal 67 3 2 2 2 2" xfId="14892"/>
    <cellStyle name="Normal 67 3 2 2 2_FC with allocations" xfId="30137"/>
    <cellStyle name="Normal 67 3 2 2 3" xfId="14893"/>
    <cellStyle name="Normal 67 3 2 2_FC with allocations" xfId="30136"/>
    <cellStyle name="Normal 67 3 2 3" xfId="14894"/>
    <cellStyle name="Normal 67 3 2 3 2" xfId="14895"/>
    <cellStyle name="Normal 67 3 2 3_FC with allocations" xfId="30138"/>
    <cellStyle name="Normal 67 3 2 4" xfId="14896"/>
    <cellStyle name="Normal 67 3 2_FC with allocations" xfId="30135"/>
    <cellStyle name="Normal 67 3 3" xfId="14897"/>
    <cellStyle name="Normal 67 3 3 2" xfId="14898"/>
    <cellStyle name="Normal 67 3 3 2 2" xfId="14899"/>
    <cellStyle name="Normal 67 3 3 2_FC with allocations" xfId="30140"/>
    <cellStyle name="Normal 67 3 3 3" xfId="14900"/>
    <cellStyle name="Normal 67 3 3_FC with allocations" xfId="30139"/>
    <cellStyle name="Normal 67 3 4" xfId="14901"/>
    <cellStyle name="Normal 67 3 4 2" xfId="14902"/>
    <cellStyle name="Normal 67 3 4_FC with allocations" xfId="30141"/>
    <cellStyle name="Normal 67 3 5" xfId="14903"/>
    <cellStyle name="Normal 67 3_FC with allocations" xfId="30134"/>
    <cellStyle name="Normal 67 4" xfId="14904"/>
    <cellStyle name="Normal 67 4 2" xfId="14905"/>
    <cellStyle name="Normal 67 4 2 2" xfId="14906"/>
    <cellStyle name="Normal 67 4 2 2 2" xfId="14907"/>
    <cellStyle name="Normal 67 4 2 2 2 2" xfId="14908"/>
    <cellStyle name="Normal 67 4 2 2 2_FC with allocations" xfId="30145"/>
    <cellStyle name="Normal 67 4 2 2 3" xfId="14909"/>
    <cellStyle name="Normal 67 4 2 2_FC with allocations" xfId="30144"/>
    <cellStyle name="Normal 67 4 2 3" xfId="14910"/>
    <cellStyle name="Normal 67 4 2 3 2" xfId="14911"/>
    <cellStyle name="Normal 67 4 2 3_FC with allocations" xfId="30146"/>
    <cellStyle name="Normal 67 4 2 4" xfId="14912"/>
    <cellStyle name="Normal 67 4 2_FC with allocations" xfId="30143"/>
    <cellStyle name="Normal 67 4 3" xfId="14913"/>
    <cellStyle name="Normal 67 4 3 2" xfId="14914"/>
    <cellStyle name="Normal 67 4 3 2 2" xfId="14915"/>
    <cellStyle name="Normal 67 4 3 2_FC with allocations" xfId="30148"/>
    <cellStyle name="Normal 67 4 3 3" xfId="14916"/>
    <cellStyle name="Normal 67 4 3_FC with allocations" xfId="30147"/>
    <cellStyle name="Normal 67 4 4" xfId="14917"/>
    <cellStyle name="Normal 67 4 4 2" xfId="14918"/>
    <cellStyle name="Normal 67 4 4_FC with allocations" xfId="30149"/>
    <cellStyle name="Normal 67 4 5" xfId="14919"/>
    <cellStyle name="Normal 67 4_FC with allocations" xfId="30142"/>
    <cellStyle name="Normal 67 5" xfId="14920"/>
    <cellStyle name="Normal 67 5 2" xfId="14921"/>
    <cellStyle name="Normal 67 5 2 2" xfId="14922"/>
    <cellStyle name="Normal 67 5 2 2 2" xfId="14923"/>
    <cellStyle name="Normal 67 5 2 2_FC with allocations" xfId="30152"/>
    <cellStyle name="Normal 67 5 2 3" xfId="14924"/>
    <cellStyle name="Normal 67 5 2_FC with allocations" xfId="30151"/>
    <cellStyle name="Normal 67 5 3" xfId="14925"/>
    <cellStyle name="Normal 67 5 3 2" xfId="14926"/>
    <cellStyle name="Normal 67 5 3_FC with allocations" xfId="30153"/>
    <cellStyle name="Normal 67 5 4" xfId="14927"/>
    <cellStyle name="Normal 67 5_FC with allocations" xfId="30150"/>
    <cellStyle name="Normal 67 6" xfId="14928"/>
    <cellStyle name="Normal 67 6 2" xfId="14929"/>
    <cellStyle name="Normal 67 6 2 2" xfId="14930"/>
    <cellStyle name="Normal 67 6 2_FC with allocations" xfId="30155"/>
    <cellStyle name="Normal 67 6 3" xfId="14931"/>
    <cellStyle name="Normal 67 6_FC with allocations" xfId="30154"/>
    <cellStyle name="Normal 67 7" xfId="14932"/>
    <cellStyle name="Normal 67 7 2" xfId="14933"/>
    <cellStyle name="Normal 67 7 2 2" xfId="14934"/>
    <cellStyle name="Normal 67 7 2_FC with allocations" xfId="30157"/>
    <cellStyle name="Normal 67 7 3" xfId="14935"/>
    <cellStyle name="Normal 67 7_FC with allocations" xfId="30156"/>
    <cellStyle name="Normal 67 8" xfId="14936"/>
    <cellStyle name="Normal 67 8 2" xfId="14937"/>
    <cellStyle name="Normal 67 8 2 2" xfId="14938"/>
    <cellStyle name="Normal 67 8 2_FC with allocations" xfId="30159"/>
    <cellStyle name="Normal 67 8 3" xfId="14939"/>
    <cellStyle name="Normal 67 8_FC with allocations" xfId="30158"/>
    <cellStyle name="Normal 67 9" xfId="14871"/>
    <cellStyle name="Normal 67_FC with allocations" xfId="30125"/>
    <cellStyle name="Normal 68" xfId="2364"/>
    <cellStyle name="Normal 68 2" xfId="14941"/>
    <cellStyle name="Normal 68 2 2" xfId="14942"/>
    <cellStyle name="Normal 68 2 2 2" xfId="14943"/>
    <cellStyle name="Normal 68 2 2 2 2" xfId="14944"/>
    <cellStyle name="Normal 68 2 2 2 2 2" xfId="14945"/>
    <cellStyle name="Normal 68 2 2 2 2_FC with allocations" xfId="30164"/>
    <cellStyle name="Normal 68 2 2 2 3" xfId="14946"/>
    <cellStyle name="Normal 68 2 2 2_FC with allocations" xfId="30163"/>
    <cellStyle name="Normal 68 2 2 3" xfId="14947"/>
    <cellStyle name="Normal 68 2 2 3 2" xfId="14948"/>
    <cellStyle name="Normal 68 2 2 3_FC with allocations" xfId="30165"/>
    <cellStyle name="Normal 68 2 2 4" xfId="14949"/>
    <cellStyle name="Normal 68 2 2_FC with allocations" xfId="30162"/>
    <cellStyle name="Normal 68 2 3" xfId="14950"/>
    <cellStyle name="Normal 68 2 3 2" xfId="14951"/>
    <cellStyle name="Normal 68 2 3 2 2" xfId="14952"/>
    <cellStyle name="Normal 68 2 3 2_FC with allocations" xfId="30167"/>
    <cellStyle name="Normal 68 2 3 3" xfId="14953"/>
    <cellStyle name="Normal 68 2 3_FC with allocations" xfId="30166"/>
    <cellStyle name="Normal 68 2 4" xfId="14954"/>
    <cellStyle name="Normal 68 2 4 2" xfId="14955"/>
    <cellStyle name="Normal 68 2 4_FC with allocations" xfId="30168"/>
    <cellStyle name="Normal 68 2 5" xfId="14956"/>
    <cellStyle name="Normal 68 2_FC with allocations" xfId="30161"/>
    <cellStyle name="Normal 68 3" xfId="14957"/>
    <cellStyle name="Normal 68 3 2" xfId="14958"/>
    <cellStyle name="Normal 68 3 2 2" xfId="14959"/>
    <cellStyle name="Normal 68 3 2 2 2" xfId="14960"/>
    <cellStyle name="Normal 68 3 2 2 2 2" xfId="14961"/>
    <cellStyle name="Normal 68 3 2 2 2_FC with allocations" xfId="30172"/>
    <cellStyle name="Normal 68 3 2 2 3" xfId="14962"/>
    <cellStyle name="Normal 68 3 2 2_FC with allocations" xfId="30171"/>
    <cellStyle name="Normal 68 3 2 3" xfId="14963"/>
    <cellStyle name="Normal 68 3 2 3 2" xfId="14964"/>
    <cellStyle name="Normal 68 3 2 3_FC with allocations" xfId="30173"/>
    <cellStyle name="Normal 68 3 2 4" xfId="14965"/>
    <cellStyle name="Normal 68 3 2_FC with allocations" xfId="30170"/>
    <cellStyle name="Normal 68 3 3" xfId="14966"/>
    <cellStyle name="Normal 68 3 3 2" xfId="14967"/>
    <cellStyle name="Normal 68 3 3 2 2" xfId="14968"/>
    <cellStyle name="Normal 68 3 3 2_FC with allocations" xfId="30175"/>
    <cellStyle name="Normal 68 3 3 3" xfId="14969"/>
    <cellStyle name="Normal 68 3 3_FC with allocations" xfId="30174"/>
    <cellStyle name="Normal 68 3 4" xfId="14970"/>
    <cellStyle name="Normal 68 3 4 2" xfId="14971"/>
    <cellStyle name="Normal 68 3 4_FC with allocations" xfId="30176"/>
    <cellStyle name="Normal 68 3 5" xfId="14972"/>
    <cellStyle name="Normal 68 3_FC with allocations" xfId="30169"/>
    <cellStyle name="Normal 68 4" xfId="14973"/>
    <cellStyle name="Normal 68 4 2" xfId="14974"/>
    <cellStyle name="Normal 68 4 2 2" xfId="14975"/>
    <cellStyle name="Normal 68 4 2 2 2" xfId="14976"/>
    <cellStyle name="Normal 68 4 2 2 2 2" xfId="14977"/>
    <cellStyle name="Normal 68 4 2 2 2_FC with allocations" xfId="30180"/>
    <cellStyle name="Normal 68 4 2 2 3" xfId="14978"/>
    <cellStyle name="Normal 68 4 2 2_FC with allocations" xfId="30179"/>
    <cellStyle name="Normal 68 4 2 3" xfId="14979"/>
    <cellStyle name="Normal 68 4 2 3 2" xfId="14980"/>
    <cellStyle name="Normal 68 4 2 3_FC with allocations" xfId="30181"/>
    <cellStyle name="Normal 68 4 2 4" xfId="14981"/>
    <cellStyle name="Normal 68 4 2_FC with allocations" xfId="30178"/>
    <cellStyle name="Normal 68 4 3" xfId="14982"/>
    <cellStyle name="Normal 68 4 3 2" xfId="14983"/>
    <cellStyle name="Normal 68 4 3 2 2" xfId="14984"/>
    <cellStyle name="Normal 68 4 3 2_FC with allocations" xfId="30183"/>
    <cellStyle name="Normal 68 4 3 3" xfId="14985"/>
    <cellStyle name="Normal 68 4 3_FC with allocations" xfId="30182"/>
    <cellStyle name="Normal 68 4 4" xfId="14986"/>
    <cellStyle name="Normal 68 4 4 2" xfId="14987"/>
    <cellStyle name="Normal 68 4 4_FC with allocations" xfId="30184"/>
    <cellStyle name="Normal 68 4 5" xfId="14988"/>
    <cellStyle name="Normal 68 4_FC with allocations" xfId="30177"/>
    <cellStyle name="Normal 68 5" xfId="14989"/>
    <cellStyle name="Normal 68 5 2" xfId="14990"/>
    <cellStyle name="Normal 68 5 2 2" xfId="14991"/>
    <cellStyle name="Normal 68 5 2 2 2" xfId="14992"/>
    <cellStyle name="Normal 68 5 2 2_FC with allocations" xfId="30187"/>
    <cellStyle name="Normal 68 5 2 3" xfId="14993"/>
    <cellStyle name="Normal 68 5 2_FC with allocations" xfId="30186"/>
    <cellStyle name="Normal 68 5 3" xfId="14994"/>
    <cellStyle name="Normal 68 5 3 2" xfId="14995"/>
    <cellStyle name="Normal 68 5 3_FC with allocations" xfId="30188"/>
    <cellStyle name="Normal 68 5 4" xfId="14996"/>
    <cellStyle name="Normal 68 5_FC with allocations" xfId="30185"/>
    <cellStyle name="Normal 68 6" xfId="14997"/>
    <cellStyle name="Normal 68 6 2" xfId="14998"/>
    <cellStyle name="Normal 68 6 2 2" xfId="14999"/>
    <cellStyle name="Normal 68 6 2_FC with allocations" xfId="30190"/>
    <cellStyle name="Normal 68 6 3" xfId="15000"/>
    <cellStyle name="Normal 68 6_FC with allocations" xfId="30189"/>
    <cellStyle name="Normal 68 7" xfId="15001"/>
    <cellStyle name="Normal 68 7 2" xfId="15002"/>
    <cellStyle name="Normal 68 7 2 2" xfId="15003"/>
    <cellStyle name="Normal 68 7 2_FC with allocations" xfId="30192"/>
    <cellStyle name="Normal 68 7 3" xfId="15004"/>
    <cellStyle name="Normal 68 7_FC with allocations" xfId="30191"/>
    <cellStyle name="Normal 68 8" xfId="15005"/>
    <cellStyle name="Normal 68 8 2" xfId="15006"/>
    <cellStyle name="Normal 68 8 2 2" xfId="15007"/>
    <cellStyle name="Normal 68 8 2_FC with allocations" xfId="30194"/>
    <cellStyle name="Normal 68 8 3" xfId="15008"/>
    <cellStyle name="Normal 68 8_FC with allocations" xfId="30193"/>
    <cellStyle name="Normal 68 9" xfId="14940"/>
    <cellStyle name="Normal 68_FC with allocations" xfId="30160"/>
    <cellStyle name="Normal 69" xfId="2365"/>
    <cellStyle name="Normal 69 10" xfId="15009"/>
    <cellStyle name="Normal 69 2" xfId="15010"/>
    <cellStyle name="Normal 69 2 2" xfId="15011"/>
    <cellStyle name="Normal 69 2 3" xfId="15012"/>
    <cellStyle name="Normal 69 2 4" xfId="15013"/>
    <cellStyle name="Normal 69 2_FC with allocations" xfId="30196"/>
    <cellStyle name="Normal 69 3" xfId="15014"/>
    <cellStyle name="Normal 69 3 2" xfId="15015"/>
    <cellStyle name="Normal 69 3 3" xfId="15016"/>
    <cellStyle name="Normal 69 3 4" xfId="15017"/>
    <cellStyle name="Normal 69 3_FC with allocations" xfId="30197"/>
    <cellStyle name="Normal 69 4" xfId="15018"/>
    <cellStyle name="Normal 69 4 2" xfId="15019"/>
    <cellStyle name="Normal 69 4 3" xfId="15020"/>
    <cellStyle name="Normal 69 4 4" xfId="15021"/>
    <cellStyle name="Normal 69 4_FC with allocations" xfId="30198"/>
    <cellStyle name="Normal 69 5" xfId="15022"/>
    <cellStyle name="Normal 69 5 2" xfId="15023"/>
    <cellStyle name="Normal 69 5 3" xfId="15024"/>
    <cellStyle name="Normal 69 5 4" xfId="15025"/>
    <cellStyle name="Normal 69 5_FC with allocations" xfId="30199"/>
    <cellStyle name="Normal 69 6" xfId="15026"/>
    <cellStyle name="Normal 69 6 2" xfId="15027"/>
    <cellStyle name="Normal 69 6 3" xfId="15028"/>
    <cellStyle name="Normal 69 6_FC with allocations" xfId="30200"/>
    <cellStyle name="Normal 69 7" xfId="15029"/>
    <cellStyle name="Normal 69 8" xfId="15030"/>
    <cellStyle name="Normal 69 9" xfId="15031"/>
    <cellStyle name="Normal 69_FC with allocations" xfId="30195"/>
    <cellStyle name="Normal 7" xfId="2366"/>
    <cellStyle name="Normal 7 10" xfId="15033"/>
    <cellStyle name="Normal 7 10 2" xfId="15034"/>
    <cellStyle name="Normal 7 10_FC with allocations" xfId="30201"/>
    <cellStyle name="Normal 7 11" xfId="15035"/>
    <cellStyle name="Normal 7 11 2" xfId="15036"/>
    <cellStyle name="Normal 7 11_FC with allocations" xfId="30202"/>
    <cellStyle name="Normal 7 12" xfId="15037"/>
    <cellStyle name="Normal 7 12 2" xfId="15038"/>
    <cellStyle name="Normal 7 12 3" xfId="15039"/>
    <cellStyle name="Normal 7 12 3 2" xfId="15040"/>
    <cellStyle name="Normal 7 12 3_FC with allocations" xfId="30204"/>
    <cellStyle name="Normal 7 12 4" xfId="15041"/>
    <cellStyle name="Normal 7 12_FC with allocations" xfId="30203"/>
    <cellStyle name="Normal 7 13" xfId="15042"/>
    <cellStyle name="Normal 7 14" xfId="15032"/>
    <cellStyle name="Normal 7 2" xfId="2367"/>
    <cellStyle name="Normal 7 2 2" xfId="15044"/>
    <cellStyle name="Normal 7 2 2 2" xfId="15045"/>
    <cellStyle name="Normal 7 2 2 2 2" xfId="15046"/>
    <cellStyle name="Normal 7 2 2 2 2 2" xfId="15047"/>
    <cellStyle name="Normal 7 2 2 2 2 2 2" xfId="15048"/>
    <cellStyle name="Normal 7 2 2 2 2 2 2 2" xfId="15049"/>
    <cellStyle name="Normal 7 2 2 2 2 2 2_FC with allocations" xfId="30210"/>
    <cellStyle name="Normal 7 2 2 2 2 2 3" xfId="15050"/>
    <cellStyle name="Normal 7 2 2 2 2 2_FC with allocations" xfId="30209"/>
    <cellStyle name="Normal 7 2 2 2 2 3" xfId="15051"/>
    <cellStyle name="Normal 7 2 2 2 2 3 2" xfId="15052"/>
    <cellStyle name="Normal 7 2 2 2 2 3_FC with allocations" xfId="30211"/>
    <cellStyle name="Normal 7 2 2 2 2 4" xfId="15053"/>
    <cellStyle name="Normal 7 2 2 2 2_FC with allocations" xfId="30208"/>
    <cellStyle name="Normal 7 2 2 2 3" xfId="15054"/>
    <cellStyle name="Normal 7 2 2 2 3 2" xfId="15055"/>
    <cellStyle name="Normal 7 2 2 2 3 2 2" xfId="15056"/>
    <cellStyle name="Normal 7 2 2 2 3 2_FC with allocations" xfId="30213"/>
    <cellStyle name="Normal 7 2 2 2 3 3" xfId="15057"/>
    <cellStyle name="Normal 7 2 2 2 3_FC with allocations" xfId="30212"/>
    <cellStyle name="Normal 7 2 2 2 4" xfId="15058"/>
    <cellStyle name="Normal 7 2 2 2 4 2" xfId="15059"/>
    <cellStyle name="Normal 7 2 2 2 4_FC with allocations" xfId="30214"/>
    <cellStyle name="Normal 7 2 2 2 5" xfId="15060"/>
    <cellStyle name="Normal 7 2 2 2_FC with allocations" xfId="30207"/>
    <cellStyle name="Normal 7 2 2 3" xfId="15061"/>
    <cellStyle name="Normal 7 2 2 3 2" xfId="15062"/>
    <cellStyle name="Normal 7 2 2 3 2 2" xfId="15063"/>
    <cellStyle name="Normal 7 2 2 3 2 2 2" xfId="15064"/>
    <cellStyle name="Normal 7 2 2 3 2 2_FC with allocations" xfId="30217"/>
    <cellStyle name="Normal 7 2 2 3 2 3" xfId="15065"/>
    <cellStyle name="Normal 7 2 2 3 2_FC with allocations" xfId="30216"/>
    <cellStyle name="Normal 7 2 2 3 3" xfId="15066"/>
    <cellStyle name="Normal 7 2 2 3 3 2" xfId="15067"/>
    <cellStyle name="Normal 7 2 2 3 3_FC with allocations" xfId="30218"/>
    <cellStyle name="Normal 7 2 2 3 4" xfId="15068"/>
    <cellStyle name="Normal 7 2 2 3_FC with allocations" xfId="30215"/>
    <cellStyle name="Normal 7 2 2 4" xfId="15069"/>
    <cellStyle name="Normal 7 2 2 4 2" xfId="15070"/>
    <cellStyle name="Normal 7 2 2 4 2 2" xfId="15071"/>
    <cellStyle name="Normal 7 2 2 4 2_FC with allocations" xfId="30220"/>
    <cellStyle name="Normal 7 2 2 4 3" xfId="15072"/>
    <cellStyle name="Normal 7 2 2 4_FC with allocations" xfId="30219"/>
    <cellStyle name="Normal 7 2 2 5" xfId="15073"/>
    <cellStyle name="Normal 7 2 2 5 2" xfId="15074"/>
    <cellStyle name="Normal 7 2 2 5 2 2" xfId="15075"/>
    <cellStyle name="Normal 7 2 2 5 2_FC with allocations" xfId="30222"/>
    <cellStyle name="Normal 7 2 2 5 3" xfId="15076"/>
    <cellStyle name="Normal 7 2 2 5_FC with allocations" xfId="30221"/>
    <cellStyle name="Normal 7 2 2 6" xfId="15077"/>
    <cellStyle name="Normal 7 2 2_FC with allocations" xfId="30206"/>
    <cellStyle name="Normal 7 2 3" xfId="15078"/>
    <cellStyle name="Normal 7 2 3 2" xfId="15079"/>
    <cellStyle name="Normal 7 2 3 2 2" xfId="15080"/>
    <cellStyle name="Normal 7 2 3 2 2 2" xfId="15081"/>
    <cellStyle name="Normal 7 2 3 2 2 2 2" xfId="15082"/>
    <cellStyle name="Normal 7 2 3 2 2 2_FC with allocations" xfId="30226"/>
    <cellStyle name="Normal 7 2 3 2 2 3" xfId="15083"/>
    <cellStyle name="Normal 7 2 3 2 2_FC with allocations" xfId="30225"/>
    <cellStyle name="Normal 7 2 3 2 3" xfId="15084"/>
    <cellStyle name="Normal 7 2 3 2 3 2" xfId="15085"/>
    <cellStyle name="Normal 7 2 3 2 3_FC with allocations" xfId="30227"/>
    <cellStyle name="Normal 7 2 3 2 4" xfId="15086"/>
    <cellStyle name="Normal 7 2 3 2_FC with allocations" xfId="30224"/>
    <cellStyle name="Normal 7 2 3 3" xfId="15087"/>
    <cellStyle name="Normal 7 2 3 3 2" xfId="15088"/>
    <cellStyle name="Normal 7 2 3 3 2 2" xfId="15089"/>
    <cellStyle name="Normal 7 2 3 3 2_FC with allocations" xfId="30229"/>
    <cellStyle name="Normal 7 2 3 3 3" xfId="15090"/>
    <cellStyle name="Normal 7 2 3 3_FC with allocations" xfId="30228"/>
    <cellStyle name="Normal 7 2 3 4" xfId="15091"/>
    <cellStyle name="Normal 7 2 3 5" xfId="15092"/>
    <cellStyle name="Normal 7 2 3 5 2" xfId="15093"/>
    <cellStyle name="Normal 7 2 3 5_FC with allocations" xfId="30230"/>
    <cellStyle name="Normal 7 2 3 6" xfId="15094"/>
    <cellStyle name="Normal 7 2 3_FC with allocations" xfId="30223"/>
    <cellStyle name="Normal 7 2 4" xfId="15095"/>
    <cellStyle name="Normal 7 2 4 2" xfId="15096"/>
    <cellStyle name="Normal 7 2 4 2 2" xfId="15097"/>
    <cellStyle name="Normal 7 2 4 2 2 2" xfId="15098"/>
    <cellStyle name="Normal 7 2 4 2 2_FC with allocations" xfId="30233"/>
    <cellStyle name="Normal 7 2 4 2 3" xfId="15099"/>
    <cellStyle name="Normal 7 2 4 2_FC with allocations" xfId="30232"/>
    <cellStyle name="Normal 7 2 4 3" xfId="15100"/>
    <cellStyle name="Normal 7 2 4 3 2" xfId="15101"/>
    <cellStyle name="Normal 7 2 4 3_FC with allocations" xfId="30234"/>
    <cellStyle name="Normal 7 2 4 4" xfId="15102"/>
    <cellStyle name="Normal 7 2 4_FC with allocations" xfId="30231"/>
    <cellStyle name="Normal 7 2 5" xfId="15103"/>
    <cellStyle name="Normal 7 2 5 2" xfId="15104"/>
    <cellStyle name="Normal 7 2 5 2 2" xfId="15105"/>
    <cellStyle name="Normal 7 2 5 2_FC with allocations" xfId="30236"/>
    <cellStyle name="Normal 7 2 5 3" xfId="15106"/>
    <cellStyle name="Normal 7 2 5_FC with allocations" xfId="30235"/>
    <cellStyle name="Normal 7 2 6" xfId="15107"/>
    <cellStyle name="Normal 7 2 6 2" xfId="15108"/>
    <cellStyle name="Normal 7 2 6 2 2" xfId="15109"/>
    <cellStyle name="Normal 7 2 6 2_FC with allocations" xfId="30238"/>
    <cellStyle name="Normal 7 2 6 3" xfId="15110"/>
    <cellStyle name="Normal 7 2 6_FC with allocations" xfId="30237"/>
    <cellStyle name="Normal 7 2 7" xfId="15043"/>
    <cellStyle name="Normal 7 2_FC with allocations" xfId="30205"/>
    <cellStyle name="Normal 7 3" xfId="2368"/>
    <cellStyle name="Normal 7 3 10" xfId="15111"/>
    <cellStyle name="Normal 7 3 11" xfId="16562"/>
    <cellStyle name="Normal 7 3 11 2" xfId="18588"/>
    <cellStyle name="Normal 7 3 11 2 2" xfId="19607"/>
    <cellStyle name="Normal 7 3 11 2 2 2" xfId="21617"/>
    <cellStyle name="Normal 7 3 11 2 2 3" xfId="23775"/>
    <cellStyle name="Normal 7 3 11 2 2_FC with allocations" xfId="30242"/>
    <cellStyle name="Normal 7 3 11 2 3" xfId="20741"/>
    <cellStyle name="Normal 7 3 11 2 4" xfId="22898"/>
    <cellStyle name="Normal 7 3 11 2_FC with allocations" xfId="30241"/>
    <cellStyle name="Normal 7 3 11 3" xfId="19013"/>
    <cellStyle name="Normal 7 3 11 3 2" xfId="21165"/>
    <cellStyle name="Normal 7 3 11 3 3" xfId="23322"/>
    <cellStyle name="Normal 7 3 11 3_FC with allocations" xfId="30243"/>
    <cellStyle name="Normal 7 3 11 4" xfId="20126"/>
    <cellStyle name="Normal 7 3 11 5" xfId="22242"/>
    <cellStyle name="Normal 7 3 11_FC with allocations" xfId="30240"/>
    <cellStyle name="Normal 7 3 12" xfId="4547"/>
    <cellStyle name="Normal 7 3 12 2" xfId="18123"/>
    <cellStyle name="Normal 7 3 12 2 2" xfId="19442"/>
    <cellStyle name="Normal 7 3 12 2 2 2" xfId="21452"/>
    <cellStyle name="Normal 7 3 12 2 2 3" xfId="23610"/>
    <cellStyle name="Normal 7 3 12 2 2_FC with allocations" xfId="30246"/>
    <cellStyle name="Normal 7 3 12 2 3" xfId="20575"/>
    <cellStyle name="Normal 7 3 12 2 4" xfId="22717"/>
    <cellStyle name="Normal 7 3 12 2_FC with allocations" xfId="30245"/>
    <cellStyle name="Normal 7 3 12 3" xfId="18977"/>
    <cellStyle name="Normal 7 3 12 3 2" xfId="21129"/>
    <cellStyle name="Normal 7 3 12 3 3" xfId="23286"/>
    <cellStyle name="Normal 7 3 12 3_FC with allocations" xfId="30247"/>
    <cellStyle name="Normal 7 3 12 4" xfId="19958"/>
    <cellStyle name="Normal 7 3 12 5" xfId="21953"/>
    <cellStyle name="Normal 7 3 12_FC with allocations" xfId="30244"/>
    <cellStyle name="Normal 7 3 13" xfId="16844"/>
    <cellStyle name="Normal 7 3 13 2" xfId="20347"/>
    <cellStyle name="Normal 7 3 13 3" xfId="22487"/>
    <cellStyle name="Normal 7 3 13_FC with allocations" xfId="30248"/>
    <cellStyle name="Normal 7 3 14" xfId="18806"/>
    <cellStyle name="Normal 7 3 14 2" xfId="20959"/>
    <cellStyle name="Normal 7 3 14 3" xfId="23116"/>
    <cellStyle name="Normal 7 3 14_FC with allocations" xfId="30249"/>
    <cellStyle name="Normal 7 3 2" xfId="2369"/>
    <cellStyle name="Normal 7 3 2 2" xfId="2370"/>
    <cellStyle name="Normal 7 3 2 2 2" xfId="2371"/>
    <cellStyle name="Normal 7 3 2 2 2 2" xfId="2372"/>
    <cellStyle name="Normal 7 3 2 2 2 2 2" xfId="4335"/>
    <cellStyle name="Normal 7 3 2 2 2 2 2 2" xfId="15116"/>
    <cellStyle name="Normal 7 3 2 2 2 2 2_FC with allocations" xfId="30254"/>
    <cellStyle name="Normal 7 3 2 2 2 2 3" xfId="15115"/>
    <cellStyle name="Normal 7 3 2 2 2 2 3 2" xfId="18482"/>
    <cellStyle name="Normal 7 3 2 2 2 2 3 3" xfId="17811"/>
    <cellStyle name="Normal 7 3 2 2 2 2 3_FC with allocations" xfId="30255"/>
    <cellStyle name="Normal 7 3 2 2 2 2 4" xfId="17308"/>
    <cellStyle name="Normal 7 3 2 2 2 2_FC with allocations" xfId="30253"/>
    <cellStyle name="Normal 7 3 2 2 2 3" xfId="4334"/>
    <cellStyle name="Normal 7 3 2 2 2 3 2" xfId="15117"/>
    <cellStyle name="Normal 7 3 2 2 2 3_FC with allocations" xfId="30256"/>
    <cellStyle name="Normal 7 3 2 2 2 4" xfId="15114"/>
    <cellStyle name="Normal 7 3 2 2 2 4 2" xfId="18481"/>
    <cellStyle name="Normal 7 3 2 2 2 4 3" xfId="17810"/>
    <cellStyle name="Normal 7 3 2 2 2 4_FC with allocations" xfId="30257"/>
    <cellStyle name="Normal 7 3 2 2 2 5" xfId="17307"/>
    <cellStyle name="Normal 7 3 2 2 2_FC with allocations" xfId="30252"/>
    <cellStyle name="Normal 7 3 2 2 3" xfId="2373"/>
    <cellStyle name="Normal 7 3 2 2 3 2" xfId="4336"/>
    <cellStyle name="Normal 7 3 2 2 3 2 2" xfId="15119"/>
    <cellStyle name="Normal 7 3 2 2 3 2_FC with allocations" xfId="30259"/>
    <cellStyle name="Normal 7 3 2 2 3 3" xfId="15118"/>
    <cellStyle name="Normal 7 3 2 2 3 3 2" xfId="18483"/>
    <cellStyle name="Normal 7 3 2 2 3 3 3" xfId="17812"/>
    <cellStyle name="Normal 7 3 2 2 3 3_FC with allocations" xfId="30260"/>
    <cellStyle name="Normal 7 3 2 2 3 4" xfId="17309"/>
    <cellStyle name="Normal 7 3 2 2 3_FC with allocations" xfId="30258"/>
    <cellStyle name="Normal 7 3 2 2 4" xfId="4333"/>
    <cellStyle name="Normal 7 3 2 2 4 2" xfId="15120"/>
    <cellStyle name="Normal 7 3 2 2 4_FC with allocations" xfId="30261"/>
    <cellStyle name="Normal 7 3 2 2 5" xfId="15113"/>
    <cellStyle name="Normal 7 3 2 2 5 2" xfId="18480"/>
    <cellStyle name="Normal 7 3 2 2 5 3" xfId="17809"/>
    <cellStyle name="Normal 7 3 2 2 5_FC with allocations" xfId="30262"/>
    <cellStyle name="Normal 7 3 2 2 6" xfId="17306"/>
    <cellStyle name="Normal 7 3 2 2_FC with allocations" xfId="30251"/>
    <cellStyle name="Normal 7 3 2 3" xfId="2374"/>
    <cellStyle name="Normal 7 3 2 3 2" xfId="2375"/>
    <cellStyle name="Normal 7 3 2 3 2 2" xfId="4338"/>
    <cellStyle name="Normal 7 3 2 3 2 2 2" xfId="15123"/>
    <cellStyle name="Normal 7 3 2 3 2 2_FC with allocations" xfId="30265"/>
    <cellStyle name="Normal 7 3 2 3 2 3" xfId="15122"/>
    <cellStyle name="Normal 7 3 2 3 2 3 2" xfId="18485"/>
    <cellStyle name="Normal 7 3 2 3 2 3 3" xfId="17814"/>
    <cellStyle name="Normal 7 3 2 3 2 3_FC with allocations" xfId="30266"/>
    <cellStyle name="Normal 7 3 2 3 2 4" xfId="17311"/>
    <cellStyle name="Normal 7 3 2 3 2_FC with allocations" xfId="30264"/>
    <cellStyle name="Normal 7 3 2 3 3" xfId="4337"/>
    <cellStyle name="Normal 7 3 2 3 3 2" xfId="15124"/>
    <cellStyle name="Normal 7 3 2 3 3_FC with allocations" xfId="30267"/>
    <cellStyle name="Normal 7 3 2 3 4" xfId="15121"/>
    <cellStyle name="Normal 7 3 2 3 4 2" xfId="18484"/>
    <cellStyle name="Normal 7 3 2 3 4 3" xfId="17813"/>
    <cellStyle name="Normal 7 3 2 3 4_FC with allocations" xfId="30268"/>
    <cellStyle name="Normal 7 3 2 3 5" xfId="17310"/>
    <cellStyle name="Normal 7 3 2 3_FC with allocations" xfId="30263"/>
    <cellStyle name="Normal 7 3 2 4" xfId="2376"/>
    <cellStyle name="Normal 7 3 2 4 2" xfId="4339"/>
    <cellStyle name="Normal 7 3 2 4 3" xfId="15125"/>
    <cellStyle name="Normal 7 3 2 4 3 2" xfId="18486"/>
    <cellStyle name="Normal 7 3 2 4 3 3" xfId="17815"/>
    <cellStyle name="Normal 7 3 2 4 3_FC with allocations" xfId="30270"/>
    <cellStyle name="Normal 7 3 2 4 4" xfId="17312"/>
    <cellStyle name="Normal 7 3 2 4_FC with allocations" xfId="30269"/>
    <cellStyle name="Normal 7 3 2 5" xfId="4332"/>
    <cellStyle name="Normal 7 3 2 5 2" xfId="15127"/>
    <cellStyle name="Normal 7 3 2 5 3" xfId="15126"/>
    <cellStyle name="Normal 7 3 2 5_FC with allocations" xfId="30271"/>
    <cellStyle name="Normal 7 3 2 6" xfId="15128"/>
    <cellStyle name="Normal 7 3 2 6 2" xfId="18487"/>
    <cellStyle name="Normal 7 3 2 6 3" xfId="17808"/>
    <cellStyle name="Normal 7 3 2 6_FC with allocations" xfId="30272"/>
    <cellStyle name="Normal 7 3 2 7" xfId="15112"/>
    <cellStyle name="Normal 7 3 2 8" xfId="17305"/>
    <cellStyle name="Normal 7 3 2_FC with allocations" xfId="30250"/>
    <cellStyle name="Normal 7 3 3" xfId="2377"/>
    <cellStyle name="Normal 7 3 3 2" xfId="2378"/>
    <cellStyle name="Normal 7 3 3 2 2" xfId="2379"/>
    <cellStyle name="Normal 7 3 3 2 2 2" xfId="4342"/>
    <cellStyle name="Normal 7 3 3 2 2 2 2" xfId="15132"/>
    <cellStyle name="Normal 7 3 3 2 2 2_FC with allocations" xfId="30276"/>
    <cellStyle name="Normal 7 3 3 2 2 3" xfId="15131"/>
    <cellStyle name="Normal 7 3 3 2 2 3 2" xfId="18489"/>
    <cellStyle name="Normal 7 3 3 2 2 3 3" xfId="17818"/>
    <cellStyle name="Normal 7 3 3 2 2 3_FC with allocations" xfId="30277"/>
    <cellStyle name="Normal 7 3 3 2 2 4" xfId="17315"/>
    <cellStyle name="Normal 7 3 3 2 2_FC with allocations" xfId="30275"/>
    <cellStyle name="Normal 7 3 3 2 3" xfId="4341"/>
    <cellStyle name="Normal 7 3 3 2 3 2" xfId="15133"/>
    <cellStyle name="Normal 7 3 3 2 3_FC with allocations" xfId="30278"/>
    <cellStyle name="Normal 7 3 3 2 4" xfId="15130"/>
    <cellStyle name="Normal 7 3 3 2 4 2" xfId="18488"/>
    <cellStyle name="Normal 7 3 3 2 4 3" xfId="17817"/>
    <cellStyle name="Normal 7 3 3 2 4_FC with allocations" xfId="30279"/>
    <cellStyle name="Normal 7 3 3 2 5" xfId="17314"/>
    <cellStyle name="Normal 7 3 3 2_FC with allocations" xfId="30274"/>
    <cellStyle name="Normal 7 3 3 3" xfId="2380"/>
    <cellStyle name="Normal 7 3 3 3 2" xfId="4343"/>
    <cellStyle name="Normal 7 3 3 3 3" xfId="15134"/>
    <cellStyle name="Normal 7 3 3 3 3 2" xfId="18490"/>
    <cellStyle name="Normal 7 3 3 3 3 3" xfId="17819"/>
    <cellStyle name="Normal 7 3 3 3 3_FC with allocations" xfId="30281"/>
    <cellStyle name="Normal 7 3 3 3 4" xfId="17316"/>
    <cellStyle name="Normal 7 3 3 3_FC with allocations" xfId="30280"/>
    <cellStyle name="Normal 7 3 3 4" xfId="4340"/>
    <cellStyle name="Normal 7 3 3 4 2" xfId="15136"/>
    <cellStyle name="Normal 7 3 3 4 3" xfId="15135"/>
    <cellStyle name="Normal 7 3 3 4_FC with allocations" xfId="30282"/>
    <cellStyle name="Normal 7 3 3 5" xfId="15137"/>
    <cellStyle name="Normal 7 3 3 5 2" xfId="18491"/>
    <cellStyle name="Normal 7 3 3 5 3" xfId="17816"/>
    <cellStyle name="Normal 7 3 3 5_FC with allocations" xfId="30283"/>
    <cellStyle name="Normal 7 3 3 6" xfId="15129"/>
    <cellStyle name="Normal 7 3 3 7" xfId="17313"/>
    <cellStyle name="Normal 7 3 3_FC with allocations" xfId="30273"/>
    <cellStyle name="Normal 7 3 4" xfId="2381"/>
    <cellStyle name="Normal 7 3 4 2" xfId="2382"/>
    <cellStyle name="Normal 7 3 4 2 2" xfId="2383"/>
    <cellStyle name="Normal 7 3 4 2 2 2" xfId="4346"/>
    <cellStyle name="Normal 7 3 4 2 2 3" xfId="15140"/>
    <cellStyle name="Normal 7 3 4 2 2 3 2" xfId="18494"/>
    <cellStyle name="Normal 7 3 4 2 2 3 3" xfId="17822"/>
    <cellStyle name="Normal 7 3 4 2 2 3_FC with allocations" xfId="30287"/>
    <cellStyle name="Normal 7 3 4 2 2 4" xfId="17319"/>
    <cellStyle name="Normal 7 3 4 2 2_FC with allocations" xfId="30286"/>
    <cellStyle name="Normal 7 3 4 2 3" xfId="4345"/>
    <cellStyle name="Normal 7 3 4 2 4" xfId="15139"/>
    <cellStyle name="Normal 7 3 4 2 4 2" xfId="18493"/>
    <cellStyle name="Normal 7 3 4 2 4 3" xfId="17821"/>
    <cellStyle name="Normal 7 3 4 2 4_FC with allocations" xfId="30288"/>
    <cellStyle name="Normal 7 3 4 2 5" xfId="17318"/>
    <cellStyle name="Normal 7 3 4 2_FC with allocations" xfId="30285"/>
    <cellStyle name="Normal 7 3 4 3" xfId="2384"/>
    <cellStyle name="Normal 7 3 4 3 2" xfId="4347"/>
    <cellStyle name="Normal 7 3 4 3 3" xfId="15141"/>
    <cellStyle name="Normal 7 3 4 3 3 2" xfId="18495"/>
    <cellStyle name="Normal 7 3 4 3 3 3" xfId="17823"/>
    <cellStyle name="Normal 7 3 4 3 3_FC with allocations" xfId="30290"/>
    <cellStyle name="Normal 7 3 4 3 4" xfId="17320"/>
    <cellStyle name="Normal 7 3 4 3_FC with allocations" xfId="30289"/>
    <cellStyle name="Normal 7 3 4 4" xfId="4344"/>
    <cellStyle name="Normal 7 3 4 5" xfId="15138"/>
    <cellStyle name="Normal 7 3 4 5 2" xfId="18492"/>
    <cellStyle name="Normal 7 3 4 5 3" xfId="17820"/>
    <cellStyle name="Normal 7 3 4 5_FC with allocations" xfId="30291"/>
    <cellStyle name="Normal 7 3 4 6" xfId="17317"/>
    <cellStyle name="Normal 7 3 4_FC with allocations" xfId="30284"/>
    <cellStyle name="Normal 7 3 5" xfId="2385"/>
    <cellStyle name="Normal 7 3 5 2" xfId="2386"/>
    <cellStyle name="Normal 7 3 5 2 2" xfId="4349"/>
    <cellStyle name="Normal 7 3 5 2 2 2" xfId="15144"/>
    <cellStyle name="Normal 7 3 5 2 2_FC with allocations" xfId="30294"/>
    <cellStyle name="Normal 7 3 5 2 3" xfId="15143"/>
    <cellStyle name="Normal 7 3 5 2 3 2" xfId="18497"/>
    <cellStyle name="Normal 7 3 5 2 3 3" xfId="17825"/>
    <cellStyle name="Normal 7 3 5 2 3_FC with allocations" xfId="30295"/>
    <cellStyle name="Normal 7 3 5 2 4" xfId="17322"/>
    <cellStyle name="Normal 7 3 5 2_FC with allocations" xfId="30293"/>
    <cellStyle name="Normal 7 3 5 3" xfId="4348"/>
    <cellStyle name="Normal 7 3 5 3 2" xfId="15145"/>
    <cellStyle name="Normal 7 3 5 3_FC with allocations" xfId="30296"/>
    <cellStyle name="Normal 7 3 5 4" xfId="15142"/>
    <cellStyle name="Normal 7 3 5 4 2" xfId="18496"/>
    <cellStyle name="Normal 7 3 5 4 3" xfId="17824"/>
    <cellStyle name="Normal 7 3 5 4_FC with allocations" xfId="30297"/>
    <cellStyle name="Normal 7 3 5 5" xfId="17321"/>
    <cellStyle name="Normal 7 3 5_FC with allocations" xfId="30292"/>
    <cellStyle name="Normal 7 3 6" xfId="2387"/>
    <cellStyle name="Normal 7 3 6 2" xfId="4350"/>
    <cellStyle name="Normal 7 3 6 3" xfId="17826"/>
    <cellStyle name="Normal 7 3 6 4" xfId="17323"/>
    <cellStyle name="Normal 7 3 6_FC with allocations" xfId="30298"/>
    <cellStyle name="Normal 7 3 7" xfId="2388"/>
    <cellStyle name="Normal 7 3 7 2" xfId="4351"/>
    <cellStyle name="Normal 7 3 7_FC with allocations" xfId="30299"/>
    <cellStyle name="Normal 7 3 8" xfId="4490"/>
    <cellStyle name="Normal 7 3 8 10" xfId="19907"/>
    <cellStyle name="Normal 7 3 8 11" xfId="21900"/>
    <cellStyle name="Normal 7 3 8 2" xfId="4796"/>
    <cellStyle name="Normal 7 3 8 2 2" xfId="16674"/>
    <cellStyle name="Normal 7 3 8 2 2 2" xfId="18696"/>
    <cellStyle name="Normal 7 3 8 2 2 2 2" xfId="19715"/>
    <cellStyle name="Normal 7 3 8 2 2 2 2 2" xfId="21725"/>
    <cellStyle name="Normal 7 3 8 2 2 2 2 3" xfId="23883"/>
    <cellStyle name="Normal 7 3 8 2 2 2 2_FC with allocations" xfId="30304"/>
    <cellStyle name="Normal 7 3 8 2 2 2 3" xfId="20849"/>
    <cellStyle name="Normal 7 3 8 2 2 2 4" xfId="23006"/>
    <cellStyle name="Normal 7 3 8 2 2 2_FC with allocations" xfId="30303"/>
    <cellStyle name="Normal 7 3 8 2 2 3" xfId="19183"/>
    <cellStyle name="Normal 7 3 8 2 2 3 2" xfId="21316"/>
    <cellStyle name="Normal 7 3 8 2 2 3 3" xfId="23473"/>
    <cellStyle name="Normal 7 3 8 2 2 3_FC with allocations" xfId="30305"/>
    <cellStyle name="Normal 7 3 8 2 2 4" xfId="20234"/>
    <cellStyle name="Normal 7 3 8 2 2 5" xfId="22351"/>
    <cellStyle name="Normal 7 3 8 2 2_FC with allocations" xfId="30302"/>
    <cellStyle name="Normal 7 3 8 2 3" xfId="18259"/>
    <cellStyle name="Normal 7 3 8 2 3 2" xfId="19550"/>
    <cellStyle name="Normal 7 3 8 2 3 2 2" xfId="21560"/>
    <cellStyle name="Normal 7 3 8 2 3 2 3" xfId="23718"/>
    <cellStyle name="Normal 7 3 8 2 3 2_FC with allocations" xfId="30307"/>
    <cellStyle name="Normal 7 3 8 2 3 3" xfId="20683"/>
    <cellStyle name="Normal 7 3 8 2 3 4" xfId="22825"/>
    <cellStyle name="Normal 7 3 8 2 3_FC with allocations" xfId="30306"/>
    <cellStyle name="Normal 7 3 8 2 4" xfId="17954"/>
    <cellStyle name="Normal 7 3 8 2 4 2" xfId="20411"/>
    <cellStyle name="Normal 7 3 8 2 4 3" xfId="22551"/>
    <cellStyle name="Normal 7 3 8 2 4_FC with allocations" xfId="30308"/>
    <cellStyle name="Normal 7 3 8 2 5" xfId="18915"/>
    <cellStyle name="Normal 7 3 8 2 5 2" xfId="21067"/>
    <cellStyle name="Normal 7 3 8 2 5 3" xfId="23224"/>
    <cellStyle name="Normal 7 3 8 2 5_FC with allocations" xfId="30309"/>
    <cellStyle name="Normal 7 3 8 2 6" xfId="20066"/>
    <cellStyle name="Normal 7 3 8 2 7" xfId="22061"/>
    <cellStyle name="Normal 7 3 8 2_FC with allocations" xfId="30301"/>
    <cellStyle name="Normal 7 3 8 3" xfId="16621"/>
    <cellStyle name="Normal 7 3 8 3 2" xfId="18643"/>
    <cellStyle name="Normal 7 3 8 3 2 2" xfId="19662"/>
    <cellStyle name="Normal 7 3 8 3 2 2 2" xfId="21672"/>
    <cellStyle name="Normal 7 3 8 3 2 2 3" xfId="23830"/>
    <cellStyle name="Normal 7 3 8 3 2 2_FC with allocations" xfId="30312"/>
    <cellStyle name="Normal 7 3 8 3 2 3" xfId="20796"/>
    <cellStyle name="Normal 7 3 8 3 2 4" xfId="22953"/>
    <cellStyle name="Normal 7 3 8 3 2_FC with allocations" xfId="30311"/>
    <cellStyle name="Normal 7 3 8 3 3" xfId="18010"/>
    <cellStyle name="Normal 7 3 8 3 3 2" xfId="20464"/>
    <cellStyle name="Normal 7 3 8 3 3 3" xfId="22604"/>
    <cellStyle name="Normal 7 3 8 3 3_FC with allocations" xfId="30313"/>
    <cellStyle name="Normal 7 3 8 3 4" xfId="19129"/>
    <cellStyle name="Normal 7 3 8 3 4 2" xfId="21262"/>
    <cellStyle name="Normal 7 3 8 3 4 3" xfId="23419"/>
    <cellStyle name="Normal 7 3 8 3 4_FC with allocations" xfId="30314"/>
    <cellStyle name="Normal 7 3 8 3 5" xfId="20181"/>
    <cellStyle name="Normal 7 3 8 3 6" xfId="22298"/>
    <cellStyle name="Normal 7 3 8 3_FC with allocations" xfId="30310"/>
    <cellStyle name="Normal 7 3 8 4" xfId="4696"/>
    <cellStyle name="Normal 7 3 8 4 2" xfId="18206"/>
    <cellStyle name="Normal 7 3 8 4 2 2" xfId="19497"/>
    <cellStyle name="Normal 7 3 8 4 2 2 2" xfId="21507"/>
    <cellStyle name="Normal 7 3 8 4 2 2 3" xfId="23665"/>
    <cellStyle name="Normal 7 3 8 4 2 2_FC with allocations" xfId="30317"/>
    <cellStyle name="Normal 7 3 8 4 2 3" xfId="20630"/>
    <cellStyle name="Normal 7 3 8 4 2 4" xfId="22772"/>
    <cellStyle name="Normal 7 3 8 4 2_FC with allocations" xfId="30316"/>
    <cellStyle name="Normal 7 3 8 4 3" xfId="19214"/>
    <cellStyle name="Normal 7 3 8 4 3 2" xfId="21347"/>
    <cellStyle name="Normal 7 3 8 4 3 3" xfId="23504"/>
    <cellStyle name="Normal 7 3 8 4 3_FC with allocations" xfId="30318"/>
    <cellStyle name="Normal 7 3 8 4 4" xfId="20013"/>
    <cellStyle name="Normal 7 3 8 4 5" xfId="22008"/>
    <cellStyle name="Normal 7 3 8 4_FC with allocations" xfId="30315"/>
    <cellStyle name="Normal 7 3 8 5" xfId="16752"/>
    <cellStyle name="Normal 7 3 8 5 2" xfId="18756"/>
    <cellStyle name="Normal 7 3 8 5 2 2" xfId="20909"/>
    <cellStyle name="Normal 7 3 8 5 2 3" xfId="23066"/>
    <cellStyle name="Normal 7 3 8 5 2_FC with allocations" xfId="30320"/>
    <cellStyle name="Normal 7 3 8 5 3" xfId="19776"/>
    <cellStyle name="Normal 7 3 8 5 3 2" xfId="21786"/>
    <cellStyle name="Normal 7 3 8 5 3 3" xfId="23944"/>
    <cellStyle name="Normal 7 3 8 5 3_FC with allocations" xfId="30321"/>
    <cellStyle name="Normal 7 3 8 5 4" xfId="20295"/>
    <cellStyle name="Normal 7 3 8 5 5" xfId="22423"/>
    <cellStyle name="Normal 7 3 8 5_FC with allocations" xfId="30319"/>
    <cellStyle name="Normal 7 3 8 6" xfId="18072"/>
    <cellStyle name="Normal 7 3 8 6 2" xfId="19391"/>
    <cellStyle name="Normal 7 3 8 6 2 2" xfId="21401"/>
    <cellStyle name="Normal 7 3 8 6 2 3" xfId="23559"/>
    <cellStyle name="Normal 7 3 8 6 2_FC with allocations" xfId="30323"/>
    <cellStyle name="Normal 7 3 8 6 3" xfId="20524"/>
    <cellStyle name="Normal 7 3 8 6 4" xfId="22666"/>
    <cellStyle name="Normal 7 3 8 6_FC with allocations" xfId="30322"/>
    <cellStyle name="Normal 7 3 8 7" xfId="17304"/>
    <cellStyle name="Normal 7 3 8 8" xfId="18862"/>
    <cellStyle name="Normal 7 3 8 8 2" xfId="21014"/>
    <cellStyle name="Normal 7 3 8 8 3" xfId="23171"/>
    <cellStyle name="Normal 7 3 8 8_FC with allocations" xfId="30324"/>
    <cellStyle name="Normal 7 3 8 9" xfId="19830"/>
    <cellStyle name="Normal 7 3 8 9 2" xfId="21839"/>
    <cellStyle name="Normal 7 3 8 9 3" xfId="23997"/>
    <cellStyle name="Normal 7 3 8 9_FC with allocations" xfId="30325"/>
    <cellStyle name="Normal 7 3 8_FC with allocations" xfId="30300"/>
    <cellStyle name="Normal 7 3 9" xfId="4604"/>
    <cellStyle name="Normal 7 3_FC with allocations" xfId="30239"/>
    <cellStyle name="Normal 7 4" xfId="2389"/>
    <cellStyle name="Normal 7 4 2" xfId="2390"/>
    <cellStyle name="Normal 7 4 2 2" xfId="2391"/>
    <cellStyle name="Normal 7 4 2 2 2" xfId="2392"/>
    <cellStyle name="Normal 7 4 2 2 2 2" xfId="4355"/>
    <cellStyle name="Normal 7 4 2 2 2 2 2" xfId="15150"/>
    <cellStyle name="Normal 7 4 2 2 2 2_FC with allocations" xfId="30330"/>
    <cellStyle name="Normal 7 4 2 2 2 3" xfId="15149"/>
    <cellStyle name="Normal 7 4 2 2 2 3 2" xfId="18500"/>
    <cellStyle name="Normal 7 4 2 2 2 3 3" xfId="17830"/>
    <cellStyle name="Normal 7 4 2 2 2 3_FC with allocations" xfId="30331"/>
    <cellStyle name="Normal 7 4 2 2 2 4" xfId="17327"/>
    <cellStyle name="Normal 7 4 2 2 2_FC with allocations" xfId="30329"/>
    <cellStyle name="Normal 7 4 2 2 3" xfId="4354"/>
    <cellStyle name="Normal 7 4 2 2 3 2" xfId="15151"/>
    <cellStyle name="Normal 7 4 2 2 3_FC with allocations" xfId="30332"/>
    <cellStyle name="Normal 7 4 2 2 4" xfId="15148"/>
    <cellStyle name="Normal 7 4 2 2 4 2" xfId="18499"/>
    <cellStyle name="Normal 7 4 2 2 4 3" xfId="17829"/>
    <cellStyle name="Normal 7 4 2 2 4_FC with allocations" xfId="30333"/>
    <cellStyle name="Normal 7 4 2 2 5" xfId="17326"/>
    <cellStyle name="Normal 7 4 2 2_FC with allocations" xfId="30328"/>
    <cellStyle name="Normal 7 4 2 3" xfId="2393"/>
    <cellStyle name="Normal 7 4 2 3 2" xfId="4356"/>
    <cellStyle name="Normal 7 4 2 3 3" xfId="15152"/>
    <cellStyle name="Normal 7 4 2 3 3 2" xfId="18501"/>
    <cellStyle name="Normal 7 4 2 3 3 3" xfId="17831"/>
    <cellStyle name="Normal 7 4 2 3 3_FC with allocations" xfId="30335"/>
    <cellStyle name="Normal 7 4 2 3 4" xfId="17328"/>
    <cellStyle name="Normal 7 4 2 3_FC with allocations" xfId="30334"/>
    <cellStyle name="Normal 7 4 2 4" xfId="4353"/>
    <cellStyle name="Normal 7 4 2 4 2" xfId="15154"/>
    <cellStyle name="Normal 7 4 2 4 3" xfId="15153"/>
    <cellStyle name="Normal 7 4 2 4_FC with allocations" xfId="30336"/>
    <cellStyle name="Normal 7 4 2 5" xfId="15155"/>
    <cellStyle name="Normal 7 4 2 5 2" xfId="18502"/>
    <cellStyle name="Normal 7 4 2 5 3" xfId="17828"/>
    <cellStyle name="Normal 7 4 2 5_FC with allocations" xfId="30337"/>
    <cellStyle name="Normal 7 4 2 6" xfId="15147"/>
    <cellStyle name="Normal 7 4 2 7" xfId="17325"/>
    <cellStyle name="Normal 7 4 2_FC with allocations" xfId="30327"/>
    <cellStyle name="Normal 7 4 3" xfId="2394"/>
    <cellStyle name="Normal 7 4 3 2" xfId="2395"/>
    <cellStyle name="Normal 7 4 3 2 2" xfId="4358"/>
    <cellStyle name="Normal 7 4 3 2 3" xfId="15157"/>
    <cellStyle name="Normal 7 4 3 2 3 2" xfId="18503"/>
    <cellStyle name="Normal 7 4 3 2 3 3" xfId="17833"/>
    <cellStyle name="Normal 7 4 3 2 3_FC with allocations" xfId="30340"/>
    <cellStyle name="Normal 7 4 3 2 4" xfId="17330"/>
    <cellStyle name="Normal 7 4 3 2_FC with allocations" xfId="30339"/>
    <cellStyle name="Normal 7 4 3 3" xfId="4357"/>
    <cellStyle name="Normal 7 4 3 3 2" xfId="15159"/>
    <cellStyle name="Normal 7 4 3 3 3" xfId="15158"/>
    <cellStyle name="Normal 7 4 3 3_FC with allocations" xfId="30341"/>
    <cellStyle name="Normal 7 4 3 4" xfId="15160"/>
    <cellStyle name="Normal 7 4 3 4 2" xfId="18504"/>
    <cellStyle name="Normal 7 4 3 4 3" xfId="17832"/>
    <cellStyle name="Normal 7 4 3 4_FC with allocations" xfId="30342"/>
    <cellStyle name="Normal 7 4 3 5" xfId="15156"/>
    <cellStyle name="Normal 7 4 3 6" xfId="17329"/>
    <cellStyle name="Normal 7 4 3_FC with allocations" xfId="30338"/>
    <cellStyle name="Normal 7 4 4" xfId="2396"/>
    <cellStyle name="Normal 7 4 4 2" xfId="4359"/>
    <cellStyle name="Normal 7 4 4 2 2" xfId="15163"/>
    <cellStyle name="Normal 7 4 4 2 3" xfId="15162"/>
    <cellStyle name="Normal 7 4 4 2_FC with allocations" xfId="30344"/>
    <cellStyle name="Normal 7 4 4 3" xfId="15164"/>
    <cellStyle name="Normal 7 4 4 3 2" xfId="18505"/>
    <cellStyle name="Normal 7 4 4 3 3" xfId="17834"/>
    <cellStyle name="Normal 7 4 4 3_FC with allocations" xfId="30345"/>
    <cellStyle name="Normal 7 4 4 4" xfId="15161"/>
    <cellStyle name="Normal 7 4 4 5" xfId="17331"/>
    <cellStyle name="Normal 7 4 4_FC with allocations" xfId="30343"/>
    <cellStyle name="Normal 7 4 5" xfId="4352"/>
    <cellStyle name="Normal 7 4 6" xfId="15146"/>
    <cellStyle name="Normal 7 4 6 2" xfId="18498"/>
    <cellStyle name="Normal 7 4 6 3" xfId="17827"/>
    <cellStyle name="Normal 7 4 6_FC with allocations" xfId="30346"/>
    <cellStyle name="Normal 7 4 7" xfId="17324"/>
    <cellStyle name="Normal 7 4_FC with allocations" xfId="30326"/>
    <cellStyle name="Normal 7 5" xfId="2397"/>
    <cellStyle name="Normal 7 5 2" xfId="2398"/>
    <cellStyle name="Normal 7 5 2 2" xfId="2399"/>
    <cellStyle name="Normal 7 5 2 2 2" xfId="4362"/>
    <cellStyle name="Normal 7 5 2 2 3" xfId="15167"/>
    <cellStyle name="Normal 7 5 2 2 3 2" xfId="18507"/>
    <cellStyle name="Normal 7 5 2 2 3 3" xfId="17837"/>
    <cellStyle name="Normal 7 5 2 2 3_FC with allocations" xfId="30350"/>
    <cellStyle name="Normal 7 5 2 2 4" xfId="17334"/>
    <cellStyle name="Normal 7 5 2 2_FC with allocations" xfId="30349"/>
    <cellStyle name="Normal 7 5 2 3" xfId="4361"/>
    <cellStyle name="Normal 7 5 2 3 2" xfId="15169"/>
    <cellStyle name="Normal 7 5 2 3 3" xfId="15168"/>
    <cellStyle name="Normal 7 5 2 3_FC with allocations" xfId="30351"/>
    <cellStyle name="Normal 7 5 2 4" xfId="15170"/>
    <cellStyle name="Normal 7 5 2 4 2" xfId="18508"/>
    <cellStyle name="Normal 7 5 2 4 3" xfId="17836"/>
    <cellStyle name="Normal 7 5 2 4_FC with allocations" xfId="30352"/>
    <cellStyle name="Normal 7 5 2 5" xfId="15166"/>
    <cellStyle name="Normal 7 5 2 6" xfId="17333"/>
    <cellStyle name="Normal 7 5 2_FC with allocations" xfId="30348"/>
    <cellStyle name="Normal 7 5 3" xfId="2400"/>
    <cellStyle name="Normal 7 5 3 2" xfId="4363"/>
    <cellStyle name="Normal 7 5 3 2 2" xfId="15172"/>
    <cellStyle name="Normal 7 5 3 2_FC with allocations" xfId="30354"/>
    <cellStyle name="Normal 7 5 3 3" xfId="15173"/>
    <cellStyle name="Normal 7 5 3 3 2" xfId="15174"/>
    <cellStyle name="Normal 7 5 3 3 3" xfId="18509"/>
    <cellStyle name="Normal 7 5 3 3 4" xfId="17838"/>
    <cellStyle name="Normal 7 5 3 3_FC with allocations" xfId="30355"/>
    <cellStyle name="Normal 7 5 3 4" xfId="15175"/>
    <cellStyle name="Normal 7 5 3 5" xfId="15171"/>
    <cellStyle name="Normal 7 5 3 6" xfId="17335"/>
    <cellStyle name="Normal 7 5 3_FC with allocations" xfId="30353"/>
    <cellStyle name="Normal 7 5 4" xfId="4360"/>
    <cellStyle name="Normal 7 5 5" xfId="15165"/>
    <cellStyle name="Normal 7 5 5 2" xfId="18506"/>
    <cellStyle name="Normal 7 5 5 3" xfId="17835"/>
    <cellStyle name="Normal 7 5 5_FC with allocations" xfId="30356"/>
    <cellStyle name="Normal 7 5 6" xfId="17332"/>
    <cellStyle name="Normal 7 5_FC with allocations" xfId="30347"/>
    <cellStyle name="Normal 7 6" xfId="2401"/>
    <cellStyle name="Normal 7 6 2" xfId="2402"/>
    <cellStyle name="Normal 7 6 2 2" xfId="2403"/>
    <cellStyle name="Normal 7 6 2 2 2" xfId="4366"/>
    <cellStyle name="Normal 7 6 2 2 3" xfId="15178"/>
    <cellStyle name="Normal 7 6 2 2 3 2" xfId="18511"/>
    <cellStyle name="Normal 7 6 2 2 3 3" xfId="17841"/>
    <cellStyle name="Normal 7 6 2 2 3_FC with allocations" xfId="30360"/>
    <cellStyle name="Normal 7 6 2 2 4" xfId="17338"/>
    <cellStyle name="Normal 7 6 2 2_FC with allocations" xfId="30359"/>
    <cellStyle name="Normal 7 6 2 3" xfId="4365"/>
    <cellStyle name="Normal 7 6 2 3 2" xfId="15180"/>
    <cellStyle name="Normal 7 6 2 3 3" xfId="15179"/>
    <cellStyle name="Normal 7 6 2 3_FC with allocations" xfId="30361"/>
    <cellStyle name="Normal 7 6 2 4" xfId="15181"/>
    <cellStyle name="Normal 7 6 2 4 2" xfId="18512"/>
    <cellStyle name="Normal 7 6 2 4 3" xfId="17840"/>
    <cellStyle name="Normal 7 6 2 4_FC with allocations" xfId="30362"/>
    <cellStyle name="Normal 7 6 2 5" xfId="15177"/>
    <cellStyle name="Normal 7 6 2 6" xfId="17337"/>
    <cellStyle name="Normal 7 6 2_FC with allocations" xfId="30358"/>
    <cellStyle name="Normal 7 6 3" xfId="2404"/>
    <cellStyle name="Normal 7 6 3 2" xfId="4367"/>
    <cellStyle name="Normal 7 6 3 3" xfId="15182"/>
    <cellStyle name="Normal 7 6 3 3 2" xfId="18513"/>
    <cellStyle name="Normal 7 6 3 3 3" xfId="17842"/>
    <cellStyle name="Normal 7 6 3 3_FC with allocations" xfId="30364"/>
    <cellStyle name="Normal 7 6 3 4" xfId="17339"/>
    <cellStyle name="Normal 7 6 3_FC with allocations" xfId="30363"/>
    <cellStyle name="Normal 7 6 4" xfId="4364"/>
    <cellStyle name="Normal 7 6 5" xfId="15176"/>
    <cellStyle name="Normal 7 6 5 2" xfId="18510"/>
    <cellStyle name="Normal 7 6 5 3" xfId="17839"/>
    <cellStyle name="Normal 7 6 5_FC with allocations" xfId="30365"/>
    <cellStyle name="Normal 7 6 6" xfId="17336"/>
    <cellStyle name="Normal 7 6_FC with allocations" xfId="30357"/>
    <cellStyle name="Normal 7 7" xfId="2405"/>
    <cellStyle name="Normal 7 7 2" xfId="2406"/>
    <cellStyle name="Normal 7 7 2 2" xfId="4369"/>
    <cellStyle name="Normal 7 7 2 3" xfId="15184"/>
    <cellStyle name="Normal 7 7 2 3 2" xfId="18515"/>
    <cellStyle name="Normal 7 7 2 3 3" xfId="17844"/>
    <cellStyle name="Normal 7 7 2 3_FC with allocations" xfId="30368"/>
    <cellStyle name="Normal 7 7 2 4" xfId="17341"/>
    <cellStyle name="Normal 7 7 2_FC with allocations" xfId="30367"/>
    <cellStyle name="Normal 7 7 3" xfId="4368"/>
    <cellStyle name="Normal 7 7 3 2" xfId="15185"/>
    <cellStyle name="Normal 7 7 3_FC with allocations" xfId="30369"/>
    <cellStyle name="Normal 7 7 4" xfId="15183"/>
    <cellStyle name="Normal 7 7 4 2" xfId="18514"/>
    <cellStyle name="Normal 7 7 4 3" xfId="17843"/>
    <cellStyle name="Normal 7 7 4_FC with allocations" xfId="30370"/>
    <cellStyle name="Normal 7 7 5" xfId="17340"/>
    <cellStyle name="Normal 7 7_FC with allocations" xfId="30366"/>
    <cellStyle name="Normal 7 8" xfId="2407"/>
    <cellStyle name="Normal 7 8 2" xfId="4370"/>
    <cellStyle name="Normal 7 8 2 2" xfId="15187"/>
    <cellStyle name="Normal 7 8 2_FC with allocations" xfId="30372"/>
    <cellStyle name="Normal 7 8 3" xfId="15188"/>
    <cellStyle name="Normal 7 8 3 2" xfId="18516"/>
    <cellStyle name="Normal 7 8 3 3" xfId="17845"/>
    <cellStyle name="Normal 7 8 3_FC with allocations" xfId="30373"/>
    <cellStyle name="Normal 7 8 4" xfId="15186"/>
    <cellStyle name="Normal 7 8 5" xfId="17342"/>
    <cellStyle name="Normal 7 8_FC with allocations" xfId="30371"/>
    <cellStyle name="Normal 7 9" xfId="15189"/>
    <cellStyle name="Normal 7 9 2" xfId="15190"/>
    <cellStyle name="Normal 7 9 3" xfId="15191"/>
    <cellStyle name="Normal 7 9_FC with allocations" xfId="30374"/>
    <cellStyle name="Normal 7_Customers" xfId="2408"/>
    <cellStyle name="Normal 70" xfId="2409"/>
    <cellStyle name="Normal 70 10" xfId="15192"/>
    <cellStyle name="Normal 70 2" xfId="15193"/>
    <cellStyle name="Normal 70 2 2" xfId="15194"/>
    <cellStyle name="Normal 70 2 3" xfId="15195"/>
    <cellStyle name="Normal 70 2 4" xfId="15196"/>
    <cellStyle name="Normal 70 2_FC with allocations" xfId="30376"/>
    <cellStyle name="Normal 70 3" xfId="15197"/>
    <cellStyle name="Normal 70 3 2" xfId="15198"/>
    <cellStyle name="Normal 70 3 3" xfId="15199"/>
    <cellStyle name="Normal 70 3 4" xfId="15200"/>
    <cellStyle name="Normal 70 3_FC with allocations" xfId="30377"/>
    <cellStyle name="Normal 70 4" xfId="15201"/>
    <cellStyle name="Normal 70 4 2" xfId="15202"/>
    <cellStyle name="Normal 70 4 3" xfId="15203"/>
    <cellStyle name="Normal 70 4 4" xfId="15204"/>
    <cellStyle name="Normal 70 4_FC with allocations" xfId="30378"/>
    <cellStyle name="Normal 70 5" xfId="15205"/>
    <cellStyle name="Normal 70 5 2" xfId="15206"/>
    <cellStyle name="Normal 70 5 3" xfId="15207"/>
    <cellStyle name="Normal 70 5 4" xfId="15208"/>
    <cellStyle name="Normal 70 5_FC with allocations" xfId="30379"/>
    <cellStyle name="Normal 70 6" xfId="15209"/>
    <cellStyle name="Normal 70 6 2" xfId="15210"/>
    <cellStyle name="Normal 70 6 3" xfId="15211"/>
    <cellStyle name="Normal 70 6_FC with allocations" xfId="30380"/>
    <cellStyle name="Normal 70 7" xfId="15212"/>
    <cellStyle name="Normal 70 8" xfId="15213"/>
    <cellStyle name="Normal 70 9" xfId="15214"/>
    <cellStyle name="Normal 70_FC with allocations" xfId="30375"/>
    <cellStyle name="Normal 71" xfId="2410"/>
    <cellStyle name="Normal 71 2" xfId="15216"/>
    <cellStyle name="Normal 71 3" xfId="15217"/>
    <cellStyle name="Normal 71 4" xfId="15215"/>
    <cellStyle name="Normal 71_FC with allocations" xfId="30381"/>
    <cellStyle name="Normal 72" xfId="2411"/>
    <cellStyle name="Normal 72 2" xfId="15219"/>
    <cellStyle name="Normal 72 2 2" xfId="15220"/>
    <cellStyle name="Normal 72 2 2 2" xfId="15221"/>
    <cellStyle name="Normal 72 2 2 2 2" xfId="15222"/>
    <cellStyle name="Normal 72 2 2 2 2 2" xfId="15223"/>
    <cellStyle name="Normal 72 2 2 2 2_FC with allocations" xfId="30386"/>
    <cellStyle name="Normal 72 2 2 2 3" xfId="15224"/>
    <cellStyle name="Normal 72 2 2 2_FC with allocations" xfId="30385"/>
    <cellStyle name="Normal 72 2 2 3" xfId="15225"/>
    <cellStyle name="Normal 72 2 2 3 2" xfId="15226"/>
    <cellStyle name="Normal 72 2 2 3_FC with allocations" xfId="30387"/>
    <cellStyle name="Normal 72 2 2 4" xfId="15227"/>
    <cellStyle name="Normal 72 2 2_FC with allocations" xfId="30384"/>
    <cellStyle name="Normal 72 2 3" xfId="15228"/>
    <cellStyle name="Normal 72 2 3 2" xfId="15229"/>
    <cellStyle name="Normal 72 2 3 2 2" xfId="15230"/>
    <cellStyle name="Normal 72 2 3 2_FC with allocations" xfId="30389"/>
    <cellStyle name="Normal 72 2 3 3" xfId="15231"/>
    <cellStyle name="Normal 72 2 3_FC with allocations" xfId="30388"/>
    <cellStyle name="Normal 72 2 4" xfId="15232"/>
    <cellStyle name="Normal 72 2 4 2" xfId="15233"/>
    <cellStyle name="Normal 72 2 4_FC with allocations" xfId="30390"/>
    <cellStyle name="Normal 72 2 5" xfId="15234"/>
    <cellStyle name="Normal 72 2_FC with allocations" xfId="30383"/>
    <cellStyle name="Normal 72 3" xfId="15235"/>
    <cellStyle name="Normal 72 3 2" xfId="15236"/>
    <cellStyle name="Normal 72 3 2 2" xfId="15237"/>
    <cellStyle name="Normal 72 3 2 2 2" xfId="15238"/>
    <cellStyle name="Normal 72 3 2 2 2 2" xfId="15239"/>
    <cellStyle name="Normal 72 3 2 2 2_FC with allocations" xfId="30394"/>
    <cellStyle name="Normal 72 3 2 2 3" xfId="15240"/>
    <cellStyle name="Normal 72 3 2 2_FC with allocations" xfId="30393"/>
    <cellStyle name="Normal 72 3 2 3" xfId="15241"/>
    <cellStyle name="Normal 72 3 2 3 2" xfId="15242"/>
    <cellStyle name="Normal 72 3 2 3_FC with allocations" xfId="30395"/>
    <cellStyle name="Normal 72 3 2 4" xfId="15243"/>
    <cellStyle name="Normal 72 3 2_FC with allocations" xfId="30392"/>
    <cellStyle name="Normal 72 3 3" xfId="15244"/>
    <cellStyle name="Normal 72 3 3 2" xfId="15245"/>
    <cellStyle name="Normal 72 3 3 2 2" xfId="15246"/>
    <cellStyle name="Normal 72 3 3 2_FC with allocations" xfId="30397"/>
    <cellStyle name="Normal 72 3 3 3" xfId="15247"/>
    <cellStyle name="Normal 72 3 3_FC with allocations" xfId="30396"/>
    <cellStyle name="Normal 72 3 4" xfId="15248"/>
    <cellStyle name="Normal 72 3 4 2" xfId="15249"/>
    <cellStyle name="Normal 72 3 4_FC with allocations" xfId="30398"/>
    <cellStyle name="Normal 72 3 5" xfId="15250"/>
    <cellStyle name="Normal 72 3_FC with allocations" xfId="30391"/>
    <cellStyle name="Normal 72 4" xfId="15251"/>
    <cellStyle name="Normal 72 4 2" xfId="15252"/>
    <cellStyle name="Normal 72 4 2 2" xfId="15253"/>
    <cellStyle name="Normal 72 4 2 2 2" xfId="15254"/>
    <cellStyle name="Normal 72 4 2 2 2 2" xfId="15255"/>
    <cellStyle name="Normal 72 4 2 2 2_FC with allocations" xfId="30402"/>
    <cellStyle name="Normal 72 4 2 2 3" xfId="15256"/>
    <cellStyle name="Normal 72 4 2 2_FC with allocations" xfId="30401"/>
    <cellStyle name="Normal 72 4 2 3" xfId="15257"/>
    <cellStyle name="Normal 72 4 2 3 2" xfId="15258"/>
    <cellStyle name="Normal 72 4 2 3_FC with allocations" xfId="30403"/>
    <cellStyle name="Normal 72 4 2 4" xfId="15259"/>
    <cellStyle name="Normal 72 4 2_FC with allocations" xfId="30400"/>
    <cellStyle name="Normal 72 4 3" xfId="15260"/>
    <cellStyle name="Normal 72 4 3 2" xfId="15261"/>
    <cellStyle name="Normal 72 4 3 2 2" xfId="15262"/>
    <cellStyle name="Normal 72 4 3 2_FC with allocations" xfId="30405"/>
    <cellStyle name="Normal 72 4 3 3" xfId="15263"/>
    <cellStyle name="Normal 72 4 3_FC with allocations" xfId="30404"/>
    <cellStyle name="Normal 72 4 4" xfId="15264"/>
    <cellStyle name="Normal 72 4 4 2" xfId="15265"/>
    <cellStyle name="Normal 72 4 4_FC with allocations" xfId="30406"/>
    <cellStyle name="Normal 72 4 5" xfId="15266"/>
    <cellStyle name="Normal 72 4_FC with allocations" xfId="30399"/>
    <cellStyle name="Normal 72 5" xfId="15267"/>
    <cellStyle name="Normal 72 5 2" xfId="15268"/>
    <cellStyle name="Normal 72 5 2 2" xfId="15269"/>
    <cellStyle name="Normal 72 5 2 2 2" xfId="15270"/>
    <cellStyle name="Normal 72 5 2 2_FC with allocations" xfId="30409"/>
    <cellStyle name="Normal 72 5 2 3" xfId="15271"/>
    <cellStyle name="Normal 72 5 2_FC with allocations" xfId="30408"/>
    <cellStyle name="Normal 72 5 3" xfId="15272"/>
    <cellStyle name="Normal 72 5 3 2" xfId="15273"/>
    <cellStyle name="Normal 72 5 3_FC with allocations" xfId="30410"/>
    <cellStyle name="Normal 72 5 4" xfId="15274"/>
    <cellStyle name="Normal 72 5_FC with allocations" xfId="30407"/>
    <cellStyle name="Normal 72 6" xfId="15275"/>
    <cellStyle name="Normal 72 7" xfId="15276"/>
    <cellStyle name="Normal 72 7 2" xfId="15277"/>
    <cellStyle name="Normal 72 7 2 2" xfId="15278"/>
    <cellStyle name="Normal 72 7 2_FC with allocations" xfId="30412"/>
    <cellStyle name="Normal 72 7 3" xfId="15279"/>
    <cellStyle name="Normal 72 7_FC with allocations" xfId="30411"/>
    <cellStyle name="Normal 72 8" xfId="15280"/>
    <cellStyle name="Normal 72 8 2" xfId="15281"/>
    <cellStyle name="Normal 72 8 2 2" xfId="15282"/>
    <cellStyle name="Normal 72 8 2_FC with allocations" xfId="30414"/>
    <cellStyle name="Normal 72 8 3" xfId="15283"/>
    <cellStyle name="Normal 72 8_FC with allocations" xfId="30413"/>
    <cellStyle name="Normal 72 9" xfId="15218"/>
    <cellStyle name="Normal 72_FC with allocations" xfId="30382"/>
    <cellStyle name="Normal 73" xfId="2412"/>
    <cellStyle name="Normal 73 2" xfId="15285"/>
    <cellStyle name="Normal 73 2 2" xfId="15286"/>
    <cellStyle name="Normal 73 2 2 2" xfId="15287"/>
    <cellStyle name="Normal 73 2 2 2 2" xfId="15288"/>
    <cellStyle name="Normal 73 2 2 2 2 2" xfId="15289"/>
    <cellStyle name="Normal 73 2 2 2 2_FC with allocations" xfId="30419"/>
    <cellStyle name="Normal 73 2 2 2 3" xfId="15290"/>
    <cellStyle name="Normal 73 2 2 2_FC with allocations" xfId="30418"/>
    <cellStyle name="Normal 73 2 2 3" xfId="15291"/>
    <cellStyle name="Normal 73 2 2 3 2" xfId="15292"/>
    <cellStyle name="Normal 73 2 2 3_FC with allocations" xfId="30420"/>
    <cellStyle name="Normal 73 2 2 4" xfId="15293"/>
    <cellStyle name="Normal 73 2 2_FC with allocations" xfId="30417"/>
    <cellStyle name="Normal 73 2 3" xfId="15294"/>
    <cellStyle name="Normal 73 2 3 2" xfId="15295"/>
    <cellStyle name="Normal 73 2 3 2 2" xfId="15296"/>
    <cellStyle name="Normal 73 2 3 2_FC with allocations" xfId="30422"/>
    <cellStyle name="Normal 73 2 3 3" xfId="15297"/>
    <cellStyle name="Normal 73 2 3_FC with allocations" xfId="30421"/>
    <cellStyle name="Normal 73 2 4" xfId="15298"/>
    <cellStyle name="Normal 73 2 4 2" xfId="15299"/>
    <cellStyle name="Normal 73 2 4_FC with allocations" xfId="30423"/>
    <cellStyle name="Normal 73 2 5" xfId="15300"/>
    <cellStyle name="Normal 73 2_FC with allocations" xfId="30416"/>
    <cellStyle name="Normal 73 3" xfId="15301"/>
    <cellStyle name="Normal 73 3 2" xfId="15302"/>
    <cellStyle name="Normal 73 3 2 2" xfId="15303"/>
    <cellStyle name="Normal 73 3 2 2 2" xfId="15304"/>
    <cellStyle name="Normal 73 3 2 2 2 2" xfId="15305"/>
    <cellStyle name="Normal 73 3 2 2 2_FC with allocations" xfId="30427"/>
    <cellStyle name="Normal 73 3 2 2 3" xfId="15306"/>
    <cellStyle name="Normal 73 3 2 2_FC with allocations" xfId="30426"/>
    <cellStyle name="Normal 73 3 2 3" xfId="15307"/>
    <cellStyle name="Normal 73 3 2 3 2" xfId="15308"/>
    <cellStyle name="Normal 73 3 2 3_FC with allocations" xfId="30428"/>
    <cellStyle name="Normal 73 3 2 4" xfId="15309"/>
    <cellStyle name="Normal 73 3 2_FC with allocations" xfId="30425"/>
    <cellStyle name="Normal 73 3 3" xfId="15310"/>
    <cellStyle name="Normal 73 3 3 2" xfId="15311"/>
    <cellStyle name="Normal 73 3 3 2 2" xfId="15312"/>
    <cellStyle name="Normal 73 3 3 2_FC with allocations" xfId="30430"/>
    <cellStyle name="Normal 73 3 3 3" xfId="15313"/>
    <cellStyle name="Normal 73 3 3_FC with allocations" xfId="30429"/>
    <cellStyle name="Normal 73 3 4" xfId="15314"/>
    <cellStyle name="Normal 73 3 4 2" xfId="15315"/>
    <cellStyle name="Normal 73 3 4_FC with allocations" xfId="30431"/>
    <cellStyle name="Normal 73 3 5" xfId="15316"/>
    <cellStyle name="Normal 73 3_FC with allocations" xfId="30424"/>
    <cellStyle name="Normal 73 4" xfId="15317"/>
    <cellStyle name="Normal 73 4 2" xfId="15318"/>
    <cellStyle name="Normal 73 4 2 2" xfId="15319"/>
    <cellStyle name="Normal 73 4 2 2 2" xfId="15320"/>
    <cellStyle name="Normal 73 4 2 2 2 2" xfId="15321"/>
    <cellStyle name="Normal 73 4 2 2 2_FC with allocations" xfId="30435"/>
    <cellStyle name="Normal 73 4 2 2 3" xfId="15322"/>
    <cellStyle name="Normal 73 4 2 2_FC with allocations" xfId="30434"/>
    <cellStyle name="Normal 73 4 2 3" xfId="15323"/>
    <cellStyle name="Normal 73 4 2 3 2" xfId="15324"/>
    <cellStyle name="Normal 73 4 2 3_FC with allocations" xfId="30436"/>
    <cellStyle name="Normal 73 4 2 4" xfId="15325"/>
    <cellStyle name="Normal 73 4 2_FC with allocations" xfId="30433"/>
    <cellStyle name="Normal 73 4 3" xfId="15326"/>
    <cellStyle name="Normal 73 4 3 2" xfId="15327"/>
    <cellStyle name="Normal 73 4 3 2 2" xfId="15328"/>
    <cellStyle name="Normal 73 4 3 2_FC with allocations" xfId="30438"/>
    <cellStyle name="Normal 73 4 3 3" xfId="15329"/>
    <cellStyle name="Normal 73 4 3_FC with allocations" xfId="30437"/>
    <cellStyle name="Normal 73 4 4" xfId="15330"/>
    <cellStyle name="Normal 73 4 4 2" xfId="15331"/>
    <cellStyle name="Normal 73 4 4_FC with allocations" xfId="30439"/>
    <cellStyle name="Normal 73 4 5" xfId="15332"/>
    <cellStyle name="Normal 73 4_FC with allocations" xfId="30432"/>
    <cellStyle name="Normal 73 5" xfId="15333"/>
    <cellStyle name="Normal 73 5 2" xfId="15334"/>
    <cellStyle name="Normal 73 5 2 2" xfId="15335"/>
    <cellStyle name="Normal 73 5 2 2 2" xfId="15336"/>
    <cellStyle name="Normal 73 5 2 2_FC with allocations" xfId="30442"/>
    <cellStyle name="Normal 73 5 2 3" xfId="15337"/>
    <cellStyle name="Normal 73 5 2_FC with allocations" xfId="30441"/>
    <cellStyle name="Normal 73 5 3" xfId="15338"/>
    <cellStyle name="Normal 73 5 3 2" xfId="15339"/>
    <cellStyle name="Normal 73 5 3_FC with allocations" xfId="30443"/>
    <cellStyle name="Normal 73 5 4" xfId="15340"/>
    <cellStyle name="Normal 73 5_FC with allocations" xfId="30440"/>
    <cellStyle name="Normal 73 6" xfId="15341"/>
    <cellStyle name="Normal 73 7" xfId="15342"/>
    <cellStyle name="Normal 73 7 2" xfId="15343"/>
    <cellStyle name="Normal 73 7 2 2" xfId="15344"/>
    <cellStyle name="Normal 73 7 2_FC with allocations" xfId="30445"/>
    <cellStyle name="Normal 73 7 3" xfId="15345"/>
    <cellStyle name="Normal 73 7_FC with allocations" xfId="30444"/>
    <cellStyle name="Normal 73 8" xfId="15346"/>
    <cellStyle name="Normal 73 8 2" xfId="15347"/>
    <cellStyle name="Normal 73 8 2 2" xfId="15348"/>
    <cellStyle name="Normal 73 8 2_FC with allocations" xfId="30447"/>
    <cellStyle name="Normal 73 8 3" xfId="15349"/>
    <cellStyle name="Normal 73 8_FC with allocations" xfId="30446"/>
    <cellStyle name="Normal 73 9" xfId="15284"/>
    <cellStyle name="Normal 73_FC with allocations" xfId="30415"/>
    <cellStyle name="Normal 74" xfId="2413"/>
    <cellStyle name="Normal 74 2" xfId="15351"/>
    <cellStyle name="Normal 74 2 2" xfId="15352"/>
    <cellStyle name="Normal 74 2 2 2" xfId="15353"/>
    <cellStyle name="Normal 74 2 2 2 2" xfId="15354"/>
    <cellStyle name="Normal 74 2 2 2 2 2" xfId="15355"/>
    <cellStyle name="Normal 74 2 2 2 2_FC with allocations" xfId="30452"/>
    <cellStyle name="Normal 74 2 2 2 3" xfId="15356"/>
    <cellStyle name="Normal 74 2 2 2_FC with allocations" xfId="30451"/>
    <cellStyle name="Normal 74 2 2 3" xfId="15357"/>
    <cellStyle name="Normal 74 2 2 3 2" xfId="15358"/>
    <cellStyle name="Normal 74 2 2 3_FC with allocations" xfId="30453"/>
    <cellStyle name="Normal 74 2 2 4" xfId="15359"/>
    <cellStyle name="Normal 74 2 2_FC with allocations" xfId="30450"/>
    <cellStyle name="Normal 74 2 3" xfId="15360"/>
    <cellStyle name="Normal 74 2 3 2" xfId="15361"/>
    <cellStyle name="Normal 74 2 3 2 2" xfId="15362"/>
    <cellStyle name="Normal 74 2 3 2_FC with allocations" xfId="30455"/>
    <cellStyle name="Normal 74 2 3 3" xfId="15363"/>
    <cellStyle name="Normal 74 2 3_FC with allocations" xfId="30454"/>
    <cellStyle name="Normal 74 2 4" xfId="15364"/>
    <cellStyle name="Normal 74 2 4 2" xfId="15365"/>
    <cellStyle name="Normal 74 2 4_FC with allocations" xfId="30456"/>
    <cellStyle name="Normal 74 2 5" xfId="15366"/>
    <cellStyle name="Normal 74 2_FC with allocations" xfId="30449"/>
    <cellStyle name="Normal 74 3" xfId="15367"/>
    <cellStyle name="Normal 74 3 2" xfId="15368"/>
    <cellStyle name="Normal 74 3 2 2" xfId="15369"/>
    <cellStyle name="Normal 74 3 2 2 2" xfId="15370"/>
    <cellStyle name="Normal 74 3 2 2 2 2" xfId="15371"/>
    <cellStyle name="Normal 74 3 2 2 2_FC with allocations" xfId="30460"/>
    <cellStyle name="Normal 74 3 2 2 3" xfId="15372"/>
    <cellStyle name="Normal 74 3 2 2_FC with allocations" xfId="30459"/>
    <cellStyle name="Normal 74 3 2 3" xfId="15373"/>
    <cellStyle name="Normal 74 3 2 3 2" xfId="15374"/>
    <cellStyle name="Normal 74 3 2 3_FC with allocations" xfId="30461"/>
    <cellStyle name="Normal 74 3 2 4" xfId="15375"/>
    <cellStyle name="Normal 74 3 2_FC with allocations" xfId="30458"/>
    <cellStyle name="Normal 74 3 3" xfId="15376"/>
    <cellStyle name="Normal 74 3 3 2" xfId="15377"/>
    <cellStyle name="Normal 74 3 3 2 2" xfId="15378"/>
    <cellStyle name="Normal 74 3 3 2_FC with allocations" xfId="30463"/>
    <cellStyle name="Normal 74 3 3 3" xfId="15379"/>
    <cellStyle name="Normal 74 3 3_FC with allocations" xfId="30462"/>
    <cellStyle name="Normal 74 3 4" xfId="15380"/>
    <cellStyle name="Normal 74 3 4 2" xfId="15381"/>
    <cellStyle name="Normal 74 3 4_FC with allocations" xfId="30464"/>
    <cellStyle name="Normal 74 3 5" xfId="15382"/>
    <cellStyle name="Normal 74 3_FC with allocations" xfId="30457"/>
    <cellStyle name="Normal 74 4" xfId="15383"/>
    <cellStyle name="Normal 74 4 2" xfId="15384"/>
    <cellStyle name="Normal 74 4 2 2" xfId="15385"/>
    <cellStyle name="Normal 74 4 2 2 2" xfId="15386"/>
    <cellStyle name="Normal 74 4 2 2 2 2" xfId="15387"/>
    <cellStyle name="Normal 74 4 2 2 2_FC with allocations" xfId="30468"/>
    <cellStyle name="Normal 74 4 2 2 3" xfId="15388"/>
    <cellStyle name="Normal 74 4 2 2_FC with allocations" xfId="30467"/>
    <cellStyle name="Normal 74 4 2 3" xfId="15389"/>
    <cellStyle name="Normal 74 4 2 3 2" xfId="15390"/>
    <cellStyle name="Normal 74 4 2 3_FC with allocations" xfId="30469"/>
    <cellStyle name="Normal 74 4 2 4" xfId="15391"/>
    <cellStyle name="Normal 74 4 2_FC with allocations" xfId="30466"/>
    <cellStyle name="Normal 74 4 3" xfId="15392"/>
    <cellStyle name="Normal 74 4 3 2" xfId="15393"/>
    <cellStyle name="Normal 74 4 3 2 2" xfId="15394"/>
    <cellStyle name="Normal 74 4 3 2_FC with allocations" xfId="30471"/>
    <cellStyle name="Normal 74 4 3 3" xfId="15395"/>
    <cellStyle name="Normal 74 4 3_FC with allocations" xfId="30470"/>
    <cellStyle name="Normal 74 4 4" xfId="15396"/>
    <cellStyle name="Normal 74 4 4 2" xfId="15397"/>
    <cellStyle name="Normal 74 4 4_FC with allocations" xfId="30472"/>
    <cellStyle name="Normal 74 4 5" xfId="15398"/>
    <cellStyle name="Normal 74 4_FC with allocations" xfId="30465"/>
    <cellStyle name="Normal 74 5" xfId="15399"/>
    <cellStyle name="Normal 74 5 2" xfId="15400"/>
    <cellStyle name="Normal 74 5 2 2" xfId="15401"/>
    <cellStyle name="Normal 74 5 2 2 2" xfId="15402"/>
    <cellStyle name="Normal 74 5 2 2_FC with allocations" xfId="30475"/>
    <cellStyle name="Normal 74 5 2 3" xfId="15403"/>
    <cellStyle name="Normal 74 5 2_FC with allocations" xfId="30474"/>
    <cellStyle name="Normal 74 5 3" xfId="15404"/>
    <cellStyle name="Normal 74 5 3 2" xfId="15405"/>
    <cellStyle name="Normal 74 5 3_FC with allocations" xfId="30476"/>
    <cellStyle name="Normal 74 5 4" xfId="15406"/>
    <cellStyle name="Normal 74 5_FC with allocations" xfId="30473"/>
    <cellStyle name="Normal 74 6" xfId="15407"/>
    <cellStyle name="Normal 74 7" xfId="15408"/>
    <cellStyle name="Normal 74 7 2" xfId="15409"/>
    <cellStyle name="Normal 74 7 2 2" xfId="15410"/>
    <cellStyle name="Normal 74 7 2_FC with allocations" xfId="30478"/>
    <cellStyle name="Normal 74 7 3" xfId="15411"/>
    <cellStyle name="Normal 74 7_FC with allocations" xfId="30477"/>
    <cellStyle name="Normal 74 8" xfId="15412"/>
    <cellStyle name="Normal 74 8 2" xfId="15413"/>
    <cellStyle name="Normal 74 8 2 2" xfId="15414"/>
    <cellStyle name="Normal 74 8 2_FC with allocations" xfId="30480"/>
    <cellStyle name="Normal 74 8 3" xfId="15415"/>
    <cellStyle name="Normal 74 8_FC with allocations" xfId="30479"/>
    <cellStyle name="Normal 74 9" xfId="15350"/>
    <cellStyle name="Normal 74_FC with allocations" xfId="30448"/>
    <cellStyle name="Normal 75" xfId="2414"/>
    <cellStyle name="Normal 75 2" xfId="15417"/>
    <cellStyle name="Normal 75 2 2" xfId="15418"/>
    <cellStyle name="Normal 75 2 2 2" xfId="15419"/>
    <cellStyle name="Normal 75 2 2 2 2" xfId="15420"/>
    <cellStyle name="Normal 75 2 2 2 2 2" xfId="15421"/>
    <cellStyle name="Normal 75 2 2 2 2_FC with allocations" xfId="30485"/>
    <cellStyle name="Normal 75 2 2 2 3" xfId="15422"/>
    <cellStyle name="Normal 75 2 2 2_FC with allocations" xfId="30484"/>
    <cellStyle name="Normal 75 2 2 3" xfId="15423"/>
    <cellStyle name="Normal 75 2 2 3 2" xfId="15424"/>
    <cellStyle name="Normal 75 2 2 3_FC with allocations" xfId="30486"/>
    <cellStyle name="Normal 75 2 2 4" xfId="15425"/>
    <cellStyle name="Normal 75 2 2_FC with allocations" xfId="30483"/>
    <cellStyle name="Normal 75 2 3" xfId="15426"/>
    <cellStyle name="Normal 75 2 3 2" xfId="15427"/>
    <cellStyle name="Normal 75 2 3 2 2" xfId="15428"/>
    <cellStyle name="Normal 75 2 3 2_FC with allocations" xfId="30488"/>
    <cellStyle name="Normal 75 2 3 3" xfId="15429"/>
    <cellStyle name="Normal 75 2 3_FC with allocations" xfId="30487"/>
    <cellStyle name="Normal 75 2 4" xfId="15430"/>
    <cellStyle name="Normal 75 2 4 2" xfId="15431"/>
    <cellStyle name="Normal 75 2 4_FC with allocations" xfId="30489"/>
    <cellStyle name="Normal 75 2 5" xfId="15432"/>
    <cellStyle name="Normal 75 2_FC with allocations" xfId="30482"/>
    <cellStyle name="Normal 75 3" xfId="15433"/>
    <cellStyle name="Normal 75 3 2" xfId="15434"/>
    <cellStyle name="Normal 75 3 2 2" xfId="15435"/>
    <cellStyle name="Normal 75 3 2 2 2" xfId="15436"/>
    <cellStyle name="Normal 75 3 2 2 2 2" xfId="15437"/>
    <cellStyle name="Normal 75 3 2 2 2_FC with allocations" xfId="30493"/>
    <cellStyle name="Normal 75 3 2 2 3" xfId="15438"/>
    <cellStyle name="Normal 75 3 2 2_FC with allocations" xfId="30492"/>
    <cellStyle name="Normal 75 3 2 3" xfId="15439"/>
    <cellStyle name="Normal 75 3 2 3 2" xfId="15440"/>
    <cellStyle name="Normal 75 3 2 3_FC with allocations" xfId="30494"/>
    <cellStyle name="Normal 75 3 2 4" xfId="15441"/>
    <cellStyle name="Normal 75 3 2_FC with allocations" xfId="30491"/>
    <cellStyle name="Normal 75 3 3" xfId="15442"/>
    <cellStyle name="Normal 75 3 3 2" xfId="15443"/>
    <cellStyle name="Normal 75 3 3 2 2" xfId="15444"/>
    <cellStyle name="Normal 75 3 3 2_FC with allocations" xfId="30496"/>
    <cellStyle name="Normal 75 3 3 3" xfId="15445"/>
    <cellStyle name="Normal 75 3 3_FC with allocations" xfId="30495"/>
    <cellStyle name="Normal 75 3 4" xfId="15446"/>
    <cellStyle name="Normal 75 3 4 2" xfId="15447"/>
    <cellStyle name="Normal 75 3 4_FC with allocations" xfId="30497"/>
    <cellStyle name="Normal 75 3 5" xfId="15448"/>
    <cellStyle name="Normal 75 3_FC with allocations" xfId="30490"/>
    <cellStyle name="Normal 75 4" xfId="15449"/>
    <cellStyle name="Normal 75 4 2" xfId="15450"/>
    <cellStyle name="Normal 75 4 2 2" xfId="15451"/>
    <cellStyle name="Normal 75 4 2 2 2" xfId="15452"/>
    <cellStyle name="Normal 75 4 2 2 2 2" xfId="15453"/>
    <cellStyle name="Normal 75 4 2 2 2_FC with allocations" xfId="30501"/>
    <cellStyle name="Normal 75 4 2 2 3" xfId="15454"/>
    <cellStyle name="Normal 75 4 2 2_FC with allocations" xfId="30500"/>
    <cellStyle name="Normal 75 4 2 3" xfId="15455"/>
    <cellStyle name="Normal 75 4 2 3 2" xfId="15456"/>
    <cellStyle name="Normal 75 4 2 3_FC with allocations" xfId="30502"/>
    <cellStyle name="Normal 75 4 2 4" xfId="15457"/>
    <cellStyle name="Normal 75 4 2_FC with allocations" xfId="30499"/>
    <cellStyle name="Normal 75 4 3" xfId="15458"/>
    <cellStyle name="Normal 75 4 3 2" xfId="15459"/>
    <cellStyle name="Normal 75 4 3 2 2" xfId="15460"/>
    <cellStyle name="Normal 75 4 3 2_FC with allocations" xfId="30504"/>
    <cellStyle name="Normal 75 4 3 3" xfId="15461"/>
    <cellStyle name="Normal 75 4 3_FC with allocations" xfId="30503"/>
    <cellStyle name="Normal 75 4 4" xfId="15462"/>
    <cellStyle name="Normal 75 4 4 2" xfId="15463"/>
    <cellStyle name="Normal 75 4 4_FC with allocations" xfId="30505"/>
    <cellStyle name="Normal 75 4 5" xfId="15464"/>
    <cellStyle name="Normal 75 4_FC with allocations" xfId="30498"/>
    <cellStyle name="Normal 75 5" xfId="15465"/>
    <cellStyle name="Normal 75 5 2" xfId="15466"/>
    <cellStyle name="Normal 75 5 2 2" xfId="15467"/>
    <cellStyle name="Normal 75 5 2 2 2" xfId="15468"/>
    <cellStyle name="Normal 75 5 2 2_FC with allocations" xfId="30508"/>
    <cellStyle name="Normal 75 5 2 3" xfId="15469"/>
    <cellStyle name="Normal 75 5 2_FC with allocations" xfId="30507"/>
    <cellStyle name="Normal 75 5 3" xfId="15470"/>
    <cellStyle name="Normal 75 5 3 2" xfId="15471"/>
    <cellStyle name="Normal 75 5 3_FC with allocations" xfId="30509"/>
    <cellStyle name="Normal 75 5 4" xfId="15472"/>
    <cellStyle name="Normal 75 5_FC with allocations" xfId="30506"/>
    <cellStyle name="Normal 75 6" xfId="15473"/>
    <cellStyle name="Normal 75 7" xfId="15474"/>
    <cellStyle name="Normal 75 7 2" xfId="15475"/>
    <cellStyle name="Normal 75 7 2 2" xfId="15476"/>
    <cellStyle name="Normal 75 7 2_FC with allocations" xfId="30511"/>
    <cellStyle name="Normal 75 7 3" xfId="15477"/>
    <cellStyle name="Normal 75 7_FC with allocations" xfId="30510"/>
    <cellStyle name="Normal 75 8" xfId="15478"/>
    <cellStyle name="Normal 75 8 2" xfId="15479"/>
    <cellStyle name="Normal 75 8 2 2" xfId="15480"/>
    <cellStyle name="Normal 75 8 2_FC with allocations" xfId="30513"/>
    <cellStyle name="Normal 75 8 3" xfId="15481"/>
    <cellStyle name="Normal 75 8_FC with allocations" xfId="30512"/>
    <cellStyle name="Normal 75 9" xfId="15416"/>
    <cellStyle name="Normal 75_FC with allocations" xfId="30481"/>
    <cellStyle name="Normal 76" xfId="2415"/>
    <cellStyle name="Normal 76 2" xfId="15483"/>
    <cellStyle name="Normal 76 2 2" xfId="15484"/>
    <cellStyle name="Normal 76 2 2 2" xfId="15485"/>
    <cellStyle name="Normal 76 2 2 2 2" xfId="15486"/>
    <cellStyle name="Normal 76 2 2 2 2 2" xfId="15487"/>
    <cellStyle name="Normal 76 2 2 2 2_FC with allocations" xfId="30518"/>
    <cellStyle name="Normal 76 2 2 2 3" xfId="15488"/>
    <cellStyle name="Normal 76 2 2 2_FC with allocations" xfId="30517"/>
    <cellStyle name="Normal 76 2 2 3" xfId="15489"/>
    <cellStyle name="Normal 76 2 2 3 2" xfId="15490"/>
    <cellStyle name="Normal 76 2 2 3_FC with allocations" xfId="30519"/>
    <cellStyle name="Normal 76 2 2 4" xfId="15491"/>
    <cellStyle name="Normal 76 2 2_FC with allocations" xfId="30516"/>
    <cellStyle name="Normal 76 2 3" xfId="15492"/>
    <cellStyle name="Normal 76 2 3 2" xfId="15493"/>
    <cellStyle name="Normal 76 2 3 2 2" xfId="15494"/>
    <cellStyle name="Normal 76 2 3 2_FC with allocations" xfId="30521"/>
    <cellStyle name="Normal 76 2 3 3" xfId="15495"/>
    <cellStyle name="Normal 76 2 3_FC with allocations" xfId="30520"/>
    <cellStyle name="Normal 76 2 4" xfId="15496"/>
    <cellStyle name="Normal 76 2 4 2" xfId="15497"/>
    <cellStyle name="Normal 76 2 4_FC with allocations" xfId="30522"/>
    <cellStyle name="Normal 76 2 5" xfId="15498"/>
    <cellStyle name="Normal 76 2_FC with allocations" xfId="30515"/>
    <cellStyle name="Normal 76 3" xfId="15499"/>
    <cellStyle name="Normal 76 3 2" xfId="15500"/>
    <cellStyle name="Normal 76 3 2 2" xfId="15501"/>
    <cellStyle name="Normal 76 3 2 2 2" xfId="15502"/>
    <cellStyle name="Normal 76 3 2 2 2 2" xfId="15503"/>
    <cellStyle name="Normal 76 3 2 2 2_FC with allocations" xfId="30526"/>
    <cellStyle name="Normal 76 3 2 2 3" xfId="15504"/>
    <cellStyle name="Normal 76 3 2 2_FC with allocations" xfId="30525"/>
    <cellStyle name="Normal 76 3 2 3" xfId="15505"/>
    <cellStyle name="Normal 76 3 2 3 2" xfId="15506"/>
    <cellStyle name="Normal 76 3 2 3_FC with allocations" xfId="30527"/>
    <cellStyle name="Normal 76 3 2 4" xfId="15507"/>
    <cellStyle name="Normal 76 3 2_FC with allocations" xfId="30524"/>
    <cellStyle name="Normal 76 3 3" xfId="15508"/>
    <cellStyle name="Normal 76 3 3 2" xfId="15509"/>
    <cellStyle name="Normal 76 3 3 2 2" xfId="15510"/>
    <cellStyle name="Normal 76 3 3 2_FC with allocations" xfId="30529"/>
    <cellStyle name="Normal 76 3 3 3" xfId="15511"/>
    <cellStyle name="Normal 76 3 3_FC with allocations" xfId="30528"/>
    <cellStyle name="Normal 76 3 4" xfId="15512"/>
    <cellStyle name="Normal 76 3 4 2" xfId="15513"/>
    <cellStyle name="Normal 76 3 4_FC with allocations" xfId="30530"/>
    <cellStyle name="Normal 76 3 5" xfId="15514"/>
    <cellStyle name="Normal 76 3_FC with allocations" xfId="30523"/>
    <cellStyle name="Normal 76 4" xfId="15515"/>
    <cellStyle name="Normal 76 4 2" xfId="15516"/>
    <cellStyle name="Normal 76 4 2 2" xfId="15517"/>
    <cellStyle name="Normal 76 4 2 2 2" xfId="15518"/>
    <cellStyle name="Normal 76 4 2 2 2 2" xfId="15519"/>
    <cellStyle name="Normal 76 4 2 2 2_FC with allocations" xfId="30534"/>
    <cellStyle name="Normal 76 4 2 2 3" xfId="15520"/>
    <cellStyle name="Normal 76 4 2 2_FC with allocations" xfId="30533"/>
    <cellStyle name="Normal 76 4 2 3" xfId="15521"/>
    <cellStyle name="Normal 76 4 2 3 2" xfId="15522"/>
    <cellStyle name="Normal 76 4 2 3_FC with allocations" xfId="30535"/>
    <cellStyle name="Normal 76 4 2 4" xfId="15523"/>
    <cellStyle name="Normal 76 4 2_FC with allocations" xfId="30532"/>
    <cellStyle name="Normal 76 4 3" xfId="15524"/>
    <cellStyle name="Normal 76 4 3 2" xfId="15525"/>
    <cellStyle name="Normal 76 4 3 2 2" xfId="15526"/>
    <cellStyle name="Normal 76 4 3 2_FC with allocations" xfId="30537"/>
    <cellStyle name="Normal 76 4 3 3" xfId="15527"/>
    <cellStyle name="Normal 76 4 3_FC with allocations" xfId="30536"/>
    <cellStyle name="Normal 76 4 4" xfId="15528"/>
    <cellStyle name="Normal 76 4 4 2" xfId="15529"/>
    <cellStyle name="Normal 76 4 4_FC with allocations" xfId="30538"/>
    <cellStyle name="Normal 76 4 5" xfId="15530"/>
    <cellStyle name="Normal 76 4_FC with allocations" xfId="30531"/>
    <cellStyle name="Normal 76 5" xfId="15531"/>
    <cellStyle name="Normal 76 5 2" xfId="15532"/>
    <cellStyle name="Normal 76 5 2 2" xfId="15533"/>
    <cellStyle name="Normal 76 5 2 2 2" xfId="15534"/>
    <cellStyle name="Normal 76 5 2 2_FC with allocations" xfId="30541"/>
    <cellStyle name="Normal 76 5 2 3" xfId="15535"/>
    <cellStyle name="Normal 76 5 2_FC with allocations" xfId="30540"/>
    <cellStyle name="Normal 76 5 3" xfId="15536"/>
    <cellStyle name="Normal 76 5 3 2" xfId="15537"/>
    <cellStyle name="Normal 76 5 3_FC with allocations" xfId="30542"/>
    <cellStyle name="Normal 76 5 4" xfId="15538"/>
    <cellStyle name="Normal 76 5_FC with allocations" xfId="30539"/>
    <cellStyle name="Normal 76 6" xfId="15539"/>
    <cellStyle name="Normal 76 7" xfId="15540"/>
    <cellStyle name="Normal 76 7 2" xfId="15541"/>
    <cellStyle name="Normal 76 7 2 2" xfId="15542"/>
    <cellStyle name="Normal 76 7 2_FC with allocations" xfId="30544"/>
    <cellStyle name="Normal 76 7 3" xfId="15543"/>
    <cellStyle name="Normal 76 7_FC with allocations" xfId="30543"/>
    <cellStyle name="Normal 76 8" xfId="15544"/>
    <cellStyle name="Normal 76 8 2" xfId="15545"/>
    <cellStyle name="Normal 76 8 2 2" xfId="15546"/>
    <cellStyle name="Normal 76 8 2_FC with allocations" xfId="30546"/>
    <cellStyle name="Normal 76 8 3" xfId="15547"/>
    <cellStyle name="Normal 76 8_FC with allocations" xfId="30545"/>
    <cellStyle name="Normal 76 9" xfId="15482"/>
    <cellStyle name="Normal 76_FC with allocations" xfId="30514"/>
    <cellStyle name="Normal 77" xfId="2416"/>
    <cellStyle name="Normal 77 2" xfId="15549"/>
    <cellStyle name="Normal 77 3" xfId="15550"/>
    <cellStyle name="Normal 77 4" xfId="15551"/>
    <cellStyle name="Normal 77 5" xfId="15548"/>
    <cellStyle name="Normal 77_FC with allocations" xfId="30547"/>
    <cellStyle name="Normal 78" xfId="2417"/>
    <cellStyle name="Normal 78 2" xfId="15553"/>
    <cellStyle name="Normal 78 3" xfId="15552"/>
    <cellStyle name="Normal 78_FC with allocations" xfId="30548"/>
    <cellStyle name="Normal 79" xfId="2418"/>
    <cellStyle name="Normal 79 2" xfId="15555"/>
    <cellStyle name="Normal 79 3" xfId="15554"/>
    <cellStyle name="Normal 79_FC with allocations" xfId="30549"/>
    <cellStyle name="Normal 8" xfId="2419"/>
    <cellStyle name="Normal 8 10" xfId="15557"/>
    <cellStyle name="Normal 8 10 2" xfId="15558"/>
    <cellStyle name="Normal 8 10_FC with allocations" xfId="30551"/>
    <cellStyle name="Normal 8 11" xfId="15559"/>
    <cellStyle name="Normal 8 12" xfId="15560"/>
    <cellStyle name="Normal 8 13" xfId="15561"/>
    <cellStyle name="Normal 8 14" xfId="15556"/>
    <cellStyle name="Normal 8 2" xfId="2420"/>
    <cellStyle name="Normal 8 2 2" xfId="15563"/>
    <cellStyle name="Normal 8 2 2 2" xfId="15564"/>
    <cellStyle name="Normal 8 2 2_FC with allocations" xfId="30553"/>
    <cellStyle name="Normal 8 2 3" xfId="15565"/>
    <cellStyle name="Normal 8 2 4" xfId="15562"/>
    <cellStyle name="Normal 8 2_FC with allocations" xfId="30552"/>
    <cellStyle name="Normal 8 3" xfId="2421"/>
    <cellStyle name="Normal 8 3 2" xfId="15567"/>
    <cellStyle name="Normal 8 3 2 2" xfId="15568"/>
    <cellStyle name="Normal 8 3 2_FC with allocations" xfId="30555"/>
    <cellStyle name="Normal 8 3 3" xfId="15569"/>
    <cellStyle name="Normal 8 3 4" xfId="15566"/>
    <cellStyle name="Normal 8 3_FC with allocations" xfId="30554"/>
    <cellStyle name="Normal 8 4" xfId="15570"/>
    <cellStyle name="Normal 8 4 2" xfId="15571"/>
    <cellStyle name="Normal 8 4 3" xfId="15572"/>
    <cellStyle name="Normal 8 4_FC with allocations" xfId="30556"/>
    <cellStyle name="Normal 8 5" xfId="15573"/>
    <cellStyle name="Normal 8 5 2" xfId="15574"/>
    <cellStyle name="Normal 8 5 3" xfId="15575"/>
    <cellStyle name="Normal 8 5_FC with allocations" xfId="30557"/>
    <cellStyle name="Normal 8 6" xfId="15576"/>
    <cellStyle name="Normal 8 6 2" xfId="15577"/>
    <cellStyle name="Normal 8 6 3" xfId="15578"/>
    <cellStyle name="Normal 8 6_FC with allocations" xfId="30558"/>
    <cellStyle name="Normal 8 7" xfId="15579"/>
    <cellStyle name="Normal 8 7 2" xfId="15580"/>
    <cellStyle name="Normal 8 7 3" xfId="15581"/>
    <cellStyle name="Normal 8 7_FC with allocations" xfId="30559"/>
    <cellStyle name="Normal 8 8" xfId="15582"/>
    <cellStyle name="Normal 8 8 2" xfId="15583"/>
    <cellStyle name="Normal 8 8 3" xfId="15584"/>
    <cellStyle name="Normal 8 8_FC with allocations" xfId="30560"/>
    <cellStyle name="Normal 8 9" xfId="15585"/>
    <cellStyle name="Normal 8 9 2" xfId="15586"/>
    <cellStyle name="Normal 8 9 3" xfId="15587"/>
    <cellStyle name="Normal 8 9_FC with allocations" xfId="30561"/>
    <cellStyle name="Normal 8_FC with allocations" xfId="30550"/>
    <cellStyle name="Normal 80" xfId="2422"/>
    <cellStyle name="Normal 80 2" xfId="15589"/>
    <cellStyle name="Normal 80 3" xfId="15588"/>
    <cellStyle name="Normal 80_FC with allocations" xfId="30562"/>
    <cellStyle name="Normal 81" xfId="2423"/>
    <cellStyle name="Normal 81 2" xfId="15591"/>
    <cellStyle name="Normal 81 3" xfId="15590"/>
    <cellStyle name="Normal 81_FC with allocations" xfId="30563"/>
    <cellStyle name="Normal 82" xfId="2424"/>
    <cellStyle name="Normal 82 2" xfId="15593"/>
    <cellStyle name="Normal 82 3" xfId="15592"/>
    <cellStyle name="Normal 82_FC with allocations" xfId="30564"/>
    <cellStyle name="Normal 83" xfId="2425"/>
    <cellStyle name="Normal 83 2" xfId="15595"/>
    <cellStyle name="Normal 83 3" xfId="15594"/>
    <cellStyle name="Normal 83_FC with allocations" xfId="30565"/>
    <cellStyle name="Normal 84" xfId="2426"/>
    <cellStyle name="Normal 84 2" xfId="15597"/>
    <cellStyle name="Normal 84 3" xfId="15596"/>
    <cellStyle name="Normal 84_FC with allocations" xfId="30566"/>
    <cellStyle name="Normal 85" xfId="2427"/>
    <cellStyle name="Normal 85 2" xfId="15599"/>
    <cellStyle name="Normal 85 3" xfId="15598"/>
    <cellStyle name="Normal 85_FC with allocations" xfId="30567"/>
    <cellStyle name="Normal 86" xfId="2428"/>
    <cellStyle name="Normal 86 2" xfId="15601"/>
    <cellStyle name="Normal 86 3" xfId="15600"/>
    <cellStyle name="Normal 86_FC with allocations" xfId="30568"/>
    <cellStyle name="Normal 87" xfId="2429"/>
    <cellStyle name="Normal 87 2" xfId="15603"/>
    <cellStyle name="Normal 87 3" xfId="15602"/>
    <cellStyle name="Normal 87_FC with allocations" xfId="30569"/>
    <cellStyle name="Normal 88" xfId="2430"/>
    <cellStyle name="Normal 88 2" xfId="15605"/>
    <cellStyle name="Normal 88 3" xfId="15604"/>
    <cellStyle name="Normal 88_FC with allocations" xfId="30570"/>
    <cellStyle name="Normal 89" xfId="2431"/>
    <cellStyle name="Normal 89 2" xfId="15606"/>
    <cellStyle name="Normal 89_FC with allocations" xfId="30571"/>
    <cellStyle name="Normal 9" xfId="2432"/>
    <cellStyle name="Normal 9 10" xfId="2433"/>
    <cellStyle name="Normal 9 10 2" xfId="15608"/>
    <cellStyle name="Normal 9 10_FC with allocations" xfId="30572"/>
    <cellStyle name="Normal 9 11" xfId="15609"/>
    <cellStyle name="Normal 9 12" xfId="15610"/>
    <cellStyle name="Normal 9 13" xfId="15607"/>
    <cellStyle name="Normal 9 2" xfId="2434"/>
    <cellStyle name="Normal 9 2 10" xfId="16563"/>
    <cellStyle name="Normal 9 2 10 2" xfId="18589"/>
    <cellStyle name="Normal 9 2 10 2 2" xfId="19608"/>
    <cellStyle name="Normal 9 2 10 2 2 2" xfId="21618"/>
    <cellStyle name="Normal 9 2 10 2 2 3" xfId="23776"/>
    <cellStyle name="Normal 9 2 10 2 2_FC with allocations" xfId="30576"/>
    <cellStyle name="Normal 9 2 10 2 3" xfId="20742"/>
    <cellStyle name="Normal 9 2 10 2 4" xfId="22899"/>
    <cellStyle name="Normal 9 2 10 2_FC with allocations" xfId="30575"/>
    <cellStyle name="Normal 9 2 10 3" xfId="19014"/>
    <cellStyle name="Normal 9 2 10 3 2" xfId="21166"/>
    <cellStyle name="Normal 9 2 10 3 3" xfId="23323"/>
    <cellStyle name="Normal 9 2 10 3_FC with allocations" xfId="30577"/>
    <cellStyle name="Normal 9 2 10 4" xfId="20127"/>
    <cellStyle name="Normal 9 2 10 5" xfId="22243"/>
    <cellStyle name="Normal 9 2 10_FC with allocations" xfId="30574"/>
    <cellStyle name="Normal 9 2 11" xfId="4548"/>
    <cellStyle name="Normal 9 2 11 2" xfId="18124"/>
    <cellStyle name="Normal 9 2 11 2 2" xfId="19443"/>
    <cellStyle name="Normal 9 2 11 2 2 2" xfId="21453"/>
    <cellStyle name="Normal 9 2 11 2 2 3" xfId="23611"/>
    <cellStyle name="Normal 9 2 11 2 2_FC with allocations" xfId="30580"/>
    <cellStyle name="Normal 9 2 11 2 3" xfId="20576"/>
    <cellStyle name="Normal 9 2 11 2 4" xfId="22718"/>
    <cellStyle name="Normal 9 2 11 2_FC with allocations" xfId="30579"/>
    <cellStyle name="Normal 9 2 11 3" xfId="19200"/>
    <cellStyle name="Normal 9 2 11 3 2" xfId="21333"/>
    <cellStyle name="Normal 9 2 11 3 3" xfId="23490"/>
    <cellStyle name="Normal 9 2 11 3_FC with allocations" xfId="30581"/>
    <cellStyle name="Normal 9 2 11 4" xfId="19959"/>
    <cellStyle name="Normal 9 2 11 5" xfId="21954"/>
    <cellStyle name="Normal 9 2 11_FC with allocations" xfId="30578"/>
    <cellStyle name="Normal 9 2 12" xfId="16845"/>
    <cellStyle name="Normal 9 2 12 2" xfId="20348"/>
    <cellStyle name="Normal 9 2 12 3" xfId="22488"/>
    <cellStyle name="Normal 9 2 12_FC with allocations" xfId="30582"/>
    <cellStyle name="Normal 9 2 13" xfId="18807"/>
    <cellStyle name="Normal 9 2 13 2" xfId="20960"/>
    <cellStyle name="Normal 9 2 13 3" xfId="23117"/>
    <cellStyle name="Normal 9 2 13_FC with allocations" xfId="30583"/>
    <cellStyle name="Normal 9 2 2" xfId="2435"/>
    <cellStyle name="Normal 9 2 2 2" xfId="2436"/>
    <cellStyle name="Normal 9 2 2 2 2" xfId="2437"/>
    <cellStyle name="Normal 9 2 2 2 2 2" xfId="2438"/>
    <cellStyle name="Normal 9 2 2 2 2 2 2" xfId="4373"/>
    <cellStyle name="Normal 9 2 2 2 2 2 3" xfId="17848"/>
    <cellStyle name="Normal 9 2 2 2 2 2 4" xfId="17346"/>
    <cellStyle name="Normal 9 2 2 2 2 2_FC with allocations" xfId="30587"/>
    <cellStyle name="Normal 9 2 2 2 2 3" xfId="4372"/>
    <cellStyle name="Normal 9 2 2 2 2 4" xfId="17847"/>
    <cellStyle name="Normal 9 2 2 2 2 5" xfId="17345"/>
    <cellStyle name="Normal 9 2 2 2 2_FC with allocations" xfId="30586"/>
    <cellStyle name="Normal 9 2 2 2 3" xfId="2439"/>
    <cellStyle name="Normal 9 2 2 2 3 2" xfId="4374"/>
    <cellStyle name="Normal 9 2 2 2 3 3" xfId="17849"/>
    <cellStyle name="Normal 9 2 2 2 3 4" xfId="17347"/>
    <cellStyle name="Normal 9 2 2 2 3_FC with allocations" xfId="30588"/>
    <cellStyle name="Normal 9 2 2 2 4" xfId="4371"/>
    <cellStyle name="Normal 9 2 2 2 5" xfId="17846"/>
    <cellStyle name="Normal 9 2 2 2 6" xfId="17344"/>
    <cellStyle name="Normal 9 2 2 2_FC with allocations" xfId="30585"/>
    <cellStyle name="Normal 9 2 2 3" xfId="2440"/>
    <cellStyle name="Normal 9 2 2 3 2" xfId="2441"/>
    <cellStyle name="Normal 9 2 2 3 2 2" xfId="4376"/>
    <cellStyle name="Normal 9 2 2 3 2 3" xfId="17851"/>
    <cellStyle name="Normal 9 2 2 3 2 4" xfId="17349"/>
    <cellStyle name="Normal 9 2 2 3 2_FC with allocations" xfId="30590"/>
    <cellStyle name="Normal 9 2 2 3 3" xfId="4375"/>
    <cellStyle name="Normal 9 2 2 3 4" xfId="17850"/>
    <cellStyle name="Normal 9 2 2 3 5" xfId="17348"/>
    <cellStyle name="Normal 9 2 2 3_FC with allocations" xfId="30589"/>
    <cellStyle name="Normal 9 2 2 4" xfId="2442"/>
    <cellStyle name="Normal 9 2 2 4 2" xfId="4377"/>
    <cellStyle name="Normal 9 2 2 4 3" xfId="17852"/>
    <cellStyle name="Normal 9 2 2 4 4" xfId="17350"/>
    <cellStyle name="Normal 9 2 2 4_FC with allocations" xfId="30591"/>
    <cellStyle name="Normal 9 2 2 5" xfId="2443"/>
    <cellStyle name="Normal 9 2 2 6" xfId="2444"/>
    <cellStyle name="Normal 9 2 2 6 2" xfId="4378"/>
    <cellStyle name="Normal 9 2 2 6 3" xfId="17853"/>
    <cellStyle name="Normal 9 2 2 6 4" xfId="17351"/>
    <cellStyle name="Normal 9 2 2 6_FC with allocations" xfId="30592"/>
    <cellStyle name="Normal 9 2 2 7" xfId="15612"/>
    <cellStyle name="Normal 9 2 2_FC with allocations" xfId="30584"/>
    <cellStyle name="Normal 9 2 3" xfId="2445"/>
    <cellStyle name="Normal 9 2 3 10" xfId="16846"/>
    <cellStyle name="Normal 9 2 3 10 2" xfId="20349"/>
    <cellStyle name="Normal 9 2 3 10 3" xfId="22489"/>
    <cellStyle name="Normal 9 2 3 10_FC with allocations" xfId="30594"/>
    <cellStyle name="Normal 9 2 3 11" xfId="18808"/>
    <cellStyle name="Normal 9 2 3 11 2" xfId="20961"/>
    <cellStyle name="Normal 9 2 3 11 3" xfId="23118"/>
    <cellStyle name="Normal 9 2 3 11_FC with allocations" xfId="30595"/>
    <cellStyle name="Normal 9 2 3 2" xfId="2446"/>
    <cellStyle name="Normal 9 2 3 2 2" xfId="2447"/>
    <cellStyle name="Normal 9 2 3 2 2 2" xfId="4380"/>
    <cellStyle name="Normal 9 2 3 2 2 3" xfId="17855"/>
    <cellStyle name="Normal 9 2 3 2 2 4" xfId="17354"/>
    <cellStyle name="Normal 9 2 3 2 2_FC with allocations" xfId="30597"/>
    <cellStyle name="Normal 9 2 3 2 3" xfId="4379"/>
    <cellStyle name="Normal 9 2 3 2 4" xfId="17854"/>
    <cellStyle name="Normal 9 2 3 2 5" xfId="17353"/>
    <cellStyle name="Normal 9 2 3 2_FC with allocations" xfId="30596"/>
    <cellStyle name="Normal 9 2 3 3" xfId="2448"/>
    <cellStyle name="Normal 9 2 3 3 2" xfId="4381"/>
    <cellStyle name="Normal 9 2 3 3 3" xfId="17856"/>
    <cellStyle name="Normal 9 2 3 3 4" xfId="17355"/>
    <cellStyle name="Normal 9 2 3 3_FC with allocations" xfId="30598"/>
    <cellStyle name="Normal 9 2 3 4" xfId="2449"/>
    <cellStyle name="Normal 9 2 3 4 2" xfId="4382"/>
    <cellStyle name="Normal 9 2 3 4_FC with allocations" xfId="30599"/>
    <cellStyle name="Normal 9 2 3 5" xfId="4491"/>
    <cellStyle name="Normal 9 2 3 5 10" xfId="19908"/>
    <cellStyle name="Normal 9 2 3 5 11" xfId="21901"/>
    <cellStyle name="Normal 9 2 3 5 2" xfId="4797"/>
    <cellStyle name="Normal 9 2 3 5 2 2" xfId="16675"/>
    <cellStyle name="Normal 9 2 3 5 2 2 2" xfId="18697"/>
    <cellStyle name="Normal 9 2 3 5 2 2 2 2" xfId="19716"/>
    <cellStyle name="Normal 9 2 3 5 2 2 2 2 2" xfId="21726"/>
    <cellStyle name="Normal 9 2 3 5 2 2 2 2 3" xfId="23884"/>
    <cellStyle name="Normal 9 2 3 5 2 2 2 2_FC with allocations" xfId="30604"/>
    <cellStyle name="Normal 9 2 3 5 2 2 2 3" xfId="20850"/>
    <cellStyle name="Normal 9 2 3 5 2 2 2 4" xfId="23007"/>
    <cellStyle name="Normal 9 2 3 5 2 2 2_FC with allocations" xfId="30603"/>
    <cellStyle name="Normal 9 2 3 5 2 2 3" xfId="19184"/>
    <cellStyle name="Normal 9 2 3 5 2 2 3 2" xfId="21317"/>
    <cellStyle name="Normal 9 2 3 5 2 2 3 3" xfId="23474"/>
    <cellStyle name="Normal 9 2 3 5 2 2 3_FC with allocations" xfId="30605"/>
    <cellStyle name="Normal 9 2 3 5 2 2 4" xfId="20235"/>
    <cellStyle name="Normal 9 2 3 5 2 2 5" xfId="22352"/>
    <cellStyle name="Normal 9 2 3 5 2 2_FC with allocations" xfId="30602"/>
    <cellStyle name="Normal 9 2 3 5 2 3" xfId="18260"/>
    <cellStyle name="Normal 9 2 3 5 2 3 2" xfId="19551"/>
    <cellStyle name="Normal 9 2 3 5 2 3 2 2" xfId="21561"/>
    <cellStyle name="Normal 9 2 3 5 2 3 2 3" xfId="23719"/>
    <cellStyle name="Normal 9 2 3 5 2 3 2_FC with allocations" xfId="30607"/>
    <cellStyle name="Normal 9 2 3 5 2 3 3" xfId="20684"/>
    <cellStyle name="Normal 9 2 3 5 2 3 4" xfId="22826"/>
    <cellStyle name="Normal 9 2 3 5 2 3_FC with allocations" xfId="30606"/>
    <cellStyle name="Normal 9 2 3 5 2 4" xfId="17955"/>
    <cellStyle name="Normal 9 2 3 5 2 4 2" xfId="20412"/>
    <cellStyle name="Normal 9 2 3 5 2 4 3" xfId="22552"/>
    <cellStyle name="Normal 9 2 3 5 2 4_FC with allocations" xfId="30608"/>
    <cellStyle name="Normal 9 2 3 5 2 5" xfId="18916"/>
    <cellStyle name="Normal 9 2 3 5 2 5 2" xfId="21068"/>
    <cellStyle name="Normal 9 2 3 5 2 5 3" xfId="23225"/>
    <cellStyle name="Normal 9 2 3 5 2 5_FC with allocations" xfId="30609"/>
    <cellStyle name="Normal 9 2 3 5 2 6" xfId="20067"/>
    <cellStyle name="Normal 9 2 3 5 2 7" xfId="22062"/>
    <cellStyle name="Normal 9 2 3 5 2_FC with allocations" xfId="30601"/>
    <cellStyle name="Normal 9 2 3 5 3" xfId="16622"/>
    <cellStyle name="Normal 9 2 3 5 3 2" xfId="18644"/>
    <cellStyle name="Normal 9 2 3 5 3 2 2" xfId="19663"/>
    <cellStyle name="Normal 9 2 3 5 3 2 2 2" xfId="21673"/>
    <cellStyle name="Normal 9 2 3 5 3 2 2 3" xfId="23831"/>
    <cellStyle name="Normal 9 2 3 5 3 2 2_FC with allocations" xfId="30612"/>
    <cellStyle name="Normal 9 2 3 5 3 2 3" xfId="20797"/>
    <cellStyle name="Normal 9 2 3 5 3 2 4" xfId="22954"/>
    <cellStyle name="Normal 9 2 3 5 3 2_FC with allocations" xfId="30611"/>
    <cellStyle name="Normal 9 2 3 5 3 3" xfId="18011"/>
    <cellStyle name="Normal 9 2 3 5 3 3 2" xfId="20465"/>
    <cellStyle name="Normal 9 2 3 5 3 3 3" xfId="22605"/>
    <cellStyle name="Normal 9 2 3 5 3 3_FC with allocations" xfId="30613"/>
    <cellStyle name="Normal 9 2 3 5 3 4" xfId="19130"/>
    <cellStyle name="Normal 9 2 3 5 3 4 2" xfId="21263"/>
    <cellStyle name="Normal 9 2 3 5 3 4 3" xfId="23420"/>
    <cellStyle name="Normal 9 2 3 5 3 4_FC with allocations" xfId="30614"/>
    <cellStyle name="Normal 9 2 3 5 3 5" xfId="20182"/>
    <cellStyle name="Normal 9 2 3 5 3 6" xfId="22299"/>
    <cellStyle name="Normal 9 2 3 5 3_FC with allocations" xfId="30610"/>
    <cellStyle name="Normal 9 2 3 5 4" xfId="4697"/>
    <cellStyle name="Normal 9 2 3 5 4 2" xfId="18207"/>
    <cellStyle name="Normal 9 2 3 5 4 2 2" xfId="19498"/>
    <cellStyle name="Normal 9 2 3 5 4 2 2 2" xfId="21508"/>
    <cellStyle name="Normal 9 2 3 5 4 2 2 3" xfId="23666"/>
    <cellStyle name="Normal 9 2 3 5 4 2 2_FC with allocations" xfId="30617"/>
    <cellStyle name="Normal 9 2 3 5 4 2 3" xfId="20631"/>
    <cellStyle name="Normal 9 2 3 5 4 2 4" xfId="22773"/>
    <cellStyle name="Normal 9 2 3 5 4 2_FC with allocations" xfId="30616"/>
    <cellStyle name="Normal 9 2 3 5 4 3" xfId="19062"/>
    <cellStyle name="Normal 9 2 3 5 4 3 2" xfId="21203"/>
    <cellStyle name="Normal 9 2 3 5 4 3 3" xfId="23360"/>
    <cellStyle name="Normal 9 2 3 5 4 3_FC with allocations" xfId="30618"/>
    <cellStyle name="Normal 9 2 3 5 4 4" xfId="20014"/>
    <cellStyle name="Normal 9 2 3 5 4 5" xfId="22009"/>
    <cellStyle name="Normal 9 2 3 5 4_FC with allocations" xfId="30615"/>
    <cellStyle name="Normal 9 2 3 5 5" xfId="16753"/>
    <cellStyle name="Normal 9 2 3 5 5 2" xfId="18757"/>
    <cellStyle name="Normal 9 2 3 5 5 2 2" xfId="20910"/>
    <cellStyle name="Normal 9 2 3 5 5 2 3" xfId="23067"/>
    <cellStyle name="Normal 9 2 3 5 5 2_FC with allocations" xfId="30620"/>
    <cellStyle name="Normal 9 2 3 5 5 3" xfId="19777"/>
    <cellStyle name="Normal 9 2 3 5 5 3 2" xfId="21787"/>
    <cellStyle name="Normal 9 2 3 5 5 3 3" xfId="23945"/>
    <cellStyle name="Normal 9 2 3 5 5 3_FC with allocations" xfId="30621"/>
    <cellStyle name="Normal 9 2 3 5 5 4" xfId="20296"/>
    <cellStyle name="Normal 9 2 3 5 5 5" xfId="22424"/>
    <cellStyle name="Normal 9 2 3 5 5_FC with allocations" xfId="30619"/>
    <cellStyle name="Normal 9 2 3 5 6" xfId="18073"/>
    <cellStyle name="Normal 9 2 3 5 6 2" xfId="19392"/>
    <cellStyle name="Normal 9 2 3 5 6 2 2" xfId="21402"/>
    <cellStyle name="Normal 9 2 3 5 6 2 3" xfId="23560"/>
    <cellStyle name="Normal 9 2 3 5 6 2_FC with allocations" xfId="30623"/>
    <cellStyle name="Normal 9 2 3 5 6 3" xfId="20525"/>
    <cellStyle name="Normal 9 2 3 5 6 4" xfId="22667"/>
    <cellStyle name="Normal 9 2 3 5 6_FC with allocations" xfId="30622"/>
    <cellStyle name="Normal 9 2 3 5 7" xfId="17352"/>
    <cellStyle name="Normal 9 2 3 5 8" xfId="18863"/>
    <cellStyle name="Normal 9 2 3 5 8 2" xfId="21015"/>
    <cellStyle name="Normal 9 2 3 5 8 3" xfId="23172"/>
    <cellStyle name="Normal 9 2 3 5 8_FC with allocations" xfId="30624"/>
    <cellStyle name="Normal 9 2 3 5 9" xfId="19831"/>
    <cellStyle name="Normal 9 2 3 5 9 2" xfId="21840"/>
    <cellStyle name="Normal 9 2 3 5 9 3" xfId="23998"/>
    <cellStyle name="Normal 9 2 3 5 9_FC with allocations" xfId="30625"/>
    <cellStyle name="Normal 9 2 3 5_FC with allocations" xfId="30600"/>
    <cellStyle name="Normal 9 2 3 6" xfId="4605"/>
    <cellStyle name="Normal 9 2 3 7" xfId="15613"/>
    <cellStyle name="Normal 9 2 3 8" xfId="16564"/>
    <cellStyle name="Normal 9 2 3 8 2" xfId="18590"/>
    <cellStyle name="Normal 9 2 3 8 2 2" xfId="19609"/>
    <cellStyle name="Normal 9 2 3 8 2 2 2" xfId="21619"/>
    <cellStyle name="Normal 9 2 3 8 2 2 3" xfId="23777"/>
    <cellStyle name="Normal 9 2 3 8 2 2_FC with allocations" xfId="30628"/>
    <cellStyle name="Normal 9 2 3 8 2 3" xfId="20743"/>
    <cellStyle name="Normal 9 2 3 8 2 4" xfId="22900"/>
    <cellStyle name="Normal 9 2 3 8 2_FC with allocations" xfId="30627"/>
    <cellStyle name="Normal 9 2 3 8 3" xfId="19015"/>
    <cellStyle name="Normal 9 2 3 8 3 2" xfId="21167"/>
    <cellStyle name="Normal 9 2 3 8 3 3" xfId="23324"/>
    <cellStyle name="Normal 9 2 3 8 3_FC with allocations" xfId="30629"/>
    <cellStyle name="Normal 9 2 3 8 4" xfId="20128"/>
    <cellStyle name="Normal 9 2 3 8 5" xfId="22244"/>
    <cellStyle name="Normal 9 2 3 8_FC with allocations" xfId="30626"/>
    <cellStyle name="Normal 9 2 3 9" xfId="4549"/>
    <cellStyle name="Normal 9 2 3 9 2" xfId="18125"/>
    <cellStyle name="Normal 9 2 3 9 2 2" xfId="19444"/>
    <cellStyle name="Normal 9 2 3 9 2 2 2" xfId="21454"/>
    <cellStyle name="Normal 9 2 3 9 2 2 3" xfId="23612"/>
    <cellStyle name="Normal 9 2 3 9 2 2_FC with allocations" xfId="30632"/>
    <cellStyle name="Normal 9 2 3 9 2 3" xfId="20577"/>
    <cellStyle name="Normal 9 2 3 9 2 4" xfId="22719"/>
    <cellStyle name="Normal 9 2 3 9 2_FC with allocations" xfId="30631"/>
    <cellStyle name="Normal 9 2 3 9 3" xfId="18978"/>
    <cellStyle name="Normal 9 2 3 9 3 2" xfId="21130"/>
    <cellStyle name="Normal 9 2 3 9 3 3" xfId="23287"/>
    <cellStyle name="Normal 9 2 3 9 3_FC with allocations" xfId="30633"/>
    <cellStyle name="Normal 9 2 3 9 4" xfId="19960"/>
    <cellStyle name="Normal 9 2 3 9 5" xfId="21955"/>
    <cellStyle name="Normal 9 2 3 9_FC with allocations" xfId="30630"/>
    <cellStyle name="Normal 9 2 3_FC with allocations" xfId="30593"/>
    <cellStyle name="Normal 9 2 4" xfId="2450"/>
    <cellStyle name="Normal 9 2 4 2" xfId="2451"/>
    <cellStyle name="Normal 9 2 4 2 2" xfId="2452"/>
    <cellStyle name="Normal 9 2 4 2 2 2" xfId="4385"/>
    <cellStyle name="Normal 9 2 4 2 2 3" xfId="17859"/>
    <cellStyle name="Normal 9 2 4 2 2 4" xfId="17358"/>
    <cellStyle name="Normal 9 2 4 2 2_FC with allocations" xfId="30636"/>
    <cellStyle name="Normal 9 2 4 2 3" xfId="4384"/>
    <cellStyle name="Normal 9 2 4 2 4" xfId="17858"/>
    <cellStyle name="Normal 9 2 4 2 5" xfId="17357"/>
    <cellStyle name="Normal 9 2 4 2_FC with allocations" xfId="30635"/>
    <cellStyle name="Normal 9 2 4 3" xfId="2453"/>
    <cellStyle name="Normal 9 2 4 3 2" xfId="4386"/>
    <cellStyle name="Normal 9 2 4 3 3" xfId="17860"/>
    <cellStyle name="Normal 9 2 4 3 4" xfId="17359"/>
    <cellStyle name="Normal 9 2 4 3_FC with allocations" xfId="30637"/>
    <cellStyle name="Normal 9 2 4 4" xfId="4383"/>
    <cellStyle name="Normal 9 2 4 5" xfId="17857"/>
    <cellStyle name="Normal 9 2 4 6" xfId="17356"/>
    <cellStyle name="Normal 9 2 4_FC with allocations" xfId="30634"/>
    <cellStyle name="Normal 9 2 5" xfId="2454"/>
    <cellStyle name="Normal 9 2 5 2" xfId="2455"/>
    <cellStyle name="Normal 9 2 5 2 2" xfId="4388"/>
    <cellStyle name="Normal 9 2 5 2 3" xfId="17862"/>
    <cellStyle name="Normal 9 2 5 2 4" xfId="17361"/>
    <cellStyle name="Normal 9 2 5 2_FC with allocations" xfId="30639"/>
    <cellStyle name="Normal 9 2 5 3" xfId="4387"/>
    <cellStyle name="Normal 9 2 5 4" xfId="17861"/>
    <cellStyle name="Normal 9 2 5 5" xfId="17360"/>
    <cellStyle name="Normal 9 2 5_FC with allocations" xfId="30638"/>
    <cellStyle name="Normal 9 2 6" xfId="2456"/>
    <cellStyle name="Normal 9 2 6 2" xfId="4389"/>
    <cellStyle name="Normal 9 2 6 3" xfId="17863"/>
    <cellStyle name="Normal 9 2 6 4" xfId="17362"/>
    <cellStyle name="Normal 9 2 6_FC with allocations" xfId="30640"/>
    <cellStyle name="Normal 9 2 7" xfId="2457"/>
    <cellStyle name="Normal 9 2 8" xfId="2458"/>
    <cellStyle name="Normal 9 2 8 2" xfId="4390"/>
    <cellStyle name="Normal 9 2 8_FC with allocations" xfId="30641"/>
    <cellStyle name="Normal 9 2 9" xfId="15611"/>
    <cellStyle name="Normal 9 2 9 2" xfId="18517"/>
    <cellStyle name="Normal 9 2 9 3" xfId="17343"/>
    <cellStyle name="Normal 9 2 9_FC with allocations" xfId="30642"/>
    <cellStyle name="Normal 9 2_FC with allocations" xfId="30573"/>
    <cellStyle name="Normal 9 3" xfId="2459"/>
    <cellStyle name="Normal 9 3 2" xfId="2460"/>
    <cellStyle name="Normal 9 3 2 2" xfId="2461"/>
    <cellStyle name="Normal 9 3 2 2 2" xfId="2462"/>
    <cellStyle name="Normal 9 3 2 2 2 2" xfId="4393"/>
    <cellStyle name="Normal 9 3 2 2 2 3" xfId="17866"/>
    <cellStyle name="Normal 9 3 2 2 2 4" xfId="17365"/>
    <cellStyle name="Normal 9 3 2 2 2_FC with allocations" xfId="30646"/>
    <cellStyle name="Normal 9 3 2 2 3" xfId="4392"/>
    <cellStyle name="Normal 9 3 2 2 4" xfId="17865"/>
    <cellStyle name="Normal 9 3 2 2 5" xfId="17364"/>
    <cellStyle name="Normal 9 3 2 2_FC with allocations" xfId="30645"/>
    <cellStyle name="Normal 9 3 2 3" xfId="2463"/>
    <cellStyle name="Normal 9 3 2 3 2" xfId="4394"/>
    <cellStyle name="Normal 9 3 2 3 3" xfId="17867"/>
    <cellStyle name="Normal 9 3 2 3 4" xfId="17366"/>
    <cellStyle name="Normal 9 3 2 3_FC with allocations" xfId="30647"/>
    <cellStyle name="Normal 9 3 2 4" xfId="4391"/>
    <cellStyle name="Normal 9 3 2 5" xfId="15615"/>
    <cellStyle name="Normal 9 3 2 5 2" xfId="18518"/>
    <cellStyle name="Normal 9 3 2 5 3" xfId="17864"/>
    <cellStyle name="Normal 9 3 2 5_FC with allocations" xfId="30648"/>
    <cellStyle name="Normal 9 3 2 6" xfId="17363"/>
    <cellStyle name="Normal 9 3 2_FC with allocations" xfId="30644"/>
    <cellStyle name="Normal 9 3 3" xfId="2464"/>
    <cellStyle name="Normal 9 3 3 2" xfId="2465"/>
    <cellStyle name="Normal 9 3 3 2 2" xfId="4396"/>
    <cellStyle name="Normal 9 3 3 2 3" xfId="17869"/>
    <cellStyle name="Normal 9 3 3 2 4" xfId="17368"/>
    <cellStyle name="Normal 9 3 3 2_FC with allocations" xfId="30650"/>
    <cellStyle name="Normal 9 3 3 3" xfId="4395"/>
    <cellStyle name="Normal 9 3 3 4" xfId="15616"/>
    <cellStyle name="Normal 9 3 3 4 2" xfId="18519"/>
    <cellStyle name="Normal 9 3 3 4 3" xfId="17868"/>
    <cellStyle name="Normal 9 3 3 4_FC with allocations" xfId="30651"/>
    <cellStyle name="Normal 9 3 3 5" xfId="17367"/>
    <cellStyle name="Normal 9 3 3_FC with allocations" xfId="30649"/>
    <cellStyle name="Normal 9 3 4" xfId="2466"/>
    <cellStyle name="Normal 9 3 4 2" xfId="4397"/>
    <cellStyle name="Normal 9 3 4 3" xfId="17870"/>
    <cellStyle name="Normal 9 3 4 4" xfId="17369"/>
    <cellStyle name="Normal 9 3 4_FC with allocations" xfId="30652"/>
    <cellStyle name="Normal 9 3 5" xfId="2467"/>
    <cellStyle name="Normal 9 3 5 2" xfId="4398"/>
    <cellStyle name="Normal 9 3 5 3" xfId="17871"/>
    <cellStyle name="Normal 9 3 5 4" xfId="17370"/>
    <cellStyle name="Normal 9 3 5_FC with allocations" xfId="30653"/>
    <cellStyle name="Normal 9 3 6" xfId="15614"/>
    <cellStyle name="Normal 9 3_FC with allocations" xfId="30643"/>
    <cellStyle name="Normal 9 4" xfId="2468"/>
    <cellStyle name="Normal 9 4 2" xfId="2469"/>
    <cellStyle name="Normal 9 4 2 2" xfId="2470"/>
    <cellStyle name="Normal 9 4 2 2 2" xfId="4401"/>
    <cellStyle name="Normal 9 4 2 2 3" xfId="17874"/>
    <cellStyle name="Normal 9 4 2 2 4" xfId="17373"/>
    <cellStyle name="Normal 9 4 2 2_FC with allocations" xfId="30656"/>
    <cellStyle name="Normal 9 4 2 3" xfId="4400"/>
    <cellStyle name="Normal 9 4 2 4" xfId="15618"/>
    <cellStyle name="Normal 9 4 2 4 2" xfId="18521"/>
    <cellStyle name="Normal 9 4 2 4 3" xfId="17873"/>
    <cellStyle name="Normal 9 4 2 4_FC with allocations" xfId="30657"/>
    <cellStyle name="Normal 9 4 2 5" xfId="17372"/>
    <cellStyle name="Normal 9 4 2_FC with allocations" xfId="30655"/>
    <cellStyle name="Normal 9 4 3" xfId="2471"/>
    <cellStyle name="Normal 9 4 3 2" xfId="4402"/>
    <cellStyle name="Normal 9 4 3 3" xfId="15619"/>
    <cellStyle name="Normal 9 4 3 3 2" xfId="18522"/>
    <cellStyle name="Normal 9 4 3 3 3" xfId="17875"/>
    <cellStyle name="Normal 9 4 3 3_FC with allocations" xfId="30659"/>
    <cellStyle name="Normal 9 4 3 4" xfId="17374"/>
    <cellStyle name="Normal 9 4 3_FC with allocations" xfId="30658"/>
    <cellStyle name="Normal 9 4 4" xfId="4399"/>
    <cellStyle name="Normal 9 4 5" xfId="15617"/>
    <cellStyle name="Normal 9 4 5 2" xfId="18520"/>
    <cellStyle name="Normal 9 4 5 3" xfId="17872"/>
    <cellStyle name="Normal 9 4 5_FC with allocations" xfId="30660"/>
    <cellStyle name="Normal 9 4 6" xfId="17371"/>
    <cellStyle name="Normal 9 4_FC with allocations" xfId="30654"/>
    <cellStyle name="Normal 9 5" xfId="2472"/>
    <cellStyle name="Normal 9 5 2" xfId="2473"/>
    <cellStyle name="Normal 9 5 2 2" xfId="2474"/>
    <cellStyle name="Normal 9 5 2 2 2" xfId="4405"/>
    <cellStyle name="Normal 9 5 2 2 3" xfId="17878"/>
    <cellStyle name="Normal 9 5 2 2 4" xfId="17377"/>
    <cellStyle name="Normal 9 5 2 2_FC with allocations" xfId="30663"/>
    <cellStyle name="Normal 9 5 2 3" xfId="4404"/>
    <cellStyle name="Normal 9 5 2 4" xfId="15621"/>
    <cellStyle name="Normal 9 5 2 4 2" xfId="18524"/>
    <cellStyle name="Normal 9 5 2 4 3" xfId="17877"/>
    <cellStyle name="Normal 9 5 2 4_FC with allocations" xfId="30664"/>
    <cellStyle name="Normal 9 5 2 5" xfId="17376"/>
    <cellStyle name="Normal 9 5 2_FC with allocations" xfId="30662"/>
    <cellStyle name="Normal 9 5 3" xfId="2475"/>
    <cellStyle name="Normal 9 5 3 2" xfId="4406"/>
    <cellStyle name="Normal 9 5 3 3" xfId="15622"/>
    <cellStyle name="Normal 9 5 3 3 2" xfId="18525"/>
    <cellStyle name="Normal 9 5 3 3 3" xfId="17879"/>
    <cellStyle name="Normal 9 5 3 3_FC with allocations" xfId="30666"/>
    <cellStyle name="Normal 9 5 3 4" xfId="17378"/>
    <cellStyle name="Normal 9 5 3_FC with allocations" xfId="30665"/>
    <cellStyle name="Normal 9 5 4" xfId="4403"/>
    <cellStyle name="Normal 9 5 5" xfId="15620"/>
    <cellStyle name="Normal 9 5 5 2" xfId="18523"/>
    <cellStyle name="Normal 9 5 5 3" xfId="17876"/>
    <cellStyle name="Normal 9 5 5_FC with allocations" xfId="30667"/>
    <cellStyle name="Normal 9 5 6" xfId="17375"/>
    <cellStyle name="Normal 9 5_FC with allocations" xfId="30661"/>
    <cellStyle name="Normal 9 6" xfId="2476"/>
    <cellStyle name="Normal 9 6 2" xfId="2477"/>
    <cellStyle name="Normal 9 6 2 2" xfId="4408"/>
    <cellStyle name="Normal 9 6 2 3" xfId="15624"/>
    <cellStyle name="Normal 9 6 2 3 2" xfId="18527"/>
    <cellStyle name="Normal 9 6 2 3 3" xfId="17881"/>
    <cellStyle name="Normal 9 6 2 3_FC with allocations" xfId="30670"/>
    <cellStyle name="Normal 9 6 2 4" xfId="17380"/>
    <cellStyle name="Normal 9 6 2_FC with allocations" xfId="30669"/>
    <cellStyle name="Normal 9 6 3" xfId="4407"/>
    <cellStyle name="Normal 9 6 3 2" xfId="15625"/>
    <cellStyle name="Normal 9 6 3_FC with allocations" xfId="30671"/>
    <cellStyle name="Normal 9 6 4" xfId="15623"/>
    <cellStyle name="Normal 9 6 4 2" xfId="18526"/>
    <cellStyle name="Normal 9 6 4 3" xfId="17880"/>
    <cellStyle name="Normal 9 6 4_FC with allocations" xfId="30672"/>
    <cellStyle name="Normal 9 6 5" xfId="17379"/>
    <cellStyle name="Normal 9 6_FC with allocations" xfId="30668"/>
    <cellStyle name="Normal 9 7" xfId="2478"/>
    <cellStyle name="Normal 9 7 2" xfId="4409"/>
    <cellStyle name="Normal 9 7 2 2" xfId="15627"/>
    <cellStyle name="Normal 9 7 2_FC with allocations" xfId="30674"/>
    <cellStyle name="Normal 9 7 3" xfId="15628"/>
    <cellStyle name="Normal 9 7 3 2" xfId="18528"/>
    <cellStyle name="Normal 9 7 3 3" xfId="17882"/>
    <cellStyle name="Normal 9 7 3_FC with allocations" xfId="30675"/>
    <cellStyle name="Normal 9 7 4" xfId="15626"/>
    <cellStyle name="Normal 9 7 5" xfId="17381"/>
    <cellStyle name="Normal 9 7_FC with allocations" xfId="30673"/>
    <cellStyle name="Normal 9 8" xfId="2479"/>
    <cellStyle name="Normal 9 8 2" xfId="15630"/>
    <cellStyle name="Normal 9 8 3" xfId="15631"/>
    <cellStyle name="Normal 9 8 4" xfId="15629"/>
    <cellStyle name="Normal 9 8_FC with allocations" xfId="30676"/>
    <cellStyle name="Normal 9 9" xfId="2480"/>
    <cellStyle name="Normal 9 9 2" xfId="15633"/>
    <cellStyle name="Normal 9 9 3" xfId="15634"/>
    <cellStyle name="Normal 9 9 4" xfId="15632"/>
    <cellStyle name="Normal 9 9_FC with allocations" xfId="30677"/>
    <cellStyle name="Normal 9_Customers" xfId="2481"/>
    <cellStyle name="Normal 90" xfId="2482"/>
    <cellStyle name="Normal 90 2" xfId="15635"/>
    <cellStyle name="Normal 90_FC with allocations" xfId="30678"/>
    <cellStyle name="Normal 91" xfId="2483"/>
    <cellStyle name="Normal 91 2" xfId="15636"/>
    <cellStyle name="Normal 91_FC with allocations" xfId="30679"/>
    <cellStyle name="Normal 92" xfId="2484"/>
    <cellStyle name="Normal 92 2" xfId="15638"/>
    <cellStyle name="Normal 92 2 2" xfId="15639"/>
    <cellStyle name="Normal 92 2 2 2" xfId="15640"/>
    <cellStyle name="Normal 92 2 2_FC with allocations" xfId="30682"/>
    <cellStyle name="Normal 92 2 3" xfId="15641"/>
    <cellStyle name="Normal 92 2_FC with allocations" xfId="30681"/>
    <cellStyle name="Normal 92 3" xfId="15642"/>
    <cellStyle name="Normal 92 3 2" xfId="15643"/>
    <cellStyle name="Normal 92 3_FC with allocations" xfId="30683"/>
    <cellStyle name="Normal 92 4" xfId="15644"/>
    <cellStyle name="Normal 92 5" xfId="15637"/>
    <cellStyle name="Normal 92_FC with allocations" xfId="30680"/>
    <cellStyle name="Normal 93" xfId="2485"/>
    <cellStyle name="Normal 93 2" xfId="15645"/>
    <cellStyle name="Normal 93_FC with allocations" xfId="30684"/>
    <cellStyle name="Normal 94" xfId="2486"/>
    <cellStyle name="Normal 94 2" xfId="15647"/>
    <cellStyle name="Normal 94 2 2" xfId="15648"/>
    <cellStyle name="Normal 94 2 2 2" xfId="15649"/>
    <cellStyle name="Normal 94 2 2_FC with allocations" xfId="30687"/>
    <cellStyle name="Normal 94 2 3" xfId="15650"/>
    <cellStyle name="Normal 94 2_FC with allocations" xfId="30686"/>
    <cellStyle name="Normal 94 3" xfId="15651"/>
    <cellStyle name="Normal 94 3 2" xfId="15652"/>
    <cellStyle name="Normal 94 3_FC with allocations" xfId="30688"/>
    <cellStyle name="Normal 94 4" xfId="15653"/>
    <cellStyle name="Normal 94 5" xfId="15646"/>
    <cellStyle name="Normal 94_FC with allocations" xfId="30685"/>
    <cellStyle name="Normal 95" xfId="2487"/>
    <cellStyle name="Normal 95 2" xfId="15654"/>
    <cellStyle name="Normal 95_FC with allocations" xfId="30689"/>
    <cellStyle name="Normal 96" xfId="2488"/>
    <cellStyle name="Normal 96 2" xfId="15656"/>
    <cellStyle name="Normal 96 2 2" xfId="15657"/>
    <cellStyle name="Normal 96 2_FC with allocations" xfId="30691"/>
    <cellStyle name="Normal 96 3" xfId="15658"/>
    <cellStyle name="Normal 96 4" xfId="15655"/>
    <cellStyle name="Normal 96_FC with allocations" xfId="30690"/>
    <cellStyle name="Normal 97" xfId="2489"/>
    <cellStyle name="Normal 97 2" xfId="15660"/>
    <cellStyle name="Normal 97 2 2" xfId="15661"/>
    <cellStyle name="Normal 97 2_FC with allocations" xfId="30693"/>
    <cellStyle name="Normal 97 3" xfId="15662"/>
    <cellStyle name="Normal 97 4" xfId="15659"/>
    <cellStyle name="Normal 97_FC with allocations" xfId="30692"/>
    <cellStyle name="Normal 98" xfId="2490"/>
    <cellStyle name="Normal 98 2" xfId="15664"/>
    <cellStyle name="Normal 98 2 2" xfId="15665"/>
    <cellStyle name="Normal 98 2_FC with allocations" xfId="30695"/>
    <cellStyle name="Normal 98 3" xfId="15666"/>
    <cellStyle name="Normal 98 4" xfId="15663"/>
    <cellStyle name="Normal 98_FC with allocations" xfId="30694"/>
    <cellStyle name="Normal 99" xfId="2491"/>
    <cellStyle name="Normal 99 2" xfId="15667"/>
    <cellStyle name="Normal 99_FC with allocations" xfId="30696"/>
    <cellStyle name="Note 2" xfId="15668"/>
    <cellStyle name="Note 2 2" xfId="15669"/>
    <cellStyle name="Note 2 2 2" xfId="15670"/>
    <cellStyle name="Note 2 2_FC with allocations" xfId="30698"/>
    <cellStyle name="Note 2 3" xfId="15671"/>
    <cellStyle name="Note 2 4" xfId="18529"/>
    <cellStyle name="Note 2 5" xfId="18031"/>
    <cellStyle name="Note 2 5 2" xfId="20484"/>
    <cellStyle name="Note 2 5 3" xfId="22625"/>
    <cellStyle name="Note 2 5_FC with allocations" xfId="30699"/>
    <cellStyle name="Note 2_FC with allocations" xfId="30697"/>
    <cellStyle name="Output" xfId="16775" builtinId="21" customBuiltin="1"/>
    <cellStyle name="Percent" xfId="3899" builtinId="5"/>
    <cellStyle name="Percent [2]" xfId="2492"/>
    <cellStyle name="Percent [2] 10" xfId="15673"/>
    <cellStyle name="Percent [2] 11" xfId="15674"/>
    <cellStyle name="Percent [2] 12" xfId="15675"/>
    <cellStyle name="Percent [2] 13" xfId="15676"/>
    <cellStyle name="Percent [2] 14" xfId="15677"/>
    <cellStyle name="Percent [2] 15" xfId="15678"/>
    <cellStyle name="Percent [2] 15 2" xfId="15679"/>
    <cellStyle name="Percent [2] 15_FC with allocations" xfId="30701"/>
    <cellStyle name="Percent [2] 16" xfId="15672"/>
    <cellStyle name="Percent [2] 2" xfId="15680"/>
    <cellStyle name="Percent [2] 2 2" xfId="15681"/>
    <cellStyle name="Percent [2] 2_FC with allocations" xfId="30702"/>
    <cellStyle name="Percent [2] 3" xfId="15682"/>
    <cellStyle name="Percent [2] 4" xfId="15683"/>
    <cellStyle name="Percent [2] 4 2" xfId="15684"/>
    <cellStyle name="Percent [2] 4_FC with allocations" xfId="30703"/>
    <cellStyle name="Percent [2] 5" xfId="15685"/>
    <cellStyle name="Percent [2] 6" xfId="15686"/>
    <cellStyle name="Percent [2] 7" xfId="15687"/>
    <cellStyle name="Percent [2] 8" xfId="15688"/>
    <cellStyle name="Percent [2] 9" xfId="15689"/>
    <cellStyle name="Percent [2]_FC with allocations" xfId="30700"/>
    <cellStyle name="Percent 10" xfId="2493"/>
    <cellStyle name="Percent 10 2" xfId="15691"/>
    <cellStyle name="Percent 10 2 2" xfId="15692"/>
    <cellStyle name="Percent 10 2 2 2" xfId="15693"/>
    <cellStyle name="Percent 10 2 2 2 2" xfId="15694"/>
    <cellStyle name="Percent 10 2 2 2 2 2" xfId="15695"/>
    <cellStyle name="Percent 10 2 2 2 2_FC with allocations" xfId="30708"/>
    <cellStyle name="Percent 10 2 2 2 3" xfId="15696"/>
    <cellStyle name="Percent 10 2 2 2_FC with allocations" xfId="30707"/>
    <cellStyle name="Percent 10 2 2 3" xfId="15697"/>
    <cellStyle name="Percent 10 2 2 3 2" xfId="15698"/>
    <cellStyle name="Percent 10 2 2 3_FC with allocations" xfId="30709"/>
    <cellStyle name="Percent 10 2 2 4" xfId="15699"/>
    <cellStyle name="Percent 10 2 2_FC with allocations" xfId="30706"/>
    <cellStyle name="Percent 10 2 3" xfId="15700"/>
    <cellStyle name="Percent 10 2 3 2" xfId="15701"/>
    <cellStyle name="Percent 10 2 3 2 2" xfId="15702"/>
    <cellStyle name="Percent 10 2 3 2_FC with allocations" xfId="30711"/>
    <cellStyle name="Percent 10 2 3 3" xfId="15703"/>
    <cellStyle name="Percent 10 2 3_FC with allocations" xfId="30710"/>
    <cellStyle name="Percent 10 2 4" xfId="15704"/>
    <cellStyle name="Percent 10 2 4 2" xfId="15705"/>
    <cellStyle name="Percent 10 2 4_FC with allocations" xfId="30712"/>
    <cellStyle name="Percent 10 2 5" xfId="15706"/>
    <cellStyle name="Percent 10 2_FC with allocations" xfId="30705"/>
    <cellStyle name="Percent 10 3" xfId="15707"/>
    <cellStyle name="Percent 10 3 2" xfId="15708"/>
    <cellStyle name="Percent 10 3 2 2" xfId="15709"/>
    <cellStyle name="Percent 10 3 2 2 2" xfId="15710"/>
    <cellStyle name="Percent 10 3 2 2 2 2" xfId="15711"/>
    <cellStyle name="Percent 10 3 2 2 2_FC with allocations" xfId="30716"/>
    <cellStyle name="Percent 10 3 2 2 3" xfId="15712"/>
    <cellStyle name="Percent 10 3 2 2_FC with allocations" xfId="30715"/>
    <cellStyle name="Percent 10 3 2 3" xfId="15713"/>
    <cellStyle name="Percent 10 3 2 3 2" xfId="15714"/>
    <cellStyle name="Percent 10 3 2 3_FC with allocations" xfId="30717"/>
    <cellStyle name="Percent 10 3 2 4" xfId="15715"/>
    <cellStyle name="Percent 10 3 2_FC with allocations" xfId="30714"/>
    <cellStyle name="Percent 10 3 3" xfId="15716"/>
    <cellStyle name="Percent 10 3 3 2" xfId="15717"/>
    <cellStyle name="Percent 10 3 3 2 2" xfId="15718"/>
    <cellStyle name="Percent 10 3 3 2_FC with allocations" xfId="30719"/>
    <cellStyle name="Percent 10 3 3 3" xfId="15719"/>
    <cellStyle name="Percent 10 3 3_FC with allocations" xfId="30718"/>
    <cellStyle name="Percent 10 3 4" xfId="15720"/>
    <cellStyle name="Percent 10 3 4 2" xfId="15721"/>
    <cellStyle name="Percent 10 3 4_FC with allocations" xfId="30720"/>
    <cellStyle name="Percent 10 3 5" xfId="15722"/>
    <cellStyle name="Percent 10 3_FC with allocations" xfId="30713"/>
    <cellStyle name="Percent 10 4" xfId="15723"/>
    <cellStyle name="Percent 10 4 2" xfId="15724"/>
    <cellStyle name="Percent 10 4 2 2" xfId="15725"/>
    <cellStyle name="Percent 10 4 2 2 2" xfId="15726"/>
    <cellStyle name="Percent 10 4 2 2 2 2" xfId="15727"/>
    <cellStyle name="Percent 10 4 2 2 2_FC with allocations" xfId="30724"/>
    <cellStyle name="Percent 10 4 2 2 3" xfId="15728"/>
    <cellStyle name="Percent 10 4 2 2_FC with allocations" xfId="30723"/>
    <cellStyle name="Percent 10 4 2 3" xfId="15729"/>
    <cellStyle name="Percent 10 4 2 3 2" xfId="15730"/>
    <cellStyle name="Percent 10 4 2 3_FC with allocations" xfId="30725"/>
    <cellStyle name="Percent 10 4 2 4" xfId="15731"/>
    <cellStyle name="Percent 10 4 2_FC with allocations" xfId="30722"/>
    <cellStyle name="Percent 10 4 3" xfId="15732"/>
    <cellStyle name="Percent 10 4 3 2" xfId="15733"/>
    <cellStyle name="Percent 10 4 3 2 2" xfId="15734"/>
    <cellStyle name="Percent 10 4 3 2_FC with allocations" xfId="30727"/>
    <cellStyle name="Percent 10 4 3 3" xfId="15735"/>
    <cellStyle name="Percent 10 4 3_FC with allocations" xfId="30726"/>
    <cellStyle name="Percent 10 4 4" xfId="15736"/>
    <cellStyle name="Percent 10 4 4 2" xfId="15737"/>
    <cellStyle name="Percent 10 4 4_FC with allocations" xfId="30728"/>
    <cellStyle name="Percent 10 4 5" xfId="15738"/>
    <cellStyle name="Percent 10 4_FC with allocations" xfId="30721"/>
    <cellStyle name="Percent 10 5" xfId="15739"/>
    <cellStyle name="Percent 10 5 2" xfId="15740"/>
    <cellStyle name="Percent 10 5 2 2" xfId="15741"/>
    <cellStyle name="Percent 10 5 2 2 2" xfId="15742"/>
    <cellStyle name="Percent 10 5 2 2_FC with allocations" xfId="30731"/>
    <cellStyle name="Percent 10 5 2 3" xfId="15743"/>
    <cellStyle name="Percent 10 5 2_FC with allocations" xfId="30730"/>
    <cellStyle name="Percent 10 5 3" xfId="15744"/>
    <cellStyle name="Percent 10 5 3 2" xfId="15745"/>
    <cellStyle name="Percent 10 5 3_FC with allocations" xfId="30732"/>
    <cellStyle name="Percent 10 5 4" xfId="15746"/>
    <cellStyle name="Percent 10 5_FC with allocations" xfId="30729"/>
    <cellStyle name="Percent 10 6" xfId="15747"/>
    <cellStyle name="Percent 10 6 2" xfId="15748"/>
    <cellStyle name="Percent 10 6 2 2" xfId="15749"/>
    <cellStyle name="Percent 10 6 2_FC with allocations" xfId="30734"/>
    <cellStyle name="Percent 10 6 3" xfId="15750"/>
    <cellStyle name="Percent 10 6_FC with allocations" xfId="30733"/>
    <cellStyle name="Percent 10 7" xfId="15751"/>
    <cellStyle name="Percent 10 7 2" xfId="15752"/>
    <cellStyle name="Percent 10 7 2 2" xfId="15753"/>
    <cellStyle name="Percent 10 7 2_FC with allocations" xfId="30736"/>
    <cellStyle name="Percent 10 7 3" xfId="15754"/>
    <cellStyle name="Percent 10 7_FC with allocations" xfId="30735"/>
    <cellStyle name="Percent 10 8" xfId="15755"/>
    <cellStyle name="Percent 10 8 2" xfId="15756"/>
    <cellStyle name="Percent 10 8 2 2" xfId="15757"/>
    <cellStyle name="Percent 10 8 2_FC with allocations" xfId="30738"/>
    <cellStyle name="Percent 10 8 3" xfId="15758"/>
    <cellStyle name="Percent 10 8_FC with allocations" xfId="30737"/>
    <cellStyle name="Percent 10 9" xfId="15690"/>
    <cellStyle name="Percent 10_FC with allocations" xfId="30704"/>
    <cellStyle name="Percent 100" xfId="21854"/>
    <cellStyle name="Percent 101" xfId="21855"/>
    <cellStyle name="Percent 102" xfId="21858"/>
    <cellStyle name="Percent 103" xfId="21860"/>
    <cellStyle name="Percent 11" xfId="2494"/>
    <cellStyle name="Percent 11 10" xfId="15759"/>
    <cellStyle name="Percent 11 2" xfId="2495"/>
    <cellStyle name="Percent 11 2 2" xfId="2496"/>
    <cellStyle name="Percent 11 2 2 2" xfId="2497"/>
    <cellStyle name="Percent 11 2 2 2 2" xfId="2498"/>
    <cellStyle name="Percent 11 2 2 2 2 2" xfId="2499"/>
    <cellStyle name="Percent 11 2 2 2 2 3" xfId="2500"/>
    <cellStyle name="Percent 11 2 2 2 2_FC with allocations" xfId="30743"/>
    <cellStyle name="Percent 11 2 2 2 3" xfId="2501"/>
    <cellStyle name="Percent 11 2 2 2 4" xfId="2502"/>
    <cellStyle name="Percent 11 2 2 2_FC with allocations" xfId="30742"/>
    <cellStyle name="Percent 11 2 2 3" xfId="2503"/>
    <cellStyle name="Percent 11 2 2 3 2" xfId="2504"/>
    <cellStyle name="Percent 11 2 2 3 3" xfId="2505"/>
    <cellStyle name="Percent 11 2 2 3_FC with allocations" xfId="30744"/>
    <cellStyle name="Percent 11 2 2 4" xfId="2506"/>
    <cellStyle name="Percent 11 2 2 5" xfId="2507"/>
    <cellStyle name="Percent 11 2 2 6" xfId="2508"/>
    <cellStyle name="Percent 11 2 2 7" xfId="15761"/>
    <cellStyle name="Percent 11 2 2_FC with allocations" xfId="30741"/>
    <cellStyle name="Percent 11 2 3" xfId="2509"/>
    <cellStyle name="Percent 11 2 3 2" xfId="2510"/>
    <cellStyle name="Percent 11 2 3 2 2" xfId="2511"/>
    <cellStyle name="Percent 11 2 3 2 3" xfId="2512"/>
    <cellStyle name="Percent 11 2 3 2_FC with allocations" xfId="30746"/>
    <cellStyle name="Percent 11 2 3 3" xfId="2513"/>
    <cellStyle name="Percent 11 2 3 4" xfId="2514"/>
    <cellStyle name="Percent 11 2 3 5" xfId="15762"/>
    <cellStyle name="Percent 11 2 3_FC with allocations" xfId="30745"/>
    <cellStyle name="Percent 11 2 4" xfId="2515"/>
    <cellStyle name="Percent 11 2 4 2" xfId="2516"/>
    <cellStyle name="Percent 11 2 4 3" xfId="2517"/>
    <cellStyle name="Percent 11 2 4 4" xfId="15763"/>
    <cellStyle name="Percent 11 2 4_FC with allocations" xfId="30747"/>
    <cellStyle name="Percent 11 2 5" xfId="2518"/>
    <cellStyle name="Percent 11 2 6" xfId="2519"/>
    <cellStyle name="Percent 11 2 7" xfId="2520"/>
    <cellStyle name="Percent 11 2 8" xfId="15760"/>
    <cellStyle name="Percent 11 2_FC with allocations" xfId="30740"/>
    <cellStyle name="Percent 11 3" xfId="2521"/>
    <cellStyle name="Percent 11 3 2" xfId="2522"/>
    <cellStyle name="Percent 11 3 2 2" xfId="2523"/>
    <cellStyle name="Percent 11 3 2 2 2" xfId="2524"/>
    <cellStyle name="Percent 11 3 2 2 3" xfId="2525"/>
    <cellStyle name="Percent 11 3 2 2_FC with allocations" xfId="30750"/>
    <cellStyle name="Percent 11 3 2 3" xfId="2526"/>
    <cellStyle name="Percent 11 3 2 4" xfId="2527"/>
    <cellStyle name="Percent 11 3 2 5" xfId="15765"/>
    <cellStyle name="Percent 11 3 2_FC with allocations" xfId="30749"/>
    <cellStyle name="Percent 11 3 3" xfId="2528"/>
    <cellStyle name="Percent 11 3 3 2" xfId="2529"/>
    <cellStyle name="Percent 11 3 3 3" xfId="2530"/>
    <cellStyle name="Percent 11 3 3 4" xfId="15766"/>
    <cellStyle name="Percent 11 3 3_FC with allocations" xfId="30751"/>
    <cellStyle name="Percent 11 3 4" xfId="2531"/>
    <cellStyle name="Percent 11 3 4 2" xfId="15767"/>
    <cellStyle name="Percent 11 3 4_FC with allocations" xfId="30752"/>
    <cellStyle name="Percent 11 3 5" xfId="2532"/>
    <cellStyle name="Percent 11 3 6" xfId="2533"/>
    <cellStyle name="Percent 11 3 7" xfId="15764"/>
    <cellStyle name="Percent 11 3_FC with allocations" xfId="30748"/>
    <cellStyle name="Percent 11 4" xfId="2534"/>
    <cellStyle name="Percent 11 4 2" xfId="2535"/>
    <cellStyle name="Percent 11 4 2 2" xfId="2536"/>
    <cellStyle name="Percent 11 4 2 3" xfId="2537"/>
    <cellStyle name="Percent 11 4 2 4" xfId="15769"/>
    <cellStyle name="Percent 11 4 2_FC with allocations" xfId="30754"/>
    <cellStyle name="Percent 11 4 3" xfId="2538"/>
    <cellStyle name="Percent 11 4 3 2" xfId="15770"/>
    <cellStyle name="Percent 11 4 3_FC with allocations" xfId="30755"/>
    <cellStyle name="Percent 11 4 4" xfId="2539"/>
    <cellStyle name="Percent 11 4 4 2" xfId="15771"/>
    <cellStyle name="Percent 11 4 4_FC with allocations" xfId="30756"/>
    <cellStyle name="Percent 11 4 5" xfId="15768"/>
    <cellStyle name="Percent 11 4_FC with allocations" xfId="30753"/>
    <cellStyle name="Percent 11 5" xfId="2540"/>
    <cellStyle name="Percent 11 5 2" xfId="2541"/>
    <cellStyle name="Percent 11 5 2 2" xfId="15773"/>
    <cellStyle name="Percent 11 5 2_FC with allocations" xfId="30758"/>
    <cellStyle name="Percent 11 5 3" xfId="2542"/>
    <cellStyle name="Percent 11 5 3 2" xfId="15774"/>
    <cellStyle name="Percent 11 5 3_FC with allocations" xfId="30759"/>
    <cellStyle name="Percent 11 5 4" xfId="15775"/>
    <cellStyle name="Percent 11 5 5" xfId="15772"/>
    <cellStyle name="Percent 11 5_FC with allocations" xfId="30757"/>
    <cellStyle name="Percent 11 6" xfId="2543"/>
    <cellStyle name="Percent 11 6 2" xfId="15777"/>
    <cellStyle name="Percent 11 6 3" xfId="15778"/>
    <cellStyle name="Percent 11 6 4" xfId="15776"/>
    <cellStyle name="Percent 11 6_FC with allocations" xfId="30760"/>
    <cellStyle name="Percent 11 7" xfId="2544"/>
    <cellStyle name="Percent 11 7 2" xfId="15779"/>
    <cellStyle name="Percent 11 7_FC with allocations" xfId="30761"/>
    <cellStyle name="Percent 11 8" xfId="2545"/>
    <cellStyle name="Percent 11 8 2" xfId="15780"/>
    <cellStyle name="Percent 11 8_FC with allocations" xfId="30762"/>
    <cellStyle name="Percent 11 9" xfId="2546"/>
    <cellStyle name="Percent 11 9 2" xfId="15781"/>
    <cellStyle name="Percent 11 9_FC with allocations" xfId="30763"/>
    <cellStyle name="Percent 11_FC with allocations" xfId="30739"/>
    <cellStyle name="Percent 12" xfId="2547"/>
    <cellStyle name="Percent 12 10" xfId="15782"/>
    <cellStyle name="Percent 12 2" xfId="2548"/>
    <cellStyle name="Percent 12 2 2" xfId="2549"/>
    <cellStyle name="Percent 12 2 2 2" xfId="2550"/>
    <cellStyle name="Percent 12 2 2 2 2" xfId="2551"/>
    <cellStyle name="Percent 12 2 2 2 3" xfId="2552"/>
    <cellStyle name="Percent 12 2 2 2_FC with allocations" xfId="30767"/>
    <cellStyle name="Percent 12 2 2 3" xfId="2553"/>
    <cellStyle name="Percent 12 2 2 4" xfId="2554"/>
    <cellStyle name="Percent 12 2 2 5" xfId="15784"/>
    <cellStyle name="Percent 12 2 2_FC with allocations" xfId="30766"/>
    <cellStyle name="Percent 12 2 3" xfId="2555"/>
    <cellStyle name="Percent 12 2 3 2" xfId="2556"/>
    <cellStyle name="Percent 12 2 3 3" xfId="2557"/>
    <cellStyle name="Percent 12 2 3 4" xfId="15785"/>
    <cellStyle name="Percent 12 2 3_FC with allocations" xfId="30768"/>
    <cellStyle name="Percent 12 2 4" xfId="2558"/>
    <cellStyle name="Percent 12 2 4 2" xfId="15786"/>
    <cellStyle name="Percent 12 2 4_FC with allocations" xfId="30769"/>
    <cellStyle name="Percent 12 2 5" xfId="2559"/>
    <cellStyle name="Percent 12 2 6" xfId="2560"/>
    <cellStyle name="Percent 12 2 7" xfId="15783"/>
    <cellStyle name="Percent 12 2_FC with allocations" xfId="30765"/>
    <cellStyle name="Percent 12 3" xfId="2561"/>
    <cellStyle name="Percent 12 3 2" xfId="2562"/>
    <cellStyle name="Percent 12 3 2 2" xfId="2563"/>
    <cellStyle name="Percent 12 3 2 3" xfId="2564"/>
    <cellStyle name="Percent 12 3 2 4" xfId="15788"/>
    <cellStyle name="Percent 12 3 2_FC with allocations" xfId="30771"/>
    <cellStyle name="Percent 12 3 3" xfId="2565"/>
    <cellStyle name="Percent 12 3 3 2" xfId="15789"/>
    <cellStyle name="Percent 12 3 3_FC with allocations" xfId="30772"/>
    <cellStyle name="Percent 12 3 4" xfId="2566"/>
    <cellStyle name="Percent 12 3 4 2" xfId="15790"/>
    <cellStyle name="Percent 12 3 4_FC with allocations" xfId="30773"/>
    <cellStyle name="Percent 12 3 5" xfId="15787"/>
    <cellStyle name="Percent 12 3_FC with allocations" xfId="30770"/>
    <cellStyle name="Percent 12 4" xfId="2567"/>
    <cellStyle name="Percent 12 4 2" xfId="2568"/>
    <cellStyle name="Percent 12 4 2 2" xfId="15792"/>
    <cellStyle name="Percent 12 4 2_FC with allocations" xfId="30775"/>
    <cellStyle name="Percent 12 4 3" xfId="2569"/>
    <cellStyle name="Percent 12 4 3 2" xfId="15793"/>
    <cellStyle name="Percent 12 4 3_FC with allocations" xfId="30776"/>
    <cellStyle name="Percent 12 4 4" xfId="15794"/>
    <cellStyle name="Percent 12 4 5" xfId="15791"/>
    <cellStyle name="Percent 12 4_FC with allocations" xfId="30774"/>
    <cellStyle name="Percent 12 5" xfId="2570"/>
    <cellStyle name="Percent 12 5 2" xfId="15796"/>
    <cellStyle name="Percent 12 5 3" xfId="15797"/>
    <cellStyle name="Percent 12 5 4" xfId="15798"/>
    <cellStyle name="Percent 12 5 5" xfId="15795"/>
    <cellStyle name="Percent 12 5_FC with allocations" xfId="30777"/>
    <cellStyle name="Percent 12 6" xfId="2571"/>
    <cellStyle name="Percent 12 6 2" xfId="15800"/>
    <cellStyle name="Percent 12 6 3" xfId="15801"/>
    <cellStyle name="Percent 12 6 4" xfId="15799"/>
    <cellStyle name="Percent 12 6_FC with allocations" xfId="30778"/>
    <cellStyle name="Percent 12 7" xfId="2572"/>
    <cellStyle name="Percent 12 7 2" xfId="15802"/>
    <cellStyle name="Percent 12 7_FC with allocations" xfId="30779"/>
    <cellStyle name="Percent 12 8" xfId="2573"/>
    <cellStyle name="Percent 12 8 2" xfId="15803"/>
    <cellStyle name="Percent 12 8_FC with allocations" xfId="30780"/>
    <cellStyle name="Percent 12 9" xfId="15804"/>
    <cellStyle name="Percent 12_FC with allocations" xfId="30764"/>
    <cellStyle name="Percent 13" xfId="2574"/>
    <cellStyle name="Percent 13 10" xfId="15805"/>
    <cellStyle name="Percent 13 2" xfId="2575"/>
    <cellStyle name="Percent 13 2 2" xfId="2576"/>
    <cellStyle name="Percent 13 2 2 2" xfId="2577"/>
    <cellStyle name="Percent 13 2 2 2 2" xfId="2578"/>
    <cellStyle name="Percent 13 2 2 2 3" xfId="2579"/>
    <cellStyle name="Percent 13 2 2 2_FC with allocations" xfId="30784"/>
    <cellStyle name="Percent 13 2 2 3" xfId="2580"/>
    <cellStyle name="Percent 13 2 2 4" xfId="2581"/>
    <cellStyle name="Percent 13 2 2 5" xfId="15807"/>
    <cellStyle name="Percent 13 2 2_FC with allocations" xfId="30783"/>
    <cellStyle name="Percent 13 2 3" xfId="2582"/>
    <cellStyle name="Percent 13 2 3 2" xfId="2583"/>
    <cellStyle name="Percent 13 2 3 3" xfId="2584"/>
    <cellStyle name="Percent 13 2 3 4" xfId="15808"/>
    <cellStyle name="Percent 13 2 3_FC with allocations" xfId="30785"/>
    <cellStyle name="Percent 13 2 4" xfId="2585"/>
    <cellStyle name="Percent 13 2 4 2" xfId="15809"/>
    <cellStyle name="Percent 13 2 4_FC with allocations" xfId="30786"/>
    <cellStyle name="Percent 13 2 5" xfId="2586"/>
    <cellStyle name="Percent 13 2 6" xfId="2587"/>
    <cellStyle name="Percent 13 2 7" xfId="15806"/>
    <cellStyle name="Percent 13 2_FC with allocations" xfId="30782"/>
    <cellStyle name="Percent 13 3" xfId="2588"/>
    <cellStyle name="Percent 13 3 2" xfId="2589"/>
    <cellStyle name="Percent 13 3 2 2" xfId="2590"/>
    <cellStyle name="Percent 13 3 2 3" xfId="2591"/>
    <cellStyle name="Percent 13 3 2 4" xfId="15811"/>
    <cellStyle name="Percent 13 3 2_FC with allocations" xfId="30788"/>
    <cellStyle name="Percent 13 3 3" xfId="2592"/>
    <cellStyle name="Percent 13 3 3 2" xfId="15812"/>
    <cellStyle name="Percent 13 3 3_FC with allocations" xfId="30789"/>
    <cellStyle name="Percent 13 3 4" xfId="2593"/>
    <cellStyle name="Percent 13 3 4 2" xfId="15813"/>
    <cellStyle name="Percent 13 3 4_FC with allocations" xfId="30790"/>
    <cellStyle name="Percent 13 3 5" xfId="15810"/>
    <cellStyle name="Percent 13 3_FC with allocations" xfId="30787"/>
    <cellStyle name="Percent 13 4" xfId="2594"/>
    <cellStyle name="Percent 13 4 2" xfId="2595"/>
    <cellStyle name="Percent 13 4 2 2" xfId="15815"/>
    <cellStyle name="Percent 13 4 2_FC with allocations" xfId="30792"/>
    <cellStyle name="Percent 13 4 3" xfId="2596"/>
    <cellStyle name="Percent 13 4 3 2" xfId="15816"/>
    <cellStyle name="Percent 13 4 3_FC with allocations" xfId="30793"/>
    <cellStyle name="Percent 13 4 4" xfId="15817"/>
    <cellStyle name="Percent 13 4 5" xfId="15814"/>
    <cellStyle name="Percent 13 4_FC with allocations" xfId="30791"/>
    <cellStyle name="Percent 13 5" xfId="2597"/>
    <cellStyle name="Percent 13 5 2" xfId="15819"/>
    <cellStyle name="Percent 13 5 3" xfId="15820"/>
    <cellStyle name="Percent 13 5 4" xfId="15821"/>
    <cellStyle name="Percent 13 5 5" xfId="15818"/>
    <cellStyle name="Percent 13 5_FC with allocations" xfId="30794"/>
    <cellStyle name="Percent 13 6" xfId="2598"/>
    <cellStyle name="Percent 13 6 2" xfId="15823"/>
    <cellStyle name="Percent 13 6 3" xfId="15824"/>
    <cellStyle name="Percent 13 6 4" xfId="15822"/>
    <cellStyle name="Percent 13 6_FC with allocations" xfId="30795"/>
    <cellStyle name="Percent 13 7" xfId="2599"/>
    <cellStyle name="Percent 13 7 2" xfId="15825"/>
    <cellStyle name="Percent 13 7_FC with allocations" xfId="30796"/>
    <cellStyle name="Percent 13 8" xfId="2600"/>
    <cellStyle name="Percent 13 8 2" xfId="15826"/>
    <cellStyle name="Percent 13 8_FC with allocations" xfId="30797"/>
    <cellStyle name="Percent 13 9" xfId="15827"/>
    <cellStyle name="Percent 13_FC with allocations" xfId="30781"/>
    <cellStyle name="Percent 14" xfId="2601"/>
    <cellStyle name="Percent 14 2" xfId="15828"/>
    <cellStyle name="Percent 14_FC with allocations" xfId="30798"/>
    <cellStyle name="Percent 15" xfId="2602"/>
    <cellStyle name="Percent 15 2" xfId="15829"/>
    <cellStyle name="Percent 15_FC with allocations" xfId="30799"/>
    <cellStyle name="Percent 16" xfId="2603"/>
    <cellStyle name="Percent 16 2" xfId="15830"/>
    <cellStyle name="Percent 16_FC with allocations" xfId="30800"/>
    <cellStyle name="Percent 17" xfId="2604"/>
    <cellStyle name="Percent 17 2" xfId="15831"/>
    <cellStyle name="Percent 17_FC with allocations" xfId="30801"/>
    <cellStyle name="Percent 18" xfId="2605"/>
    <cellStyle name="Percent 18 2" xfId="15832"/>
    <cellStyle name="Percent 18_FC with allocations" xfId="30802"/>
    <cellStyle name="Percent 19" xfId="2606"/>
    <cellStyle name="Percent 19 2" xfId="15833"/>
    <cellStyle name="Percent 19_FC with allocations" xfId="30803"/>
    <cellStyle name="Percent 2" xfId="2607"/>
    <cellStyle name="Percent 2 10" xfId="2608"/>
    <cellStyle name="Percent 2 11" xfId="2609"/>
    <cellStyle name="Percent 2 12" xfId="2610"/>
    <cellStyle name="Percent 2 13" xfId="2611"/>
    <cellStyle name="Percent 2 14" xfId="2612"/>
    <cellStyle name="Percent 2 15" xfId="2613"/>
    <cellStyle name="Percent 2 16" xfId="2614"/>
    <cellStyle name="Percent 2 17" xfId="2615"/>
    <cellStyle name="Percent 2 18" xfId="2616"/>
    <cellStyle name="Percent 2 19" xfId="2617"/>
    <cellStyle name="Percent 2 2" xfId="2618"/>
    <cellStyle name="Percent 2 2 10" xfId="2619"/>
    <cellStyle name="Percent 2 2 11" xfId="2620"/>
    <cellStyle name="Percent 2 2 12" xfId="2621"/>
    <cellStyle name="Percent 2 2 13" xfId="2622"/>
    <cellStyle name="Percent 2 2 14" xfId="15835"/>
    <cellStyle name="Percent 2 2 2" xfId="2623"/>
    <cellStyle name="Percent 2 2 2 10" xfId="2624"/>
    <cellStyle name="Percent 2 2 2 11" xfId="2625"/>
    <cellStyle name="Percent 2 2 2 12" xfId="2626"/>
    <cellStyle name="Percent 2 2 2 13" xfId="2627"/>
    <cellStyle name="Percent 2 2 2 14" xfId="2628"/>
    <cellStyle name="Percent 2 2 2 15" xfId="4494"/>
    <cellStyle name="Percent 2 2 2 15 10" xfId="19910"/>
    <cellStyle name="Percent 2 2 2 15 11" xfId="21903"/>
    <cellStyle name="Percent 2 2 2 15 2" xfId="4799"/>
    <cellStyle name="Percent 2 2 2 15 2 2" xfId="16677"/>
    <cellStyle name="Percent 2 2 2 15 2 2 2" xfId="18699"/>
    <cellStyle name="Percent 2 2 2 15 2 2 2 2" xfId="19718"/>
    <cellStyle name="Percent 2 2 2 15 2 2 2 2 2" xfId="21728"/>
    <cellStyle name="Percent 2 2 2 15 2 2 2 2 3" xfId="23886"/>
    <cellStyle name="Percent 2 2 2 15 2 2 2 2_FC with allocations" xfId="30811"/>
    <cellStyle name="Percent 2 2 2 15 2 2 2 3" xfId="20852"/>
    <cellStyle name="Percent 2 2 2 15 2 2 2 4" xfId="23009"/>
    <cellStyle name="Percent 2 2 2 15 2 2 2_FC with allocations" xfId="30810"/>
    <cellStyle name="Percent 2 2 2 15 2 2 3" xfId="19186"/>
    <cellStyle name="Percent 2 2 2 15 2 2 3 2" xfId="21319"/>
    <cellStyle name="Percent 2 2 2 15 2 2 3 3" xfId="23476"/>
    <cellStyle name="Percent 2 2 2 15 2 2 3_FC with allocations" xfId="30812"/>
    <cellStyle name="Percent 2 2 2 15 2 2 4" xfId="20237"/>
    <cellStyle name="Percent 2 2 2 15 2 2 5" xfId="22354"/>
    <cellStyle name="Percent 2 2 2 15 2 2_FC with allocations" xfId="30809"/>
    <cellStyle name="Percent 2 2 2 15 2 3" xfId="18262"/>
    <cellStyle name="Percent 2 2 2 15 2 3 2" xfId="19553"/>
    <cellStyle name="Percent 2 2 2 15 2 3 2 2" xfId="21563"/>
    <cellStyle name="Percent 2 2 2 15 2 3 2 3" xfId="23721"/>
    <cellStyle name="Percent 2 2 2 15 2 3 2_FC with allocations" xfId="30814"/>
    <cellStyle name="Percent 2 2 2 15 2 3 3" xfId="20686"/>
    <cellStyle name="Percent 2 2 2 15 2 3 4" xfId="22828"/>
    <cellStyle name="Percent 2 2 2 15 2 3_FC with allocations" xfId="30813"/>
    <cellStyle name="Percent 2 2 2 15 2 4" xfId="17957"/>
    <cellStyle name="Percent 2 2 2 15 2 4 2" xfId="20414"/>
    <cellStyle name="Percent 2 2 2 15 2 4 3" xfId="22554"/>
    <cellStyle name="Percent 2 2 2 15 2 4_FC with allocations" xfId="30815"/>
    <cellStyle name="Percent 2 2 2 15 2 5" xfId="18918"/>
    <cellStyle name="Percent 2 2 2 15 2 5 2" xfId="21070"/>
    <cellStyle name="Percent 2 2 2 15 2 5 3" xfId="23227"/>
    <cellStyle name="Percent 2 2 2 15 2 5_FC with allocations" xfId="30816"/>
    <cellStyle name="Percent 2 2 2 15 2 6" xfId="20069"/>
    <cellStyle name="Percent 2 2 2 15 2 7" xfId="22064"/>
    <cellStyle name="Percent 2 2 2 15 2_FC with allocations" xfId="30808"/>
    <cellStyle name="Percent 2 2 2 15 3" xfId="16624"/>
    <cellStyle name="Percent 2 2 2 15 3 2" xfId="18646"/>
    <cellStyle name="Percent 2 2 2 15 3 2 2" xfId="19665"/>
    <cellStyle name="Percent 2 2 2 15 3 2 2 2" xfId="21675"/>
    <cellStyle name="Percent 2 2 2 15 3 2 2 3" xfId="23833"/>
    <cellStyle name="Percent 2 2 2 15 3 2 2_FC with allocations" xfId="30819"/>
    <cellStyle name="Percent 2 2 2 15 3 2 3" xfId="20799"/>
    <cellStyle name="Percent 2 2 2 15 3 2 4" xfId="22956"/>
    <cellStyle name="Percent 2 2 2 15 3 2_FC with allocations" xfId="30818"/>
    <cellStyle name="Percent 2 2 2 15 3 3" xfId="18013"/>
    <cellStyle name="Percent 2 2 2 15 3 3 2" xfId="20467"/>
    <cellStyle name="Percent 2 2 2 15 3 3 3" xfId="22607"/>
    <cellStyle name="Percent 2 2 2 15 3 3_FC with allocations" xfId="30820"/>
    <cellStyle name="Percent 2 2 2 15 3 4" xfId="19132"/>
    <cellStyle name="Percent 2 2 2 15 3 4 2" xfId="21265"/>
    <cellStyle name="Percent 2 2 2 15 3 4 3" xfId="23422"/>
    <cellStyle name="Percent 2 2 2 15 3 4_FC with allocations" xfId="30821"/>
    <cellStyle name="Percent 2 2 2 15 3 5" xfId="20184"/>
    <cellStyle name="Percent 2 2 2 15 3 6" xfId="22301"/>
    <cellStyle name="Percent 2 2 2 15 3_FC with allocations" xfId="30817"/>
    <cellStyle name="Percent 2 2 2 15 4" xfId="4699"/>
    <cellStyle name="Percent 2 2 2 15 4 2" xfId="18209"/>
    <cellStyle name="Percent 2 2 2 15 4 2 2" xfId="19500"/>
    <cellStyle name="Percent 2 2 2 15 4 2 2 2" xfId="21510"/>
    <cellStyle name="Percent 2 2 2 15 4 2 2 3" xfId="23668"/>
    <cellStyle name="Percent 2 2 2 15 4 2 2_FC with allocations" xfId="30824"/>
    <cellStyle name="Percent 2 2 2 15 4 2 3" xfId="20633"/>
    <cellStyle name="Percent 2 2 2 15 4 2 4" xfId="22775"/>
    <cellStyle name="Percent 2 2 2 15 4 2_FC with allocations" xfId="30823"/>
    <cellStyle name="Percent 2 2 2 15 4 3" xfId="19058"/>
    <cellStyle name="Percent 2 2 2 15 4 3 2" xfId="21199"/>
    <cellStyle name="Percent 2 2 2 15 4 3 3" xfId="23356"/>
    <cellStyle name="Percent 2 2 2 15 4 3_FC with allocations" xfId="30825"/>
    <cellStyle name="Percent 2 2 2 15 4 4" xfId="20016"/>
    <cellStyle name="Percent 2 2 2 15 4 5" xfId="22011"/>
    <cellStyle name="Percent 2 2 2 15 4_FC with allocations" xfId="30822"/>
    <cellStyle name="Percent 2 2 2 15 5" xfId="16755"/>
    <cellStyle name="Percent 2 2 2 15 5 2" xfId="18759"/>
    <cellStyle name="Percent 2 2 2 15 5 2 2" xfId="20912"/>
    <cellStyle name="Percent 2 2 2 15 5 2 3" xfId="23069"/>
    <cellStyle name="Percent 2 2 2 15 5 2_FC with allocations" xfId="30827"/>
    <cellStyle name="Percent 2 2 2 15 5 3" xfId="19779"/>
    <cellStyle name="Percent 2 2 2 15 5 3 2" xfId="21789"/>
    <cellStyle name="Percent 2 2 2 15 5 3 3" xfId="23947"/>
    <cellStyle name="Percent 2 2 2 15 5 3_FC with allocations" xfId="30828"/>
    <cellStyle name="Percent 2 2 2 15 5 4" xfId="20298"/>
    <cellStyle name="Percent 2 2 2 15 5 5" xfId="22426"/>
    <cellStyle name="Percent 2 2 2 15 5_FC with allocations" xfId="30826"/>
    <cellStyle name="Percent 2 2 2 15 6" xfId="18075"/>
    <cellStyle name="Percent 2 2 2 15 6 2" xfId="19394"/>
    <cellStyle name="Percent 2 2 2 15 6 2 2" xfId="21404"/>
    <cellStyle name="Percent 2 2 2 15 6 2 3" xfId="23562"/>
    <cellStyle name="Percent 2 2 2 15 6 2_FC with allocations" xfId="30830"/>
    <cellStyle name="Percent 2 2 2 15 6 3" xfId="20527"/>
    <cellStyle name="Percent 2 2 2 15 6 4" xfId="22669"/>
    <cellStyle name="Percent 2 2 2 15 6_FC with allocations" xfId="30829"/>
    <cellStyle name="Percent 2 2 2 15 7" xfId="17383"/>
    <cellStyle name="Percent 2 2 2 15 8" xfId="18865"/>
    <cellStyle name="Percent 2 2 2 15 8 2" xfId="21017"/>
    <cellStyle name="Percent 2 2 2 15 8 3" xfId="23174"/>
    <cellStyle name="Percent 2 2 2 15 8_FC with allocations" xfId="30831"/>
    <cellStyle name="Percent 2 2 2 15 9" xfId="19833"/>
    <cellStyle name="Percent 2 2 2 15 9 2" xfId="21842"/>
    <cellStyle name="Percent 2 2 2 15 9 3" xfId="24000"/>
    <cellStyle name="Percent 2 2 2 15 9_FC with allocations" xfId="30832"/>
    <cellStyle name="Percent 2 2 2 15_FC with allocations" xfId="30807"/>
    <cellStyle name="Percent 2 2 2 16" xfId="4607"/>
    <cellStyle name="Percent 2 2 2 17" xfId="15836"/>
    <cellStyle name="Percent 2 2 2 18" xfId="16567"/>
    <cellStyle name="Percent 2 2 2 18 2" xfId="18592"/>
    <cellStyle name="Percent 2 2 2 18 2 2" xfId="19611"/>
    <cellStyle name="Percent 2 2 2 18 2 2 2" xfId="21621"/>
    <cellStyle name="Percent 2 2 2 18 2 2 3" xfId="23779"/>
    <cellStyle name="Percent 2 2 2 18 2 2_FC with allocations" xfId="30835"/>
    <cellStyle name="Percent 2 2 2 18 2 3" xfId="20745"/>
    <cellStyle name="Percent 2 2 2 18 2 4" xfId="22902"/>
    <cellStyle name="Percent 2 2 2 18 2_FC with allocations" xfId="30834"/>
    <cellStyle name="Percent 2 2 2 18 3" xfId="19026"/>
    <cellStyle name="Percent 2 2 2 18 3 2" xfId="21169"/>
    <cellStyle name="Percent 2 2 2 18 3 3" xfId="23326"/>
    <cellStyle name="Percent 2 2 2 18 3_FC with allocations" xfId="30836"/>
    <cellStyle name="Percent 2 2 2 18 4" xfId="20130"/>
    <cellStyle name="Percent 2 2 2 18 5" xfId="22246"/>
    <cellStyle name="Percent 2 2 2 18_FC with allocations" xfId="30833"/>
    <cellStyle name="Percent 2 2 2 19" xfId="4552"/>
    <cellStyle name="Percent 2 2 2 19 2" xfId="18127"/>
    <cellStyle name="Percent 2 2 2 19 2 2" xfId="19446"/>
    <cellStyle name="Percent 2 2 2 19 2 2 2" xfId="21456"/>
    <cellStyle name="Percent 2 2 2 19 2 2 3" xfId="23614"/>
    <cellStyle name="Percent 2 2 2 19 2 2_FC with allocations" xfId="30839"/>
    <cellStyle name="Percent 2 2 2 19 2 3" xfId="20579"/>
    <cellStyle name="Percent 2 2 2 19 2 4" xfId="22721"/>
    <cellStyle name="Percent 2 2 2 19 2_FC with allocations" xfId="30838"/>
    <cellStyle name="Percent 2 2 2 19 3" xfId="19316"/>
    <cellStyle name="Percent 2 2 2 19 3 2" xfId="21355"/>
    <cellStyle name="Percent 2 2 2 19 3 3" xfId="23512"/>
    <cellStyle name="Percent 2 2 2 19 3_FC with allocations" xfId="30840"/>
    <cellStyle name="Percent 2 2 2 19 4" xfId="19962"/>
    <cellStyle name="Percent 2 2 2 19 5" xfId="21957"/>
    <cellStyle name="Percent 2 2 2 19_FC with allocations" xfId="30837"/>
    <cellStyle name="Percent 2 2 2 2" xfId="2629"/>
    <cellStyle name="Percent 2 2 2 2 2" xfId="2630"/>
    <cellStyle name="Percent 2 2 2 2 2 2" xfId="2631"/>
    <cellStyle name="Percent 2 2 2 2 2 2 2" xfId="2632"/>
    <cellStyle name="Percent 2 2 2 2 2 2 2 2" xfId="2633"/>
    <cellStyle name="Percent 2 2 2 2 2 2 2 3" xfId="2634"/>
    <cellStyle name="Percent 2 2 2 2 2 2 2_FC with allocations" xfId="30844"/>
    <cellStyle name="Percent 2 2 2 2 2 2 3" xfId="2635"/>
    <cellStyle name="Percent 2 2 2 2 2 2 4" xfId="2636"/>
    <cellStyle name="Percent 2 2 2 2 2 2 5" xfId="15839"/>
    <cellStyle name="Percent 2 2 2 2 2 2_FC with allocations" xfId="30843"/>
    <cellStyle name="Percent 2 2 2 2 2 3" xfId="2637"/>
    <cellStyle name="Percent 2 2 2 2 2 3 2" xfId="2638"/>
    <cellStyle name="Percent 2 2 2 2 2 3 3" xfId="2639"/>
    <cellStyle name="Percent 2 2 2 2 2 3_FC with allocations" xfId="30845"/>
    <cellStyle name="Percent 2 2 2 2 2 4" xfId="2640"/>
    <cellStyle name="Percent 2 2 2 2 2 5" xfId="2641"/>
    <cellStyle name="Percent 2 2 2 2 2 6" xfId="2642"/>
    <cellStyle name="Percent 2 2 2 2 2 7" xfId="15838"/>
    <cellStyle name="Percent 2 2 2 2 2_FC with allocations" xfId="30842"/>
    <cellStyle name="Percent 2 2 2 2 3" xfId="2643"/>
    <cellStyle name="Percent 2 2 2 2 3 2" xfId="2644"/>
    <cellStyle name="Percent 2 2 2 2 3 2 2" xfId="2645"/>
    <cellStyle name="Percent 2 2 2 2 3 2 3" xfId="2646"/>
    <cellStyle name="Percent 2 2 2 2 3 2_FC with allocations" xfId="30847"/>
    <cellStyle name="Percent 2 2 2 2 3 3" xfId="2647"/>
    <cellStyle name="Percent 2 2 2 2 3 4" xfId="2648"/>
    <cellStyle name="Percent 2 2 2 2 3 5" xfId="15840"/>
    <cellStyle name="Percent 2 2 2 2 3_FC with allocations" xfId="30846"/>
    <cellStyle name="Percent 2 2 2 2 4" xfId="2649"/>
    <cellStyle name="Percent 2 2 2 2 4 2" xfId="2650"/>
    <cellStyle name="Percent 2 2 2 2 4 3" xfId="2651"/>
    <cellStyle name="Percent 2 2 2 2 4_FC with allocations" xfId="30848"/>
    <cellStyle name="Percent 2 2 2 2 5" xfId="2652"/>
    <cellStyle name="Percent 2 2 2 2 6" xfId="2653"/>
    <cellStyle name="Percent 2 2 2 2 7" xfId="2654"/>
    <cellStyle name="Percent 2 2 2 2 8" xfId="15837"/>
    <cellStyle name="Percent 2 2 2 2_FC with allocations" xfId="30841"/>
    <cellStyle name="Percent 2 2 2 20" xfId="16849"/>
    <cellStyle name="Percent 2 2 2 20 2" xfId="20351"/>
    <cellStyle name="Percent 2 2 2 20 3" xfId="22491"/>
    <cellStyle name="Percent 2 2 2 20_FC with allocations" xfId="30849"/>
    <cellStyle name="Percent 2 2 2 21" xfId="18811"/>
    <cellStyle name="Percent 2 2 2 21 2" xfId="20963"/>
    <cellStyle name="Percent 2 2 2 21 3" xfId="23120"/>
    <cellStyle name="Percent 2 2 2 21_FC with allocations" xfId="30850"/>
    <cellStyle name="Percent 2 2 2 3" xfId="2655"/>
    <cellStyle name="Percent 2 2 2 3 2" xfId="2656"/>
    <cellStyle name="Percent 2 2 2 3 2 2" xfId="2657"/>
    <cellStyle name="Percent 2 2 2 3 2 2 2" xfId="2658"/>
    <cellStyle name="Percent 2 2 2 3 2 2 3" xfId="2659"/>
    <cellStyle name="Percent 2 2 2 3 2 2_FC with allocations" xfId="30853"/>
    <cellStyle name="Percent 2 2 2 3 2 3" xfId="2660"/>
    <cellStyle name="Percent 2 2 2 3 2 4" xfId="2661"/>
    <cellStyle name="Percent 2 2 2 3 2 5" xfId="15842"/>
    <cellStyle name="Percent 2 2 2 3 2_FC with allocations" xfId="30852"/>
    <cellStyle name="Percent 2 2 2 3 3" xfId="2662"/>
    <cellStyle name="Percent 2 2 2 3 3 2" xfId="2663"/>
    <cellStyle name="Percent 2 2 2 3 3 3" xfId="2664"/>
    <cellStyle name="Percent 2 2 2 3 3_FC with allocations" xfId="30854"/>
    <cellStyle name="Percent 2 2 2 3 4" xfId="2665"/>
    <cellStyle name="Percent 2 2 2 3 5" xfId="2666"/>
    <cellStyle name="Percent 2 2 2 3 6" xfId="2667"/>
    <cellStyle name="Percent 2 2 2 3 7" xfId="15841"/>
    <cellStyle name="Percent 2 2 2 3_FC with allocations" xfId="30851"/>
    <cellStyle name="Percent 2 2 2 4" xfId="2668"/>
    <cellStyle name="Percent 2 2 2 4 2" xfId="2669"/>
    <cellStyle name="Percent 2 2 2 4 2 2" xfId="2670"/>
    <cellStyle name="Percent 2 2 2 4 2 2 2" xfId="2671"/>
    <cellStyle name="Percent 2 2 2 4 2 2 3" xfId="2672"/>
    <cellStyle name="Percent 2 2 2 4 2 2_FC with allocations" xfId="30857"/>
    <cellStyle name="Percent 2 2 2 4 2 3" xfId="2673"/>
    <cellStyle name="Percent 2 2 2 4 2 4" xfId="2674"/>
    <cellStyle name="Percent 2 2 2 4 2_FC with allocations" xfId="30856"/>
    <cellStyle name="Percent 2 2 2 4 3" xfId="2675"/>
    <cellStyle name="Percent 2 2 2 4 3 2" xfId="2676"/>
    <cellStyle name="Percent 2 2 2 4 3 3" xfId="2677"/>
    <cellStyle name="Percent 2 2 2 4 3_FC with allocations" xfId="30858"/>
    <cellStyle name="Percent 2 2 2 4 4" xfId="2678"/>
    <cellStyle name="Percent 2 2 2 4 5" xfId="2679"/>
    <cellStyle name="Percent 2 2 2 4 6" xfId="2680"/>
    <cellStyle name="Percent 2 2 2 4 7" xfId="15843"/>
    <cellStyle name="Percent 2 2 2 4_FC with allocations" xfId="30855"/>
    <cellStyle name="Percent 2 2 2 5" xfId="2681"/>
    <cellStyle name="Percent 2 2 2 5 2" xfId="2682"/>
    <cellStyle name="Percent 2 2 2 5 2 2" xfId="2683"/>
    <cellStyle name="Percent 2 2 2 5 2 3" xfId="2684"/>
    <cellStyle name="Percent 2 2 2 5 2_FC with allocations" xfId="30860"/>
    <cellStyle name="Percent 2 2 2 5 3" xfId="2685"/>
    <cellStyle name="Percent 2 2 2 5 4" xfId="2686"/>
    <cellStyle name="Percent 2 2 2 5_FC with allocations" xfId="30859"/>
    <cellStyle name="Percent 2 2 2 6" xfId="2687"/>
    <cellStyle name="Percent 2 2 2 6 2" xfId="2688"/>
    <cellStyle name="Percent 2 2 2 6 3" xfId="2689"/>
    <cellStyle name="Percent 2 2 2 6_FC with allocations" xfId="30861"/>
    <cellStyle name="Percent 2 2 2 7" xfId="2690"/>
    <cellStyle name="Percent 2 2 2 8" xfId="2691"/>
    <cellStyle name="Percent 2 2 2 9" xfId="2692"/>
    <cellStyle name="Percent 2 2 2_FC with allocations" xfId="30806"/>
    <cellStyle name="Percent 2 2 3" xfId="2693"/>
    <cellStyle name="Percent 2 2 3 2" xfId="2694"/>
    <cellStyle name="Percent 2 2 3 2 2" xfId="2695"/>
    <cellStyle name="Percent 2 2 3 2 2 2" xfId="2696"/>
    <cellStyle name="Percent 2 2 3 2 2 2 2" xfId="2697"/>
    <cellStyle name="Percent 2 2 3 2 2 2 3" xfId="2698"/>
    <cellStyle name="Percent 2 2 3 2 2 2_FC with allocations" xfId="30865"/>
    <cellStyle name="Percent 2 2 3 2 2 3" xfId="2699"/>
    <cellStyle name="Percent 2 2 3 2 2 4" xfId="2700"/>
    <cellStyle name="Percent 2 2 3 2 2 5" xfId="15846"/>
    <cellStyle name="Percent 2 2 3 2 2_FC with allocations" xfId="30864"/>
    <cellStyle name="Percent 2 2 3 2 3" xfId="2701"/>
    <cellStyle name="Percent 2 2 3 2 3 2" xfId="2702"/>
    <cellStyle name="Percent 2 2 3 2 3 3" xfId="2703"/>
    <cellStyle name="Percent 2 2 3 2 3_FC with allocations" xfId="30866"/>
    <cellStyle name="Percent 2 2 3 2 4" xfId="2704"/>
    <cellStyle name="Percent 2 2 3 2 5" xfId="2705"/>
    <cellStyle name="Percent 2 2 3 2 6" xfId="2706"/>
    <cellStyle name="Percent 2 2 3 2 7" xfId="15845"/>
    <cellStyle name="Percent 2 2 3 2_FC with allocations" xfId="30863"/>
    <cellStyle name="Percent 2 2 3 3" xfId="2707"/>
    <cellStyle name="Percent 2 2 3 3 2" xfId="2708"/>
    <cellStyle name="Percent 2 2 3 3 2 2" xfId="2709"/>
    <cellStyle name="Percent 2 2 3 3 2 3" xfId="2710"/>
    <cellStyle name="Percent 2 2 3 3 2_FC with allocations" xfId="30868"/>
    <cellStyle name="Percent 2 2 3 3 3" xfId="2711"/>
    <cellStyle name="Percent 2 2 3 3 4" xfId="2712"/>
    <cellStyle name="Percent 2 2 3 3 5" xfId="15847"/>
    <cellStyle name="Percent 2 2 3 3_FC with allocations" xfId="30867"/>
    <cellStyle name="Percent 2 2 3 4" xfId="2713"/>
    <cellStyle name="Percent 2 2 3 4 2" xfId="2714"/>
    <cellStyle name="Percent 2 2 3 4 3" xfId="2715"/>
    <cellStyle name="Percent 2 2 3 4_FC with allocations" xfId="30869"/>
    <cellStyle name="Percent 2 2 3 5" xfId="2716"/>
    <cellStyle name="Percent 2 2 3 6" xfId="2717"/>
    <cellStyle name="Percent 2 2 3 7" xfId="2718"/>
    <cellStyle name="Percent 2 2 3 8" xfId="2719"/>
    <cellStyle name="Percent 2 2 3 9" xfId="15844"/>
    <cellStyle name="Percent 2 2 3_FC with allocations" xfId="30862"/>
    <cellStyle name="Percent 2 2 4" xfId="2720"/>
    <cellStyle name="Percent 2 2 4 10" xfId="2721"/>
    <cellStyle name="Percent 2 2 4 11" xfId="4495"/>
    <cellStyle name="Percent 2 2 4 11 10" xfId="19911"/>
    <cellStyle name="Percent 2 2 4 11 11" xfId="21904"/>
    <cellStyle name="Percent 2 2 4 11 2" xfId="4800"/>
    <cellStyle name="Percent 2 2 4 11 2 2" xfId="16678"/>
    <cellStyle name="Percent 2 2 4 11 2 2 2" xfId="18700"/>
    <cellStyle name="Percent 2 2 4 11 2 2 2 2" xfId="19719"/>
    <cellStyle name="Percent 2 2 4 11 2 2 2 2 2" xfId="21729"/>
    <cellStyle name="Percent 2 2 4 11 2 2 2 2 3" xfId="23887"/>
    <cellStyle name="Percent 2 2 4 11 2 2 2 2_FC with allocations" xfId="30875"/>
    <cellStyle name="Percent 2 2 4 11 2 2 2 3" xfId="20853"/>
    <cellStyle name="Percent 2 2 4 11 2 2 2 4" xfId="23010"/>
    <cellStyle name="Percent 2 2 4 11 2 2 2_FC with allocations" xfId="30874"/>
    <cellStyle name="Percent 2 2 4 11 2 2 3" xfId="19187"/>
    <cellStyle name="Percent 2 2 4 11 2 2 3 2" xfId="21320"/>
    <cellStyle name="Percent 2 2 4 11 2 2 3 3" xfId="23477"/>
    <cellStyle name="Percent 2 2 4 11 2 2 3_FC with allocations" xfId="30876"/>
    <cellStyle name="Percent 2 2 4 11 2 2 4" xfId="20238"/>
    <cellStyle name="Percent 2 2 4 11 2 2 5" xfId="22355"/>
    <cellStyle name="Percent 2 2 4 11 2 2_FC with allocations" xfId="30873"/>
    <cellStyle name="Percent 2 2 4 11 2 3" xfId="18263"/>
    <cellStyle name="Percent 2 2 4 11 2 3 2" xfId="19554"/>
    <cellStyle name="Percent 2 2 4 11 2 3 2 2" xfId="21564"/>
    <cellStyle name="Percent 2 2 4 11 2 3 2 3" xfId="23722"/>
    <cellStyle name="Percent 2 2 4 11 2 3 2_FC with allocations" xfId="30878"/>
    <cellStyle name="Percent 2 2 4 11 2 3 3" xfId="20687"/>
    <cellStyle name="Percent 2 2 4 11 2 3 4" xfId="22829"/>
    <cellStyle name="Percent 2 2 4 11 2 3_FC with allocations" xfId="30877"/>
    <cellStyle name="Percent 2 2 4 11 2 4" xfId="17958"/>
    <cellStyle name="Percent 2 2 4 11 2 4 2" xfId="20415"/>
    <cellStyle name="Percent 2 2 4 11 2 4 3" xfId="22555"/>
    <cellStyle name="Percent 2 2 4 11 2 4_FC with allocations" xfId="30879"/>
    <cellStyle name="Percent 2 2 4 11 2 5" xfId="18919"/>
    <cellStyle name="Percent 2 2 4 11 2 5 2" xfId="21071"/>
    <cellStyle name="Percent 2 2 4 11 2 5 3" xfId="23228"/>
    <cellStyle name="Percent 2 2 4 11 2 5_FC with allocations" xfId="30880"/>
    <cellStyle name="Percent 2 2 4 11 2 6" xfId="20070"/>
    <cellStyle name="Percent 2 2 4 11 2 7" xfId="22065"/>
    <cellStyle name="Percent 2 2 4 11 2_FC with allocations" xfId="30872"/>
    <cellStyle name="Percent 2 2 4 11 3" xfId="16625"/>
    <cellStyle name="Percent 2 2 4 11 3 2" xfId="18647"/>
    <cellStyle name="Percent 2 2 4 11 3 2 2" xfId="19666"/>
    <cellStyle name="Percent 2 2 4 11 3 2 2 2" xfId="21676"/>
    <cellStyle name="Percent 2 2 4 11 3 2 2 3" xfId="23834"/>
    <cellStyle name="Percent 2 2 4 11 3 2 2_FC with allocations" xfId="30883"/>
    <cellStyle name="Percent 2 2 4 11 3 2 3" xfId="20800"/>
    <cellStyle name="Percent 2 2 4 11 3 2 4" xfId="22957"/>
    <cellStyle name="Percent 2 2 4 11 3 2_FC with allocations" xfId="30882"/>
    <cellStyle name="Percent 2 2 4 11 3 3" xfId="18014"/>
    <cellStyle name="Percent 2 2 4 11 3 3 2" xfId="20468"/>
    <cellStyle name="Percent 2 2 4 11 3 3 3" xfId="22608"/>
    <cellStyle name="Percent 2 2 4 11 3 3_FC with allocations" xfId="30884"/>
    <cellStyle name="Percent 2 2 4 11 3 4" xfId="19133"/>
    <cellStyle name="Percent 2 2 4 11 3 4 2" xfId="21266"/>
    <cellStyle name="Percent 2 2 4 11 3 4 3" xfId="23423"/>
    <cellStyle name="Percent 2 2 4 11 3 4_FC with allocations" xfId="30885"/>
    <cellStyle name="Percent 2 2 4 11 3 5" xfId="20185"/>
    <cellStyle name="Percent 2 2 4 11 3 6" xfId="22302"/>
    <cellStyle name="Percent 2 2 4 11 3_FC with allocations" xfId="30881"/>
    <cellStyle name="Percent 2 2 4 11 4" xfId="4700"/>
    <cellStyle name="Percent 2 2 4 11 4 2" xfId="18210"/>
    <cellStyle name="Percent 2 2 4 11 4 2 2" xfId="19501"/>
    <cellStyle name="Percent 2 2 4 11 4 2 2 2" xfId="21511"/>
    <cellStyle name="Percent 2 2 4 11 4 2 2 3" xfId="23669"/>
    <cellStyle name="Percent 2 2 4 11 4 2 2_FC with allocations" xfId="30888"/>
    <cellStyle name="Percent 2 2 4 11 4 2 3" xfId="20634"/>
    <cellStyle name="Percent 2 2 4 11 4 2 4" xfId="22776"/>
    <cellStyle name="Percent 2 2 4 11 4 2_FC with allocations" xfId="30887"/>
    <cellStyle name="Percent 2 2 4 11 4 3" xfId="19212"/>
    <cellStyle name="Percent 2 2 4 11 4 3 2" xfId="21345"/>
    <cellStyle name="Percent 2 2 4 11 4 3 3" xfId="23502"/>
    <cellStyle name="Percent 2 2 4 11 4 3_FC with allocations" xfId="30889"/>
    <cellStyle name="Percent 2 2 4 11 4 4" xfId="20017"/>
    <cellStyle name="Percent 2 2 4 11 4 5" xfId="22012"/>
    <cellStyle name="Percent 2 2 4 11 4_FC with allocations" xfId="30886"/>
    <cellStyle name="Percent 2 2 4 11 5" xfId="16756"/>
    <cellStyle name="Percent 2 2 4 11 5 2" xfId="18760"/>
    <cellStyle name="Percent 2 2 4 11 5 2 2" xfId="20913"/>
    <cellStyle name="Percent 2 2 4 11 5 2 3" xfId="23070"/>
    <cellStyle name="Percent 2 2 4 11 5 2_FC with allocations" xfId="30891"/>
    <cellStyle name="Percent 2 2 4 11 5 3" xfId="19780"/>
    <cellStyle name="Percent 2 2 4 11 5 3 2" xfId="21790"/>
    <cellStyle name="Percent 2 2 4 11 5 3 3" xfId="23948"/>
    <cellStyle name="Percent 2 2 4 11 5 3_FC with allocations" xfId="30892"/>
    <cellStyle name="Percent 2 2 4 11 5 4" xfId="20299"/>
    <cellStyle name="Percent 2 2 4 11 5 5" xfId="22427"/>
    <cellStyle name="Percent 2 2 4 11 5_FC with allocations" xfId="30890"/>
    <cellStyle name="Percent 2 2 4 11 6" xfId="18076"/>
    <cellStyle name="Percent 2 2 4 11 6 2" xfId="19395"/>
    <cellStyle name="Percent 2 2 4 11 6 2 2" xfId="21405"/>
    <cellStyle name="Percent 2 2 4 11 6 2 3" xfId="23563"/>
    <cellStyle name="Percent 2 2 4 11 6 2_FC with allocations" xfId="30894"/>
    <cellStyle name="Percent 2 2 4 11 6 3" xfId="20528"/>
    <cellStyle name="Percent 2 2 4 11 6 4" xfId="22670"/>
    <cellStyle name="Percent 2 2 4 11 6_FC with allocations" xfId="30893"/>
    <cellStyle name="Percent 2 2 4 11 7" xfId="17384"/>
    <cellStyle name="Percent 2 2 4 11 8" xfId="18866"/>
    <cellStyle name="Percent 2 2 4 11 8 2" xfId="21018"/>
    <cellStyle name="Percent 2 2 4 11 8 3" xfId="23175"/>
    <cellStyle name="Percent 2 2 4 11 8_FC with allocations" xfId="30895"/>
    <cellStyle name="Percent 2 2 4 11 9" xfId="19834"/>
    <cellStyle name="Percent 2 2 4 11 9 2" xfId="21843"/>
    <cellStyle name="Percent 2 2 4 11 9 3" xfId="24001"/>
    <cellStyle name="Percent 2 2 4 11 9_FC with allocations" xfId="30896"/>
    <cellStyle name="Percent 2 2 4 11_FC with allocations" xfId="30871"/>
    <cellStyle name="Percent 2 2 4 12" xfId="4608"/>
    <cellStyle name="Percent 2 2 4 13" xfId="15848"/>
    <cellStyle name="Percent 2 2 4 14" xfId="16568"/>
    <cellStyle name="Percent 2 2 4 14 2" xfId="18593"/>
    <cellStyle name="Percent 2 2 4 14 2 2" xfId="19612"/>
    <cellStyle name="Percent 2 2 4 14 2 2 2" xfId="21622"/>
    <cellStyle name="Percent 2 2 4 14 2 2 3" xfId="23780"/>
    <cellStyle name="Percent 2 2 4 14 2 2_FC with allocations" xfId="30899"/>
    <cellStyle name="Percent 2 2 4 14 2 3" xfId="20746"/>
    <cellStyle name="Percent 2 2 4 14 2 4" xfId="22903"/>
    <cellStyle name="Percent 2 2 4 14 2_FC with allocations" xfId="30898"/>
    <cellStyle name="Percent 2 2 4 14 3" xfId="19027"/>
    <cellStyle name="Percent 2 2 4 14 3 2" xfId="21170"/>
    <cellStyle name="Percent 2 2 4 14 3 3" xfId="23327"/>
    <cellStyle name="Percent 2 2 4 14 3_FC with allocations" xfId="30900"/>
    <cellStyle name="Percent 2 2 4 14 4" xfId="20131"/>
    <cellStyle name="Percent 2 2 4 14 5" xfId="22247"/>
    <cellStyle name="Percent 2 2 4 14_FC with allocations" xfId="30897"/>
    <cellStyle name="Percent 2 2 4 15" xfId="4553"/>
    <cellStyle name="Percent 2 2 4 15 2" xfId="18128"/>
    <cellStyle name="Percent 2 2 4 15 2 2" xfId="19447"/>
    <cellStyle name="Percent 2 2 4 15 2 2 2" xfId="21457"/>
    <cellStyle name="Percent 2 2 4 15 2 2 3" xfId="23615"/>
    <cellStyle name="Percent 2 2 4 15 2 2_FC with allocations" xfId="30903"/>
    <cellStyle name="Percent 2 2 4 15 2 3" xfId="20580"/>
    <cellStyle name="Percent 2 2 4 15 2 4" xfId="22722"/>
    <cellStyle name="Percent 2 2 4 15 2_FC with allocations" xfId="30902"/>
    <cellStyle name="Percent 2 2 4 15 3" xfId="19202"/>
    <cellStyle name="Percent 2 2 4 15 3 2" xfId="21335"/>
    <cellStyle name="Percent 2 2 4 15 3 3" xfId="23492"/>
    <cellStyle name="Percent 2 2 4 15 3_FC with allocations" xfId="30904"/>
    <cellStyle name="Percent 2 2 4 15 4" xfId="19963"/>
    <cellStyle name="Percent 2 2 4 15 5" xfId="21958"/>
    <cellStyle name="Percent 2 2 4 15_FC with allocations" xfId="30901"/>
    <cellStyle name="Percent 2 2 4 16" xfId="16850"/>
    <cellStyle name="Percent 2 2 4 16 2" xfId="20352"/>
    <cellStyle name="Percent 2 2 4 16 3" xfId="22492"/>
    <cellStyle name="Percent 2 2 4 16_FC with allocations" xfId="30905"/>
    <cellStyle name="Percent 2 2 4 17" xfId="18812"/>
    <cellStyle name="Percent 2 2 4 17 2" xfId="20964"/>
    <cellStyle name="Percent 2 2 4 17 3" xfId="23121"/>
    <cellStyle name="Percent 2 2 4 17_FC with allocations" xfId="30906"/>
    <cellStyle name="Percent 2 2 4 2" xfId="2722"/>
    <cellStyle name="Percent 2 2 4 2 2" xfId="2723"/>
    <cellStyle name="Percent 2 2 4 2 2 2" xfId="2724"/>
    <cellStyle name="Percent 2 2 4 2 2 3" xfId="2725"/>
    <cellStyle name="Percent 2 2 4 2 2 4" xfId="15850"/>
    <cellStyle name="Percent 2 2 4 2 2_FC with allocations" xfId="30908"/>
    <cellStyle name="Percent 2 2 4 2 3" xfId="2726"/>
    <cellStyle name="Percent 2 2 4 2 4" xfId="2727"/>
    <cellStyle name="Percent 2 2 4 2 5" xfId="15849"/>
    <cellStyle name="Percent 2 2 4 2_FC with allocations" xfId="30907"/>
    <cellStyle name="Percent 2 2 4 3" xfId="2728"/>
    <cellStyle name="Percent 2 2 4 3 2" xfId="2729"/>
    <cellStyle name="Percent 2 2 4 3 3" xfId="2730"/>
    <cellStyle name="Percent 2 2 4 3 4" xfId="15851"/>
    <cellStyle name="Percent 2 2 4 3_FC with allocations" xfId="30909"/>
    <cellStyle name="Percent 2 2 4 4" xfId="2731"/>
    <cellStyle name="Percent 2 2 4 5" xfId="2732"/>
    <cellStyle name="Percent 2 2 4 6" xfId="2733"/>
    <cellStyle name="Percent 2 2 4 7" xfId="2734"/>
    <cellStyle name="Percent 2 2 4 8" xfId="2735"/>
    <cellStyle name="Percent 2 2 4 9" xfId="2736"/>
    <cellStyle name="Percent 2 2 4_FC with allocations" xfId="30870"/>
    <cellStyle name="Percent 2 2 5" xfId="2737"/>
    <cellStyle name="Percent 2 2 5 2" xfId="2738"/>
    <cellStyle name="Percent 2 2 5 2 2" xfId="2739"/>
    <cellStyle name="Percent 2 2 5 2 2 2" xfId="2740"/>
    <cellStyle name="Percent 2 2 5 2 2 3" xfId="2741"/>
    <cellStyle name="Percent 2 2 5 2 2_FC with allocations" xfId="30912"/>
    <cellStyle name="Percent 2 2 5 2 3" xfId="2742"/>
    <cellStyle name="Percent 2 2 5 2 4" xfId="2743"/>
    <cellStyle name="Percent 2 2 5 2_FC with allocations" xfId="30911"/>
    <cellStyle name="Percent 2 2 5 3" xfId="2744"/>
    <cellStyle name="Percent 2 2 5 3 2" xfId="2745"/>
    <cellStyle name="Percent 2 2 5 3 3" xfId="2746"/>
    <cellStyle name="Percent 2 2 5 3_FC with allocations" xfId="30913"/>
    <cellStyle name="Percent 2 2 5 4" xfId="2747"/>
    <cellStyle name="Percent 2 2 5 5" xfId="2748"/>
    <cellStyle name="Percent 2 2 5 6" xfId="2749"/>
    <cellStyle name="Percent 2 2 5_FC with allocations" xfId="30910"/>
    <cellStyle name="Percent 2 2 6" xfId="2750"/>
    <cellStyle name="Percent 2 2 6 2" xfId="2751"/>
    <cellStyle name="Percent 2 2 6 2 2" xfId="2752"/>
    <cellStyle name="Percent 2 2 6 2 3" xfId="2753"/>
    <cellStyle name="Percent 2 2 6 2_FC with allocations" xfId="30915"/>
    <cellStyle name="Percent 2 2 6 3" xfId="2754"/>
    <cellStyle name="Percent 2 2 6 4" xfId="2755"/>
    <cellStyle name="Percent 2 2 6_FC with allocations" xfId="30914"/>
    <cellStyle name="Percent 2 2 7" xfId="2756"/>
    <cellStyle name="Percent 2 2 7 2" xfId="2757"/>
    <cellStyle name="Percent 2 2 7 3" xfId="2758"/>
    <cellStyle name="Percent 2 2 7_FC with allocations" xfId="30916"/>
    <cellStyle name="Percent 2 2 8" xfId="2759"/>
    <cellStyle name="Percent 2 2 9" xfId="2760"/>
    <cellStyle name="Percent 2 2_FC with allocations" xfId="30805"/>
    <cellStyle name="Percent 2 20" xfId="4493"/>
    <cellStyle name="Percent 2 20 10" xfId="19909"/>
    <cellStyle name="Percent 2 20 11" xfId="21902"/>
    <cellStyle name="Percent 2 20 2" xfId="4798"/>
    <cellStyle name="Percent 2 20 2 2" xfId="16676"/>
    <cellStyle name="Percent 2 20 2 2 2" xfId="18698"/>
    <cellStyle name="Percent 2 20 2 2 2 2" xfId="19717"/>
    <cellStyle name="Percent 2 20 2 2 2 2 2" xfId="21727"/>
    <cellStyle name="Percent 2 20 2 2 2 2 3" xfId="23885"/>
    <cellStyle name="Percent 2 20 2 2 2 2_FC with allocations" xfId="30921"/>
    <cellStyle name="Percent 2 20 2 2 2 3" xfId="20851"/>
    <cellStyle name="Percent 2 20 2 2 2 4" xfId="23008"/>
    <cellStyle name="Percent 2 20 2 2 2_FC with allocations" xfId="30920"/>
    <cellStyle name="Percent 2 20 2 2 3" xfId="19185"/>
    <cellStyle name="Percent 2 20 2 2 3 2" xfId="21318"/>
    <cellStyle name="Percent 2 20 2 2 3 3" xfId="23475"/>
    <cellStyle name="Percent 2 20 2 2 3_FC with allocations" xfId="30922"/>
    <cellStyle name="Percent 2 20 2 2 4" xfId="20236"/>
    <cellStyle name="Percent 2 20 2 2 5" xfId="22353"/>
    <cellStyle name="Percent 2 20 2 2_FC with allocations" xfId="30919"/>
    <cellStyle name="Percent 2 20 2 3" xfId="18261"/>
    <cellStyle name="Percent 2 20 2 3 2" xfId="19552"/>
    <cellStyle name="Percent 2 20 2 3 2 2" xfId="21562"/>
    <cellStyle name="Percent 2 20 2 3 2 3" xfId="23720"/>
    <cellStyle name="Percent 2 20 2 3 2_FC with allocations" xfId="30924"/>
    <cellStyle name="Percent 2 20 2 3 3" xfId="20685"/>
    <cellStyle name="Percent 2 20 2 3 4" xfId="22827"/>
    <cellStyle name="Percent 2 20 2 3_FC with allocations" xfId="30923"/>
    <cellStyle name="Percent 2 20 2 4" xfId="17956"/>
    <cellStyle name="Percent 2 20 2 4 2" xfId="20413"/>
    <cellStyle name="Percent 2 20 2 4 3" xfId="22553"/>
    <cellStyle name="Percent 2 20 2 4_FC with allocations" xfId="30925"/>
    <cellStyle name="Percent 2 20 2 5" xfId="18917"/>
    <cellStyle name="Percent 2 20 2 5 2" xfId="21069"/>
    <cellStyle name="Percent 2 20 2 5 3" xfId="23226"/>
    <cellStyle name="Percent 2 20 2 5_FC with allocations" xfId="30926"/>
    <cellStyle name="Percent 2 20 2 6" xfId="20068"/>
    <cellStyle name="Percent 2 20 2 7" xfId="22063"/>
    <cellStyle name="Percent 2 20 2_FC with allocations" xfId="30918"/>
    <cellStyle name="Percent 2 20 3" xfId="16623"/>
    <cellStyle name="Percent 2 20 3 2" xfId="18645"/>
    <cellStyle name="Percent 2 20 3 2 2" xfId="19664"/>
    <cellStyle name="Percent 2 20 3 2 2 2" xfId="21674"/>
    <cellStyle name="Percent 2 20 3 2 2 3" xfId="23832"/>
    <cellStyle name="Percent 2 20 3 2 2_FC with allocations" xfId="30929"/>
    <cellStyle name="Percent 2 20 3 2 3" xfId="20798"/>
    <cellStyle name="Percent 2 20 3 2 4" xfId="22955"/>
    <cellStyle name="Percent 2 20 3 2_FC with allocations" xfId="30928"/>
    <cellStyle name="Percent 2 20 3 3" xfId="18012"/>
    <cellStyle name="Percent 2 20 3 3 2" xfId="20466"/>
    <cellStyle name="Percent 2 20 3 3 3" xfId="22606"/>
    <cellStyle name="Percent 2 20 3 3_FC with allocations" xfId="30930"/>
    <cellStyle name="Percent 2 20 3 4" xfId="19131"/>
    <cellStyle name="Percent 2 20 3 4 2" xfId="21264"/>
    <cellStyle name="Percent 2 20 3 4 3" xfId="23421"/>
    <cellStyle name="Percent 2 20 3 4_FC with allocations" xfId="30931"/>
    <cellStyle name="Percent 2 20 3 5" xfId="20183"/>
    <cellStyle name="Percent 2 20 3 6" xfId="22300"/>
    <cellStyle name="Percent 2 20 3_FC with allocations" xfId="30927"/>
    <cellStyle name="Percent 2 20 4" xfId="4698"/>
    <cellStyle name="Percent 2 20 4 2" xfId="18208"/>
    <cellStyle name="Percent 2 20 4 2 2" xfId="19499"/>
    <cellStyle name="Percent 2 20 4 2 2 2" xfId="21509"/>
    <cellStyle name="Percent 2 20 4 2 2 3" xfId="23667"/>
    <cellStyle name="Percent 2 20 4 2 2_FC with allocations" xfId="30934"/>
    <cellStyle name="Percent 2 20 4 2 3" xfId="20632"/>
    <cellStyle name="Percent 2 20 4 2 4" xfId="22774"/>
    <cellStyle name="Percent 2 20 4 2_FC with allocations" xfId="30933"/>
    <cellStyle name="Percent 2 20 4 3" xfId="19084"/>
    <cellStyle name="Percent 2 20 4 3 2" xfId="21219"/>
    <cellStyle name="Percent 2 20 4 3 3" xfId="23376"/>
    <cellStyle name="Percent 2 20 4 3_FC with allocations" xfId="30935"/>
    <cellStyle name="Percent 2 20 4 4" xfId="20015"/>
    <cellStyle name="Percent 2 20 4 5" xfId="22010"/>
    <cellStyle name="Percent 2 20 4_FC with allocations" xfId="30932"/>
    <cellStyle name="Percent 2 20 5" xfId="16754"/>
    <cellStyle name="Percent 2 20 5 2" xfId="18758"/>
    <cellStyle name="Percent 2 20 5 2 2" xfId="20911"/>
    <cellStyle name="Percent 2 20 5 2 3" xfId="23068"/>
    <cellStyle name="Percent 2 20 5 2_FC with allocations" xfId="30937"/>
    <cellStyle name="Percent 2 20 5 3" xfId="19778"/>
    <cellStyle name="Percent 2 20 5 3 2" xfId="21788"/>
    <cellStyle name="Percent 2 20 5 3 3" xfId="23946"/>
    <cellStyle name="Percent 2 20 5 3_FC with allocations" xfId="30938"/>
    <cellStyle name="Percent 2 20 5 4" xfId="20297"/>
    <cellStyle name="Percent 2 20 5 5" xfId="22425"/>
    <cellStyle name="Percent 2 20 5_FC with allocations" xfId="30936"/>
    <cellStyle name="Percent 2 20 6" xfId="18074"/>
    <cellStyle name="Percent 2 20 6 2" xfId="19393"/>
    <cellStyle name="Percent 2 20 6 2 2" xfId="21403"/>
    <cellStyle name="Percent 2 20 6 2 3" xfId="23561"/>
    <cellStyle name="Percent 2 20 6 2_FC with allocations" xfId="30940"/>
    <cellStyle name="Percent 2 20 6 3" xfId="20526"/>
    <cellStyle name="Percent 2 20 6 4" xfId="22668"/>
    <cellStyle name="Percent 2 20 6_FC with allocations" xfId="30939"/>
    <cellStyle name="Percent 2 20 7" xfId="17382"/>
    <cellStyle name="Percent 2 20 8" xfId="18864"/>
    <cellStyle name="Percent 2 20 8 2" xfId="21016"/>
    <cellStyle name="Percent 2 20 8 3" xfId="23173"/>
    <cellStyle name="Percent 2 20 8_FC with allocations" xfId="30941"/>
    <cellStyle name="Percent 2 20 9" xfId="19832"/>
    <cellStyle name="Percent 2 20 9 2" xfId="21841"/>
    <cellStyle name="Percent 2 20 9 3" xfId="23999"/>
    <cellStyle name="Percent 2 20 9_FC with allocations" xfId="30942"/>
    <cellStyle name="Percent 2 20_FC with allocations" xfId="30917"/>
    <cellStyle name="Percent 2 21" xfId="4606"/>
    <cellStyle name="Percent 2 22" xfId="15834"/>
    <cellStyle name="Percent 2 23" xfId="16566"/>
    <cellStyle name="Percent 2 23 2" xfId="18591"/>
    <cellStyle name="Percent 2 23 2 2" xfId="19610"/>
    <cellStyle name="Percent 2 23 2 2 2" xfId="21620"/>
    <cellStyle name="Percent 2 23 2 2 3" xfId="23778"/>
    <cellStyle name="Percent 2 23 2 2_FC with allocations" xfId="30945"/>
    <cellStyle name="Percent 2 23 2 3" xfId="20744"/>
    <cellStyle name="Percent 2 23 2 4" xfId="22901"/>
    <cellStyle name="Percent 2 23 2_FC with allocations" xfId="30944"/>
    <cellStyle name="Percent 2 23 3" xfId="19025"/>
    <cellStyle name="Percent 2 23 3 2" xfId="21168"/>
    <cellStyle name="Percent 2 23 3 3" xfId="23325"/>
    <cellStyle name="Percent 2 23 3_FC with allocations" xfId="30946"/>
    <cellStyle name="Percent 2 23 4" xfId="20129"/>
    <cellStyle name="Percent 2 23 5" xfId="22245"/>
    <cellStyle name="Percent 2 23_FC with allocations" xfId="30943"/>
    <cellStyle name="Percent 2 24" xfId="4551"/>
    <cellStyle name="Percent 2 24 2" xfId="18126"/>
    <cellStyle name="Percent 2 24 2 2" xfId="19445"/>
    <cellStyle name="Percent 2 24 2 2 2" xfId="21455"/>
    <cellStyle name="Percent 2 24 2 2 3" xfId="23613"/>
    <cellStyle name="Percent 2 24 2 2_FC with allocations" xfId="30949"/>
    <cellStyle name="Percent 2 24 2 3" xfId="20578"/>
    <cellStyle name="Percent 2 24 2 4" xfId="22720"/>
    <cellStyle name="Percent 2 24 2_FC with allocations" xfId="30948"/>
    <cellStyle name="Percent 2 24 3" xfId="19275"/>
    <cellStyle name="Percent 2 24 3 2" xfId="21353"/>
    <cellStyle name="Percent 2 24 3 3" xfId="23510"/>
    <cellStyle name="Percent 2 24 3_FC with allocations" xfId="30950"/>
    <cellStyle name="Percent 2 24 4" xfId="19961"/>
    <cellStyle name="Percent 2 24 5" xfId="21956"/>
    <cellStyle name="Percent 2 24_FC with allocations" xfId="30947"/>
    <cellStyle name="Percent 2 25" xfId="16848"/>
    <cellStyle name="Percent 2 25 2" xfId="20350"/>
    <cellStyle name="Percent 2 25 3" xfId="22490"/>
    <cellStyle name="Percent 2 25_FC with allocations" xfId="30951"/>
    <cellStyle name="Percent 2 26" xfId="18810"/>
    <cellStyle name="Percent 2 26 2" xfId="20962"/>
    <cellStyle name="Percent 2 26 3" xfId="23119"/>
    <cellStyle name="Percent 2 26_FC with allocations" xfId="30952"/>
    <cellStyle name="Percent 2 3" xfId="2761"/>
    <cellStyle name="Percent 2 3 10" xfId="2762"/>
    <cellStyle name="Percent 2 3 11" xfId="2763"/>
    <cellStyle name="Percent 2 3 12" xfId="2764"/>
    <cellStyle name="Percent 2 3 13" xfId="2765"/>
    <cellStyle name="Percent 2 3 14" xfId="2766"/>
    <cellStyle name="Percent 2 3 15" xfId="4496"/>
    <cellStyle name="Percent 2 3 15 10" xfId="19912"/>
    <cellStyle name="Percent 2 3 15 11" xfId="21905"/>
    <cellStyle name="Percent 2 3 15 2" xfId="4801"/>
    <cellStyle name="Percent 2 3 15 2 2" xfId="16679"/>
    <cellStyle name="Percent 2 3 15 2 2 2" xfId="18701"/>
    <cellStyle name="Percent 2 3 15 2 2 2 2" xfId="19720"/>
    <cellStyle name="Percent 2 3 15 2 2 2 2 2" xfId="21730"/>
    <cellStyle name="Percent 2 3 15 2 2 2 2 3" xfId="23888"/>
    <cellStyle name="Percent 2 3 15 2 2 2 2_FC with allocations" xfId="30958"/>
    <cellStyle name="Percent 2 3 15 2 2 2 3" xfId="20854"/>
    <cellStyle name="Percent 2 3 15 2 2 2 4" xfId="23011"/>
    <cellStyle name="Percent 2 3 15 2 2 2_FC with allocations" xfId="30957"/>
    <cellStyle name="Percent 2 3 15 2 2 3" xfId="19188"/>
    <cellStyle name="Percent 2 3 15 2 2 3 2" xfId="21321"/>
    <cellStyle name="Percent 2 3 15 2 2 3 3" xfId="23478"/>
    <cellStyle name="Percent 2 3 15 2 2 3_FC with allocations" xfId="30959"/>
    <cellStyle name="Percent 2 3 15 2 2 4" xfId="20239"/>
    <cellStyle name="Percent 2 3 15 2 2 5" xfId="22356"/>
    <cellStyle name="Percent 2 3 15 2 2_FC with allocations" xfId="30956"/>
    <cellStyle name="Percent 2 3 15 2 3" xfId="18264"/>
    <cellStyle name="Percent 2 3 15 2 3 2" xfId="19555"/>
    <cellStyle name="Percent 2 3 15 2 3 2 2" xfId="21565"/>
    <cellStyle name="Percent 2 3 15 2 3 2 3" xfId="23723"/>
    <cellStyle name="Percent 2 3 15 2 3 2_FC with allocations" xfId="30961"/>
    <cellStyle name="Percent 2 3 15 2 3 3" xfId="20688"/>
    <cellStyle name="Percent 2 3 15 2 3 4" xfId="22830"/>
    <cellStyle name="Percent 2 3 15 2 3_FC with allocations" xfId="30960"/>
    <cellStyle name="Percent 2 3 15 2 4" xfId="17959"/>
    <cellStyle name="Percent 2 3 15 2 4 2" xfId="20416"/>
    <cellStyle name="Percent 2 3 15 2 4 3" xfId="22556"/>
    <cellStyle name="Percent 2 3 15 2 4_FC with allocations" xfId="30962"/>
    <cellStyle name="Percent 2 3 15 2 5" xfId="18920"/>
    <cellStyle name="Percent 2 3 15 2 5 2" xfId="21072"/>
    <cellStyle name="Percent 2 3 15 2 5 3" xfId="23229"/>
    <cellStyle name="Percent 2 3 15 2 5_FC with allocations" xfId="30963"/>
    <cellStyle name="Percent 2 3 15 2 6" xfId="20071"/>
    <cellStyle name="Percent 2 3 15 2 7" xfId="22066"/>
    <cellStyle name="Percent 2 3 15 2_FC with allocations" xfId="30955"/>
    <cellStyle name="Percent 2 3 15 3" xfId="16626"/>
    <cellStyle name="Percent 2 3 15 3 2" xfId="18648"/>
    <cellStyle name="Percent 2 3 15 3 2 2" xfId="19667"/>
    <cellStyle name="Percent 2 3 15 3 2 2 2" xfId="21677"/>
    <cellStyle name="Percent 2 3 15 3 2 2 3" xfId="23835"/>
    <cellStyle name="Percent 2 3 15 3 2 2_FC with allocations" xfId="30966"/>
    <cellStyle name="Percent 2 3 15 3 2 3" xfId="20801"/>
    <cellStyle name="Percent 2 3 15 3 2 4" xfId="22958"/>
    <cellStyle name="Percent 2 3 15 3 2_FC with allocations" xfId="30965"/>
    <cellStyle name="Percent 2 3 15 3 3" xfId="18015"/>
    <cellStyle name="Percent 2 3 15 3 3 2" xfId="20469"/>
    <cellStyle name="Percent 2 3 15 3 3 3" xfId="22609"/>
    <cellStyle name="Percent 2 3 15 3 3_FC with allocations" xfId="30967"/>
    <cellStyle name="Percent 2 3 15 3 4" xfId="19134"/>
    <cellStyle name="Percent 2 3 15 3 4 2" xfId="21267"/>
    <cellStyle name="Percent 2 3 15 3 4 3" xfId="23424"/>
    <cellStyle name="Percent 2 3 15 3 4_FC with allocations" xfId="30968"/>
    <cellStyle name="Percent 2 3 15 3 5" xfId="20186"/>
    <cellStyle name="Percent 2 3 15 3 6" xfId="22303"/>
    <cellStyle name="Percent 2 3 15 3_FC with allocations" xfId="30964"/>
    <cellStyle name="Percent 2 3 15 4" xfId="4701"/>
    <cellStyle name="Percent 2 3 15 4 2" xfId="18211"/>
    <cellStyle name="Percent 2 3 15 4 2 2" xfId="19502"/>
    <cellStyle name="Percent 2 3 15 4 2 2 2" xfId="21512"/>
    <cellStyle name="Percent 2 3 15 4 2 2 3" xfId="23670"/>
    <cellStyle name="Percent 2 3 15 4 2 2_FC with allocations" xfId="30971"/>
    <cellStyle name="Percent 2 3 15 4 2 3" xfId="20635"/>
    <cellStyle name="Percent 2 3 15 4 2 4" xfId="22777"/>
    <cellStyle name="Percent 2 3 15 4 2_FC with allocations" xfId="30970"/>
    <cellStyle name="Percent 2 3 15 4 3" xfId="19063"/>
    <cellStyle name="Percent 2 3 15 4 3 2" xfId="21204"/>
    <cellStyle name="Percent 2 3 15 4 3 3" xfId="23361"/>
    <cellStyle name="Percent 2 3 15 4 3_FC with allocations" xfId="30972"/>
    <cellStyle name="Percent 2 3 15 4 4" xfId="20018"/>
    <cellStyle name="Percent 2 3 15 4 5" xfId="22013"/>
    <cellStyle name="Percent 2 3 15 4_FC with allocations" xfId="30969"/>
    <cellStyle name="Percent 2 3 15 5" xfId="16757"/>
    <cellStyle name="Percent 2 3 15 5 2" xfId="18761"/>
    <cellStyle name="Percent 2 3 15 5 2 2" xfId="20914"/>
    <cellStyle name="Percent 2 3 15 5 2 3" xfId="23071"/>
    <cellStyle name="Percent 2 3 15 5 2_FC with allocations" xfId="30974"/>
    <cellStyle name="Percent 2 3 15 5 3" xfId="19781"/>
    <cellStyle name="Percent 2 3 15 5 3 2" xfId="21791"/>
    <cellStyle name="Percent 2 3 15 5 3 3" xfId="23949"/>
    <cellStyle name="Percent 2 3 15 5 3_FC with allocations" xfId="30975"/>
    <cellStyle name="Percent 2 3 15 5 4" xfId="20300"/>
    <cellStyle name="Percent 2 3 15 5 5" xfId="22428"/>
    <cellStyle name="Percent 2 3 15 5_FC with allocations" xfId="30973"/>
    <cellStyle name="Percent 2 3 15 6" xfId="18077"/>
    <cellStyle name="Percent 2 3 15 6 2" xfId="19396"/>
    <cellStyle name="Percent 2 3 15 6 2 2" xfId="21406"/>
    <cellStyle name="Percent 2 3 15 6 2 3" xfId="23564"/>
    <cellStyle name="Percent 2 3 15 6 2_FC with allocations" xfId="30977"/>
    <cellStyle name="Percent 2 3 15 6 3" xfId="20529"/>
    <cellStyle name="Percent 2 3 15 6 4" xfId="22671"/>
    <cellStyle name="Percent 2 3 15 6_FC with allocations" xfId="30976"/>
    <cellStyle name="Percent 2 3 15 7" xfId="17385"/>
    <cellStyle name="Percent 2 3 15 8" xfId="18867"/>
    <cellStyle name="Percent 2 3 15 8 2" xfId="21019"/>
    <cellStyle name="Percent 2 3 15 8 3" xfId="23176"/>
    <cellStyle name="Percent 2 3 15 8_FC with allocations" xfId="30978"/>
    <cellStyle name="Percent 2 3 15 9" xfId="19835"/>
    <cellStyle name="Percent 2 3 15 9 2" xfId="21844"/>
    <cellStyle name="Percent 2 3 15 9 3" xfId="24002"/>
    <cellStyle name="Percent 2 3 15 9_FC with allocations" xfId="30979"/>
    <cellStyle name="Percent 2 3 15_FC with allocations" xfId="30954"/>
    <cellStyle name="Percent 2 3 16" xfId="4609"/>
    <cellStyle name="Percent 2 3 17" xfId="15852"/>
    <cellStyle name="Percent 2 3 18" xfId="16569"/>
    <cellStyle name="Percent 2 3 18 2" xfId="18594"/>
    <cellStyle name="Percent 2 3 18 2 2" xfId="19613"/>
    <cellStyle name="Percent 2 3 18 2 2 2" xfId="21623"/>
    <cellStyle name="Percent 2 3 18 2 2 3" xfId="23781"/>
    <cellStyle name="Percent 2 3 18 2 2_FC with allocations" xfId="30982"/>
    <cellStyle name="Percent 2 3 18 2 3" xfId="20747"/>
    <cellStyle name="Percent 2 3 18 2 4" xfId="22904"/>
    <cellStyle name="Percent 2 3 18 2_FC with allocations" xfId="30981"/>
    <cellStyle name="Percent 2 3 18 3" xfId="19028"/>
    <cellStyle name="Percent 2 3 18 3 2" xfId="21171"/>
    <cellStyle name="Percent 2 3 18 3 3" xfId="23328"/>
    <cellStyle name="Percent 2 3 18 3_FC with allocations" xfId="30983"/>
    <cellStyle name="Percent 2 3 18 4" xfId="20132"/>
    <cellStyle name="Percent 2 3 18 5" xfId="22248"/>
    <cellStyle name="Percent 2 3 18_FC with allocations" xfId="30980"/>
    <cellStyle name="Percent 2 3 19" xfId="4554"/>
    <cellStyle name="Percent 2 3 19 2" xfId="18129"/>
    <cellStyle name="Percent 2 3 19 2 2" xfId="19448"/>
    <cellStyle name="Percent 2 3 19 2 2 2" xfId="21458"/>
    <cellStyle name="Percent 2 3 19 2 2 3" xfId="23616"/>
    <cellStyle name="Percent 2 3 19 2 2_FC with allocations" xfId="30986"/>
    <cellStyle name="Percent 2 3 19 2 3" xfId="20581"/>
    <cellStyle name="Percent 2 3 19 2 4" xfId="22723"/>
    <cellStyle name="Percent 2 3 19 2_FC with allocations" xfId="30985"/>
    <cellStyle name="Percent 2 3 19 3" xfId="18979"/>
    <cellStyle name="Percent 2 3 19 3 2" xfId="21131"/>
    <cellStyle name="Percent 2 3 19 3 3" xfId="23288"/>
    <cellStyle name="Percent 2 3 19 3_FC with allocations" xfId="30987"/>
    <cellStyle name="Percent 2 3 19 4" xfId="19964"/>
    <cellStyle name="Percent 2 3 19 5" xfId="21959"/>
    <cellStyle name="Percent 2 3 19_FC with allocations" xfId="30984"/>
    <cellStyle name="Percent 2 3 2" xfId="2767"/>
    <cellStyle name="Percent 2 3 2 2" xfId="2768"/>
    <cellStyle name="Percent 2 3 2 2 2" xfId="2769"/>
    <cellStyle name="Percent 2 3 2 2 2 2" xfId="2770"/>
    <cellStyle name="Percent 2 3 2 2 2 2 2" xfId="2771"/>
    <cellStyle name="Percent 2 3 2 2 2 2 3" xfId="2772"/>
    <cellStyle name="Percent 2 3 2 2 2 2 4" xfId="15856"/>
    <cellStyle name="Percent 2 3 2 2 2 2_FC with allocations" xfId="30991"/>
    <cellStyle name="Percent 2 3 2 2 2 3" xfId="2773"/>
    <cellStyle name="Percent 2 3 2 2 2 4" xfId="2774"/>
    <cellStyle name="Percent 2 3 2 2 2 5" xfId="15855"/>
    <cellStyle name="Percent 2 3 2 2 2_FC with allocations" xfId="30990"/>
    <cellStyle name="Percent 2 3 2 2 3" xfId="2775"/>
    <cellStyle name="Percent 2 3 2 2 3 2" xfId="2776"/>
    <cellStyle name="Percent 2 3 2 2 3 3" xfId="2777"/>
    <cellStyle name="Percent 2 3 2 2 3 4" xfId="15857"/>
    <cellStyle name="Percent 2 3 2 2 3_FC with allocations" xfId="30992"/>
    <cellStyle name="Percent 2 3 2 2 4" xfId="2778"/>
    <cellStyle name="Percent 2 3 2 2 5" xfId="2779"/>
    <cellStyle name="Percent 2 3 2 2 6" xfId="2780"/>
    <cellStyle name="Percent 2 3 2 2 7" xfId="15854"/>
    <cellStyle name="Percent 2 3 2 2_FC with allocations" xfId="30989"/>
    <cellStyle name="Percent 2 3 2 3" xfId="2781"/>
    <cellStyle name="Percent 2 3 2 3 2" xfId="2782"/>
    <cellStyle name="Percent 2 3 2 3 2 2" xfId="2783"/>
    <cellStyle name="Percent 2 3 2 3 2 3" xfId="2784"/>
    <cellStyle name="Percent 2 3 2 3 2 4" xfId="15859"/>
    <cellStyle name="Percent 2 3 2 3 2_FC with allocations" xfId="30994"/>
    <cellStyle name="Percent 2 3 2 3 3" xfId="2785"/>
    <cellStyle name="Percent 2 3 2 3 4" xfId="2786"/>
    <cellStyle name="Percent 2 3 2 3 5" xfId="15858"/>
    <cellStyle name="Percent 2 3 2 3_FC with allocations" xfId="30993"/>
    <cellStyle name="Percent 2 3 2 4" xfId="2787"/>
    <cellStyle name="Percent 2 3 2 4 2" xfId="2788"/>
    <cellStyle name="Percent 2 3 2 4 3" xfId="2789"/>
    <cellStyle name="Percent 2 3 2 4 4" xfId="15860"/>
    <cellStyle name="Percent 2 3 2 4_FC with allocations" xfId="30995"/>
    <cellStyle name="Percent 2 3 2 5" xfId="2790"/>
    <cellStyle name="Percent 2 3 2 6" xfId="2791"/>
    <cellStyle name="Percent 2 3 2 7" xfId="2792"/>
    <cellStyle name="Percent 2 3 2 8" xfId="15853"/>
    <cellStyle name="Percent 2 3 2_FC with allocations" xfId="30988"/>
    <cellStyle name="Percent 2 3 20" xfId="16851"/>
    <cellStyle name="Percent 2 3 20 2" xfId="20353"/>
    <cellStyle name="Percent 2 3 20 3" xfId="22493"/>
    <cellStyle name="Percent 2 3 20_FC with allocations" xfId="30996"/>
    <cellStyle name="Percent 2 3 21" xfId="18813"/>
    <cellStyle name="Percent 2 3 21 2" xfId="20965"/>
    <cellStyle name="Percent 2 3 21 3" xfId="23122"/>
    <cellStyle name="Percent 2 3 21_FC with allocations" xfId="30997"/>
    <cellStyle name="Percent 2 3 3" xfId="2793"/>
    <cellStyle name="Percent 2 3 3 2" xfId="2794"/>
    <cellStyle name="Percent 2 3 3 2 2" xfId="2795"/>
    <cellStyle name="Percent 2 3 3 2 2 2" xfId="2796"/>
    <cellStyle name="Percent 2 3 3 2 2 3" xfId="2797"/>
    <cellStyle name="Percent 2 3 3 2 2 4" xfId="15863"/>
    <cellStyle name="Percent 2 3 3 2 2_FC with allocations" xfId="31000"/>
    <cellStyle name="Percent 2 3 3 2 3" xfId="2798"/>
    <cellStyle name="Percent 2 3 3 2 4" xfId="2799"/>
    <cellStyle name="Percent 2 3 3 2 5" xfId="15862"/>
    <cellStyle name="Percent 2 3 3 2_FC with allocations" xfId="30999"/>
    <cellStyle name="Percent 2 3 3 3" xfId="2800"/>
    <cellStyle name="Percent 2 3 3 3 2" xfId="2801"/>
    <cellStyle name="Percent 2 3 3 3 3" xfId="2802"/>
    <cellStyle name="Percent 2 3 3 3 4" xfId="15864"/>
    <cellStyle name="Percent 2 3 3 3_FC with allocations" xfId="31001"/>
    <cellStyle name="Percent 2 3 3 4" xfId="2803"/>
    <cellStyle name="Percent 2 3 3 5" xfId="2804"/>
    <cellStyle name="Percent 2 3 3 6" xfId="2805"/>
    <cellStyle name="Percent 2 3 3 7" xfId="15861"/>
    <cellStyle name="Percent 2 3 3_FC with allocations" xfId="30998"/>
    <cellStyle name="Percent 2 3 4" xfId="2806"/>
    <cellStyle name="Percent 2 3 4 2" xfId="2807"/>
    <cellStyle name="Percent 2 3 4 2 2" xfId="2808"/>
    <cellStyle name="Percent 2 3 4 2 2 2" xfId="2809"/>
    <cellStyle name="Percent 2 3 4 2 2 3" xfId="2810"/>
    <cellStyle name="Percent 2 3 4 2 2_FC with allocations" xfId="31004"/>
    <cellStyle name="Percent 2 3 4 2 3" xfId="2811"/>
    <cellStyle name="Percent 2 3 4 2 4" xfId="2812"/>
    <cellStyle name="Percent 2 3 4 2 5" xfId="15866"/>
    <cellStyle name="Percent 2 3 4 2_FC with allocations" xfId="31003"/>
    <cellStyle name="Percent 2 3 4 3" xfId="2813"/>
    <cellStyle name="Percent 2 3 4 3 2" xfId="2814"/>
    <cellStyle name="Percent 2 3 4 3 3" xfId="2815"/>
    <cellStyle name="Percent 2 3 4 3_FC with allocations" xfId="31005"/>
    <cellStyle name="Percent 2 3 4 4" xfId="2816"/>
    <cellStyle name="Percent 2 3 4 5" xfId="2817"/>
    <cellStyle name="Percent 2 3 4 6" xfId="2818"/>
    <cellStyle name="Percent 2 3 4 7" xfId="15865"/>
    <cellStyle name="Percent 2 3 4_FC with allocations" xfId="31002"/>
    <cellStyle name="Percent 2 3 5" xfId="2819"/>
    <cellStyle name="Percent 2 3 5 2" xfId="2820"/>
    <cellStyle name="Percent 2 3 5 2 2" xfId="2821"/>
    <cellStyle name="Percent 2 3 5 2 3" xfId="2822"/>
    <cellStyle name="Percent 2 3 5 2_FC with allocations" xfId="31007"/>
    <cellStyle name="Percent 2 3 5 3" xfId="2823"/>
    <cellStyle name="Percent 2 3 5 4" xfId="2824"/>
    <cellStyle name="Percent 2 3 5 5" xfId="15867"/>
    <cellStyle name="Percent 2 3 5_FC with allocations" xfId="31006"/>
    <cellStyle name="Percent 2 3 6" xfId="2825"/>
    <cellStyle name="Percent 2 3 6 2" xfId="2826"/>
    <cellStyle name="Percent 2 3 6 3" xfId="2827"/>
    <cellStyle name="Percent 2 3 6_FC with allocations" xfId="31008"/>
    <cellStyle name="Percent 2 3 7" xfId="2828"/>
    <cellStyle name="Percent 2 3 8" xfId="2829"/>
    <cellStyle name="Percent 2 3 9" xfId="2830"/>
    <cellStyle name="Percent 2 3_FC with allocations" xfId="30953"/>
    <cellStyle name="Percent 2 4" xfId="2831"/>
    <cellStyle name="Percent 2 4 2" xfId="15869"/>
    <cellStyle name="Percent 2 4 2 2" xfId="15870"/>
    <cellStyle name="Percent 2 4 2 2 2" xfId="15871"/>
    <cellStyle name="Percent 2 4 2 2 2 2" xfId="15872"/>
    <cellStyle name="Percent 2 4 2 2 2_FC with allocations" xfId="31012"/>
    <cellStyle name="Percent 2 4 2 2 3" xfId="15873"/>
    <cellStyle name="Percent 2 4 2 2_FC with allocations" xfId="31011"/>
    <cellStyle name="Percent 2 4 2 3" xfId="15874"/>
    <cellStyle name="Percent 2 4 2 3 2" xfId="15875"/>
    <cellStyle name="Percent 2 4 2 3_FC with allocations" xfId="31013"/>
    <cellStyle name="Percent 2 4 2 4" xfId="15876"/>
    <cellStyle name="Percent 2 4 2_FC with allocations" xfId="31010"/>
    <cellStyle name="Percent 2 4 3" xfId="15877"/>
    <cellStyle name="Percent 2 4 3 2" xfId="15878"/>
    <cellStyle name="Percent 2 4 3 2 2" xfId="15879"/>
    <cellStyle name="Percent 2 4 3 2_FC with allocations" xfId="31015"/>
    <cellStyle name="Percent 2 4 3 3" xfId="15880"/>
    <cellStyle name="Percent 2 4 3_FC with allocations" xfId="31014"/>
    <cellStyle name="Percent 2 4 4" xfId="15881"/>
    <cellStyle name="Percent 2 4 4 2" xfId="15882"/>
    <cellStyle name="Percent 2 4 4_FC with allocations" xfId="31016"/>
    <cellStyle name="Percent 2 4 5" xfId="15883"/>
    <cellStyle name="Percent 2 4 6" xfId="15868"/>
    <cellStyle name="Percent 2 4_FC with allocations" xfId="31009"/>
    <cellStyle name="Percent 2 5" xfId="2832"/>
    <cellStyle name="Percent 2 5 2" xfId="2833"/>
    <cellStyle name="Percent 2 5 2 2" xfId="2834"/>
    <cellStyle name="Percent 2 5 2 2 2" xfId="2835"/>
    <cellStyle name="Percent 2 5 2 2 2 2" xfId="2836"/>
    <cellStyle name="Percent 2 5 2 2 2 3" xfId="2837"/>
    <cellStyle name="Percent 2 5 2 2 2 4" xfId="15887"/>
    <cellStyle name="Percent 2 5 2 2 2_FC with allocations" xfId="31020"/>
    <cellStyle name="Percent 2 5 2 2 3" xfId="2838"/>
    <cellStyle name="Percent 2 5 2 2 4" xfId="2839"/>
    <cellStyle name="Percent 2 5 2 2 5" xfId="15886"/>
    <cellStyle name="Percent 2 5 2 2_FC with allocations" xfId="31019"/>
    <cellStyle name="Percent 2 5 2 3" xfId="2840"/>
    <cellStyle name="Percent 2 5 2 3 2" xfId="2841"/>
    <cellStyle name="Percent 2 5 2 3 3" xfId="2842"/>
    <cellStyle name="Percent 2 5 2 3 4" xfId="15888"/>
    <cellStyle name="Percent 2 5 2 3_FC with allocations" xfId="31021"/>
    <cellStyle name="Percent 2 5 2 4" xfId="2843"/>
    <cellStyle name="Percent 2 5 2 5" xfId="2844"/>
    <cellStyle name="Percent 2 5 2 6" xfId="2845"/>
    <cellStyle name="Percent 2 5 2 7" xfId="15885"/>
    <cellStyle name="Percent 2 5 2_FC with allocations" xfId="31018"/>
    <cellStyle name="Percent 2 5 3" xfId="2846"/>
    <cellStyle name="Percent 2 5 3 2" xfId="2847"/>
    <cellStyle name="Percent 2 5 3 2 2" xfId="2848"/>
    <cellStyle name="Percent 2 5 3 2 3" xfId="2849"/>
    <cellStyle name="Percent 2 5 3 2 4" xfId="15890"/>
    <cellStyle name="Percent 2 5 3 2_FC with allocations" xfId="31023"/>
    <cellStyle name="Percent 2 5 3 3" xfId="2850"/>
    <cellStyle name="Percent 2 5 3 4" xfId="2851"/>
    <cellStyle name="Percent 2 5 3 5" xfId="15889"/>
    <cellStyle name="Percent 2 5 3_FC with allocations" xfId="31022"/>
    <cellStyle name="Percent 2 5 4" xfId="2852"/>
    <cellStyle name="Percent 2 5 4 2" xfId="2853"/>
    <cellStyle name="Percent 2 5 4 3" xfId="2854"/>
    <cellStyle name="Percent 2 5 4 4" xfId="15891"/>
    <cellStyle name="Percent 2 5 4_FC with allocations" xfId="31024"/>
    <cellStyle name="Percent 2 5 5" xfId="2855"/>
    <cellStyle name="Percent 2 5 6" xfId="2856"/>
    <cellStyle name="Percent 2 5 7" xfId="2857"/>
    <cellStyle name="Percent 2 5 8" xfId="15884"/>
    <cellStyle name="Percent 2 5_FC with allocations" xfId="31017"/>
    <cellStyle name="Percent 2 6" xfId="2858"/>
    <cellStyle name="Percent 2 6 2" xfId="2859"/>
    <cellStyle name="Percent 2 6 2 2" xfId="2860"/>
    <cellStyle name="Percent 2 6 2 2 2" xfId="2861"/>
    <cellStyle name="Percent 2 6 2 2 3" xfId="2862"/>
    <cellStyle name="Percent 2 6 2 2 4" xfId="15894"/>
    <cellStyle name="Percent 2 6 2 2_FC with allocations" xfId="31027"/>
    <cellStyle name="Percent 2 6 2 3" xfId="2863"/>
    <cellStyle name="Percent 2 6 2 4" xfId="2864"/>
    <cellStyle name="Percent 2 6 2 5" xfId="15893"/>
    <cellStyle name="Percent 2 6 2_FC with allocations" xfId="31026"/>
    <cellStyle name="Percent 2 6 3" xfId="2865"/>
    <cellStyle name="Percent 2 6 3 2" xfId="2866"/>
    <cellStyle name="Percent 2 6 3 3" xfId="2867"/>
    <cellStyle name="Percent 2 6 3 4" xfId="15895"/>
    <cellStyle name="Percent 2 6 3_FC with allocations" xfId="31028"/>
    <cellStyle name="Percent 2 6 4" xfId="2868"/>
    <cellStyle name="Percent 2 6 5" xfId="2869"/>
    <cellStyle name="Percent 2 6 6" xfId="2870"/>
    <cellStyle name="Percent 2 6 7" xfId="15892"/>
    <cellStyle name="Percent 2 6_FC with allocations" xfId="31025"/>
    <cellStyle name="Percent 2 7" xfId="2871"/>
    <cellStyle name="Percent 2 7 2" xfId="2872"/>
    <cellStyle name="Percent 2 7 2 2" xfId="2873"/>
    <cellStyle name="Percent 2 7 2 2 2" xfId="2874"/>
    <cellStyle name="Percent 2 7 2 2 3" xfId="2875"/>
    <cellStyle name="Percent 2 7 2 2 4" xfId="15898"/>
    <cellStyle name="Percent 2 7 2 2_FC with allocations" xfId="31031"/>
    <cellStyle name="Percent 2 7 2 3" xfId="2876"/>
    <cellStyle name="Percent 2 7 2 4" xfId="2877"/>
    <cellStyle name="Percent 2 7 2 5" xfId="15897"/>
    <cellStyle name="Percent 2 7 2_FC with allocations" xfId="31030"/>
    <cellStyle name="Percent 2 7 3" xfId="2878"/>
    <cellStyle name="Percent 2 7 3 2" xfId="2879"/>
    <cellStyle name="Percent 2 7 3 3" xfId="2880"/>
    <cellStyle name="Percent 2 7 3 4" xfId="15899"/>
    <cellStyle name="Percent 2 7 3_FC with allocations" xfId="31032"/>
    <cellStyle name="Percent 2 7 4" xfId="2881"/>
    <cellStyle name="Percent 2 7 5" xfId="2882"/>
    <cellStyle name="Percent 2 7 6" xfId="2883"/>
    <cellStyle name="Percent 2 7 7" xfId="15896"/>
    <cellStyle name="Percent 2 7_FC with allocations" xfId="31029"/>
    <cellStyle name="Percent 2 8" xfId="2884"/>
    <cellStyle name="Percent 2 8 2" xfId="2885"/>
    <cellStyle name="Percent 2 8 2 2" xfId="2886"/>
    <cellStyle name="Percent 2 8 2 2 2" xfId="15902"/>
    <cellStyle name="Percent 2 8 2 2_FC with allocations" xfId="31035"/>
    <cellStyle name="Percent 2 8 2 3" xfId="2887"/>
    <cellStyle name="Percent 2 8 2 4" xfId="15901"/>
    <cellStyle name="Percent 2 8 2_FC with allocations" xfId="31034"/>
    <cellStyle name="Percent 2 8 3" xfId="2888"/>
    <cellStyle name="Percent 2 8 3 2" xfId="15903"/>
    <cellStyle name="Percent 2 8 3_FC with allocations" xfId="31036"/>
    <cellStyle name="Percent 2 8 4" xfId="2889"/>
    <cellStyle name="Percent 2 8 5" xfId="15900"/>
    <cellStyle name="Percent 2 8_FC with allocations" xfId="31033"/>
    <cellStyle name="Percent 2 9" xfId="2890"/>
    <cellStyle name="Percent 2 9 2" xfId="2891"/>
    <cellStyle name="Percent 2 9 3" xfId="2892"/>
    <cellStyle name="Percent 2 9_FC with allocations" xfId="31037"/>
    <cellStyle name="Percent 2_FC with allocations" xfId="30804"/>
    <cellStyle name="Percent 20" xfId="2893"/>
    <cellStyle name="Percent 20 2" xfId="15904"/>
    <cellStyle name="Percent 20_FC with allocations" xfId="31038"/>
    <cellStyle name="Percent 21" xfId="2894"/>
    <cellStyle name="Percent 21 2" xfId="15905"/>
    <cellStyle name="Percent 21_FC with allocations" xfId="31039"/>
    <cellStyle name="Percent 22" xfId="2895"/>
    <cellStyle name="Percent 22 2" xfId="15906"/>
    <cellStyle name="Percent 22_FC with allocations" xfId="31040"/>
    <cellStyle name="Percent 23" xfId="2896"/>
    <cellStyle name="Percent 23 2" xfId="15907"/>
    <cellStyle name="Percent 23_FC with allocations" xfId="31041"/>
    <cellStyle name="Percent 24" xfId="2897"/>
    <cellStyle name="Percent 24 2" xfId="15908"/>
    <cellStyle name="Percent 24_FC with allocations" xfId="31042"/>
    <cellStyle name="Percent 25" xfId="2898"/>
    <cellStyle name="Percent 25 2" xfId="15909"/>
    <cellStyle name="Percent 25_FC with allocations" xfId="31043"/>
    <cellStyle name="Percent 26" xfId="2899"/>
    <cellStyle name="Percent 26 2" xfId="15910"/>
    <cellStyle name="Percent 26_FC with allocations" xfId="31044"/>
    <cellStyle name="Percent 27" xfId="2900"/>
    <cellStyle name="Percent 27 2" xfId="15911"/>
    <cellStyle name="Percent 27_FC with allocations" xfId="31045"/>
    <cellStyle name="Percent 28" xfId="2901"/>
    <cellStyle name="Percent 28 2" xfId="15912"/>
    <cellStyle name="Percent 28_FC with allocations" xfId="31046"/>
    <cellStyle name="Percent 29" xfId="2902"/>
    <cellStyle name="Percent 29 2" xfId="15913"/>
    <cellStyle name="Percent 29_FC with allocations" xfId="31047"/>
    <cellStyle name="Percent 3" xfId="2903"/>
    <cellStyle name="Percent 3 10" xfId="2904"/>
    <cellStyle name="Percent 3 11" xfId="2905"/>
    <cellStyle name="Percent 3 12" xfId="2906"/>
    <cellStyle name="Percent 3 13" xfId="15914"/>
    <cellStyle name="Percent 3 2" xfId="2907"/>
    <cellStyle name="Percent 3 2 10" xfId="2908"/>
    <cellStyle name="Percent 3 2 11" xfId="15915"/>
    <cellStyle name="Percent 3 2 2" xfId="2909"/>
    <cellStyle name="Percent 3 2 2 2" xfId="2910"/>
    <cellStyle name="Percent 3 2 2 2 2" xfId="2911"/>
    <cellStyle name="Percent 3 2 2 2 2 2" xfId="2912"/>
    <cellStyle name="Percent 3 2 2 2 2 2 2" xfId="2913"/>
    <cellStyle name="Percent 3 2 2 2 2 2 3" xfId="2914"/>
    <cellStyle name="Percent 3 2 2 2 2 2 4" xfId="15919"/>
    <cellStyle name="Percent 3 2 2 2 2 2_FC with allocations" xfId="31053"/>
    <cellStyle name="Percent 3 2 2 2 2 3" xfId="2915"/>
    <cellStyle name="Percent 3 2 2 2 2 4" xfId="2916"/>
    <cellStyle name="Percent 3 2 2 2 2 5" xfId="15918"/>
    <cellStyle name="Percent 3 2 2 2 2_FC with allocations" xfId="31052"/>
    <cellStyle name="Percent 3 2 2 2 3" xfId="2917"/>
    <cellStyle name="Percent 3 2 2 2 3 2" xfId="2918"/>
    <cellStyle name="Percent 3 2 2 2 3 3" xfId="2919"/>
    <cellStyle name="Percent 3 2 2 2 3 4" xfId="15920"/>
    <cellStyle name="Percent 3 2 2 2 3_FC with allocations" xfId="31054"/>
    <cellStyle name="Percent 3 2 2 2 4" xfId="2920"/>
    <cellStyle name="Percent 3 2 2 2 5" xfId="2921"/>
    <cellStyle name="Percent 3 2 2 2 6" xfId="2922"/>
    <cellStyle name="Percent 3 2 2 2 7" xfId="15917"/>
    <cellStyle name="Percent 3 2 2 2_FC with allocations" xfId="31051"/>
    <cellStyle name="Percent 3 2 2 3" xfId="2923"/>
    <cellStyle name="Percent 3 2 2 3 2" xfId="2924"/>
    <cellStyle name="Percent 3 2 2 3 2 2" xfId="2925"/>
    <cellStyle name="Percent 3 2 2 3 2 3" xfId="2926"/>
    <cellStyle name="Percent 3 2 2 3 2 4" xfId="15922"/>
    <cellStyle name="Percent 3 2 2 3 2_FC with allocations" xfId="31056"/>
    <cellStyle name="Percent 3 2 2 3 3" xfId="2927"/>
    <cellStyle name="Percent 3 2 2 3 4" xfId="2928"/>
    <cellStyle name="Percent 3 2 2 3 5" xfId="15921"/>
    <cellStyle name="Percent 3 2 2 3_FC with allocations" xfId="31055"/>
    <cellStyle name="Percent 3 2 2 4" xfId="2929"/>
    <cellStyle name="Percent 3 2 2 4 2" xfId="2930"/>
    <cellStyle name="Percent 3 2 2 4 3" xfId="2931"/>
    <cellStyle name="Percent 3 2 2 4 4" xfId="15923"/>
    <cellStyle name="Percent 3 2 2 4_FC with allocations" xfId="31057"/>
    <cellStyle name="Percent 3 2 2 5" xfId="2932"/>
    <cellStyle name="Percent 3 2 2 6" xfId="2933"/>
    <cellStyle name="Percent 3 2 2 7" xfId="2934"/>
    <cellStyle name="Percent 3 2 2 8" xfId="15916"/>
    <cellStyle name="Percent 3 2 2_FC with allocations" xfId="31050"/>
    <cellStyle name="Percent 3 2 3" xfId="2935"/>
    <cellStyle name="Percent 3 2 3 2" xfId="2936"/>
    <cellStyle name="Percent 3 2 3 2 2" xfId="2937"/>
    <cellStyle name="Percent 3 2 3 2 2 2" xfId="2938"/>
    <cellStyle name="Percent 3 2 3 2 2 3" xfId="2939"/>
    <cellStyle name="Percent 3 2 3 2 2 4" xfId="15926"/>
    <cellStyle name="Percent 3 2 3 2 2_FC with allocations" xfId="31060"/>
    <cellStyle name="Percent 3 2 3 2 3" xfId="2940"/>
    <cellStyle name="Percent 3 2 3 2 4" xfId="2941"/>
    <cellStyle name="Percent 3 2 3 2 5" xfId="15925"/>
    <cellStyle name="Percent 3 2 3 2_FC with allocations" xfId="31059"/>
    <cellStyle name="Percent 3 2 3 3" xfId="2942"/>
    <cellStyle name="Percent 3 2 3 3 2" xfId="2943"/>
    <cellStyle name="Percent 3 2 3 3 3" xfId="2944"/>
    <cellStyle name="Percent 3 2 3 3 4" xfId="15927"/>
    <cellStyle name="Percent 3 2 3 3_FC with allocations" xfId="31061"/>
    <cellStyle name="Percent 3 2 3 4" xfId="2945"/>
    <cellStyle name="Percent 3 2 3 5" xfId="2946"/>
    <cellStyle name="Percent 3 2 3 6" xfId="2947"/>
    <cellStyle name="Percent 3 2 3 7" xfId="15924"/>
    <cellStyle name="Percent 3 2 3_FC with allocations" xfId="31058"/>
    <cellStyle name="Percent 3 2 4" xfId="2948"/>
    <cellStyle name="Percent 3 2 4 2" xfId="2949"/>
    <cellStyle name="Percent 3 2 4 2 2" xfId="2950"/>
    <cellStyle name="Percent 3 2 4 2 2 2" xfId="2951"/>
    <cellStyle name="Percent 3 2 4 2 2 3" xfId="2952"/>
    <cellStyle name="Percent 3 2 4 2 2_FC with allocations" xfId="31064"/>
    <cellStyle name="Percent 3 2 4 2 3" xfId="2953"/>
    <cellStyle name="Percent 3 2 4 2 4" xfId="2954"/>
    <cellStyle name="Percent 3 2 4 2 5" xfId="15929"/>
    <cellStyle name="Percent 3 2 4 2_FC with allocations" xfId="31063"/>
    <cellStyle name="Percent 3 2 4 3" xfId="2955"/>
    <cellStyle name="Percent 3 2 4 3 2" xfId="2956"/>
    <cellStyle name="Percent 3 2 4 3 3" xfId="2957"/>
    <cellStyle name="Percent 3 2 4 3_FC with allocations" xfId="31065"/>
    <cellStyle name="Percent 3 2 4 4" xfId="2958"/>
    <cellStyle name="Percent 3 2 4 5" xfId="2959"/>
    <cellStyle name="Percent 3 2 4 6" xfId="2960"/>
    <cellStyle name="Percent 3 2 4 7" xfId="15928"/>
    <cellStyle name="Percent 3 2 4_FC with allocations" xfId="31062"/>
    <cellStyle name="Percent 3 2 5" xfId="2961"/>
    <cellStyle name="Percent 3 2 5 2" xfId="2962"/>
    <cellStyle name="Percent 3 2 5 2 2" xfId="2963"/>
    <cellStyle name="Percent 3 2 5 2 3" xfId="2964"/>
    <cellStyle name="Percent 3 2 5 2_FC with allocations" xfId="31067"/>
    <cellStyle name="Percent 3 2 5 3" xfId="2965"/>
    <cellStyle name="Percent 3 2 5 4" xfId="2966"/>
    <cellStyle name="Percent 3 2 5 5" xfId="15930"/>
    <cellStyle name="Percent 3 2 5_FC with allocations" xfId="31066"/>
    <cellStyle name="Percent 3 2 6" xfId="2967"/>
    <cellStyle name="Percent 3 2 6 2" xfId="2968"/>
    <cellStyle name="Percent 3 2 6 3" xfId="2969"/>
    <cellStyle name="Percent 3 2 6_FC with allocations" xfId="31068"/>
    <cellStyle name="Percent 3 2 7" xfId="2970"/>
    <cellStyle name="Percent 3 2 8" xfId="2971"/>
    <cellStyle name="Percent 3 2 9" xfId="2972"/>
    <cellStyle name="Percent 3 2_FC with allocations" xfId="31049"/>
    <cellStyle name="Percent 3 3" xfId="2973"/>
    <cellStyle name="Percent 3 3 2" xfId="15932"/>
    <cellStyle name="Percent 3 3 2 2" xfId="15933"/>
    <cellStyle name="Percent 3 3 2 2 2" xfId="15934"/>
    <cellStyle name="Percent 3 3 2 2 2 2" xfId="15935"/>
    <cellStyle name="Percent 3 3 2 2 2_FC with allocations" xfId="31072"/>
    <cellStyle name="Percent 3 3 2 2 3" xfId="15936"/>
    <cellStyle name="Percent 3 3 2 2_FC with allocations" xfId="31071"/>
    <cellStyle name="Percent 3 3 2 3" xfId="15937"/>
    <cellStyle name="Percent 3 3 2 3 2" xfId="15938"/>
    <cellStyle name="Percent 3 3 2 3_FC with allocations" xfId="31073"/>
    <cellStyle name="Percent 3 3 2 4" xfId="15939"/>
    <cellStyle name="Percent 3 3 2_FC with allocations" xfId="31070"/>
    <cellStyle name="Percent 3 3 3" xfId="15940"/>
    <cellStyle name="Percent 3 3 3 2" xfId="15941"/>
    <cellStyle name="Percent 3 3 3 2 2" xfId="15942"/>
    <cellStyle name="Percent 3 3 3 2_FC with allocations" xfId="31075"/>
    <cellStyle name="Percent 3 3 3 3" xfId="15943"/>
    <cellStyle name="Percent 3 3 3_FC with allocations" xfId="31074"/>
    <cellStyle name="Percent 3 3 4" xfId="15944"/>
    <cellStyle name="Percent 3 3 4 2" xfId="15945"/>
    <cellStyle name="Percent 3 3 4_FC with allocations" xfId="31076"/>
    <cellStyle name="Percent 3 3 5" xfId="15946"/>
    <cellStyle name="Percent 3 3 6" xfId="15931"/>
    <cellStyle name="Percent 3 3_FC with allocations" xfId="31069"/>
    <cellStyle name="Percent 3 4" xfId="2974"/>
    <cellStyle name="Percent 3 4 2" xfId="2975"/>
    <cellStyle name="Percent 3 4 2 2" xfId="2976"/>
    <cellStyle name="Percent 3 4 2 2 2" xfId="2977"/>
    <cellStyle name="Percent 3 4 2 2 2 2" xfId="2978"/>
    <cellStyle name="Percent 3 4 2 2 2 2 2" xfId="15951"/>
    <cellStyle name="Percent 3 4 2 2 2 2_FC with allocations" xfId="31081"/>
    <cellStyle name="Percent 3 4 2 2 2 3" xfId="2979"/>
    <cellStyle name="Percent 3 4 2 2 2 4" xfId="15950"/>
    <cellStyle name="Percent 3 4 2 2 2_FC with allocations" xfId="31080"/>
    <cellStyle name="Percent 3 4 2 2 3" xfId="2980"/>
    <cellStyle name="Percent 3 4 2 2 3 2" xfId="15952"/>
    <cellStyle name="Percent 3 4 2 2 3_FC with allocations" xfId="31082"/>
    <cellStyle name="Percent 3 4 2 2 4" xfId="2981"/>
    <cellStyle name="Percent 3 4 2 2 5" xfId="15949"/>
    <cellStyle name="Percent 3 4 2 2_FC with allocations" xfId="31079"/>
    <cellStyle name="Percent 3 4 2 3" xfId="2982"/>
    <cellStyle name="Percent 3 4 2 3 2" xfId="2983"/>
    <cellStyle name="Percent 3 4 2 3 2 2" xfId="15954"/>
    <cellStyle name="Percent 3 4 2 3 2_FC with allocations" xfId="31084"/>
    <cellStyle name="Percent 3 4 2 3 3" xfId="2984"/>
    <cellStyle name="Percent 3 4 2 3 4" xfId="15953"/>
    <cellStyle name="Percent 3 4 2 3_FC with allocations" xfId="31083"/>
    <cellStyle name="Percent 3 4 2 4" xfId="2985"/>
    <cellStyle name="Percent 3 4 2 4 2" xfId="15955"/>
    <cellStyle name="Percent 3 4 2 4_FC with allocations" xfId="31085"/>
    <cellStyle name="Percent 3 4 2 5" xfId="2986"/>
    <cellStyle name="Percent 3 4 2 6" xfId="2987"/>
    <cellStyle name="Percent 3 4 2 7" xfId="15948"/>
    <cellStyle name="Percent 3 4 2_FC with allocations" xfId="31078"/>
    <cellStyle name="Percent 3 4 3" xfId="2988"/>
    <cellStyle name="Percent 3 4 3 2" xfId="2989"/>
    <cellStyle name="Percent 3 4 3 2 2" xfId="2990"/>
    <cellStyle name="Percent 3 4 3 2 2 2" xfId="15958"/>
    <cellStyle name="Percent 3 4 3 2 2_FC with allocations" xfId="31088"/>
    <cellStyle name="Percent 3 4 3 2 3" xfId="2991"/>
    <cellStyle name="Percent 3 4 3 2 4" xfId="15957"/>
    <cellStyle name="Percent 3 4 3 2_FC with allocations" xfId="31087"/>
    <cellStyle name="Percent 3 4 3 3" xfId="2992"/>
    <cellStyle name="Percent 3 4 3 3 2" xfId="15959"/>
    <cellStyle name="Percent 3 4 3 3_FC with allocations" xfId="31089"/>
    <cellStyle name="Percent 3 4 3 4" xfId="2993"/>
    <cellStyle name="Percent 3 4 3 5" xfId="15956"/>
    <cellStyle name="Percent 3 4 3_FC with allocations" xfId="31086"/>
    <cellStyle name="Percent 3 4 4" xfId="2994"/>
    <cellStyle name="Percent 3 4 4 2" xfId="2995"/>
    <cellStyle name="Percent 3 4 4 2 2" xfId="15961"/>
    <cellStyle name="Percent 3 4 4 2_FC with allocations" xfId="31091"/>
    <cellStyle name="Percent 3 4 4 3" xfId="2996"/>
    <cellStyle name="Percent 3 4 4 4" xfId="15960"/>
    <cellStyle name="Percent 3 4 4_FC with allocations" xfId="31090"/>
    <cellStyle name="Percent 3 4 5" xfId="2997"/>
    <cellStyle name="Percent 3 4 5 2" xfId="15962"/>
    <cellStyle name="Percent 3 4 5_FC with allocations" xfId="31092"/>
    <cellStyle name="Percent 3 4 6" xfId="2998"/>
    <cellStyle name="Percent 3 4 7" xfId="2999"/>
    <cellStyle name="Percent 3 4 8" xfId="15947"/>
    <cellStyle name="Percent 3 4_FC with allocations" xfId="31077"/>
    <cellStyle name="Percent 3 5" xfId="3000"/>
    <cellStyle name="Percent 3 5 2" xfId="3001"/>
    <cellStyle name="Percent 3 5 2 2" xfId="3002"/>
    <cellStyle name="Percent 3 5 2 2 2" xfId="3003"/>
    <cellStyle name="Percent 3 5 2 2 2 2" xfId="15966"/>
    <cellStyle name="Percent 3 5 2 2 2_FC with allocations" xfId="31096"/>
    <cellStyle name="Percent 3 5 2 2 3" xfId="3004"/>
    <cellStyle name="Percent 3 5 2 2 4" xfId="15965"/>
    <cellStyle name="Percent 3 5 2 2_FC with allocations" xfId="31095"/>
    <cellStyle name="Percent 3 5 2 3" xfId="3005"/>
    <cellStyle name="Percent 3 5 2 3 2" xfId="15967"/>
    <cellStyle name="Percent 3 5 2 3_FC with allocations" xfId="31097"/>
    <cellStyle name="Percent 3 5 2 4" xfId="3006"/>
    <cellStyle name="Percent 3 5 2 5" xfId="15964"/>
    <cellStyle name="Percent 3 5 2_FC with allocations" xfId="31094"/>
    <cellStyle name="Percent 3 5 3" xfId="3007"/>
    <cellStyle name="Percent 3 5 3 2" xfId="3008"/>
    <cellStyle name="Percent 3 5 3 2 2" xfId="15969"/>
    <cellStyle name="Percent 3 5 3 2_FC with allocations" xfId="31099"/>
    <cellStyle name="Percent 3 5 3 3" xfId="3009"/>
    <cellStyle name="Percent 3 5 3 4" xfId="15968"/>
    <cellStyle name="Percent 3 5 3_FC with allocations" xfId="31098"/>
    <cellStyle name="Percent 3 5 4" xfId="3010"/>
    <cellStyle name="Percent 3 5 4 2" xfId="15970"/>
    <cellStyle name="Percent 3 5 4_FC with allocations" xfId="31100"/>
    <cellStyle name="Percent 3 5 5" xfId="3011"/>
    <cellStyle name="Percent 3 5 6" xfId="3012"/>
    <cellStyle name="Percent 3 5 7" xfId="15963"/>
    <cellStyle name="Percent 3 5_FC with allocations" xfId="31093"/>
    <cellStyle name="Percent 3 6" xfId="3013"/>
    <cellStyle name="Percent 3 6 2" xfId="3014"/>
    <cellStyle name="Percent 3 6 2 2" xfId="3015"/>
    <cellStyle name="Percent 3 6 2 2 2" xfId="3016"/>
    <cellStyle name="Percent 3 6 2 2 3" xfId="3017"/>
    <cellStyle name="Percent 3 6 2 2 4" xfId="15973"/>
    <cellStyle name="Percent 3 6 2 2_FC with allocations" xfId="31103"/>
    <cellStyle name="Percent 3 6 2 3" xfId="3018"/>
    <cellStyle name="Percent 3 6 2 4" xfId="3019"/>
    <cellStyle name="Percent 3 6 2 5" xfId="15972"/>
    <cellStyle name="Percent 3 6 2_FC with allocations" xfId="31102"/>
    <cellStyle name="Percent 3 6 3" xfId="3020"/>
    <cellStyle name="Percent 3 6 3 2" xfId="3021"/>
    <cellStyle name="Percent 3 6 3 3" xfId="3022"/>
    <cellStyle name="Percent 3 6 3 4" xfId="15974"/>
    <cellStyle name="Percent 3 6 3_FC with allocations" xfId="31104"/>
    <cellStyle name="Percent 3 6 4" xfId="3023"/>
    <cellStyle name="Percent 3 6 5" xfId="3024"/>
    <cellStyle name="Percent 3 6 6" xfId="3025"/>
    <cellStyle name="Percent 3 6 7" xfId="15971"/>
    <cellStyle name="Percent 3 6_FC with allocations" xfId="31101"/>
    <cellStyle name="Percent 3 7" xfId="3026"/>
    <cellStyle name="Percent 3 7 2" xfId="3027"/>
    <cellStyle name="Percent 3 7 2 2" xfId="3028"/>
    <cellStyle name="Percent 3 7 2 2 2" xfId="15977"/>
    <cellStyle name="Percent 3 7 2 2_FC with allocations" xfId="31107"/>
    <cellStyle name="Percent 3 7 2 3" xfId="3029"/>
    <cellStyle name="Percent 3 7 2 4" xfId="15976"/>
    <cellStyle name="Percent 3 7 2_FC with allocations" xfId="31106"/>
    <cellStyle name="Percent 3 7 3" xfId="3030"/>
    <cellStyle name="Percent 3 7 3 2" xfId="15978"/>
    <cellStyle name="Percent 3 7 3_FC with allocations" xfId="31108"/>
    <cellStyle name="Percent 3 7 4" xfId="3031"/>
    <cellStyle name="Percent 3 7 5" xfId="15975"/>
    <cellStyle name="Percent 3 7_FC with allocations" xfId="31105"/>
    <cellStyle name="Percent 3 8" xfId="3032"/>
    <cellStyle name="Percent 3 8 2" xfId="3033"/>
    <cellStyle name="Percent 3 8 2 2" xfId="15981"/>
    <cellStyle name="Percent 3 8 2 3" xfId="15980"/>
    <cellStyle name="Percent 3 8 2_FC with allocations" xfId="31110"/>
    <cellStyle name="Percent 3 8 3" xfId="3034"/>
    <cellStyle name="Percent 3 8 3 2" xfId="15982"/>
    <cellStyle name="Percent 3 8 3_FC with allocations" xfId="31111"/>
    <cellStyle name="Percent 3 8 4" xfId="15979"/>
    <cellStyle name="Percent 3 8_FC with allocations" xfId="31109"/>
    <cellStyle name="Percent 3 9" xfId="3035"/>
    <cellStyle name="Percent 3_FC with allocations" xfId="31048"/>
    <cellStyle name="Percent 30" xfId="3036"/>
    <cellStyle name="Percent 30 2" xfId="15983"/>
    <cellStyle name="Percent 30_FC with allocations" xfId="31112"/>
    <cellStyle name="Percent 31" xfId="3037"/>
    <cellStyle name="Percent 31 2" xfId="15984"/>
    <cellStyle name="Percent 31_FC with allocations" xfId="31113"/>
    <cellStyle name="Percent 32" xfId="3038"/>
    <cellStyle name="Percent 32 2" xfId="15985"/>
    <cellStyle name="Percent 32_FC with allocations" xfId="31114"/>
    <cellStyle name="Percent 33" xfId="3039"/>
    <cellStyle name="Percent 33 2" xfId="15986"/>
    <cellStyle name="Percent 33_FC with allocations" xfId="31115"/>
    <cellStyle name="Percent 34" xfId="3040"/>
    <cellStyle name="Percent 34 2" xfId="15987"/>
    <cellStyle name="Percent 34_FC with allocations" xfId="31116"/>
    <cellStyle name="Percent 35" xfId="3041"/>
    <cellStyle name="Percent 35 2" xfId="15988"/>
    <cellStyle name="Percent 35_FC with allocations" xfId="31117"/>
    <cellStyle name="Percent 36" xfId="3042"/>
    <cellStyle name="Percent 36 2" xfId="15989"/>
    <cellStyle name="Percent 36_FC with allocations" xfId="31118"/>
    <cellStyle name="Percent 37" xfId="3043"/>
    <cellStyle name="Percent 37 2" xfId="15990"/>
    <cellStyle name="Percent 37_FC with allocations" xfId="31119"/>
    <cellStyle name="Percent 38" xfId="3044"/>
    <cellStyle name="Percent 38 2" xfId="15991"/>
    <cellStyle name="Percent 38_FC with allocations" xfId="31120"/>
    <cellStyle name="Percent 39" xfId="3045"/>
    <cellStyle name="Percent 39 2" xfId="15992"/>
    <cellStyle name="Percent 39_FC with allocations" xfId="31121"/>
    <cellStyle name="Percent 4" xfId="3046"/>
    <cellStyle name="Percent 4 10" xfId="3047"/>
    <cellStyle name="Percent 4 11" xfId="3048"/>
    <cellStyle name="Percent 4 12" xfId="3049"/>
    <cellStyle name="Percent 4 13" xfId="3050"/>
    <cellStyle name="Percent 4 14" xfId="3051"/>
    <cellStyle name="Percent 4 15" xfId="3052"/>
    <cellStyle name="Percent 4 16" xfId="15993"/>
    <cellStyle name="Percent 4 2" xfId="3053"/>
    <cellStyle name="Percent 4 2 10" xfId="3054"/>
    <cellStyle name="Percent 4 2 11" xfId="3055"/>
    <cellStyle name="Percent 4 2 12" xfId="3056"/>
    <cellStyle name="Percent 4 2 13" xfId="3057"/>
    <cellStyle name="Percent 4 2 14" xfId="3058"/>
    <cellStyle name="Percent 4 2 15" xfId="3059"/>
    <cellStyle name="Percent 4 2 16" xfId="4497"/>
    <cellStyle name="Percent 4 2 16 10" xfId="19913"/>
    <cellStyle name="Percent 4 2 16 11" xfId="21906"/>
    <cellStyle name="Percent 4 2 16 2" xfId="4802"/>
    <cellStyle name="Percent 4 2 16 2 2" xfId="16680"/>
    <cellStyle name="Percent 4 2 16 2 2 2" xfId="18702"/>
    <cellStyle name="Percent 4 2 16 2 2 2 2" xfId="19721"/>
    <cellStyle name="Percent 4 2 16 2 2 2 2 2" xfId="21731"/>
    <cellStyle name="Percent 4 2 16 2 2 2 2 3" xfId="23889"/>
    <cellStyle name="Percent 4 2 16 2 2 2 2_FC with allocations" xfId="31128"/>
    <cellStyle name="Percent 4 2 16 2 2 2 3" xfId="20855"/>
    <cellStyle name="Percent 4 2 16 2 2 2 4" xfId="23012"/>
    <cellStyle name="Percent 4 2 16 2 2 2_FC with allocations" xfId="31127"/>
    <cellStyle name="Percent 4 2 16 2 2 3" xfId="19189"/>
    <cellStyle name="Percent 4 2 16 2 2 3 2" xfId="21322"/>
    <cellStyle name="Percent 4 2 16 2 2 3 3" xfId="23479"/>
    <cellStyle name="Percent 4 2 16 2 2 3_FC with allocations" xfId="31129"/>
    <cellStyle name="Percent 4 2 16 2 2 4" xfId="20240"/>
    <cellStyle name="Percent 4 2 16 2 2 5" xfId="22357"/>
    <cellStyle name="Percent 4 2 16 2 2_FC with allocations" xfId="31126"/>
    <cellStyle name="Percent 4 2 16 2 3" xfId="18265"/>
    <cellStyle name="Percent 4 2 16 2 3 2" xfId="19556"/>
    <cellStyle name="Percent 4 2 16 2 3 2 2" xfId="21566"/>
    <cellStyle name="Percent 4 2 16 2 3 2 3" xfId="23724"/>
    <cellStyle name="Percent 4 2 16 2 3 2_FC with allocations" xfId="31131"/>
    <cellStyle name="Percent 4 2 16 2 3 3" xfId="20689"/>
    <cellStyle name="Percent 4 2 16 2 3 4" xfId="22831"/>
    <cellStyle name="Percent 4 2 16 2 3_FC with allocations" xfId="31130"/>
    <cellStyle name="Percent 4 2 16 2 4" xfId="17960"/>
    <cellStyle name="Percent 4 2 16 2 4 2" xfId="20417"/>
    <cellStyle name="Percent 4 2 16 2 4 3" xfId="22557"/>
    <cellStyle name="Percent 4 2 16 2 4_FC with allocations" xfId="31132"/>
    <cellStyle name="Percent 4 2 16 2 5" xfId="18921"/>
    <cellStyle name="Percent 4 2 16 2 5 2" xfId="21073"/>
    <cellStyle name="Percent 4 2 16 2 5 3" xfId="23230"/>
    <cellStyle name="Percent 4 2 16 2 5_FC with allocations" xfId="31133"/>
    <cellStyle name="Percent 4 2 16 2 6" xfId="20072"/>
    <cellStyle name="Percent 4 2 16 2 7" xfId="22067"/>
    <cellStyle name="Percent 4 2 16 2_FC with allocations" xfId="31125"/>
    <cellStyle name="Percent 4 2 16 3" xfId="16627"/>
    <cellStyle name="Percent 4 2 16 3 2" xfId="18649"/>
    <cellStyle name="Percent 4 2 16 3 2 2" xfId="19668"/>
    <cellStyle name="Percent 4 2 16 3 2 2 2" xfId="21678"/>
    <cellStyle name="Percent 4 2 16 3 2 2 3" xfId="23836"/>
    <cellStyle name="Percent 4 2 16 3 2 2_FC with allocations" xfId="31136"/>
    <cellStyle name="Percent 4 2 16 3 2 3" xfId="20802"/>
    <cellStyle name="Percent 4 2 16 3 2 4" xfId="22959"/>
    <cellStyle name="Percent 4 2 16 3 2_FC with allocations" xfId="31135"/>
    <cellStyle name="Percent 4 2 16 3 3" xfId="18016"/>
    <cellStyle name="Percent 4 2 16 3 3 2" xfId="20470"/>
    <cellStyle name="Percent 4 2 16 3 3 3" xfId="22610"/>
    <cellStyle name="Percent 4 2 16 3 3_FC with allocations" xfId="31137"/>
    <cellStyle name="Percent 4 2 16 3 4" xfId="19135"/>
    <cellStyle name="Percent 4 2 16 3 4 2" xfId="21268"/>
    <cellStyle name="Percent 4 2 16 3 4 3" xfId="23425"/>
    <cellStyle name="Percent 4 2 16 3 4_FC with allocations" xfId="31138"/>
    <cellStyle name="Percent 4 2 16 3 5" xfId="20187"/>
    <cellStyle name="Percent 4 2 16 3 6" xfId="22304"/>
    <cellStyle name="Percent 4 2 16 3_FC with allocations" xfId="31134"/>
    <cellStyle name="Percent 4 2 16 4" xfId="4702"/>
    <cellStyle name="Percent 4 2 16 4 2" xfId="18212"/>
    <cellStyle name="Percent 4 2 16 4 2 2" xfId="19503"/>
    <cellStyle name="Percent 4 2 16 4 2 2 2" xfId="21513"/>
    <cellStyle name="Percent 4 2 16 4 2 2 3" xfId="23671"/>
    <cellStyle name="Percent 4 2 16 4 2 2_FC with allocations" xfId="31141"/>
    <cellStyle name="Percent 4 2 16 4 2 3" xfId="20636"/>
    <cellStyle name="Percent 4 2 16 4 2 4" xfId="22778"/>
    <cellStyle name="Percent 4 2 16 4 2_FC with allocations" xfId="31140"/>
    <cellStyle name="Percent 4 2 16 4 3" xfId="19064"/>
    <cellStyle name="Percent 4 2 16 4 3 2" xfId="21205"/>
    <cellStyle name="Percent 4 2 16 4 3 3" xfId="23362"/>
    <cellStyle name="Percent 4 2 16 4 3_FC with allocations" xfId="31142"/>
    <cellStyle name="Percent 4 2 16 4 4" xfId="20019"/>
    <cellStyle name="Percent 4 2 16 4 5" xfId="22014"/>
    <cellStyle name="Percent 4 2 16 4_FC with allocations" xfId="31139"/>
    <cellStyle name="Percent 4 2 16 5" xfId="16758"/>
    <cellStyle name="Percent 4 2 16 5 2" xfId="18762"/>
    <cellStyle name="Percent 4 2 16 5 2 2" xfId="20915"/>
    <cellStyle name="Percent 4 2 16 5 2 3" xfId="23072"/>
    <cellStyle name="Percent 4 2 16 5 2_FC with allocations" xfId="31144"/>
    <cellStyle name="Percent 4 2 16 5 3" xfId="19782"/>
    <cellStyle name="Percent 4 2 16 5 3 2" xfId="21792"/>
    <cellStyle name="Percent 4 2 16 5 3 3" xfId="23950"/>
    <cellStyle name="Percent 4 2 16 5 3_FC with allocations" xfId="31145"/>
    <cellStyle name="Percent 4 2 16 5 4" xfId="20301"/>
    <cellStyle name="Percent 4 2 16 5 5" xfId="22429"/>
    <cellStyle name="Percent 4 2 16 5_FC with allocations" xfId="31143"/>
    <cellStyle name="Percent 4 2 16 6" xfId="18078"/>
    <cellStyle name="Percent 4 2 16 6 2" xfId="19397"/>
    <cellStyle name="Percent 4 2 16 6 2 2" xfId="21407"/>
    <cellStyle name="Percent 4 2 16 6 2 3" xfId="23565"/>
    <cellStyle name="Percent 4 2 16 6 2_FC with allocations" xfId="31147"/>
    <cellStyle name="Percent 4 2 16 6 3" xfId="20530"/>
    <cellStyle name="Percent 4 2 16 6 4" xfId="22672"/>
    <cellStyle name="Percent 4 2 16 6_FC with allocations" xfId="31146"/>
    <cellStyle name="Percent 4 2 16 7" xfId="17386"/>
    <cellStyle name="Percent 4 2 16 8" xfId="18868"/>
    <cellStyle name="Percent 4 2 16 8 2" xfId="21020"/>
    <cellStyle name="Percent 4 2 16 8 3" xfId="23177"/>
    <cellStyle name="Percent 4 2 16 8_FC with allocations" xfId="31148"/>
    <cellStyle name="Percent 4 2 16 9" xfId="19836"/>
    <cellStyle name="Percent 4 2 16 9 2" xfId="21845"/>
    <cellStyle name="Percent 4 2 16 9 3" xfId="24003"/>
    <cellStyle name="Percent 4 2 16 9_FC with allocations" xfId="31149"/>
    <cellStyle name="Percent 4 2 16_FC with allocations" xfId="31124"/>
    <cellStyle name="Percent 4 2 17" xfId="4610"/>
    <cellStyle name="Percent 4 2 18" xfId="15994"/>
    <cellStyle name="Percent 4 2 19" xfId="16570"/>
    <cellStyle name="Percent 4 2 19 2" xfId="18595"/>
    <cellStyle name="Percent 4 2 19 2 2" xfId="19614"/>
    <cellStyle name="Percent 4 2 19 2 2 2" xfId="21624"/>
    <cellStyle name="Percent 4 2 19 2 2 3" xfId="23782"/>
    <cellStyle name="Percent 4 2 19 2 2_FC with allocations" xfId="31152"/>
    <cellStyle name="Percent 4 2 19 2 3" xfId="20748"/>
    <cellStyle name="Percent 4 2 19 2 4" xfId="22905"/>
    <cellStyle name="Percent 4 2 19 2_FC with allocations" xfId="31151"/>
    <cellStyle name="Percent 4 2 19 3" xfId="19029"/>
    <cellStyle name="Percent 4 2 19 3 2" xfId="21172"/>
    <cellStyle name="Percent 4 2 19 3 3" xfId="23329"/>
    <cellStyle name="Percent 4 2 19 3_FC with allocations" xfId="31153"/>
    <cellStyle name="Percent 4 2 19 4" xfId="20133"/>
    <cellStyle name="Percent 4 2 19 5" xfId="22249"/>
    <cellStyle name="Percent 4 2 19_FC with allocations" xfId="31150"/>
    <cellStyle name="Percent 4 2 2" xfId="3060"/>
    <cellStyle name="Percent 4 2 2 10" xfId="3061"/>
    <cellStyle name="Percent 4 2 2 11" xfId="3062"/>
    <cellStyle name="Percent 4 2 2 12" xfId="3063"/>
    <cellStyle name="Percent 4 2 2 13" xfId="3064"/>
    <cellStyle name="Percent 4 2 2 14" xfId="3065"/>
    <cellStyle name="Percent 4 2 2 15" xfId="4498"/>
    <cellStyle name="Percent 4 2 2 15 10" xfId="19914"/>
    <cellStyle name="Percent 4 2 2 15 11" xfId="21907"/>
    <cellStyle name="Percent 4 2 2 15 2" xfId="4803"/>
    <cellStyle name="Percent 4 2 2 15 2 2" xfId="16681"/>
    <cellStyle name="Percent 4 2 2 15 2 2 2" xfId="18703"/>
    <cellStyle name="Percent 4 2 2 15 2 2 2 2" xfId="19722"/>
    <cellStyle name="Percent 4 2 2 15 2 2 2 2 2" xfId="21732"/>
    <cellStyle name="Percent 4 2 2 15 2 2 2 2 3" xfId="23890"/>
    <cellStyle name="Percent 4 2 2 15 2 2 2 2_FC with allocations" xfId="31159"/>
    <cellStyle name="Percent 4 2 2 15 2 2 2 3" xfId="20856"/>
    <cellStyle name="Percent 4 2 2 15 2 2 2 4" xfId="23013"/>
    <cellStyle name="Percent 4 2 2 15 2 2 2_FC with allocations" xfId="31158"/>
    <cellStyle name="Percent 4 2 2 15 2 2 3" xfId="19190"/>
    <cellStyle name="Percent 4 2 2 15 2 2 3 2" xfId="21323"/>
    <cellStyle name="Percent 4 2 2 15 2 2 3 3" xfId="23480"/>
    <cellStyle name="Percent 4 2 2 15 2 2 3_FC with allocations" xfId="31160"/>
    <cellStyle name="Percent 4 2 2 15 2 2 4" xfId="20241"/>
    <cellStyle name="Percent 4 2 2 15 2 2 5" xfId="22358"/>
    <cellStyle name="Percent 4 2 2 15 2 2_FC with allocations" xfId="31157"/>
    <cellStyle name="Percent 4 2 2 15 2 3" xfId="18266"/>
    <cellStyle name="Percent 4 2 2 15 2 3 2" xfId="19557"/>
    <cellStyle name="Percent 4 2 2 15 2 3 2 2" xfId="21567"/>
    <cellStyle name="Percent 4 2 2 15 2 3 2 3" xfId="23725"/>
    <cellStyle name="Percent 4 2 2 15 2 3 2_FC with allocations" xfId="31162"/>
    <cellStyle name="Percent 4 2 2 15 2 3 3" xfId="20690"/>
    <cellStyle name="Percent 4 2 2 15 2 3 4" xfId="22832"/>
    <cellStyle name="Percent 4 2 2 15 2 3_FC with allocations" xfId="31161"/>
    <cellStyle name="Percent 4 2 2 15 2 4" xfId="17961"/>
    <cellStyle name="Percent 4 2 2 15 2 4 2" xfId="20418"/>
    <cellStyle name="Percent 4 2 2 15 2 4 3" xfId="22558"/>
    <cellStyle name="Percent 4 2 2 15 2 4_FC with allocations" xfId="31163"/>
    <cellStyle name="Percent 4 2 2 15 2 5" xfId="18922"/>
    <cellStyle name="Percent 4 2 2 15 2 5 2" xfId="21074"/>
    <cellStyle name="Percent 4 2 2 15 2 5 3" xfId="23231"/>
    <cellStyle name="Percent 4 2 2 15 2 5_FC with allocations" xfId="31164"/>
    <cellStyle name="Percent 4 2 2 15 2 6" xfId="20073"/>
    <cellStyle name="Percent 4 2 2 15 2 7" xfId="22068"/>
    <cellStyle name="Percent 4 2 2 15 2_FC with allocations" xfId="31156"/>
    <cellStyle name="Percent 4 2 2 15 3" xfId="16628"/>
    <cellStyle name="Percent 4 2 2 15 3 2" xfId="18650"/>
    <cellStyle name="Percent 4 2 2 15 3 2 2" xfId="19669"/>
    <cellStyle name="Percent 4 2 2 15 3 2 2 2" xfId="21679"/>
    <cellStyle name="Percent 4 2 2 15 3 2 2 3" xfId="23837"/>
    <cellStyle name="Percent 4 2 2 15 3 2 2_FC with allocations" xfId="31167"/>
    <cellStyle name="Percent 4 2 2 15 3 2 3" xfId="20803"/>
    <cellStyle name="Percent 4 2 2 15 3 2 4" xfId="22960"/>
    <cellStyle name="Percent 4 2 2 15 3 2_FC with allocations" xfId="31166"/>
    <cellStyle name="Percent 4 2 2 15 3 3" xfId="18017"/>
    <cellStyle name="Percent 4 2 2 15 3 3 2" xfId="20471"/>
    <cellStyle name="Percent 4 2 2 15 3 3 3" xfId="22611"/>
    <cellStyle name="Percent 4 2 2 15 3 3_FC with allocations" xfId="31168"/>
    <cellStyle name="Percent 4 2 2 15 3 4" xfId="19136"/>
    <cellStyle name="Percent 4 2 2 15 3 4 2" xfId="21269"/>
    <cellStyle name="Percent 4 2 2 15 3 4 3" xfId="23426"/>
    <cellStyle name="Percent 4 2 2 15 3 4_FC with allocations" xfId="31169"/>
    <cellStyle name="Percent 4 2 2 15 3 5" xfId="20188"/>
    <cellStyle name="Percent 4 2 2 15 3 6" xfId="22305"/>
    <cellStyle name="Percent 4 2 2 15 3_FC with allocations" xfId="31165"/>
    <cellStyle name="Percent 4 2 2 15 4" xfId="4703"/>
    <cellStyle name="Percent 4 2 2 15 4 2" xfId="18213"/>
    <cellStyle name="Percent 4 2 2 15 4 2 2" xfId="19504"/>
    <cellStyle name="Percent 4 2 2 15 4 2 2 2" xfId="21514"/>
    <cellStyle name="Percent 4 2 2 15 4 2 2 3" xfId="23672"/>
    <cellStyle name="Percent 4 2 2 15 4 2 2_FC with allocations" xfId="31172"/>
    <cellStyle name="Percent 4 2 2 15 4 2 3" xfId="20637"/>
    <cellStyle name="Percent 4 2 2 15 4 2 4" xfId="22779"/>
    <cellStyle name="Percent 4 2 2 15 4 2_FC with allocations" xfId="31171"/>
    <cellStyle name="Percent 4 2 2 15 4 3" xfId="19086"/>
    <cellStyle name="Percent 4 2 2 15 4 3 2" xfId="21221"/>
    <cellStyle name="Percent 4 2 2 15 4 3 3" xfId="23378"/>
    <cellStyle name="Percent 4 2 2 15 4 3_FC with allocations" xfId="31173"/>
    <cellStyle name="Percent 4 2 2 15 4 4" xfId="20020"/>
    <cellStyle name="Percent 4 2 2 15 4 5" xfId="22015"/>
    <cellStyle name="Percent 4 2 2 15 4_FC with allocations" xfId="31170"/>
    <cellStyle name="Percent 4 2 2 15 5" xfId="16759"/>
    <cellStyle name="Percent 4 2 2 15 5 2" xfId="18763"/>
    <cellStyle name="Percent 4 2 2 15 5 2 2" xfId="20916"/>
    <cellStyle name="Percent 4 2 2 15 5 2 3" xfId="23073"/>
    <cellStyle name="Percent 4 2 2 15 5 2_FC with allocations" xfId="31175"/>
    <cellStyle name="Percent 4 2 2 15 5 3" xfId="19783"/>
    <cellStyle name="Percent 4 2 2 15 5 3 2" xfId="21793"/>
    <cellStyle name="Percent 4 2 2 15 5 3 3" xfId="23951"/>
    <cellStyle name="Percent 4 2 2 15 5 3_FC with allocations" xfId="31176"/>
    <cellStyle name="Percent 4 2 2 15 5 4" xfId="20302"/>
    <cellStyle name="Percent 4 2 2 15 5 5" xfId="22430"/>
    <cellStyle name="Percent 4 2 2 15 5_FC with allocations" xfId="31174"/>
    <cellStyle name="Percent 4 2 2 15 6" xfId="18079"/>
    <cellStyle name="Percent 4 2 2 15 6 2" xfId="19398"/>
    <cellStyle name="Percent 4 2 2 15 6 2 2" xfId="21408"/>
    <cellStyle name="Percent 4 2 2 15 6 2 3" xfId="23566"/>
    <cellStyle name="Percent 4 2 2 15 6 2_FC with allocations" xfId="31178"/>
    <cellStyle name="Percent 4 2 2 15 6 3" xfId="20531"/>
    <cellStyle name="Percent 4 2 2 15 6 4" xfId="22673"/>
    <cellStyle name="Percent 4 2 2 15 6_FC with allocations" xfId="31177"/>
    <cellStyle name="Percent 4 2 2 15 7" xfId="17387"/>
    <cellStyle name="Percent 4 2 2 15 8" xfId="18869"/>
    <cellStyle name="Percent 4 2 2 15 8 2" xfId="21021"/>
    <cellStyle name="Percent 4 2 2 15 8 3" xfId="23178"/>
    <cellStyle name="Percent 4 2 2 15 8_FC with allocations" xfId="31179"/>
    <cellStyle name="Percent 4 2 2 15 9" xfId="19837"/>
    <cellStyle name="Percent 4 2 2 15 9 2" xfId="21846"/>
    <cellStyle name="Percent 4 2 2 15 9 3" xfId="24004"/>
    <cellStyle name="Percent 4 2 2 15 9_FC with allocations" xfId="31180"/>
    <cellStyle name="Percent 4 2 2 15_FC with allocations" xfId="31155"/>
    <cellStyle name="Percent 4 2 2 16" xfId="4611"/>
    <cellStyle name="Percent 4 2 2 17" xfId="15995"/>
    <cellStyle name="Percent 4 2 2 18" xfId="16571"/>
    <cellStyle name="Percent 4 2 2 18 2" xfId="18596"/>
    <cellStyle name="Percent 4 2 2 18 2 2" xfId="19615"/>
    <cellStyle name="Percent 4 2 2 18 2 2 2" xfId="21625"/>
    <cellStyle name="Percent 4 2 2 18 2 2 3" xfId="23783"/>
    <cellStyle name="Percent 4 2 2 18 2 2_FC with allocations" xfId="31183"/>
    <cellStyle name="Percent 4 2 2 18 2 3" xfId="20749"/>
    <cellStyle name="Percent 4 2 2 18 2 4" xfId="22906"/>
    <cellStyle name="Percent 4 2 2 18 2_FC with allocations" xfId="31182"/>
    <cellStyle name="Percent 4 2 2 18 3" xfId="19030"/>
    <cellStyle name="Percent 4 2 2 18 3 2" xfId="21173"/>
    <cellStyle name="Percent 4 2 2 18 3 3" xfId="23330"/>
    <cellStyle name="Percent 4 2 2 18 3_FC with allocations" xfId="31184"/>
    <cellStyle name="Percent 4 2 2 18 4" xfId="20134"/>
    <cellStyle name="Percent 4 2 2 18 5" xfId="22250"/>
    <cellStyle name="Percent 4 2 2 18_FC with allocations" xfId="31181"/>
    <cellStyle name="Percent 4 2 2 19" xfId="4556"/>
    <cellStyle name="Percent 4 2 2 19 2" xfId="18131"/>
    <cellStyle name="Percent 4 2 2 19 2 2" xfId="19450"/>
    <cellStyle name="Percent 4 2 2 19 2 2 2" xfId="21460"/>
    <cellStyle name="Percent 4 2 2 19 2 2 3" xfId="23618"/>
    <cellStyle name="Percent 4 2 2 19 2 2_FC with allocations" xfId="31187"/>
    <cellStyle name="Percent 4 2 2 19 2 3" xfId="20583"/>
    <cellStyle name="Percent 4 2 2 19 2 4" xfId="22725"/>
    <cellStyle name="Percent 4 2 2 19 2_FC with allocations" xfId="31186"/>
    <cellStyle name="Percent 4 2 2 19 3" xfId="18981"/>
    <cellStyle name="Percent 4 2 2 19 3 2" xfId="21133"/>
    <cellStyle name="Percent 4 2 2 19 3 3" xfId="23290"/>
    <cellStyle name="Percent 4 2 2 19 3_FC with allocations" xfId="31188"/>
    <cellStyle name="Percent 4 2 2 19 4" xfId="19966"/>
    <cellStyle name="Percent 4 2 2 19 5" xfId="21961"/>
    <cellStyle name="Percent 4 2 2 19_FC with allocations" xfId="31185"/>
    <cellStyle name="Percent 4 2 2 2" xfId="3066"/>
    <cellStyle name="Percent 4 2 2 2 2" xfId="3067"/>
    <cellStyle name="Percent 4 2 2 2 2 2" xfId="3068"/>
    <cellStyle name="Percent 4 2 2 2 2 2 2" xfId="3069"/>
    <cellStyle name="Percent 4 2 2 2 2 2 2 2" xfId="3070"/>
    <cellStyle name="Percent 4 2 2 2 2 2 2 3" xfId="3071"/>
    <cellStyle name="Percent 4 2 2 2 2 2 2_FC with allocations" xfId="31192"/>
    <cellStyle name="Percent 4 2 2 2 2 2 3" xfId="3072"/>
    <cellStyle name="Percent 4 2 2 2 2 2 4" xfId="3073"/>
    <cellStyle name="Percent 4 2 2 2 2 2 5" xfId="15998"/>
    <cellStyle name="Percent 4 2 2 2 2 2_FC with allocations" xfId="31191"/>
    <cellStyle name="Percent 4 2 2 2 2 3" xfId="3074"/>
    <cellStyle name="Percent 4 2 2 2 2 3 2" xfId="3075"/>
    <cellStyle name="Percent 4 2 2 2 2 3 3" xfId="3076"/>
    <cellStyle name="Percent 4 2 2 2 2 3_FC with allocations" xfId="31193"/>
    <cellStyle name="Percent 4 2 2 2 2 4" xfId="3077"/>
    <cellStyle name="Percent 4 2 2 2 2 5" xfId="3078"/>
    <cellStyle name="Percent 4 2 2 2 2 6" xfId="3079"/>
    <cellStyle name="Percent 4 2 2 2 2 7" xfId="15997"/>
    <cellStyle name="Percent 4 2 2 2 2_FC with allocations" xfId="31190"/>
    <cellStyle name="Percent 4 2 2 2 3" xfId="3080"/>
    <cellStyle name="Percent 4 2 2 2 3 2" xfId="3081"/>
    <cellStyle name="Percent 4 2 2 2 3 2 2" xfId="3082"/>
    <cellStyle name="Percent 4 2 2 2 3 2 3" xfId="3083"/>
    <cellStyle name="Percent 4 2 2 2 3 2_FC with allocations" xfId="31195"/>
    <cellStyle name="Percent 4 2 2 2 3 3" xfId="3084"/>
    <cellStyle name="Percent 4 2 2 2 3 4" xfId="3085"/>
    <cellStyle name="Percent 4 2 2 2 3 5" xfId="15999"/>
    <cellStyle name="Percent 4 2 2 2 3_FC with allocations" xfId="31194"/>
    <cellStyle name="Percent 4 2 2 2 4" xfId="3086"/>
    <cellStyle name="Percent 4 2 2 2 4 2" xfId="3087"/>
    <cellStyle name="Percent 4 2 2 2 4 3" xfId="3088"/>
    <cellStyle name="Percent 4 2 2 2 4_FC with allocations" xfId="31196"/>
    <cellStyle name="Percent 4 2 2 2 5" xfId="3089"/>
    <cellStyle name="Percent 4 2 2 2 6" xfId="3090"/>
    <cellStyle name="Percent 4 2 2 2 7" xfId="3091"/>
    <cellStyle name="Percent 4 2 2 2 8" xfId="15996"/>
    <cellStyle name="Percent 4 2 2 2_FC with allocations" xfId="31189"/>
    <cellStyle name="Percent 4 2 2 20" xfId="16853"/>
    <cellStyle name="Percent 4 2 2 20 2" xfId="20355"/>
    <cellStyle name="Percent 4 2 2 20 3" xfId="22495"/>
    <cellStyle name="Percent 4 2 2 20_FC with allocations" xfId="31197"/>
    <cellStyle name="Percent 4 2 2 21" xfId="18815"/>
    <cellStyle name="Percent 4 2 2 21 2" xfId="20967"/>
    <cellStyle name="Percent 4 2 2 21 3" xfId="23124"/>
    <cellStyle name="Percent 4 2 2 21_FC with allocations" xfId="31198"/>
    <cellStyle name="Percent 4 2 2 3" xfId="3092"/>
    <cellStyle name="Percent 4 2 2 3 2" xfId="3093"/>
    <cellStyle name="Percent 4 2 2 3 2 2" xfId="3094"/>
    <cellStyle name="Percent 4 2 2 3 2 2 2" xfId="3095"/>
    <cellStyle name="Percent 4 2 2 3 2 2 3" xfId="3096"/>
    <cellStyle name="Percent 4 2 2 3 2 2_FC with allocations" xfId="31201"/>
    <cellStyle name="Percent 4 2 2 3 2 3" xfId="3097"/>
    <cellStyle name="Percent 4 2 2 3 2 4" xfId="3098"/>
    <cellStyle name="Percent 4 2 2 3 2 5" xfId="16001"/>
    <cellStyle name="Percent 4 2 2 3 2_FC with allocations" xfId="31200"/>
    <cellStyle name="Percent 4 2 2 3 3" xfId="3099"/>
    <cellStyle name="Percent 4 2 2 3 3 2" xfId="3100"/>
    <cellStyle name="Percent 4 2 2 3 3 3" xfId="3101"/>
    <cellStyle name="Percent 4 2 2 3 3_FC with allocations" xfId="31202"/>
    <cellStyle name="Percent 4 2 2 3 4" xfId="3102"/>
    <cellStyle name="Percent 4 2 2 3 5" xfId="3103"/>
    <cellStyle name="Percent 4 2 2 3 6" xfId="3104"/>
    <cellStyle name="Percent 4 2 2 3 7" xfId="16000"/>
    <cellStyle name="Percent 4 2 2 3_FC with allocations" xfId="31199"/>
    <cellStyle name="Percent 4 2 2 4" xfId="3105"/>
    <cellStyle name="Percent 4 2 2 4 2" xfId="3106"/>
    <cellStyle name="Percent 4 2 2 4 2 2" xfId="3107"/>
    <cellStyle name="Percent 4 2 2 4 2 2 2" xfId="3108"/>
    <cellStyle name="Percent 4 2 2 4 2 2 3" xfId="3109"/>
    <cellStyle name="Percent 4 2 2 4 2 2_FC with allocations" xfId="31205"/>
    <cellStyle name="Percent 4 2 2 4 2 3" xfId="3110"/>
    <cellStyle name="Percent 4 2 2 4 2 4" xfId="3111"/>
    <cellStyle name="Percent 4 2 2 4 2_FC with allocations" xfId="31204"/>
    <cellStyle name="Percent 4 2 2 4 3" xfId="3112"/>
    <cellStyle name="Percent 4 2 2 4 3 2" xfId="3113"/>
    <cellStyle name="Percent 4 2 2 4 3 3" xfId="3114"/>
    <cellStyle name="Percent 4 2 2 4 3_FC with allocations" xfId="31206"/>
    <cellStyle name="Percent 4 2 2 4 4" xfId="3115"/>
    <cellStyle name="Percent 4 2 2 4 5" xfId="3116"/>
    <cellStyle name="Percent 4 2 2 4 6" xfId="3117"/>
    <cellStyle name="Percent 4 2 2 4 7" xfId="16002"/>
    <cellStyle name="Percent 4 2 2 4_FC with allocations" xfId="31203"/>
    <cellStyle name="Percent 4 2 2 5" xfId="3118"/>
    <cellStyle name="Percent 4 2 2 5 2" xfId="3119"/>
    <cellStyle name="Percent 4 2 2 5 2 2" xfId="3120"/>
    <cellStyle name="Percent 4 2 2 5 2 3" xfId="3121"/>
    <cellStyle name="Percent 4 2 2 5 2_FC with allocations" xfId="31208"/>
    <cellStyle name="Percent 4 2 2 5 3" xfId="3122"/>
    <cellStyle name="Percent 4 2 2 5 4" xfId="3123"/>
    <cellStyle name="Percent 4 2 2 5_FC with allocations" xfId="31207"/>
    <cellStyle name="Percent 4 2 2 6" xfId="3124"/>
    <cellStyle name="Percent 4 2 2 6 2" xfId="3125"/>
    <cellStyle name="Percent 4 2 2 6 3" xfId="3126"/>
    <cellStyle name="Percent 4 2 2 6_FC with allocations" xfId="31209"/>
    <cellStyle name="Percent 4 2 2 7" xfId="3127"/>
    <cellStyle name="Percent 4 2 2 8" xfId="3128"/>
    <cellStyle name="Percent 4 2 2 9" xfId="3129"/>
    <cellStyle name="Percent 4 2 2_FC with allocations" xfId="31154"/>
    <cellStyle name="Percent 4 2 20" xfId="4555"/>
    <cellStyle name="Percent 4 2 20 2" xfId="18130"/>
    <cellStyle name="Percent 4 2 20 2 2" xfId="19449"/>
    <cellStyle name="Percent 4 2 20 2 2 2" xfId="21459"/>
    <cellStyle name="Percent 4 2 20 2 2 3" xfId="23617"/>
    <cellStyle name="Percent 4 2 20 2 2_FC with allocations" xfId="31212"/>
    <cellStyle name="Percent 4 2 20 2 3" xfId="20582"/>
    <cellStyle name="Percent 4 2 20 2 4" xfId="22724"/>
    <cellStyle name="Percent 4 2 20 2_FC with allocations" xfId="31211"/>
    <cellStyle name="Percent 4 2 20 3" xfId="18980"/>
    <cellStyle name="Percent 4 2 20 3 2" xfId="21132"/>
    <cellStyle name="Percent 4 2 20 3 3" xfId="23289"/>
    <cellStyle name="Percent 4 2 20 3_FC with allocations" xfId="31213"/>
    <cellStyle name="Percent 4 2 20 4" xfId="19965"/>
    <cellStyle name="Percent 4 2 20 5" xfId="21960"/>
    <cellStyle name="Percent 4 2 20_FC with allocations" xfId="31210"/>
    <cellStyle name="Percent 4 2 21" xfId="16852"/>
    <cellStyle name="Percent 4 2 21 2" xfId="20354"/>
    <cellStyle name="Percent 4 2 21 3" xfId="22494"/>
    <cellStyle name="Percent 4 2 21_FC with allocations" xfId="31214"/>
    <cellStyle name="Percent 4 2 22" xfId="18814"/>
    <cellStyle name="Percent 4 2 22 2" xfId="20966"/>
    <cellStyle name="Percent 4 2 22 3" xfId="23123"/>
    <cellStyle name="Percent 4 2 22_FC with allocations" xfId="31215"/>
    <cellStyle name="Percent 4 2 3" xfId="3130"/>
    <cellStyle name="Percent 4 2 3 2" xfId="3131"/>
    <cellStyle name="Percent 4 2 3 2 2" xfId="3132"/>
    <cellStyle name="Percent 4 2 3 2 2 2" xfId="3133"/>
    <cellStyle name="Percent 4 2 3 2 2 2 2" xfId="3134"/>
    <cellStyle name="Percent 4 2 3 2 2 2 3" xfId="3135"/>
    <cellStyle name="Percent 4 2 3 2 2 2_FC with allocations" xfId="31219"/>
    <cellStyle name="Percent 4 2 3 2 2 3" xfId="3136"/>
    <cellStyle name="Percent 4 2 3 2 2 4" xfId="3137"/>
    <cellStyle name="Percent 4 2 3 2 2 5" xfId="16005"/>
    <cellStyle name="Percent 4 2 3 2 2_FC with allocations" xfId="31218"/>
    <cellStyle name="Percent 4 2 3 2 3" xfId="3138"/>
    <cellStyle name="Percent 4 2 3 2 3 2" xfId="3139"/>
    <cellStyle name="Percent 4 2 3 2 3 3" xfId="3140"/>
    <cellStyle name="Percent 4 2 3 2 3_FC with allocations" xfId="31220"/>
    <cellStyle name="Percent 4 2 3 2 4" xfId="3141"/>
    <cellStyle name="Percent 4 2 3 2 5" xfId="3142"/>
    <cellStyle name="Percent 4 2 3 2 6" xfId="3143"/>
    <cellStyle name="Percent 4 2 3 2 7" xfId="16004"/>
    <cellStyle name="Percent 4 2 3 2_FC with allocations" xfId="31217"/>
    <cellStyle name="Percent 4 2 3 3" xfId="3144"/>
    <cellStyle name="Percent 4 2 3 3 2" xfId="3145"/>
    <cellStyle name="Percent 4 2 3 3 2 2" xfId="3146"/>
    <cellStyle name="Percent 4 2 3 3 2 3" xfId="3147"/>
    <cellStyle name="Percent 4 2 3 3 2_FC with allocations" xfId="31222"/>
    <cellStyle name="Percent 4 2 3 3 3" xfId="3148"/>
    <cellStyle name="Percent 4 2 3 3 4" xfId="3149"/>
    <cellStyle name="Percent 4 2 3 3 5" xfId="16006"/>
    <cellStyle name="Percent 4 2 3 3_FC with allocations" xfId="31221"/>
    <cellStyle name="Percent 4 2 3 4" xfId="3150"/>
    <cellStyle name="Percent 4 2 3 4 2" xfId="3151"/>
    <cellStyle name="Percent 4 2 3 4 3" xfId="3152"/>
    <cellStyle name="Percent 4 2 3 4_FC with allocations" xfId="31223"/>
    <cellStyle name="Percent 4 2 3 5" xfId="3153"/>
    <cellStyle name="Percent 4 2 3 6" xfId="3154"/>
    <cellStyle name="Percent 4 2 3 7" xfId="3155"/>
    <cellStyle name="Percent 4 2 3 8" xfId="16003"/>
    <cellStyle name="Percent 4 2 3_FC with allocations" xfId="31216"/>
    <cellStyle name="Percent 4 2 4" xfId="3156"/>
    <cellStyle name="Percent 4 2 4 2" xfId="3157"/>
    <cellStyle name="Percent 4 2 4 2 2" xfId="3158"/>
    <cellStyle name="Percent 4 2 4 2 2 2" xfId="3159"/>
    <cellStyle name="Percent 4 2 4 2 2 3" xfId="3160"/>
    <cellStyle name="Percent 4 2 4 2 2_FC with allocations" xfId="31226"/>
    <cellStyle name="Percent 4 2 4 2 3" xfId="3161"/>
    <cellStyle name="Percent 4 2 4 2 4" xfId="3162"/>
    <cellStyle name="Percent 4 2 4 2 5" xfId="16008"/>
    <cellStyle name="Percent 4 2 4 2_FC with allocations" xfId="31225"/>
    <cellStyle name="Percent 4 2 4 3" xfId="3163"/>
    <cellStyle name="Percent 4 2 4 3 2" xfId="3164"/>
    <cellStyle name="Percent 4 2 4 3 3" xfId="3165"/>
    <cellStyle name="Percent 4 2 4 3_FC with allocations" xfId="31227"/>
    <cellStyle name="Percent 4 2 4 4" xfId="3166"/>
    <cellStyle name="Percent 4 2 4 5" xfId="3167"/>
    <cellStyle name="Percent 4 2 4 6" xfId="3168"/>
    <cellStyle name="Percent 4 2 4 7" xfId="16007"/>
    <cellStyle name="Percent 4 2 4_FC with allocations" xfId="31224"/>
    <cellStyle name="Percent 4 2 5" xfId="3169"/>
    <cellStyle name="Percent 4 2 5 2" xfId="3170"/>
    <cellStyle name="Percent 4 2 5 2 2" xfId="3171"/>
    <cellStyle name="Percent 4 2 5 2 2 2" xfId="3172"/>
    <cellStyle name="Percent 4 2 5 2 2 3" xfId="3173"/>
    <cellStyle name="Percent 4 2 5 2 2_FC with allocations" xfId="31230"/>
    <cellStyle name="Percent 4 2 5 2 3" xfId="3174"/>
    <cellStyle name="Percent 4 2 5 2 4" xfId="3175"/>
    <cellStyle name="Percent 4 2 5 2_FC with allocations" xfId="31229"/>
    <cellStyle name="Percent 4 2 5 3" xfId="3176"/>
    <cellStyle name="Percent 4 2 5 3 2" xfId="3177"/>
    <cellStyle name="Percent 4 2 5 3 3" xfId="3178"/>
    <cellStyle name="Percent 4 2 5 3_FC with allocations" xfId="31231"/>
    <cellStyle name="Percent 4 2 5 4" xfId="3179"/>
    <cellStyle name="Percent 4 2 5 5" xfId="3180"/>
    <cellStyle name="Percent 4 2 5 6" xfId="3181"/>
    <cellStyle name="Percent 4 2 5 7" xfId="16009"/>
    <cellStyle name="Percent 4 2 5_FC with allocations" xfId="31228"/>
    <cellStyle name="Percent 4 2 6" xfId="3182"/>
    <cellStyle name="Percent 4 2 6 2" xfId="3183"/>
    <cellStyle name="Percent 4 2 6 2 2" xfId="3184"/>
    <cellStyle name="Percent 4 2 6 2 3" xfId="3185"/>
    <cellStyle name="Percent 4 2 6 2_FC with allocations" xfId="31233"/>
    <cellStyle name="Percent 4 2 6 3" xfId="3186"/>
    <cellStyle name="Percent 4 2 6 4" xfId="3187"/>
    <cellStyle name="Percent 4 2 6_FC with allocations" xfId="31232"/>
    <cellStyle name="Percent 4 2 7" xfId="3188"/>
    <cellStyle name="Percent 4 2 7 2" xfId="3189"/>
    <cellStyle name="Percent 4 2 7 3" xfId="3190"/>
    <cellStyle name="Percent 4 2 7_FC with allocations" xfId="31234"/>
    <cellStyle name="Percent 4 2 8" xfId="3191"/>
    <cellStyle name="Percent 4 2 9" xfId="3192"/>
    <cellStyle name="Percent 4 2_FC with allocations" xfId="31123"/>
    <cellStyle name="Percent 4 3" xfId="3193"/>
    <cellStyle name="Percent 4 3 10" xfId="3194"/>
    <cellStyle name="Percent 4 3 11" xfId="3195"/>
    <cellStyle name="Percent 4 3 12" xfId="3196"/>
    <cellStyle name="Percent 4 3 13" xfId="3197"/>
    <cellStyle name="Percent 4 3 14" xfId="3198"/>
    <cellStyle name="Percent 4 3 15" xfId="4499"/>
    <cellStyle name="Percent 4 3 15 10" xfId="19915"/>
    <cellStyle name="Percent 4 3 15 11" xfId="21908"/>
    <cellStyle name="Percent 4 3 15 2" xfId="4804"/>
    <cellStyle name="Percent 4 3 15 2 2" xfId="16682"/>
    <cellStyle name="Percent 4 3 15 2 2 2" xfId="18704"/>
    <cellStyle name="Percent 4 3 15 2 2 2 2" xfId="19723"/>
    <cellStyle name="Percent 4 3 15 2 2 2 2 2" xfId="21733"/>
    <cellStyle name="Percent 4 3 15 2 2 2 2 3" xfId="23891"/>
    <cellStyle name="Percent 4 3 15 2 2 2 2_FC with allocations" xfId="31240"/>
    <cellStyle name="Percent 4 3 15 2 2 2 3" xfId="20857"/>
    <cellStyle name="Percent 4 3 15 2 2 2 4" xfId="23014"/>
    <cellStyle name="Percent 4 3 15 2 2 2_FC with allocations" xfId="31239"/>
    <cellStyle name="Percent 4 3 15 2 2 3" xfId="19191"/>
    <cellStyle name="Percent 4 3 15 2 2 3 2" xfId="21324"/>
    <cellStyle name="Percent 4 3 15 2 2 3 3" xfId="23481"/>
    <cellStyle name="Percent 4 3 15 2 2 3_FC with allocations" xfId="31241"/>
    <cellStyle name="Percent 4 3 15 2 2 4" xfId="20242"/>
    <cellStyle name="Percent 4 3 15 2 2 5" xfId="22359"/>
    <cellStyle name="Percent 4 3 15 2 2_FC with allocations" xfId="31238"/>
    <cellStyle name="Percent 4 3 15 2 3" xfId="18267"/>
    <cellStyle name="Percent 4 3 15 2 3 2" xfId="19558"/>
    <cellStyle name="Percent 4 3 15 2 3 2 2" xfId="21568"/>
    <cellStyle name="Percent 4 3 15 2 3 2 3" xfId="23726"/>
    <cellStyle name="Percent 4 3 15 2 3 2_FC with allocations" xfId="31243"/>
    <cellStyle name="Percent 4 3 15 2 3 3" xfId="20691"/>
    <cellStyle name="Percent 4 3 15 2 3 4" xfId="22833"/>
    <cellStyle name="Percent 4 3 15 2 3_FC with allocations" xfId="31242"/>
    <cellStyle name="Percent 4 3 15 2 4" xfId="17962"/>
    <cellStyle name="Percent 4 3 15 2 4 2" xfId="20419"/>
    <cellStyle name="Percent 4 3 15 2 4 3" xfId="22559"/>
    <cellStyle name="Percent 4 3 15 2 4_FC with allocations" xfId="31244"/>
    <cellStyle name="Percent 4 3 15 2 5" xfId="18923"/>
    <cellStyle name="Percent 4 3 15 2 5 2" xfId="21075"/>
    <cellStyle name="Percent 4 3 15 2 5 3" xfId="23232"/>
    <cellStyle name="Percent 4 3 15 2 5_FC with allocations" xfId="31245"/>
    <cellStyle name="Percent 4 3 15 2 6" xfId="20074"/>
    <cellStyle name="Percent 4 3 15 2 7" xfId="22069"/>
    <cellStyle name="Percent 4 3 15 2_FC with allocations" xfId="31237"/>
    <cellStyle name="Percent 4 3 15 3" xfId="16629"/>
    <cellStyle name="Percent 4 3 15 3 2" xfId="18651"/>
    <cellStyle name="Percent 4 3 15 3 2 2" xfId="19670"/>
    <cellStyle name="Percent 4 3 15 3 2 2 2" xfId="21680"/>
    <cellStyle name="Percent 4 3 15 3 2 2 3" xfId="23838"/>
    <cellStyle name="Percent 4 3 15 3 2 2_FC with allocations" xfId="31248"/>
    <cellStyle name="Percent 4 3 15 3 2 3" xfId="20804"/>
    <cellStyle name="Percent 4 3 15 3 2 4" xfId="22961"/>
    <cellStyle name="Percent 4 3 15 3 2_FC with allocations" xfId="31247"/>
    <cellStyle name="Percent 4 3 15 3 3" xfId="18018"/>
    <cellStyle name="Percent 4 3 15 3 3 2" xfId="20472"/>
    <cellStyle name="Percent 4 3 15 3 3 3" xfId="22612"/>
    <cellStyle name="Percent 4 3 15 3 3_FC with allocations" xfId="31249"/>
    <cellStyle name="Percent 4 3 15 3 4" xfId="19137"/>
    <cellStyle name="Percent 4 3 15 3 4 2" xfId="21270"/>
    <cellStyle name="Percent 4 3 15 3 4 3" xfId="23427"/>
    <cellStyle name="Percent 4 3 15 3 4_FC with allocations" xfId="31250"/>
    <cellStyle name="Percent 4 3 15 3 5" xfId="20189"/>
    <cellStyle name="Percent 4 3 15 3 6" xfId="22306"/>
    <cellStyle name="Percent 4 3 15 3_FC with allocations" xfId="31246"/>
    <cellStyle name="Percent 4 3 15 4" xfId="4704"/>
    <cellStyle name="Percent 4 3 15 4 2" xfId="18214"/>
    <cellStyle name="Percent 4 3 15 4 2 2" xfId="19505"/>
    <cellStyle name="Percent 4 3 15 4 2 2 2" xfId="21515"/>
    <cellStyle name="Percent 4 3 15 4 2 2 3" xfId="23673"/>
    <cellStyle name="Percent 4 3 15 4 2 2_FC with allocations" xfId="31253"/>
    <cellStyle name="Percent 4 3 15 4 2 3" xfId="20638"/>
    <cellStyle name="Percent 4 3 15 4 2 4" xfId="22780"/>
    <cellStyle name="Percent 4 3 15 4 2_FC with allocations" xfId="31252"/>
    <cellStyle name="Percent 4 3 15 4 3" xfId="19216"/>
    <cellStyle name="Percent 4 3 15 4 3 2" xfId="21349"/>
    <cellStyle name="Percent 4 3 15 4 3 3" xfId="23506"/>
    <cellStyle name="Percent 4 3 15 4 3_FC with allocations" xfId="31254"/>
    <cellStyle name="Percent 4 3 15 4 4" xfId="20021"/>
    <cellStyle name="Percent 4 3 15 4 5" xfId="22016"/>
    <cellStyle name="Percent 4 3 15 4_FC with allocations" xfId="31251"/>
    <cellStyle name="Percent 4 3 15 5" xfId="16760"/>
    <cellStyle name="Percent 4 3 15 5 2" xfId="18764"/>
    <cellStyle name="Percent 4 3 15 5 2 2" xfId="20917"/>
    <cellStyle name="Percent 4 3 15 5 2 3" xfId="23074"/>
    <cellStyle name="Percent 4 3 15 5 2_FC with allocations" xfId="31256"/>
    <cellStyle name="Percent 4 3 15 5 3" xfId="19784"/>
    <cellStyle name="Percent 4 3 15 5 3 2" xfId="21794"/>
    <cellStyle name="Percent 4 3 15 5 3 3" xfId="23952"/>
    <cellStyle name="Percent 4 3 15 5 3_FC with allocations" xfId="31257"/>
    <cellStyle name="Percent 4 3 15 5 4" xfId="20303"/>
    <cellStyle name="Percent 4 3 15 5 5" xfId="22431"/>
    <cellStyle name="Percent 4 3 15 5_FC with allocations" xfId="31255"/>
    <cellStyle name="Percent 4 3 15 6" xfId="18080"/>
    <cellStyle name="Percent 4 3 15 6 2" xfId="19399"/>
    <cellStyle name="Percent 4 3 15 6 2 2" xfId="21409"/>
    <cellStyle name="Percent 4 3 15 6 2 3" xfId="23567"/>
    <cellStyle name="Percent 4 3 15 6 2_FC with allocations" xfId="31259"/>
    <cellStyle name="Percent 4 3 15 6 3" xfId="20532"/>
    <cellStyle name="Percent 4 3 15 6 4" xfId="22674"/>
    <cellStyle name="Percent 4 3 15 6_FC with allocations" xfId="31258"/>
    <cellStyle name="Percent 4 3 15 7" xfId="17388"/>
    <cellStyle name="Percent 4 3 15 8" xfId="18870"/>
    <cellStyle name="Percent 4 3 15 8 2" xfId="21022"/>
    <cellStyle name="Percent 4 3 15 8 3" xfId="23179"/>
    <cellStyle name="Percent 4 3 15 8_FC with allocations" xfId="31260"/>
    <cellStyle name="Percent 4 3 15 9" xfId="19838"/>
    <cellStyle name="Percent 4 3 15 9 2" xfId="21847"/>
    <cellStyle name="Percent 4 3 15 9 3" xfId="24005"/>
    <cellStyle name="Percent 4 3 15 9_FC with allocations" xfId="31261"/>
    <cellStyle name="Percent 4 3 15_FC with allocations" xfId="31236"/>
    <cellStyle name="Percent 4 3 16" xfId="4612"/>
    <cellStyle name="Percent 4 3 17" xfId="16010"/>
    <cellStyle name="Percent 4 3 18" xfId="16572"/>
    <cellStyle name="Percent 4 3 18 2" xfId="18597"/>
    <cellStyle name="Percent 4 3 18 2 2" xfId="19616"/>
    <cellStyle name="Percent 4 3 18 2 2 2" xfId="21626"/>
    <cellStyle name="Percent 4 3 18 2 2 3" xfId="23784"/>
    <cellStyle name="Percent 4 3 18 2 2_FC with allocations" xfId="31264"/>
    <cellStyle name="Percent 4 3 18 2 3" xfId="20750"/>
    <cellStyle name="Percent 4 3 18 2 4" xfId="22907"/>
    <cellStyle name="Percent 4 3 18 2_FC with allocations" xfId="31263"/>
    <cellStyle name="Percent 4 3 18 3" xfId="19031"/>
    <cellStyle name="Percent 4 3 18 3 2" xfId="21174"/>
    <cellStyle name="Percent 4 3 18 3 3" xfId="23331"/>
    <cellStyle name="Percent 4 3 18 3_FC with allocations" xfId="31265"/>
    <cellStyle name="Percent 4 3 18 4" xfId="20135"/>
    <cellStyle name="Percent 4 3 18 5" xfId="22251"/>
    <cellStyle name="Percent 4 3 18_FC with allocations" xfId="31262"/>
    <cellStyle name="Percent 4 3 19" xfId="4557"/>
    <cellStyle name="Percent 4 3 19 2" xfId="18132"/>
    <cellStyle name="Percent 4 3 19 2 2" xfId="19451"/>
    <cellStyle name="Percent 4 3 19 2 2 2" xfId="21461"/>
    <cellStyle name="Percent 4 3 19 2 2 3" xfId="23619"/>
    <cellStyle name="Percent 4 3 19 2 2_FC with allocations" xfId="31268"/>
    <cellStyle name="Percent 4 3 19 2 3" xfId="20584"/>
    <cellStyle name="Percent 4 3 19 2 4" xfId="22726"/>
    <cellStyle name="Percent 4 3 19 2_FC with allocations" xfId="31267"/>
    <cellStyle name="Percent 4 3 19 3" xfId="18982"/>
    <cellStyle name="Percent 4 3 19 3 2" xfId="21134"/>
    <cellStyle name="Percent 4 3 19 3 3" xfId="23291"/>
    <cellStyle name="Percent 4 3 19 3_FC with allocations" xfId="31269"/>
    <cellStyle name="Percent 4 3 19 4" xfId="19967"/>
    <cellStyle name="Percent 4 3 19 5" xfId="21962"/>
    <cellStyle name="Percent 4 3 19_FC with allocations" xfId="31266"/>
    <cellStyle name="Percent 4 3 2" xfId="3199"/>
    <cellStyle name="Percent 4 3 2 2" xfId="3200"/>
    <cellStyle name="Percent 4 3 2 2 2" xfId="3201"/>
    <cellStyle name="Percent 4 3 2 2 2 2" xfId="3202"/>
    <cellStyle name="Percent 4 3 2 2 2 2 2" xfId="3203"/>
    <cellStyle name="Percent 4 3 2 2 2 2 3" xfId="3204"/>
    <cellStyle name="Percent 4 3 2 2 2 2 4" xfId="16014"/>
    <cellStyle name="Percent 4 3 2 2 2 2_FC with allocations" xfId="31273"/>
    <cellStyle name="Percent 4 3 2 2 2 3" xfId="3205"/>
    <cellStyle name="Percent 4 3 2 2 2 4" xfId="3206"/>
    <cellStyle name="Percent 4 3 2 2 2 5" xfId="16013"/>
    <cellStyle name="Percent 4 3 2 2 2_FC with allocations" xfId="31272"/>
    <cellStyle name="Percent 4 3 2 2 3" xfId="3207"/>
    <cellStyle name="Percent 4 3 2 2 3 2" xfId="3208"/>
    <cellStyle name="Percent 4 3 2 2 3 3" xfId="3209"/>
    <cellStyle name="Percent 4 3 2 2 3 4" xfId="16015"/>
    <cellStyle name="Percent 4 3 2 2 3_FC with allocations" xfId="31274"/>
    <cellStyle name="Percent 4 3 2 2 4" xfId="3210"/>
    <cellStyle name="Percent 4 3 2 2 5" xfId="3211"/>
    <cellStyle name="Percent 4 3 2 2 6" xfId="3212"/>
    <cellStyle name="Percent 4 3 2 2 7" xfId="16012"/>
    <cellStyle name="Percent 4 3 2 2_FC with allocations" xfId="31271"/>
    <cellStyle name="Percent 4 3 2 3" xfId="3213"/>
    <cellStyle name="Percent 4 3 2 3 2" xfId="3214"/>
    <cellStyle name="Percent 4 3 2 3 2 2" xfId="3215"/>
    <cellStyle name="Percent 4 3 2 3 2 3" xfId="3216"/>
    <cellStyle name="Percent 4 3 2 3 2 4" xfId="16017"/>
    <cellStyle name="Percent 4 3 2 3 2_FC with allocations" xfId="31276"/>
    <cellStyle name="Percent 4 3 2 3 3" xfId="3217"/>
    <cellStyle name="Percent 4 3 2 3 4" xfId="3218"/>
    <cellStyle name="Percent 4 3 2 3 5" xfId="16016"/>
    <cellStyle name="Percent 4 3 2 3_FC with allocations" xfId="31275"/>
    <cellStyle name="Percent 4 3 2 4" xfId="3219"/>
    <cellStyle name="Percent 4 3 2 4 2" xfId="3220"/>
    <cellStyle name="Percent 4 3 2 4 3" xfId="3221"/>
    <cellStyle name="Percent 4 3 2 4 4" xfId="16018"/>
    <cellStyle name="Percent 4 3 2 4_FC with allocations" xfId="31277"/>
    <cellStyle name="Percent 4 3 2 5" xfId="3222"/>
    <cellStyle name="Percent 4 3 2 6" xfId="3223"/>
    <cellStyle name="Percent 4 3 2 7" xfId="3224"/>
    <cellStyle name="Percent 4 3 2 8" xfId="16011"/>
    <cellStyle name="Percent 4 3 2_FC with allocations" xfId="31270"/>
    <cellStyle name="Percent 4 3 20" xfId="16854"/>
    <cellStyle name="Percent 4 3 20 2" xfId="20356"/>
    <cellStyle name="Percent 4 3 20 3" xfId="22496"/>
    <cellStyle name="Percent 4 3 20_FC with allocations" xfId="31278"/>
    <cellStyle name="Percent 4 3 21" xfId="18816"/>
    <cellStyle name="Percent 4 3 21 2" xfId="20968"/>
    <cellStyle name="Percent 4 3 21 3" xfId="23125"/>
    <cellStyle name="Percent 4 3 21_FC with allocations" xfId="31279"/>
    <cellStyle name="Percent 4 3 3" xfId="3225"/>
    <cellStyle name="Percent 4 3 3 2" xfId="3226"/>
    <cellStyle name="Percent 4 3 3 2 2" xfId="3227"/>
    <cellStyle name="Percent 4 3 3 2 2 2" xfId="3228"/>
    <cellStyle name="Percent 4 3 3 2 2 3" xfId="3229"/>
    <cellStyle name="Percent 4 3 3 2 2 4" xfId="16021"/>
    <cellStyle name="Percent 4 3 3 2 2_FC with allocations" xfId="31282"/>
    <cellStyle name="Percent 4 3 3 2 3" xfId="3230"/>
    <cellStyle name="Percent 4 3 3 2 4" xfId="3231"/>
    <cellStyle name="Percent 4 3 3 2 5" xfId="16020"/>
    <cellStyle name="Percent 4 3 3 2_FC with allocations" xfId="31281"/>
    <cellStyle name="Percent 4 3 3 3" xfId="3232"/>
    <cellStyle name="Percent 4 3 3 3 2" xfId="3233"/>
    <cellStyle name="Percent 4 3 3 3 3" xfId="3234"/>
    <cellStyle name="Percent 4 3 3 3 4" xfId="16022"/>
    <cellStyle name="Percent 4 3 3 3_FC with allocations" xfId="31283"/>
    <cellStyle name="Percent 4 3 3 4" xfId="3235"/>
    <cellStyle name="Percent 4 3 3 5" xfId="3236"/>
    <cellStyle name="Percent 4 3 3 6" xfId="3237"/>
    <cellStyle name="Percent 4 3 3 7" xfId="16019"/>
    <cellStyle name="Percent 4 3 3_FC with allocations" xfId="31280"/>
    <cellStyle name="Percent 4 3 4" xfId="3238"/>
    <cellStyle name="Percent 4 3 4 2" xfId="3239"/>
    <cellStyle name="Percent 4 3 4 2 2" xfId="3240"/>
    <cellStyle name="Percent 4 3 4 2 2 2" xfId="3241"/>
    <cellStyle name="Percent 4 3 4 2 2 3" xfId="3242"/>
    <cellStyle name="Percent 4 3 4 2 2_FC with allocations" xfId="31286"/>
    <cellStyle name="Percent 4 3 4 2 3" xfId="3243"/>
    <cellStyle name="Percent 4 3 4 2 4" xfId="3244"/>
    <cellStyle name="Percent 4 3 4 2 5" xfId="16024"/>
    <cellStyle name="Percent 4 3 4 2_FC with allocations" xfId="31285"/>
    <cellStyle name="Percent 4 3 4 3" xfId="3245"/>
    <cellStyle name="Percent 4 3 4 3 2" xfId="3246"/>
    <cellStyle name="Percent 4 3 4 3 3" xfId="3247"/>
    <cellStyle name="Percent 4 3 4 3_FC with allocations" xfId="31287"/>
    <cellStyle name="Percent 4 3 4 4" xfId="3248"/>
    <cellStyle name="Percent 4 3 4 5" xfId="3249"/>
    <cellStyle name="Percent 4 3 4 6" xfId="3250"/>
    <cellStyle name="Percent 4 3 4 7" xfId="16023"/>
    <cellStyle name="Percent 4 3 4_FC with allocations" xfId="31284"/>
    <cellStyle name="Percent 4 3 5" xfId="3251"/>
    <cellStyle name="Percent 4 3 5 2" xfId="3252"/>
    <cellStyle name="Percent 4 3 5 2 2" xfId="3253"/>
    <cellStyle name="Percent 4 3 5 2 3" xfId="3254"/>
    <cellStyle name="Percent 4 3 5 2_FC with allocations" xfId="31289"/>
    <cellStyle name="Percent 4 3 5 3" xfId="3255"/>
    <cellStyle name="Percent 4 3 5 4" xfId="3256"/>
    <cellStyle name="Percent 4 3 5 5" xfId="16025"/>
    <cellStyle name="Percent 4 3 5_FC with allocations" xfId="31288"/>
    <cellStyle name="Percent 4 3 6" xfId="3257"/>
    <cellStyle name="Percent 4 3 6 2" xfId="3258"/>
    <cellStyle name="Percent 4 3 6 3" xfId="3259"/>
    <cellStyle name="Percent 4 3 6_FC with allocations" xfId="31290"/>
    <cellStyle name="Percent 4 3 7" xfId="3260"/>
    <cellStyle name="Percent 4 3 8" xfId="3261"/>
    <cellStyle name="Percent 4 3 9" xfId="3262"/>
    <cellStyle name="Percent 4 3_FC with allocations" xfId="31235"/>
    <cellStyle name="Percent 4 4" xfId="3263"/>
    <cellStyle name="Percent 4 4 2" xfId="3264"/>
    <cellStyle name="Percent 4 4 2 2" xfId="16028"/>
    <cellStyle name="Percent 4 4 2 2 2" xfId="16029"/>
    <cellStyle name="Percent 4 4 2 2 2 2" xfId="16030"/>
    <cellStyle name="Percent 4 4 2 2 2_FC with allocations" xfId="31294"/>
    <cellStyle name="Percent 4 4 2 2 3" xfId="16031"/>
    <cellStyle name="Percent 4 4 2 2_FC with allocations" xfId="31293"/>
    <cellStyle name="Percent 4 4 2 3" xfId="16032"/>
    <cellStyle name="Percent 4 4 2 3 2" xfId="16033"/>
    <cellStyle name="Percent 4 4 2 3_FC with allocations" xfId="31295"/>
    <cellStyle name="Percent 4 4 2 4" xfId="16034"/>
    <cellStyle name="Percent 4 4 2 5" xfId="16027"/>
    <cellStyle name="Percent 4 4 2_FC with allocations" xfId="31292"/>
    <cellStyle name="Percent 4 4 3" xfId="16035"/>
    <cellStyle name="Percent 4 4 3 2" xfId="16036"/>
    <cellStyle name="Percent 4 4 3 2 2" xfId="16037"/>
    <cellStyle name="Percent 4 4 3 2_FC with allocations" xfId="31297"/>
    <cellStyle name="Percent 4 4 3 3" xfId="16038"/>
    <cellStyle name="Percent 4 4 3_FC with allocations" xfId="31296"/>
    <cellStyle name="Percent 4 4 4" xfId="16039"/>
    <cellStyle name="Percent 4 4 4 2" xfId="16040"/>
    <cellStyle name="Percent 4 4 4_FC with allocations" xfId="31298"/>
    <cellStyle name="Percent 4 4 5" xfId="16041"/>
    <cellStyle name="Percent 4 4 6" xfId="16026"/>
    <cellStyle name="Percent 4 4_FC with allocations" xfId="31291"/>
    <cellStyle name="Percent 4 5" xfId="3265"/>
    <cellStyle name="Percent 4 5 10" xfId="3266"/>
    <cellStyle name="Percent 4 5 11" xfId="3267"/>
    <cellStyle name="Percent 4 5 12" xfId="4500"/>
    <cellStyle name="Percent 4 5 12 10" xfId="19916"/>
    <cellStyle name="Percent 4 5 12 11" xfId="21909"/>
    <cellStyle name="Percent 4 5 12 2" xfId="4805"/>
    <cellStyle name="Percent 4 5 12 2 2" xfId="16683"/>
    <cellStyle name="Percent 4 5 12 2 2 2" xfId="18705"/>
    <cellStyle name="Percent 4 5 12 2 2 2 2" xfId="19724"/>
    <cellStyle name="Percent 4 5 12 2 2 2 2 2" xfId="21734"/>
    <cellStyle name="Percent 4 5 12 2 2 2 2 3" xfId="23892"/>
    <cellStyle name="Percent 4 5 12 2 2 2 2_FC with allocations" xfId="31304"/>
    <cellStyle name="Percent 4 5 12 2 2 2 3" xfId="20858"/>
    <cellStyle name="Percent 4 5 12 2 2 2 4" xfId="23015"/>
    <cellStyle name="Percent 4 5 12 2 2 2_FC with allocations" xfId="31303"/>
    <cellStyle name="Percent 4 5 12 2 2 3" xfId="19192"/>
    <cellStyle name="Percent 4 5 12 2 2 3 2" xfId="21325"/>
    <cellStyle name="Percent 4 5 12 2 2 3 3" xfId="23482"/>
    <cellStyle name="Percent 4 5 12 2 2 3_FC with allocations" xfId="31305"/>
    <cellStyle name="Percent 4 5 12 2 2 4" xfId="20243"/>
    <cellStyle name="Percent 4 5 12 2 2 5" xfId="22360"/>
    <cellStyle name="Percent 4 5 12 2 2_FC with allocations" xfId="31302"/>
    <cellStyle name="Percent 4 5 12 2 3" xfId="18268"/>
    <cellStyle name="Percent 4 5 12 2 3 2" xfId="19559"/>
    <cellStyle name="Percent 4 5 12 2 3 2 2" xfId="21569"/>
    <cellStyle name="Percent 4 5 12 2 3 2 3" xfId="23727"/>
    <cellStyle name="Percent 4 5 12 2 3 2_FC with allocations" xfId="31307"/>
    <cellStyle name="Percent 4 5 12 2 3 3" xfId="20692"/>
    <cellStyle name="Percent 4 5 12 2 3 4" xfId="22834"/>
    <cellStyle name="Percent 4 5 12 2 3_FC with allocations" xfId="31306"/>
    <cellStyle name="Percent 4 5 12 2 4" xfId="17963"/>
    <cellStyle name="Percent 4 5 12 2 4 2" xfId="20420"/>
    <cellStyle name="Percent 4 5 12 2 4 3" xfId="22560"/>
    <cellStyle name="Percent 4 5 12 2 4_FC with allocations" xfId="31308"/>
    <cellStyle name="Percent 4 5 12 2 5" xfId="18924"/>
    <cellStyle name="Percent 4 5 12 2 5 2" xfId="21076"/>
    <cellStyle name="Percent 4 5 12 2 5 3" xfId="23233"/>
    <cellStyle name="Percent 4 5 12 2 5_FC with allocations" xfId="31309"/>
    <cellStyle name="Percent 4 5 12 2 6" xfId="20075"/>
    <cellStyle name="Percent 4 5 12 2 7" xfId="22070"/>
    <cellStyle name="Percent 4 5 12 2_FC with allocations" xfId="31301"/>
    <cellStyle name="Percent 4 5 12 3" xfId="16630"/>
    <cellStyle name="Percent 4 5 12 3 2" xfId="18652"/>
    <cellStyle name="Percent 4 5 12 3 2 2" xfId="19671"/>
    <cellStyle name="Percent 4 5 12 3 2 2 2" xfId="21681"/>
    <cellStyle name="Percent 4 5 12 3 2 2 3" xfId="23839"/>
    <cellStyle name="Percent 4 5 12 3 2 2_FC with allocations" xfId="31312"/>
    <cellStyle name="Percent 4 5 12 3 2 3" xfId="20805"/>
    <cellStyle name="Percent 4 5 12 3 2 4" xfId="22962"/>
    <cellStyle name="Percent 4 5 12 3 2_FC with allocations" xfId="31311"/>
    <cellStyle name="Percent 4 5 12 3 3" xfId="18019"/>
    <cellStyle name="Percent 4 5 12 3 3 2" xfId="20473"/>
    <cellStyle name="Percent 4 5 12 3 3 3" xfId="22613"/>
    <cellStyle name="Percent 4 5 12 3 3_FC with allocations" xfId="31313"/>
    <cellStyle name="Percent 4 5 12 3 4" xfId="19138"/>
    <cellStyle name="Percent 4 5 12 3 4 2" xfId="21271"/>
    <cellStyle name="Percent 4 5 12 3 4 3" xfId="23428"/>
    <cellStyle name="Percent 4 5 12 3 4_FC with allocations" xfId="31314"/>
    <cellStyle name="Percent 4 5 12 3 5" xfId="20190"/>
    <cellStyle name="Percent 4 5 12 3 6" xfId="22307"/>
    <cellStyle name="Percent 4 5 12 3_FC with allocations" xfId="31310"/>
    <cellStyle name="Percent 4 5 12 4" xfId="4705"/>
    <cellStyle name="Percent 4 5 12 4 2" xfId="18215"/>
    <cellStyle name="Percent 4 5 12 4 2 2" xfId="19506"/>
    <cellStyle name="Percent 4 5 12 4 2 2 2" xfId="21516"/>
    <cellStyle name="Percent 4 5 12 4 2 2 3" xfId="23674"/>
    <cellStyle name="Percent 4 5 12 4 2 2_FC with allocations" xfId="31317"/>
    <cellStyle name="Percent 4 5 12 4 2 3" xfId="20639"/>
    <cellStyle name="Percent 4 5 12 4 2 4" xfId="22781"/>
    <cellStyle name="Percent 4 5 12 4 2_FC with allocations" xfId="31316"/>
    <cellStyle name="Percent 4 5 12 4 3" xfId="19085"/>
    <cellStyle name="Percent 4 5 12 4 3 2" xfId="21220"/>
    <cellStyle name="Percent 4 5 12 4 3 3" xfId="23377"/>
    <cellStyle name="Percent 4 5 12 4 3_FC with allocations" xfId="31318"/>
    <cellStyle name="Percent 4 5 12 4 4" xfId="20022"/>
    <cellStyle name="Percent 4 5 12 4 5" xfId="22017"/>
    <cellStyle name="Percent 4 5 12 4_FC with allocations" xfId="31315"/>
    <cellStyle name="Percent 4 5 12 5" xfId="16761"/>
    <cellStyle name="Percent 4 5 12 5 2" xfId="18765"/>
    <cellStyle name="Percent 4 5 12 5 2 2" xfId="20918"/>
    <cellStyle name="Percent 4 5 12 5 2 3" xfId="23075"/>
    <cellStyle name="Percent 4 5 12 5 2_FC with allocations" xfId="31320"/>
    <cellStyle name="Percent 4 5 12 5 3" xfId="19785"/>
    <cellStyle name="Percent 4 5 12 5 3 2" xfId="21795"/>
    <cellStyle name="Percent 4 5 12 5 3 3" xfId="23953"/>
    <cellStyle name="Percent 4 5 12 5 3_FC with allocations" xfId="31321"/>
    <cellStyle name="Percent 4 5 12 5 4" xfId="20304"/>
    <cellStyle name="Percent 4 5 12 5 5" xfId="22432"/>
    <cellStyle name="Percent 4 5 12 5_FC with allocations" xfId="31319"/>
    <cellStyle name="Percent 4 5 12 6" xfId="18081"/>
    <cellStyle name="Percent 4 5 12 6 2" xfId="19400"/>
    <cellStyle name="Percent 4 5 12 6 2 2" xfId="21410"/>
    <cellStyle name="Percent 4 5 12 6 2 3" xfId="23568"/>
    <cellStyle name="Percent 4 5 12 6 2_FC with allocations" xfId="31323"/>
    <cellStyle name="Percent 4 5 12 6 3" xfId="20533"/>
    <cellStyle name="Percent 4 5 12 6 4" xfId="22675"/>
    <cellStyle name="Percent 4 5 12 6_FC with allocations" xfId="31322"/>
    <cellStyle name="Percent 4 5 12 7" xfId="17389"/>
    <cellStyle name="Percent 4 5 12 8" xfId="18871"/>
    <cellStyle name="Percent 4 5 12 8 2" xfId="21023"/>
    <cellStyle name="Percent 4 5 12 8 3" xfId="23180"/>
    <cellStyle name="Percent 4 5 12 8_FC with allocations" xfId="31324"/>
    <cellStyle name="Percent 4 5 12 9" xfId="19839"/>
    <cellStyle name="Percent 4 5 12 9 2" xfId="21848"/>
    <cellStyle name="Percent 4 5 12 9 3" xfId="24006"/>
    <cellStyle name="Percent 4 5 12 9_FC with allocations" xfId="31325"/>
    <cellStyle name="Percent 4 5 12_FC with allocations" xfId="31300"/>
    <cellStyle name="Percent 4 5 13" xfId="4613"/>
    <cellStyle name="Percent 4 5 14" xfId="16042"/>
    <cellStyle name="Percent 4 5 15" xfId="16573"/>
    <cellStyle name="Percent 4 5 15 2" xfId="18598"/>
    <cellStyle name="Percent 4 5 15 2 2" xfId="19617"/>
    <cellStyle name="Percent 4 5 15 2 2 2" xfId="21627"/>
    <cellStyle name="Percent 4 5 15 2 2 3" xfId="23785"/>
    <cellStyle name="Percent 4 5 15 2 2_FC with allocations" xfId="31328"/>
    <cellStyle name="Percent 4 5 15 2 3" xfId="20751"/>
    <cellStyle name="Percent 4 5 15 2 4" xfId="22908"/>
    <cellStyle name="Percent 4 5 15 2_FC with allocations" xfId="31327"/>
    <cellStyle name="Percent 4 5 15 3" xfId="19032"/>
    <cellStyle name="Percent 4 5 15 3 2" xfId="21175"/>
    <cellStyle name="Percent 4 5 15 3 3" xfId="23332"/>
    <cellStyle name="Percent 4 5 15 3_FC with allocations" xfId="31329"/>
    <cellStyle name="Percent 4 5 15 4" xfId="20136"/>
    <cellStyle name="Percent 4 5 15 5" xfId="22252"/>
    <cellStyle name="Percent 4 5 15_FC with allocations" xfId="31326"/>
    <cellStyle name="Percent 4 5 16" xfId="4558"/>
    <cellStyle name="Percent 4 5 16 2" xfId="18133"/>
    <cellStyle name="Percent 4 5 16 2 2" xfId="19452"/>
    <cellStyle name="Percent 4 5 16 2 2 2" xfId="21462"/>
    <cellStyle name="Percent 4 5 16 2 2 3" xfId="23620"/>
    <cellStyle name="Percent 4 5 16 2 2_FC with allocations" xfId="31332"/>
    <cellStyle name="Percent 4 5 16 2 3" xfId="20585"/>
    <cellStyle name="Percent 4 5 16 2 4" xfId="22727"/>
    <cellStyle name="Percent 4 5 16 2_FC with allocations" xfId="31331"/>
    <cellStyle name="Percent 4 5 16 3" xfId="18983"/>
    <cellStyle name="Percent 4 5 16 3 2" xfId="21135"/>
    <cellStyle name="Percent 4 5 16 3 3" xfId="23292"/>
    <cellStyle name="Percent 4 5 16 3_FC with allocations" xfId="31333"/>
    <cellStyle name="Percent 4 5 16 4" xfId="19968"/>
    <cellStyle name="Percent 4 5 16 5" xfId="21963"/>
    <cellStyle name="Percent 4 5 16_FC with allocations" xfId="31330"/>
    <cellStyle name="Percent 4 5 17" xfId="16855"/>
    <cellStyle name="Percent 4 5 17 2" xfId="20357"/>
    <cellStyle name="Percent 4 5 17 3" xfId="22497"/>
    <cellStyle name="Percent 4 5 17_FC with allocations" xfId="31334"/>
    <cellStyle name="Percent 4 5 18" xfId="18817"/>
    <cellStyle name="Percent 4 5 18 2" xfId="20969"/>
    <cellStyle name="Percent 4 5 18 3" xfId="23126"/>
    <cellStyle name="Percent 4 5 18_FC with allocations" xfId="31335"/>
    <cellStyle name="Percent 4 5 2" xfId="3268"/>
    <cellStyle name="Percent 4 5 2 2" xfId="3269"/>
    <cellStyle name="Percent 4 5 2 2 2" xfId="3270"/>
    <cellStyle name="Percent 4 5 2 2 2 2" xfId="3271"/>
    <cellStyle name="Percent 4 5 2 2 2 3" xfId="3272"/>
    <cellStyle name="Percent 4 5 2 2 2 4" xfId="16045"/>
    <cellStyle name="Percent 4 5 2 2 2_FC with allocations" xfId="31338"/>
    <cellStyle name="Percent 4 5 2 2 3" xfId="3273"/>
    <cellStyle name="Percent 4 5 2 2 4" xfId="3274"/>
    <cellStyle name="Percent 4 5 2 2 5" xfId="16044"/>
    <cellStyle name="Percent 4 5 2 2_FC with allocations" xfId="31337"/>
    <cellStyle name="Percent 4 5 2 3" xfId="3275"/>
    <cellStyle name="Percent 4 5 2 3 2" xfId="3276"/>
    <cellStyle name="Percent 4 5 2 3 3" xfId="3277"/>
    <cellStyle name="Percent 4 5 2 3 4" xfId="16046"/>
    <cellStyle name="Percent 4 5 2 3_FC with allocations" xfId="31339"/>
    <cellStyle name="Percent 4 5 2 4" xfId="3278"/>
    <cellStyle name="Percent 4 5 2 5" xfId="3279"/>
    <cellStyle name="Percent 4 5 2 6" xfId="3280"/>
    <cellStyle name="Percent 4 5 2 7" xfId="16043"/>
    <cellStyle name="Percent 4 5 2_FC with allocations" xfId="31336"/>
    <cellStyle name="Percent 4 5 3" xfId="3281"/>
    <cellStyle name="Percent 4 5 3 2" xfId="3282"/>
    <cellStyle name="Percent 4 5 3 2 2" xfId="3283"/>
    <cellStyle name="Percent 4 5 3 2 3" xfId="3284"/>
    <cellStyle name="Percent 4 5 3 2 4" xfId="16048"/>
    <cellStyle name="Percent 4 5 3 2_FC with allocations" xfId="31341"/>
    <cellStyle name="Percent 4 5 3 3" xfId="3285"/>
    <cellStyle name="Percent 4 5 3 4" xfId="3286"/>
    <cellStyle name="Percent 4 5 3 5" xfId="16047"/>
    <cellStyle name="Percent 4 5 3_FC with allocations" xfId="31340"/>
    <cellStyle name="Percent 4 5 4" xfId="3287"/>
    <cellStyle name="Percent 4 5 4 2" xfId="3288"/>
    <cellStyle name="Percent 4 5 4 3" xfId="3289"/>
    <cellStyle name="Percent 4 5 4 4" xfId="16049"/>
    <cellStyle name="Percent 4 5 4_FC with allocations" xfId="31342"/>
    <cellStyle name="Percent 4 5 5" xfId="3290"/>
    <cellStyle name="Percent 4 5 6" xfId="3291"/>
    <cellStyle name="Percent 4 5 7" xfId="3292"/>
    <cellStyle name="Percent 4 5 8" xfId="3293"/>
    <cellStyle name="Percent 4 5 9" xfId="3294"/>
    <cellStyle name="Percent 4 5_FC with allocations" xfId="31299"/>
    <cellStyle name="Percent 4 6" xfId="3295"/>
    <cellStyle name="Percent 4 6 2" xfId="3296"/>
    <cellStyle name="Percent 4 6 2 2" xfId="3297"/>
    <cellStyle name="Percent 4 6 2 2 2" xfId="3298"/>
    <cellStyle name="Percent 4 6 2 2 3" xfId="3299"/>
    <cellStyle name="Percent 4 6 2 2 4" xfId="16052"/>
    <cellStyle name="Percent 4 6 2 2_FC with allocations" xfId="31345"/>
    <cellStyle name="Percent 4 6 2 3" xfId="3300"/>
    <cellStyle name="Percent 4 6 2 4" xfId="3301"/>
    <cellStyle name="Percent 4 6 2 5" xfId="16051"/>
    <cellStyle name="Percent 4 6 2_FC with allocations" xfId="31344"/>
    <cellStyle name="Percent 4 6 3" xfId="3302"/>
    <cellStyle name="Percent 4 6 3 2" xfId="3303"/>
    <cellStyle name="Percent 4 6 3 3" xfId="3304"/>
    <cellStyle name="Percent 4 6 3 4" xfId="16053"/>
    <cellStyle name="Percent 4 6 3_FC with allocations" xfId="31346"/>
    <cellStyle name="Percent 4 6 4" xfId="3305"/>
    <cellStyle name="Percent 4 6 5" xfId="3306"/>
    <cellStyle name="Percent 4 6 6" xfId="3307"/>
    <cellStyle name="Percent 4 6 7" xfId="16050"/>
    <cellStyle name="Percent 4 6_FC with allocations" xfId="31343"/>
    <cellStyle name="Percent 4 7" xfId="3308"/>
    <cellStyle name="Percent 4 7 2" xfId="3309"/>
    <cellStyle name="Percent 4 7 2 2" xfId="3310"/>
    <cellStyle name="Percent 4 7 2 2 2" xfId="3311"/>
    <cellStyle name="Percent 4 7 2 2 3" xfId="3312"/>
    <cellStyle name="Percent 4 7 2 2 4" xfId="16056"/>
    <cellStyle name="Percent 4 7 2 2_FC with allocations" xfId="31349"/>
    <cellStyle name="Percent 4 7 2 3" xfId="3313"/>
    <cellStyle name="Percent 4 7 2 4" xfId="3314"/>
    <cellStyle name="Percent 4 7 2 5" xfId="16055"/>
    <cellStyle name="Percent 4 7 2_FC with allocations" xfId="31348"/>
    <cellStyle name="Percent 4 7 3" xfId="3315"/>
    <cellStyle name="Percent 4 7 3 2" xfId="3316"/>
    <cellStyle name="Percent 4 7 3 3" xfId="3317"/>
    <cellStyle name="Percent 4 7 3 4" xfId="16057"/>
    <cellStyle name="Percent 4 7 3_FC with allocations" xfId="31350"/>
    <cellStyle name="Percent 4 7 4" xfId="3318"/>
    <cellStyle name="Percent 4 7 5" xfId="3319"/>
    <cellStyle name="Percent 4 7 6" xfId="3320"/>
    <cellStyle name="Percent 4 7 7" xfId="16054"/>
    <cellStyle name="Percent 4 7_FC with allocations" xfId="31347"/>
    <cellStyle name="Percent 4 8" xfId="3321"/>
    <cellStyle name="Percent 4 8 2" xfId="3322"/>
    <cellStyle name="Percent 4 8 2 2" xfId="3323"/>
    <cellStyle name="Percent 4 8 2 2 2" xfId="16060"/>
    <cellStyle name="Percent 4 8 2 2_FC with allocations" xfId="31353"/>
    <cellStyle name="Percent 4 8 2 3" xfId="3324"/>
    <cellStyle name="Percent 4 8 2 4" xfId="16059"/>
    <cellStyle name="Percent 4 8 2_FC with allocations" xfId="31352"/>
    <cellStyle name="Percent 4 8 3" xfId="3325"/>
    <cellStyle name="Percent 4 8 3 2" xfId="16061"/>
    <cellStyle name="Percent 4 8 3_FC with allocations" xfId="31354"/>
    <cellStyle name="Percent 4 8 4" xfId="3326"/>
    <cellStyle name="Percent 4 8 5" xfId="16058"/>
    <cellStyle name="Percent 4 8_FC with allocations" xfId="31351"/>
    <cellStyle name="Percent 4 9" xfId="3327"/>
    <cellStyle name="Percent 4 9 2" xfId="3328"/>
    <cellStyle name="Percent 4 9 3" xfId="3329"/>
    <cellStyle name="Percent 4 9_FC with allocations" xfId="31355"/>
    <cellStyle name="Percent 4_FC with allocations" xfId="31122"/>
    <cellStyle name="Percent 40" xfId="3330"/>
    <cellStyle name="Percent 40 2" xfId="16062"/>
    <cellStyle name="Percent 40_FC with allocations" xfId="31356"/>
    <cellStyle name="Percent 41" xfId="3331"/>
    <cellStyle name="Percent 41 2" xfId="16063"/>
    <cellStyle name="Percent 41_FC with allocations" xfId="31357"/>
    <cellStyle name="Percent 42" xfId="3332"/>
    <cellStyle name="Percent 42 2" xfId="16064"/>
    <cellStyle name="Percent 42_FC with allocations" xfId="31358"/>
    <cellStyle name="Percent 43" xfId="3333"/>
    <cellStyle name="Percent 43 2" xfId="16065"/>
    <cellStyle name="Percent 43_FC with allocations" xfId="31359"/>
    <cellStyle name="Percent 44" xfId="4427"/>
    <cellStyle name="Percent 44 2" xfId="4736"/>
    <cellStyle name="Percent 44 3" xfId="16066"/>
    <cellStyle name="Percent 44 3 2" xfId="18530"/>
    <cellStyle name="Percent 44 3 3" xfId="17905"/>
    <cellStyle name="Percent 44 3_FC with allocations" xfId="31361"/>
    <cellStyle name="Percent 44 4" xfId="4636"/>
    <cellStyle name="Percent 44_FC with allocations" xfId="31360"/>
    <cellStyle name="Percent 45" xfId="4433"/>
    <cellStyle name="Percent 45 2" xfId="4742"/>
    <cellStyle name="Percent 45 3" xfId="16067"/>
    <cellStyle name="Percent 45 3 2" xfId="18531"/>
    <cellStyle name="Percent 45 3 3" xfId="17909"/>
    <cellStyle name="Percent 45 3_FC with allocations" xfId="31363"/>
    <cellStyle name="Percent 45 4" xfId="4642"/>
    <cellStyle name="Percent 45_FC with allocations" xfId="31362"/>
    <cellStyle name="Percent 46" xfId="4435"/>
    <cellStyle name="Percent 46 2" xfId="4744"/>
    <cellStyle name="Percent 46 3" xfId="16068"/>
    <cellStyle name="Percent 46 3 2" xfId="18532"/>
    <cellStyle name="Percent 46 3 3" xfId="17910"/>
    <cellStyle name="Percent 46 3_FC with allocations" xfId="31365"/>
    <cellStyle name="Percent 46 4" xfId="4644"/>
    <cellStyle name="Percent 46_FC with allocations" xfId="31364"/>
    <cellStyle name="Percent 47" xfId="4430"/>
    <cellStyle name="Percent 47 2" xfId="4739"/>
    <cellStyle name="Percent 47 3" xfId="16069"/>
    <cellStyle name="Percent 47 3 2" xfId="18533"/>
    <cellStyle name="Percent 47 3 3" xfId="17907"/>
    <cellStyle name="Percent 47 3_FC with allocations" xfId="31367"/>
    <cellStyle name="Percent 47 4" xfId="4639"/>
    <cellStyle name="Percent 47_FC with allocations" xfId="31366"/>
    <cellStyle name="Percent 48" xfId="4447"/>
    <cellStyle name="Percent 48 2" xfId="4756"/>
    <cellStyle name="Percent 48 3" xfId="16070"/>
    <cellStyle name="Percent 48 3 2" xfId="18534"/>
    <cellStyle name="Percent 48 3 3" xfId="17916"/>
    <cellStyle name="Percent 48 3_FC with allocations" xfId="31369"/>
    <cellStyle name="Percent 48 4" xfId="4656"/>
    <cellStyle name="Percent 48_FC with allocations" xfId="31368"/>
    <cellStyle name="Percent 49" xfId="4437"/>
    <cellStyle name="Percent 49 2" xfId="4746"/>
    <cellStyle name="Percent 49 3" xfId="16071"/>
    <cellStyle name="Percent 49 3 2" xfId="18535"/>
    <cellStyle name="Percent 49 3 3" xfId="17911"/>
    <cellStyle name="Percent 49 3_FC with allocations" xfId="31371"/>
    <cellStyle name="Percent 49 4" xfId="4646"/>
    <cellStyle name="Percent 49_FC with allocations" xfId="31370"/>
    <cellStyle name="Percent 5" xfId="3334"/>
    <cellStyle name="Percent 5 10" xfId="3335"/>
    <cellStyle name="Percent 5 11" xfId="3336"/>
    <cellStyle name="Percent 5 12" xfId="3337"/>
    <cellStyle name="Percent 5 13" xfId="3338"/>
    <cellStyle name="Percent 5 14" xfId="3339"/>
    <cellStyle name="Percent 5 15" xfId="16072"/>
    <cellStyle name="Percent 5 2" xfId="3340"/>
    <cellStyle name="Percent 5 2 10" xfId="3341"/>
    <cellStyle name="Percent 5 2 11" xfId="3342"/>
    <cellStyle name="Percent 5 2 12" xfId="3343"/>
    <cellStyle name="Percent 5 2 13" xfId="3344"/>
    <cellStyle name="Percent 5 2 14" xfId="3345"/>
    <cellStyle name="Percent 5 2 15" xfId="4501"/>
    <cellStyle name="Percent 5 2 15 10" xfId="19917"/>
    <cellStyle name="Percent 5 2 15 11" xfId="21910"/>
    <cellStyle name="Percent 5 2 15 2" xfId="4806"/>
    <cellStyle name="Percent 5 2 15 2 2" xfId="16684"/>
    <cellStyle name="Percent 5 2 15 2 2 2" xfId="18706"/>
    <cellStyle name="Percent 5 2 15 2 2 2 2" xfId="19725"/>
    <cellStyle name="Percent 5 2 15 2 2 2 2 2" xfId="21735"/>
    <cellStyle name="Percent 5 2 15 2 2 2 2 3" xfId="23893"/>
    <cellStyle name="Percent 5 2 15 2 2 2 2_FC with allocations" xfId="31378"/>
    <cellStyle name="Percent 5 2 15 2 2 2 3" xfId="20859"/>
    <cellStyle name="Percent 5 2 15 2 2 2 4" xfId="23016"/>
    <cellStyle name="Percent 5 2 15 2 2 2_FC with allocations" xfId="31377"/>
    <cellStyle name="Percent 5 2 15 2 2 3" xfId="19193"/>
    <cellStyle name="Percent 5 2 15 2 2 3 2" xfId="21326"/>
    <cellStyle name="Percent 5 2 15 2 2 3 3" xfId="23483"/>
    <cellStyle name="Percent 5 2 15 2 2 3_FC with allocations" xfId="31379"/>
    <cellStyle name="Percent 5 2 15 2 2 4" xfId="20244"/>
    <cellStyle name="Percent 5 2 15 2 2 5" xfId="22361"/>
    <cellStyle name="Percent 5 2 15 2 2_FC with allocations" xfId="31376"/>
    <cellStyle name="Percent 5 2 15 2 3" xfId="18269"/>
    <cellStyle name="Percent 5 2 15 2 3 2" xfId="19560"/>
    <cellStyle name="Percent 5 2 15 2 3 2 2" xfId="21570"/>
    <cellStyle name="Percent 5 2 15 2 3 2 3" xfId="23728"/>
    <cellStyle name="Percent 5 2 15 2 3 2_FC with allocations" xfId="31381"/>
    <cellStyle name="Percent 5 2 15 2 3 3" xfId="20693"/>
    <cellStyle name="Percent 5 2 15 2 3 4" xfId="22835"/>
    <cellStyle name="Percent 5 2 15 2 3_FC with allocations" xfId="31380"/>
    <cellStyle name="Percent 5 2 15 2 4" xfId="17964"/>
    <cellStyle name="Percent 5 2 15 2 4 2" xfId="20421"/>
    <cellStyle name="Percent 5 2 15 2 4 3" xfId="22561"/>
    <cellStyle name="Percent 5 2 15 2 4_FC with allocations" xfId="31382"/>
    <cellStyle name="Percent 5 2 15 2 5" xfId="18925"/>
    <cellStyle name="Percent 5 2 15 2 5 2" xfId="21077"/>
    <cellStyle name="Percent 5 2 15 2 5 3" xfId="23234"/>
    <cellStyle name="Percent 5 2 15 2 5_FC with allocations" xfId="31383"/>
    <cellStyle name="Percent 5 2 15 2 6" xfId="20076"/>
    <cellStyle name="Percent 5 2 15 2 7" xfId="22071"/>
    <cellStyle name="Percent 5 2 15 2_FC with allocations" xfId="31375"/>
    <cellStyle name="Percent 5 2 15 3" xfId="16631"/>
    <cellStyle name="Percent 5 2 15 3 2" xfId="18653"/>
    <cellStyle name="Percent 5 2 15 3 2 2" xfId="19672"/>
    <cellStyle name="Percent 5 2 15 3 2 2 2" xfId="21682"/>
    <cellStyle name="Percent 5 2 15 3 2 2 3" xfId="23840"/>
    <cellStyle name="Percent 5 2 15 3 2 2_FC with allocations" xfId="31386"/>
    <cellStyle name="Percent 5 2 15 3 2 3" xfId="20806"/>
    <cellStyle name="Percent 5 2 15 3 2 4" xfId="22963"/>
    <cellStyle name="Percent 5 2 15 3 2_FC with allocations" xfId="31385"/>
    <cellStyle name="Percent 5 2 15 3 3" xfId="18020"/>
    <cellStyle name="Percent 5 2 15 3 3 2" xfId="20474"/>
    <cellStyle name="Percent 5 2 15 3 3 3" xfId="22614"/>
    <cellStyle name="Percent 5 2 15 3 3_FC with allocations" xfId="31387"/>
    <cellStyle name="Percent 5 2 15 3 4" xfId="19139"/>
    <cellStyle name="Percent 5 2 15 3 4 2" xfId="21272"/>
    <cellStyle name="Percent 5 2 15 3 4 3" xfId="23429"/>
    <cellStyle name="Percent 5 2 15 3 4_FC with allocations" xfId="31388"/>
    <cellStyle name="Percent 5 2 15 3 5" xfId="20191"/>
    <cellStyle name="Percent 5 2 15 3 6" xfId="22308"/>
    <cellStyle name="Percent 5 2 15 3_FC with allocations" xfId="31384"/>
    <cellStyle name="Percent 5 2 15 4" xfId="4706"/>
    <cellStyle name="Percent 5 2 15 4 2" xfId="18216"/>
    <cellStyle name="Percent 5 2 15 4 2 2" xfId="19507"/>
    <cellStyle name="Percent 5 2 15 4 2 2 2" xfId="21517"/>
    <cellStyle name="Percent 5 2 15 4 2 2 3" xfId="23675"/>
    <cellStyle name="Percent 5 2 15 4 2 2_FC with allocations" xfId="31391"/>
    <cellStyle name="Percent 5 2 15 4 2 3" xfId="20640"/>
    <cellStyle name="Percent 5 2 15 4 2 4" xfId="22782"/>
    <cellStyle name="Percent 5 2 15 4 2_FC with allocations" xfId="31390"/>
    <cellStyle name="Percent 5 2 15 4 3" xfId="19217"/>
    <cellStyle name="Percent 5 2 15 4 3 2" xfId="21350"/>
    <cellStyle name="Percent 5 2 15 4 3 3" xfId="23507"/>
    <cellStyle name="Percent 5 2 15 4 3_FC with allocations" xfId="31392"/>
    <cellStyle name="Percent 5 2 15 4 4" xfId="20023"/>
    <cellStyle name="Percent 5 2 15 4 5" xfId="22018"/>
    <cellStyle name="Percent 5 2 15 4_FC with allocations" xfId="31389"/>
    <cellStyle name="Percent 5 2 15 5" xfId="16762"/>
    <cellStyle name="Percent 5 2 15 5 2" xfId="18766"/>
    <cellStyle name="Percent 5 2 15 5 2 2" xfId="20919"/>
    <cellStyle name="Percent 5 2 15 5 2 3" xfId="23076"/>
    <cellStyle name="Percent 5 2 15 5 2_FC with allocations" xfId="31394"/>
    <cellStyle name="Percent 5 2 15 5 3" xfId="19786"/>
    <cellStyle name="Percent 5 2 15 5 3 2" xfId="21796"/>
    <cellStyle name="Percent 5 2 15 5 3 3" xfId="23954"/>
    <cellStyle name="Percent 5 2 15 5 3_FC with allocations" xfId="31395"/>
    <cellStyle name="Percent 5 2 15 5 4" xfId="20305"/>
    <cellStyle name="Percent 5 2 15 5 5" xfId="22433"/>
    <cellStyle name="Percent 5 2 15 5_FC with allocations" xfId="31393"/>
    <cellStyle name="Percent 5 2 15 6" xfId="18082"/>
    <cellStyle name="Percent 5 2 15 6 2" xfId="19401"/>
    <cellStyle name="Percent 5 2 15 6 2 2" xfId="21411"/>
    <cellStyle name="Percent 5 2 15 6 2 3" xfId="23569"/>
    <cellStyle name="Percent 5 2 15 6 2_FC with allocations" xfId="31397"/>
    <cellStyle name="Percent 5 2 15 6 3" xfId="20534"/>
    <cellStyle name="Percent 5 2 15 6 4" xfId="22676"/>
    <cellStyle name="Percent 5 2 15 6_FC with allocations" xfId="31396"/>
    <cellStyle name="Percent 5 2 15 7" xfId="17390"/>
    <cellStyle name="Percent 5 2 15 8" xfId="18872"/>
    <cellStyle name="Percent 5 2 15 8 2" xfId="21024"/>
    <cellStyle name="Percent 5 2 15 8 3" xfId="23181"/>
    <cellStyle name="Percent 5 2 15 8_FC with allocations" xfId="31398"/>
    <cellStyle name="Percent 5 2 15 9" xfId="19840"/>
    <cellStyle name="Percent 5 2 15 9 2" xfId="21849"/>
    <cellStyle name="Percent 5 2 15 9 3" xfId="24007"/>
    <cellStyle name="Percent 5 2 15 9_FC with allocations" xfId="31399"/>
    <cellStyle name="Percent 5 2 15_FC with allocations" xfId="31374"/>
    <cellStyle name="Percent 5 2 16" xfId="4614"/>
    <cellStyle name="Percent 5 2 17" xfId="16073"/>
    <cellStyle name="Percent 5 2 18" xfId="16574"/>
    <cellStyle name="Percent 5 2 18 2" xfId="18599"/>
    <cellStyle name="Percent 5 2 18 2 2" xfId="19618"/>
    <cellStyle name="Percent 5 2 18 2 2 2" xfId="21628"/>
    <cellStyle name="Percent 5 2 18 2 2 3" xfId="23786"/>
    <cellStyle name="Percent 5 2 18 2 2_FC with allocations" xfId="31402"/>
    <cellStyle name="Percent 5 2 18 2 3" xfId="20752"/>
    <cellStyle name="Percent 5 2 18 2 4" xfId="22909"/>
    <cellStyle name="Percent 5 2 18 2_FC with allocations" xfId="31401"/>
    <cellStyle name="Percent 5 2 18 3" xfId="19033"/>
    <cellStyle name="Percent 5 2 18 3 2" xfId="21176"/>
    <cellStyle name="Percent 5 2 18 3 3" xfId="23333"/>
    <cellStyle name="Percent 5 2 18 3_FC with allocations" xfId="31403"/>
    <cellStyle name="Percent 5 2 18 4" xfId="20137"/>
    <cellStyle name="Percent 5 2 18 5" xfId="22253"/>
    <cellStyle name="Percent 5 2 18_FC with allocations" xfId="31400"/>
    <cellStyle name="Percent 5 2 19" xfId="4559"/>
    <cellStyle name="Percent 5 2 19 2" xfId="18134"/>
    <cellStyle name="Percent 5 2 19 2 2" xfId="19453"/>
    <cellStyle name="Percent 5 2 19 2 2 2" xfId="21463"/>
    <cellStyle name="Percent 5 2 19 2 2 3" xfId="23621"/>
    <cellStyle name="Percent 5 2 19 2 2_FC with allocations" xfId="31406"/>
    <cellStyle name="Percent 5 2 19 2 3" xfId="20586"/>
    <cellStyle name="Percent 5 2 19 2 4" xfId="22728"/>
    <cellStyle name="Percent 5 2 19 2_FC with allocations" xfId="31405"/>
    <cellStyle name="Percent 5 2 19 3" xfId="19201"/>
    <cellStyle name="Percent 5 2 19 3 2" xfId="21334"/>
    <cellStyle name="Percent 5 2 19 3 3" xfId="23491"/>
    <cellStyle name="Percent 5 2 19 3_FC with allocations" xfId="31407"/>
    <cellStyle name="Percent 5 2 19 4" xfId="19969"/>
    <cellStyle name="Percent 5 2 19 5" xfId="21964"/>
    <cellStyle name="Percent 5 2 19_FC with allocations" xfId="31404"/>
    <cellStyle name="Percent 5 2 2" xfId="3346"/>
    <cellStyle name="Percent 5 2 2 2" xfId="3347"/>
    <cellStyle name="Percent 5 2 2 2 2" xfId="3348"/>
    <cellStyle name="Percent 5 2 2 2 2 2" xfId="3349"/>
    <cellStyle name="Percent 5 2 2 2 2 2 2" xfId="3350"/>
    <cellStyle name="Percent 5 2 2 2 2 2 3" xfId="3351"/>
    <cellStyle name="Percent 5 2 2 2 2 2 4" xfId="16077"/>
    <cellStyle name="Percent 5 2 2 2 2 2_FC with allocations" xfId="31411"/>
    <cellStyle name="Percent 5 2 2 2 2 3" xfId="3352"/>
    <cellStyle name="Percent 5 2 2 2 2 4" xfId="3353"/>
    <cellStyle name="Percent 5 2 2 2 2 5" xfId="16076"/>
    <cellStyle name="Percent 5 2 2 2 2_FC with allocations" xfId="31410"/>
    <cellStyle name="Percent 5 2 2 2 3" xfId="3354"/>
    <cellStyle name="Percent 5 2 2 2 3 2" xfId="3355"/>
    <cellStyle name="Percent 5 2 2 2 3 3" xfId="3356"/>
    <cellStyle name="Percent 5 2 2 2 3 4" xfId="16078"/>
    <cellStyle name="Percent 5 2 2 2 3_FC with allocations" xfId="31412"/>
    <cellStyle name="Percent 5 2 2 2 4" xfId="3357"/>
    <cellStyle name="Percent 5 2 2 2 5" xfId="3358"/>
    <cellStyle name="Percent 5 2 2 2 6" xfId="3359"/>
    <cellStyle name="Percent 5 2 2 2 7" xfId="16075"/>
    <cellStyle name="Percent 5 2 2 2_FC with allocations" xfId="31409"/>
    <cellStyle name="Percent 5 2 2 3" xfId="3360"/>
    <cellStyle name="Percent 5 2 2 3 2" xfId="3361"/>
    <cellStyle name="Percent 5 2 2 3 2 2" xfId="3362"/>
    <cellStyle name="Percent 5 2 2 3 2 3" xfId="3363"/>
    <cellStyle name="Percent 5 2 2 3 2 4" xfId="16080"/>
    <cellStyle name="Percent 5 2 2 3 2_FC with allocations" xfId="31414"/>
    <cellStyle name="Percent 5 2 2 3 3" xfId="3364"/>
    <cellStyle name="Percent 5 2 2 3 4" xfId="3365"/>
    <cellStyle name="Percent 5 2 2 3 5" xfId="16079"/>
    <cellStyle name="Percent 5 2 2 3_FC with allocations" xfId="31413"/>
    <cellStyle name="Percent 5 2 2 4" xfId="3366"/>
    <cellStyle name="Percent 5 2 2 4 2" xfId="3367"/>
    <cellStyle name="Percent 5 2 2 4 3" xfId="3368"/>
    <cellStyle name="Percent 5 2 2 4 4" xfId="16081"/>
    <cellStyle name="Percent 5 2 2 4_FC with allocations" xfId="31415"/>
    <cellStyle name="Percent 5 2 2 5" xfId="3369"/>
    <cellStyle name="Percent 5 2 2 6" xfId="3370"/>
    <cellStyle name="Percent 5 2 2 7" xfId="3371"/>
    <cellStyle name="Percent 5 2 2 8" xfId="16074"/>
    <cellStyle name="Percent 5 2 2_FC with allocations" xfId="31408"/>
    <cellStyle name="Percent 5 2 20" xfId="16856"/>
    <cellStyle name="Percent 5 2 20 2" xfId="20358"/>
    <cellStyle name="Percent 5 2 20 3" xfId="22498"/>
    <cellStyle name="Percent 5 2 20_FC with allocations" xfId="31416"/>
    <cellStyle name="Percent 5 2 21" xfId="18818"/>
    <cellStyle name="Percent 5 2 21 2" xfId="20970"/>
    <cellStyle name="Percent 5 2 21 3" xfId="23127"/>
    <cellStyle name="Percent 5 2 21_FC with allocations" xfId="31417"/>
    <cellStyle name="Percent 5 2 3" xfId="3372"/>
    <cellStyle name="Percent 5 2 3 2" xfId="3373"/>
    <cellStyle name="Percent 5 2 3 2 2" xfId="3374"/>
    <cellStyle name="Percent 5 2 3 2 2 2" xfId="3375"/>
    <cellStyle name="Percent 5 2 3 2 2 3" xfId="3376"/>
    <cellStyle name="Percent 5 2 3 2 2 4" xfId="16084"/>
    <cellStyle name="Percent 5 2 3 2 2_FC with allocations" xfId="31420"/>
    <cellStyle name="Percent 5 2 3 2 3" xfId="3377"/>
    <cellStyle name="Percent 5 2 3 2 4" xfId="3378"/>
    <cellStyle name="Percent 5 2 3 2 5" xfId="16083"/>
    <cellStyle name="Percent 5 2 3 2_FC with allocations" xfId="31419"/>
    <cellStyle name="Percent 5 2 3 3" xfId="3379"/>
    <cellStyle name="Percent 5 2 3 3 2" xfId="3380"/>
    <cellStyle name="Percent 5 2 3 3 3" xfId="3381"/>
    <cellStyle name="Percent 5 2 3 3 4" xfId="16085"/>
    <cellStyle name="Percent 5 2 3 3_FC with allocations" xfId="31421"/>
    <cellStyle name="Percent 5 2 3 4" xfId="3382"/>
    <cellStyle name="Percent 5 2 3 5" xfId="3383"/>
    <cellStyle name="Percent 5 2 3 6" xfId="3384"/>
    <cellStyle name="Percent 5 2 3 7" xfId="16082"/>
    <cellStyle name="Percent 5 2 3_FC with allocations" xfId="31418"/>
    <cellStyle name="Percent 5 2 4" xfId="3385"/>
    <cellStyle name="Percent 5 2 4 2" xfId="3386"/>
    <cellStyle name="Percent 5 2 4 2 2" xfId="3387"/>
    <cellStyle name="Percent 5 2 4 2 2 2" xfId="3388"/>
    <cellStyle name="Percent 5 2 4 2 2 3" xfId="3389"/>
    <cellStyle name="Percent 5 2 4 2 2_FC with allocations" xfId="31424"/>
    <cellStyle name="Percent 5 2 4 2 3" xfId="3390"/>
    <cellStyle name="Percent 5 2 4 2 4" xfId="3391"/>
    <cellStyle name="Percent 5 2 4 2 5" xfId="16087"/>
    <cellStyle name="Percent 5 2 4 2_FC with allocations" xfId="31423"/>
    <cellStyle name="Percent 5 2 4 3" xfId="3392"/>
    <cellStyle name="Percent 5 2 4 3 2" xfId="3393"/>
    <cellStyle name="Percent 5 2 4 3 3" xfId="3394"/>
    <cellStyle name="Percent 5 2 4 3_FC with allocations" xfId="31425"/>
    <cellStyle name="Percent 5 2 4 4" xfId="3395"/>
    <cellStyle name="Percent 5 2 4 5" xfId="3396"/>
    <cellStyle name="Percent 5 2 4 6" xfId="3397"/>
    <cellStyle name="Percent 5 2 4 7" xfId="16086"/>
    <cellStyle name="Percent 5 2 4_FC with allocations" xfId="31422"/>
    <cellStyle name="Percent 5 2 5" xfId="3398"/>
    <cellStyle name="Percent 5 2 5 2" xfId="3399"/>
    <cellStyle name="Percent 5 2 5 2 2" xfId="3400"/>
    <cellStyle name="Percent 5 2 5 2 3" xfId="3401"/>
    <cellStyle name="Percent 5 2 5 2_FC with allocations" xfId="31427"/>
    <cellStyle name="Percent 5 2 5 3" xfId="3402"/>
    <cellStyle name="Percent 5 2 5 4" xfId="3403"/>
    <cellStyle name="Percent 5 2 5 5" xfId="16088"/>
    <cellStyle name="Percent 5 2 5_FC with allocations" xfId="31426"/>
    <cellStyle name="Percent 5 2 6" xfId="3404"/>
    <cellStyle name="Percent 5 2 6 2" xfId="3405"/>
    <cellStyle name="Percent 5 2 6 3" xfId="3406"/>
    <cellStyle name="Percent 5 2 6_FC with allocations" xfId="31428"/>
    <cellStyle name="Percent 5 2 7" xfId="3407"/>
    <cellStyle name="Percent 5 2 8" xfId="3408"/>
    <cellStyle name="Percent 5 2 9" xfId="3409"/>
    <cellStyle name="Percent 5 2_FC with allocations" xfId="31373"/>
    <cellStyle name="Percent 5 3" xfId="3410"/>
    <cellStyle name="Percent 5 3 2" xfId="3411"/>
    <cellStyle name="Percent 5 3 2 2" xfId="16091"/>
    <cellStyle name="Percent 5 3 2 2 2" xfId="16092"/>
    <cellStyle name="Percent 5 3 2 2 2 2" xfId="16093"/>
    <cellStyle name="Percent 5 3 2 2 2_FC with allocations" xfId="31432"/>
    <cellStyle name="Percent 5 3 2 2 3" xfId="16094"/>
    <cellStyle name="Percent 5 3 2 2_FC with allocations" xfId="31431"/>
    <cellStyle name="Percent 5 3 2 3" xfId="16095"/>
    <cellStyle name="Percent 5 3 2 3 2" xfId="16096"/>
    <cellStyle name="Percent 5 3 2 3_FC with allocations" xfId="31433"/>
    <cellStyle name="Percent 5 3 2 4" xfId="16097"/>
    <cellStyle name="Percent 5 3 2 5" xfId="16090"/>
    <cellStyle name="Percent 5 3 2_FC with allocations" xfId="31430"/>
    <cellStyle name="Percent 5 3 3" xfId="16098"/>
    <cellStyle name="Percent 5 3 3 2" xfId="16099"/>
    <cellStyle name="Percent 5 3 3 2 2" xfId="16100"/>
    <cellStyle name="Percent 5 3 3 2_FC with allocations" xfId="31435"/>
    <cellStyle name="Percent 5 3 3 3" xfId="16101"/>
    <cellStyle name="Percent 5 3 3_FC with allocations" xfId="31434"/>
    <cellStyle name="Percent 5 3 4" xfId="16102"/>
    <cellStyle name="Percent 5 3 4 2" xfId="16103"/>
    <cellStyle name="Percent 5 3 4_FC with allocations" xfId="31436"/>
    <cellStyle name="Percent 5 3 5" xfId="16104"/>
    <cellStyle name="Percent 5 3 6" xfId="16089"/>
    <cellStyle name="Percent 5 3_FC with allocations" xfId="31429"/>
    <cellStyle name="Percent 5 4" xfId="3412"/>
    <cellStyle name="Percent 5 4 10" xfId="3413"/>
    <cellStyle name="Percent 5 4 11" xfId="3414"/>
    <cellStyle name="Percent 5 4 12" xfId="4502"/>
    <cellStyle name="Percent 5 4 12 10" xfId="19918"/>
    <cellStyle name="Percent 5 4 12 11" xfId="21911"/>
    <cellStyle name="Percent 5 4 12 2" xfId="4807"/>
    <cellStyle name="Percent 5 4 12 2 2" xfId="16685"/>
    <cellStyle name="Percent 5 4 12 2 2 2" xfId="18707"/>
    <cellStyle name="Percent 5 4 12 2 2 2 2" xfId="19726"/>
    <cellStyle name="Percent 5 4 12 2 2 2 2 2" xfId="21736"/>
    <cellStyle name="Percent 5 4 12 2 2 2 2 3" xfId="23894"/>
    <cellStyle name="Percent 5 4 12 2 2 2 2_FC with allocations" xfId="31442"/>
    <cellStyle name="Percent 5 4 12 2 2 2 3" xfId="20860"/>
    <cellStyle name="Percent 5 4 12 2 2 2 4" xfId="23017"/>
    <cellStyle name="Percent 5 4 12 2 2 2_FC with allocations" xfId="31441"/>
    <cellStyle name="Percent 5 4 12 2 2 3" xfId="19194"/>
    <cellStyle name="Percent 5 4 12 2 2 3 2" xfId="21327"/>
    <cellStyle name="Percent 5 4 12 2 2 3 3" xfId="23484"/>
    <cellStyle name="Percent 5 4 12 2 2 3_FC with allocations" xfId="31443"/>
    <cellStyle name="Percent 5 4 12 2 2 4" xfId="20245"/>
    <cellStyle name="Percent 5 4 12 2 2 5" xfId="22362"/>
    <cellStyle name="Percent 5 4 12 2 2_FC with allocations" xfId="31440"/>
    <cellStyle name="Percent 5 4 12 2 3" xfId="18270"/>
    <cellStyle name="Percent 5 4 12 2 3 2" xfId="19561"/>
    <cellStyle name="Percent 5 4 12 2 3 2 2" xfId="21571"/>
    <cellStyle name="Percent 5 4 12 2 3 2 3" xfId="23729"/>
    <cellStyle name="Percent 5 4 12 2 3 2_FC with allocations" xfId="31445"/>
    <cellStyle name="Percent 5 4 12 2 3 3" xfId="20694"/>
    <cellStyle name="Percent 5 4 12 2 3 4" xfId="22836"/>
    <cellStyle name="Percent 5 4 12 2 3_FC with allocations" xfId="31444"/>
    <cellStyle name="Percent 5 4 12 2 4" xfId="17965"/>
    <cellStyle name="Percent 5 4 12 2 4 2" xfId="20422"/>
    <cellStyle name="Percent 5 4 12 2 4 3" xfId="22562"/>
    <cellStyle name="Percent 5 4 12 2 4_FC with allocations" xfId="31446"/>
    <cellStyle name="Percent 5 4 12 2 5" xfId="18926"/>
    <cellStyle name="Percent 5 4 12 2 5 2" xfId="21078"/>
    <cellStyle name="Percent 5 4 12 2 5 3" xfId="23235"/>
    <cellStyle name="Percent 5 4 12 2 5_FC with allocations" xfId="31447"/>
    <cellStyle name="Percent 5 4 12 2 6" xfId="20077"/>
    <cellStyle name="Percent 5 4 12 2 7" xfId="22072"/>
    <cellStyle name="Percent 5 4 12 2_FC with allocations" xfId="31439"/>
    <cellStyle name="Percent 5 4 12 3" xfId="16632"/>
    <cellStyle name="Percent 5 4 12 3 2" xfId="18654"/>
    <cellStyle name="Percent 5 4 12 3 2 2" xfId="19673"/>
    <cellStyle name="Percent 5 4 12 3 2 2 2" xfId="21683"/>
    <cellStyle name="Percent 5 4 12 3 2 2 3" xfId="23841"/>
    <cellStyle name="Percent 5 4 12 3 2 2_FC with allocations" xfId="31450"/>
    <cellStyle name="Percent 5 4 12 3 2 3" xfId="20807"/>
    <cellStyle name="Percent 5 4 12 3 2 4" xfId="22964"/>
    <cellStyle name="Percent 5 4 12 3 2_FC with allocations" xfId="31449"/>
    <cellStyle name="Percent 5 4 12 3 3" xfId="18021"/>
    <cellStyle name="Percent 5 4 12 3 3 2" xfId="20475"/>
    <cellStyle name="Percent 5 4 12 3 3 3" xfId="22615"/>
    <cellStyle name="Percent 5 4 12 3 3_FC with allocations" xfId="31451"/>
    <cellStyle name="Percent 5 4 12 3 4" xfId="19140"/>
    <cellStyle name="Percent 5 4 12 3 4 2" xfId="21273"/>
    <cellStyle name="Percent 5 4 12 3 4 3" xfId="23430"/>
    <cellStyle name="Percent 5 4 12 3 4_FC with allocations" xfId="31452"/>
    <cellStyle name="Percent 5 4 12 3 5" xfId="20192"/>
    <cellStyle name="Percent 5 4 12 3 6" xfId="22309"/>
    <cellStyle name="Percent 5 4 12 3_FC with allocations" xfId="31448"/>
    <cellStyle name="Percent 5 4 12 4" xfId="4707"/>
    <cellStyle name="Percent 5 4 12 4 2" xfId="18217"/>
    <cellStyle name="Percent 5 4 12 4 2 2" xfId="19508"/>
    <cellStyle name="Percent 5 4 12 4 2 2 2" xfId="21518"/>
    <cellStyle name="Percent 5 4 12 4 2 2 3" xfId="23676"/>
    <cellStyle name="Percent 5 4 12 4 2 2_FC with allocations" xfId="31455"/>
    <cellStyle name="Percent 5 4 12 4 2 3" xfId="20641"/>
    <cellStyle name="Percent 5 4 12 4 2 4" xfId="22783"/>
    <cellStyle name="Percent 5 4 12 4 2_FC with allocations" xfId="31454"/>
    <cellStyle name="Percent 5 4 12 4 3" xfId="19215"/>
    <cellStyle name="Percent 5 4 12 4 3 2" xfId="21348"/>
    <cellStyle name="Percent 5 4 12 4 3 3" xfId="23505"/>
    <cellStyle name="Percent 5 4 12 4 3_FC with allocations" xfId="31456"/>
    <cellStyle name="Percent 5 4 12 4 4" xfId="20024"/>
    <cellStyle name="Percent 5 4 12 4 5" xfId="22019"/>
    <cellStyle name="Percent 5 4 12 4_FC with allocations" xfId="31453"/>
    <cellStyle name="Percent 5 4 12 5" xfId="16763"/>
    <cellStyle name="Percent 5 4 12 5 2" xfId="18767"/>
    <cellStyle name="Percent 5 4 12 5 2 2" xfId="20920"/>
    <cellStyle name="Percent 5 4 12 5 2 3" xfId="23077"/>
    <cellStyle name="Percent 5 4 12 5 2_FC with allocations" xfId="31458"/>
    <cellStyle name="Percent 5 4 12 5 3" xfId="19787"/>
    <cellStyle name="Percent 5 4 12 5 3 2" xfId="21797"/>
    <cellStyle name="Percent 5 4 12 5 3 3" xfId="23955"/>
    <cellStyle name="Percent 5 4 12 5 3_FC with allocations" xfId="31459"/>
    <cellStyle name="Percent 5 4 12 5 4" xfId="20306"/>
    <cellStyle name="Percent 5 4 12 5 5" xfId="22434"/>
    <cellStyle name="Percent 5 4 12 5_FC with allocations" xfId="31457"/>
    <cellStyle name="Percent 5 4 12 6" xfId="18083"/>
    <cellStyle name="Percent 5 4 12 6 2" xfId="19402"/>
    <cellStyle name="Percent 5 4 12 6 2 2" xfId="21412"/>
    <cellStyle name="Percent 5 4 12 6 2 3" xfId="23570"/>
    <cellStyle name="Percent 5 4 12 6 2_FC with allocations" xfId="31461"/>
    <cellStyle name="Percent 5 4 12 6 3" xfId="20535"/>
    <cellStyle name="Percent 5 4 12 6 4" xfId="22677"/>
    <cellStyle name="Percent 5 4 12 6_FC with allocations" xfId="31460"/>
    <cellStyle name="Percent 5 4 12 7" xfId="17391"/>
    <cellStyle name="Percent 5 4 12 8" xfId="18873"/>
    <cellStyle name="Percent 5 4 12 8 2" xfId="21025"/>
    <cellStyle name="Percent 5 4 12 8 3" xfId="23182"/>
    <cellStyle name="Percent 5 4 12 8_FC with allocations" xfId="31462"/>
    <cellStyle name="Percent 5 4 12 9" xfId="19841"/>
    <cellStyle name="Percent 5 4 12 9 2" xfId="21850"/>
    <cellStyle name="Percent 5 4 12 9 3" xfId="24008"/>
    <cellStyle name="Percent 5 4 12 9_FC with allocations" xfId="31463"/>
    <cellStyle name="Percent 5 4 12_FC with allocations" xfId="31438"/>
    <cellStyle name="Percent 5 4 13" xfId="4615"/>
    <cellStyle name="Percent 5 4 14" xfId="16105"/>
    <cellStyle name="Percent 5 4 15" xfId="16575"/>
    <cellStyle name="Percent 5 4 15 2" xfId="18600"/>
    <cellStyle name="Percent 5 4 15 2 2" xfId="19619"/>
    <cellStyle name="Percent 5 4 15 2 2 2" xfId="21629"/>
    <cellStyle name="Percent 5 4 15 2 2 3" xfId="23787"/>
    <cellStyle name="Percent 5 4 15 2 2_FC with allocations" xfId="31466"/>
    <cellStyle name="Percent 5 4 15 2 3" xfId="20753"/>
    <cellStyle name="Percent 5 4 15 2 4" xfId="22910"/>
    <cellStyle name="Percent 5 4 15 2_FC with allocations" xfId="31465"/>
    <cellStyle name="Percent 5 4 15 3" xfId="19034"/>
    <cellStyle name="Percent 5 4 15 3 2" xfId="21177"/>
    <cellStyle name="Percent 5 4 15 3 3" xfId="23334"/>
    <cellStyle name="Percent 5 4 15 3_FC with allocations" xfId="31467"/>
    <cellStyle name="Percent 5 4 15 4" xfId="20138"/>
    <cellStyle name="Percent 5 4 15 5" xfId="22254"/>
    <cellStyle name="Percent 5 4 15_FC with allocations" xfId="31464"/>
    <cellStyle name="Percent 5 4 16" xfId="4560"/>
    <cellStyle name="Percent 5 4 16 2" xfId="18135"/>
    <cellStyle name="Percent 5 4 16 2 2" xfId="19454"/>
    <cellStyle name="Percent 5 4 16 2 2 2" xfId="21464"/>
    <cellStyle name="Percent 5 4 16 2 2 3" xfId="23622"/>
    <cellStyle name="Percent 5 4 16 2 2_FC with allocations" xfId="31470"/>
    <cellStyle name="Percent 5 4 16 2 3" xfId="20587"/>
    <cellStyle name="Percent 5 4 16 2 4" xfId="22729"/>
    <cellStyle name="Percent 5 4 16 2_FC with allocations" xfId="31469"/>
    <cellStyle name="Percent 5 4 16 3" xfId="18984"/>
    <cellStyle name="Percent 5 4 16 3 2" xfId="21136"/>
    <cellStyle name="Percent 5 4 16 3 3" xfId="23293"/>
    <cellStyle name="Percent 5 4 16 3_FC with allocations" xfId="31471"/>
    <cellStyle name="Percent 5 4 16 4" xfId="19970"/>
    <cellStyle name="Percent 5 4 16 5" xfId="21965"/>
    <cellStyle name="Percent 5 4 16_FC with allocations" xfId="31468"/>
    <cellStyle name="Percent 5 4 17" xfId="16857"/>
    <cellStyle name="Percent 5 4 17 2" xfId="20359"/>
    <cellStyle name="Percent 5 4 17 3" xfId="22499"/>
    <cellStyle name="Percent 5 4 17_FC with allocations" xfId="31472"/>
    <cellStyle name="Percent 5 4 18" xfId="18819"/>
    <cellStyle name="Percent 5 4 18 2" xfId="20971"/>
    <cellStyle name="Percent 5 4 18 3" xfId="23128"/>
    <cellStyle name="Percent 5 4 18_FC with allocations" xfId="31473"/>
    <cellStyle name="Percent 5 4 2" xfId="3415"/>
    <cellStyle name="Percent 5 4 2 2" xfId="3416"/>
    <cellStyle name="Percent 5 4 2 2 2" xfId="3417"/>
    <cellStyle name="Percent 5 4 2 2 2 2" xfId="3418"/>
    <cellStyle name="Percent 5 4 2 2 2 2 2" xfId="16109"/>
    <cellStyle name="Percent 5 4 2 2 2 2_FC with allocations" xfId="31477"/>
    <cellStyle name="Percent 5 4 2 2 2 3" xfId="3419"/>
    <cellStyle name="Percent 5 4 2 2 2 4" xfId="16108"/>
    <cellStyle name="Percent 5 4 2 2 2_FC with allocations" xfId="31476"/>
    <cellStyle name="Percent 5 4 2 2 3" xfId="3420"/>
    <cellStyle name="Percent 5 4 2 2 3 2" xfId="16110"/>
    <cellStyle name="Percent 5 4 2 2 3_FC with allocations" xfId="31478"/>
    <cellStyle name="Percent 5 4 2 2 4" xfId="3421"/>
    <cellStyle name="Percent 5 4 2 2 5" xfId="16107"/>
    <cellStyle name="Percent 5 4 2 2_FC with allocations" xfId="31475"/>
    <cellStyle name="Percent 5 4 2 3" xfId="3422"/>
    <cellStyle name="Percent 5 4 2 3 2" xfId="3423"/>
    <cellStyle name="Percent 5 4 2 3 2 2" xfId="16112"/>
    <cellStyle name="Percent 5 4 2 3 2_FC with allocations" xfId="31480"/>
    <cellStyle name="Percent 5 4 2 3 3" xfId="3424"/>
    <cellStyle name="Percent 5 4 2 3 4" xfId="16111"/>
    <cellStyle name="Percent 5 4 2 3_FC with allocations" xfId="31479"/>
    <cellStyle name="Percent 5 4 2 4" xfId="3425"/>
    <cellStyle name="Percent 5 4 2 4 2" xfId="16113"/>
    <cellStyle name="Percent 5 4 2 4_FC with allocations" xfId="31481"/>
    <cellStyle name="Percent 5 4 2 5" xfId="3426"/>
    <cellStyle name="Percent 5 4 2 6" xfId="3427"/>
    <cellStyle name="Percent 5 4 2 7" xfId="16106"/>
    <cellStyle name="Percent 5 4 2_FC with allocations" xfId="31474"/>
    <cellStyle name="Percent 5 4 3" xfId="3428"/>
    <cellStyle name="Percent 5 4 3 2" xfId="3429"/>
    <cellStyle name="Percent 5 4 3 2 2" xfId="3430"/>
    <cellStyle name="Percent 5 4 3 2 2 2" xfId="16116"/>
    <cellStyle name="Percent 5 4 3 2 2_FC with allocations" xfId="31484"/>
    <cellStyle name="Percent 5 4 3 2 3" xfId="3431"/>
    <cellStyle name="Percent 5 4 3 2 4" xfId="16115"/>
    <cellStyle name="Percent 5 4 3 2_FC with allocations" xfId="31483"/>
    <cellStyle name="Percent 5 4 3 3" xfId="3432"/>
    <cellStyle name="Percent 5 4 3 3 2" xfId="16117"/>
    <cellStyle name="Percent 5 4 3 3_FC with allocations" xfId="31485"/>
    <cellStyle name="Percent 5 4 3 4" xfId="3433"/>
    <cellStyle name="Percent 5 4 3 5" xfId="16114"/>
    <cellStyle name="Percent 5 4 3_FC with allocations" xfId="31482"/>
    <cellStyle name="Percent 5 4 4" xfId="3434"/>
    <cellStyle name="Percent 5 4 4 2" xfId="3435"/>
    <cellStyle name="Percent 5 4 4 2 2" xfId="16119"/>
    <cellStyle name="Percent 5 4 4 2_FC with allocations" xfId="31487"/>
    <cellStyle name="Percent 5 4 4 3" xfId="3436"/>
    <cellStyle name="Percent 5 4 4 4" xfId="16118"/>
    <cellStyle name="Percent 5 4 4_FC with allocations" xfId="31486"/>
    <cellStyle name="Percent 5 4 5" xfId="3437"/>
    <cellStyle name="Percent 5 4 5 2" xfId="16120"/>
    <cellStyle name="Percent 5 4 5_FC with allocations" xfId="31488"/>
    <cellStyle name="Percent 5 4 6" xfId="3438"/>
    <cellStyle name="Percent 5 4 7" xfId="3439"/>
    <cellStyle name="Percent 5 4 8" xfId="3440"/>
    <cellStyle name="Percent 5 4 9" xfId="3441"/>
    <cellStyle name="Percent 5 4_FC with allocations" xfId="31437"/>
    <cellStyle name="Percent 5 5" xfId="3442"/>
    <cellStyle name="Percent 5 5 2" xfId="3443"/>
    <cellStyle name="Percent 5 5 2 2" xfId="3444"/>
    <cellStyle name="Percent 5 5 2 2 2" xfId="3445"/>
    <cellStyle name="Percent 5 5 2 2 2 2" xfId="16124"/>
    <cellStyle name="Percent 5 5 2 2 2_FC with allocations" xfId="31492"/>
    <cellStyle name="Percent 5 5 2 2 3" xfId="3446"/>
    <cellStyle name="Percent 5 5 2 2 4" xfId="16123"/>
    <cellStyle name="Percent 5 5 2 2_FC with allocations" xfId="31491"/>
    <cellStyle name="Percent 5 5 2 3" xfId="3447"/>
    <cellStyle name="Percent 5 5 2 3 2" xfId="16125"/>
    <cellStyle name="Percent 5 5 2 3_FC with allocations" xfId="31493"/>
    <cellStyle name="Percent 5 5 2 4" xfId="3448"/>
    <cellStyle name="Percent 5 5 2 5" xfId="16122"/>
    <cellStyle name="Percent 5 5 2_FC with allocations" xfId="31490"/>
    <cellStyle name="Percent 5 5 3" xfId="3449"/>
    <cellStyle name="Percent 5 5 3 2" xfId="3450"/>
    <cellStyle name="Percent 5 5 3 2 2" xfId="16127"/>
    <cellStyle name="Percent 5 5 3 2_FC with allocations" xfId="31495"/>
    <cellStyle name="Percent 5 5 3 3" xfId="3451"/>
    <cellStyle name="Percent 5 5 3 4" xfId="16126"/>
    <cellStyle name="Percent 5 5 3_FC with allocations" xfId="31494"/>
    <cellStyle name="Percent 5 5 4" xfId="3452"/>
    <cellStyle name="Percent 5 5 4 2" xfId="16128"/>
    <cellStyle name="Percent 5 5 4_FC with allocations" xfId="31496"/>
    <cellStyle name="Percent 5 5 5" xfId="3453"/>
    <cellStyle name="Percent 5 5 6" xfId="3454"/>
    <cellStyle name="Percent 5 5 7" xfId="16121"/>
    <cellStyle name="Percent 5 5_FC with allocations" xfId="31489"/>
    <cellStyle name="Percent 5 6" xfId="3455"/>
    <cellStyle name="Percent 5 6 2" xfId="3456"/>
    <cellStyle name="Percent 5 6 2 2" xfId="3457"/>
    <cellStyle name="Percent 5 6 2 2 2" xfId="3458"/>
    <cellStyle name="Percent 5 6 2 2 3" xfId="3459"/>
    <cellStyle name="Percent 5 6 2 2 4" xfId="16131"/>
    <cellStyle name="Percent 5 6 2 2_FC with allocations" xfId="31499"/>
    <cellStyle name="Percent 5 6 2 3" xfId="3460"/>
    <cellStyle name="Percent 5 6 2 4" xfId="3461"/>
    <cellStyle name="Percent 5 6 2 5" xfId="16130"/>
    <cellStyle name="Percent 5 6 2_FC with allocations" xfId="31498"/>
    <cellStyle name="Percent 5 6 3" xfId="3462"/>
    <cellStyle name="Percent 5 6 3 2" xfId="3463"/>
    <cellStyle name="Percent 5 6 3 3" xfId="3464"/>
    <cellStyle name="Percent 5 6 3 4" xfId="16132"/>
    <cellStyle name="Percent 5 6 3_FC with allocations" xfId="31500"/>
    <cellStyle name="Percent 5 6 4" xfId="3465"/>
    <cellStyle name="Percent 5 6 5" xfId="3466"/>
    <cellStyle name="Percent 5 6 6" xfId="3467"/>
    <cellStyle name="Percent 5 6 7" xfId="16129"/>
    <cellStyle name="Percent 5 6_FC with allocations" xfId="31497"/>
    <cellStyle name="Percent 5 7" xfId="3468"/>
    <cellStyle name="Percent 5 7 2" xfId="3469"/>
    <cellStyle name="Percent 5 7 2 2" xfId="3470"/>
    <cellStyle name="Percent 5 7 2 2 2" xfId="16135"/>
    <cellStyle name="Percent 5 7 2 2_FC with allocations" xfId="31503"/>
    <cellStyle name="Percent 5 7 2 3" xfId="3471"/>
    <cellStyle name="Percent 5 7 2 4" xfId="16134"/>
    <cellStyle name="Percent 5 7 2_FC with allocations" xfId="31502"/>
    <cellStyle name="Percent 5 7 3" xfId="3472"/>
    <cellStyle name="Percent 5 7 3 2" xfId="16136"/>
    <cellStyle name="Percent 5 7 3_FC with allocations" xfId="31504"/>
    <cellStyle name="Percent 5 7 4" xfId="3473"/>
    <cellStyle name="Percent 5 7 5" xfId="16133"/>
    <cellStyle name="Percent 5 7_FC with allocations" xfId="31501"/>
    <cellStyle name="Percent 5 8" xfId="3474"/>
    <cellStyle name="Percent 5 8 2" xfId="3475"/>
    <cellStyle name="Percent 5 8 2 2" xfId="16139"/>
    <cellStyle name="Percent 5 8 2 3" xfId="16138"/>
    <cellStyle name="Percent 5 8 2_FC with allocations" xfId="31506"/>
    <cellStyle name="Percent 5 8 3" xfId="3476"/>
    <cellStyle name="Percent 5 8 3 2" xfId="16140"/>
    <cellStyle name="Percent 5 8 3_FC with allocations" xfId="31507"/>
    <cellStyle name="Percent 5 8 4" xfId="16137"/>
    <cellStyle name="Percent 5 8_FC with allocations" xfId="31505"/>
    <cellStyle name="Percent 5 9" xfId="3477"/>
    <cellStyle name="Percent 5_FC with allocations" xfId="31372"/>
    <cellStyle name="Percent 50" xfId="4445"/>
    <cellStyle name="Percent 50 2" xfId="4754"/>
    <cellStyle name="Percent 50 3" xfId="16141"/>
    <cellStyle name="Percent 50 3 2" xfId="18536"/>
    <cellStyle name="Percent 50 3 3" xfId="17915"/>
    <cellStyle name="Percent 50 3_FC with allocations" xfId="31509"/>
    <cellStyle name="Percent 50 4" xfId="4654"/>
    <cellStyle name="Percent 50_FC with allocations" xfId="31508"/>
    <cellStyle name="Percent 51" xfId="4439"/>
    <cellStyle name="Percent 51 2" xfId="4748"/>
    <cellStyle name="Percent 51 3" xfId="16142"/>
    <cellStyle name="Percent 51 3 2" xfId="18537"/>
    <cellStyle name="Percent 51 3 3" xfId="17912"/>
    <cellStyle name="Percent 51 3_FC with allocations" xfId="31511"/>
    <cellStyle name="Percent 51 4" xfId="4648"/>
    <cellStyle name="Percent 51_FC with allocations" xfId="31510"/>
    <cellStyle name="Percent 52" xfId="4443"/>
    <cellStyle name="Percent 52 2" xfId="4752"/>
    <cellStyle name="Percent 52 3" xfId="16143"/>
    <cellStyle name="Percent 52 3 2" xfId="18538"/>
    <cellStyle name="Percent 52 3 3" xfId="17914"/>
    <cellStyle name="Percent 52 3_FC with allocations" xfId="31513"/>
    <cellStyle name="Percent 52 4" xfId="4652"/>
    <cellStyle name="Percent 52_FC with allocations" xfId="31512"/>
    <cellStyle name="Percent 53" xfId="4441"/>
    <cellStyle name="Percent 53 2" xfId="4750"/>
    <cellStyle name="Percent 53 3" xfId="16144"/>
    <cellStyle name="Percent 53 3 2" xfId="18539"/>
    <cellStyle name="Percent 53 3 3" xfId="17913"/>
    <cellStyle name="Percent 53 3_FC with allocations" xfId="31515"/>
    <cellStyle name="Percent 53 4" xfId="4650"/>
    <cellStyle name="Percent 53_FC with allocations" xfId="31514"/>
    <cellStyle name="Percent 54" xfId="4492"/>
    <cellStyle name="Percent 54 2" xfId="16145"/>
    <cellStyle name="Percent 54_FC with allocations" xfId="31516"/>
    <cellStyle name="Percent 55" xfId="4626"/>
    <cellStyle name="Percent 55 2" xfId="16146"/>
    <cellStyle name="Percent 55 3" xfId="16581"/>
    <cellStyle name="Percent 55 4" xfId="18151"/>
    <cellStyle name="Percent 55_FC with allocations" xfId="31517"/>
    <cellStyle name="Percent 56" xfId="16147"/>
    <cellStyle name="Percent 56 2" xfId="18540"/>
    <cellStyle name="Percent 56 3" xfId="17895"/>
    <cellStyle name="Percent 56_FC with allocations" xfId="31518"/>
    <cellStyle name="Percent 57" xfId="16148"/>
    <cellStyle name="Percent 57 2" xfId="18541"/>
    <cellStyle name="Percent 57 3" xfId="17896"/>
    <cellStyle name="Percent 57_FC with allocations" xfId="31519"/>
    <cellStyle name="Percent 58" xfId="16149"/>
    <cellStyle name="Percent 59" xfId="16150"/>
    <cellStyle name="Percent 6" xfId="3478"/>
    <cellStyle name="Percent 6 10" xfId="3479"/>
    <cellStyle name="Percent 6 11" xfId="3480"/>
    <cellStyle name="Percent 6 12" xfId="3481"/>
    <cellStyle name="Percent 6 13" xfId="3482"/>
    <cellStyle name="Percent 6 14" xfId="3483"/>
    <cellStyle name="Percent 6 15" xfId="3484"/>
    <cellStyle name="Percent 6 16" xfId="16151"/>
    <cellStyle name="Percent 6 16 2" xfId="18542"/>
    <cellStyle name="Percent 6 16 3" xfId="17392"/>
    <cellStyle name="Percent 6 16_FC with allocations" xfId="31521"/>
    <cellStyle name="Percent 6 17" xfId="16576"/>
    <cellStyle name="Percent 6 17 2" xfId="18601"/>
    <cellStyle name="Percent 6 17 2 2" xfId="19620"/>
    <cellStyle name="Percent 6 17 2 2 2" xfId="21630"/>
    <cellStyle name="Percent 6 17 2 2 3" xfId="23788"/>
    <cellStyle name="Percent 6 17 2 2_FC with allocations" xfId="31524"/>
    <cellStyle name="Percent 6 17 2 3" xfId="20754"/>
    <cellStyle name="Percent 6 17 2 4" xfId="22911"/>
    <cellStyle name="Percent 6 17 2_FC with allocations" xfId="31523"/>
    <cellStyle name="Percent 6 17 3" xfId="19035"/>
    <cellStyle name="Percent 6 17 3 2" xfId="21178"/>
    <cellStyle name="Percent 6 17 3 3" xfId="23335"/>
    <cellStyle name="Percent 6 17 3_FC with allocations" xfId="31525"/>
    <cellStyle name="Percent 6 17 4" xfId="20139"/>
    <cellStyle name="Percent 6 17 5" xfId="22255"/>
    <cellStyle name="Percent 6 17_FC with allocations" xfId="31522"/>
    <cellStyle name="Percent 6 18" xfId="4561"/>
    <cellStyle name="Percent 6 18 2" xfId="18136"/>
    <cellStyle name="Percent 6 18 2 2" xfId="19455"/>
    <cellStyle name="Percent 6 18 2 2 2" xfId="21465"/>
    <cellStyle name="Percent 6 18 2 2 3" xfId="23623"/>
    <cellStyle name="Percent 6 18 2 2_FC with allocations" xfId="31528"/>
    <cellStyle name="Percent 6 18 2 3" xfId="20588"/>
    <cellStyle name="Percent 6 18 2 4" xfId="22730"/>
    <cellStyle name="Percent 6 18 2_FC with allocations" xfId="31527"/>
    <cellStyle name="Percent 6 18 3" xfId="18985"/>
    <cellStyle name="Percent 6 18 3 2" xfId="21137"/>
    <cellStyle name="Percent 6 18 3 3" xfId="23294"/>
    <cellStyle name="Percent 6 18 3_FC with allocations" xfId="31529"/>
    <cellStyle name="Percent 6 18 4" xfId="19971"/>
    <cellStyle name="Percent 6 18 5" xfId="21966"/>
    <cellStyle name="Percent 6 18_FC with allocations" xfId="31526"/>
    <cellStyle name="Percent 6 19" xfId="16858"/>
    <cellStyle name="Percent 6 19 2" xfId="20360"/>
    <cellStyle name="Percent 6 19 3" xfId="22500"/>
    <cellStyle name="Percent 6 19_FC with allocations" xfId="31530"/>
    <cellStyle name="Percent 6 2" xfId="3485"/>
    <cellStyle name="Percent 6 2 2" xfId="3486"/>
    <cellStyle name="Percent 6 2 2 2" xfId="16154"/>
    <cellStyle name="Percent 6 2 2 2 2" xfId="16155"/>
    <cellStyle name="Percent 6 2 2 2 2 2" xfId="16156"/>
    <cellStyle name="Percent 6 2 2 2 2_FC with allocations" xfId="31534"/>
    <cellStyle name="Percent 6 2 2 2 3" xfId="16157"/>
    <cellStyle name="Percent 6 2 2 2_FC with allocations" xfId="31533"/>
    <cellStyle name="Percent 6 2 2 3" xfId="16158"/>
    <cellStyle name="Percent 6 2 2 3 2" xfId="16159"/>
    <cellStyle name="Percent 6 2 2 3_FC with allocations" xfId="31535"/>
    <cellStyle name="Percent 6 2 2 4" xfId="16160"/>
    <cellStyle name="Percent 6 2 2 5" xfId="16153"/>
    <cellStyle name="Percent 6 2 2_FC with allocations" xfId="31532"/>
    <cellStyle name="Percent 6 2 3" xfId="3487"/>
    <cellStyle name="Percent 6 2 3 2" xfId="16162"/>
    <cellStyle name="Percent 6 2 3 2 2" xfId="16163"/>
    <cellStyle name="Percent 6 2 3 2_FC with allocations" xfId="31537"/>
    <cellStyle name="Percent 6 2 3 3" xfId="16164"/>
    <cellStyle name="Percent 6 2 3 4" xfId="16161"/>
    <cellStyle name="Percent 6 2 3_FC with allocations" xfId="31536"/>
    <cellStyle name="Percent 6 2 4" xfId="3488"/>
    <cellStyle name="Percent 6 2 4 2" xfId="16166"/>
    <cellStyle name="Percent 6 2 4 2 2" xfId="16167"/>
    <cellStyle name="Percent 6 2 4 2_FC with allocations" xfId="31539"/>
    <cellStyle name="Percent 6 2 4 3" xfId="16168"/>
    <cellStyle name="Percent 6 2 4 4" xfId="16165"/>
    <cellStyle name="Percent 6 2 4_FC with allocations" xfId="31538"/>
    <cellStyle name="Percent 6 2 5" xfId="16152"/>
    <cellStyle name="Percent 6 2_FC with allocations" xfId="31531"/>
    <cellStyle name="Percent 6 20" xfId="18820"/>
    <cellStyle name="Percent 6 20 2" xfId="20972"/>
    <cellStyle name="Percent 6 20 3" xfId="23129"/>
    <cellStyle name="Percent 6 20_FC with allocations" xfId="31540"/>
    <cellStyle name="Percent 6 3" xfId="3489"/>
    <cellStyle name="Percent 6 3 10" xfId="4503"/>
    <cellStyle name="Percent 6 3 10 10" xfId="19919"/>
    <cellStyle name="Percent 6 3 10 11" xfId="21912"/>
    <cellStyle name="Percent 6 3 10 2" xfId="4808"/>
    <cellStyle name="Percent 6 3 10 2 2" xfId="16686"/>
    <cellStyle name="Percent 6 3 10 2 2 2" xfId="18708"/>
    <cellStyle name="Percent 6 3 10 2 2 2 2" xfId="19727"/>
    <cellStyle name="Percent 6 3 10 2 2 2 2 2" xfId="21737"/>
    <cellStyle name="Percent 6 3 10 2 2 2 2 3" xfId="23895"/>
    <cellStyle name="Percent 6 3 10 2 2 2 2_FC with allocations" xfId="31546"/>
    <cellStyle name="Percent 6 3 10 2 2 2 3" xfId="20861"/>
    <cellStyle name="Percent 6 3 10 2 2 2 4" xfId="23018"/>
    <cellStyle name="Percent 6 3 10 2 2 2_FC with allocations" xfId="31545"/>
    <cellStyle name="Percent 6 3 10 2 2 3" xfId="19195"/>
    <cellStyle name="Percent 6 3 10 2 2 3 2" xfId="21328"/>
    <cellStyle name="Percent 6 3 10 2 2 3 3" xfId="23485"/>
    <cellStyle name="Percent 6 3 10 2 2 3_FC with allocations" xfId="31547"/>
    <cellStyle name="Percent 6 3 10 2 2 4" xfId="20246"/>
    <cellStyle name="Percent 6 3 10 2 2 5" xfId="22363"/>
    <cellStyle name="Percent 6 3 10 2 2_FC with allocations" xfId="31544"/>
    <cellStyle name="Percent 6 3 10 2 3" xfId="18271"/>
    <cellStyle name="Percent 6 3 10 2 3 2" xfId="19562"/>
    <cellStyle name="Percent 6 3 10 2 3 2 2" xfId="21572"/>
    <cellStyle name="Percent 6 3 10 2 3 2 3" xfId="23730"/>
    <cellStyle name="Percent 6 3 10 2 3 2_FC with allocations" xfId="31549"/>
    <cellStyle name="Percent 6 3 10 2 3 3" xfId="20695"/>
    <cellStyle name="Percent 6 3 10 2 3 4" xfId="22837"/>
    <cellStyle name="Percent 6 3 10 2 3_FC with allocations" xfId="31548"/>
    <cellStyle name="Percent 6 3 10 2 4" xfId="17966"/>
    <cellStyle name="Percent 6 3 10 2 4 2" xfId="20423"/>
    <cellStyle name="Percent 6 3 10 2 4 3" xfId="22563"/>
    <cellStyle name="Percent 6 3 10 2 4_FC with allocations" xfId="31550"/>
    <cellStyle name="Percent 6 3 10 2 5" xfId="18927"/>
    <cellStyle name="Percent 6 3 10 2 5 2" xfId="21079"/>
    <cellStyle name="Percent 6 3 10 2 5 3" xfId="23236"/>
    <cellStyle name="Percent 6 3 10 2 5_FC with allocations" xfId="31551"/>
    <cellStyle name="Percent 6 3 10 2 6" xfId="20078"/>
    <cellStyle name="Percent 6 3 10 2 7" xfId="22073"/>
    <cellStyle name="Percent 6 3 10 2_FC with allocations" xfId="31543"/>
    <cellStyle name="Percent 6 3 10 3" xfId="16633"/>
    <cellStyle name="Percent 6 3 10 3 2" xfId="18655"/>
    <cellStyle name="Percent 6 3 10 3 2 2" xfId="19674"/>
    <cellStyle name="Percent 6 3 10 3 2 2 2" xfId="21684"/>
    <cellStyle name="Percent 6 3 10 3 2 2 3" xfId="23842"/>
    <cellStyle name="Percent 6 3 10 3 2 2_FC with allocations" xfId="31554"/>
    <cellStyle name="Percent 6 3 10 3 2 3" xfId="20808"/>
    <cellStyle name="Percent 6 3 10 3 2 4" xfId="22965"/>
    <cellStyle name="Percent 6 3 10 3 2_FC with allocations" xfId="31553"/>
    <cellStyle name="Percent 6 3 10 3 3" xfId="18022"/>
    <cellStyle name="Percent 6 3 10 3 3 2" xfId="20476"/>
    <cellStyle name="Percent 6 3 10 3 3 3" xfId="22616"/>
    <cellStyle name="Percent 6 3 10 3 3_FC with allocations" xfId="31555"/>
    <cellStyle name="Percent 6 3 10 3 4" xfId="19141"/>
    <cellStyle name="Percent 6 3 10 3 4 2" xfId="21274"/>
    <cellStyle name="Percent 6 3 10 3 4 3" xfId="23431"/>
    <cellStyle name="Percent 6 3 10 3 4_FC with allocations" xfId="31556"/>
    <cellStyle name="Percent 6 3 10 3 5" xfId="20193"/>
    <cellStyle name="Percent 6 3 10 3 6" xfId="22310"/>
    <cellStyle name="Percent 6 3 10 3_FC with allocations" xfId="31552"/>
    <cellStyle name="Percent 6 3 10 4" xfId="4708"/>
    <cellStyle name="Percent 6 3 10 4 2" xfId="18218"/>
    <cellStyle name="Percent 6 3 10 4 2 2" xfId="19509"/>
    <cellStyle name="Percent 6 3 10 4 2 2 2" xfId="21519"/>
    <cellStyle name="Percent 6 3 10 4 2 2 3" xfId="23677"/>
    <cellStyle name="Percent 6 3 10 4 2 2_FC with allocations" xfId="31559"/>
    <cellStyle name="Percent 6 3 10 4 2 3" xfId="20642"/>
    <cellStyle name="Percent 6 3 10 4 2 4" xfId="22784"/>
    <cellStyle name="Percent 6 3 10 4 2_FC with allocations" xfId="31558"/>
    <cellStyle name="Percent 6 3 10 4 3" xfId="19065"/>
    <cellStyle name="Percent 6 3 10 4 3 2" xfId="21206"/>
    <cellStyle name="Percent 6 3 10 4 3 3" xfId="23363"/>
    <cellStyle name="Percent 6 3 10 4 3_FC with allocations" xfId="31560"/>
    <cellStyle name="Percent 6 3 10 4 4" xfId="20025"/>
    <cellStyle name="Percent 6 3 10 4 5" xfId="22020"/>
    <cellStyle name="Percent 6 3 10 4_FC with allocations" xfId="31557"/>
    <cellStyle name="Percent 6 3 10 5" xfId="16764"/>
    <cellStyle name="Percent 6 3 10 5 2" xfId="18768"/>
    <cellStyle name="Percent 6 3 10 5 2 2" xfId="20921"/>
    <cellStyle name="Percent 6 3 10 5 2 3" xfId="23078"/>
    <cellStyle name="Percent 6 3 10 5 2_FC with allocations" xfId="31562"/>
    <cellStyle name="Percent 6 3 10 5 3" xfId="19788"/>
    <cellStyle name="Percent 6 3 10 5 3 2" xfId="21798"/>
    <cellStyle name="Percent 6 3 10 5 3 3" xfId="23956"/>
    <cellStyle name="Percent 6 3 10 5 3_FC with allocations" xfId="31563"/>
    <cellStyle name="Percent 6 3 10 5 4" xfId="20307"/>
    <cellStyle name="Percent 6 3 10 5 5" xfId="22435"/>
    <cellStyle name="Percent 6 3 10 5_FC with allocations" xfId="31561"/>
    <cellStyle name="Percent 6 3 10 6" xfId="18084"/>
    <cellStyle name="Percent 6 3 10 6 2" xfId="19403"/>
    <cellStyle name="Percent 6 3 10 6 2 2" xfId="21413"/>
    <cellStyle name="Percent 6 3 10 6 2 3" xfId="23571"/>
    <cellStyle name="Percent 6 3 10 6 2_FC with allocations" xfId="31565"/>
    <cellStyle name="Percent 6 3 10 6 3" xfId="20536"/>
    <cellStyle name="Percent 6 3 10 6 4" xfId="22678"/>
    <cellStyle name="Percent 6 3 10 6_FC with allocations" xfId="31564"/>
    <cellStyle name="Percent 6 3 10 7" xfId="17393"/>
    <cellStyle name="Percent 6 3 10 8" xfId="18874"/>
    <cellStyle name="Percent 6 3 10 8 2" xfId="21026"/>
    <cellStyle name="Percent 6 3 10 8 3" xfId="23183"/>
    <cellStyle name="Percent 6 3 10 8_FC with allocations" xfId="31566"/>
    <cellStyle name="Percent 6 3 10 9" xfId="19842"/>
    <cellStyle name="Percent 6 3 10 9 2" xfId="21851"/>
    <cellStyle name="Percent 6 3 10 9 3" xfId="24009"/>
    <cellStyle name="Percent 6 3 10 9_FC with allocations" xfId="31567"/>
    <cellStyle name="Percent 6 3 10_FC with allocations" xfId="31542"/>
    <cellStyle name="Percent 6 3 11" xfId="4616"/>
    <cellStyle name="Percent 6 3 12" xfId="16169"/>
    <cellStyle name="Percent 6 3 13" xfId="16577"/>
    <cellStyle name="Percent 6 3 13 2" xfId="18602"/>
    <cellStyle name="Percent 6 3 13 2 2" xfId="19621"/>
    <cellStyle name="Percent 6 3 13 2 2 2" xfId="21631"/>
    <cellStyle name="Percent 6 3 13 2 2 3" xfId="23789"/>
    <cellStyle name="Percent 6 3 13 2 2_FC with allocations" xfId="31570"/>
    <cellStyle name="Percent 6 3 13 2 3" xfId="20755"/>
    <cellStyle name="Percent 6 3 13 2 4" xfId="22912"/>
    <cellStyle name="Percent 6 3 13 2_FC with allocations" xfId="31569"/>
    <cellStyle name="Percent 6 3 13 3" xfId="19036"/>
    <cellStyle name="Percent 6 3 13 3 2" xfId="21179"/>
    <cellStyle name="Percent 6 3 13 3 3" xfId="23336"/>
    <cellStyle name="Percent 6 3 13 3_FC with allocations" xfId="31571"/>
    <cellStyle name="Percent 6 3 13 4" xfId="20140"/>
    <cellStyle name="Percent 6 3 13 5" xfId="22256"/>
    <cellStyle name="Percent 6 3 13_FC with allocations" xfId="31568"/>
    <cellStyle name="Percent 6 3 14" xfId="4562"/>
    <cellStyle name="Percent 6 3 14 2" xfId="18137"/>
    <cellStyle name="Percent 6 3 14 2 2" xfId="19456"/>
    <cellStyle name="Percent 6 3 14 2 2 2" xfId="21466"/>
    <cellStyle name="Percent 6 3 14 2 2 3" xfId="23624"/>
    <cellStyle name="Percent 6 3 14 2 2_FC with allocations" xfId="31574"/>
    <cellStyle name="Percent 6 3 14 2 3" xfId="20589"/>
    <cellStyle name="Percent 6 3 14 2 4" xfId="22731"/>
    <cellStyle name="Percent 6 3 14 2_FC with allocations" xfId="31573"/>
    <cellStyle name="Percent 6 3 14 3" xfId="18986"/>
    <cellStyle name="Percent 6 3 14 3 2" xfId="21138"/>
    <cellStyle name="Percent 6 3 14 3 3" xfId="23295"/>
    <cellStyle name="Percent 6 3 14 3_FC with allocations" xfId="31575"/>
    <cellStyle name="Percent 6 3 14 4" xfId="19972"/>
    <cellStyle name="Percent 6 3 14 5" xfId="21967"/>
    <cellStyle name="Percent 6 3 14_FC with allocations" xfId="31572"/>
    <cellStyle name="Percent 6 3 15" xfId="16859"/>
    <cellStyle name="Percent 6 3 15 2" xfId="20361"/>
    <cellStyle name="Percent 6 3 15 3" xfId="22501"/>
    <cellStyle name="Percent 6 3 15_FC with allocations" xfId="31576"/>
    <cellStyle name="Percent 6 3 16" xfId="18821"/>
    <cellStyle name="Percent 6 3 16 2" xfId="20973"/>
    <cellStyle name="Percent 6 3 16 3" xfId="23130"/>
    <cellStyle name="Percent 6 3 16_FC with allocations" xfId="31577"/>
    <cellStyle name="Percent 6 3 2" xfId="3490"/>
    <cellStyle name="Percent 6 3 2 2" xfId="3491"/>
    <cellStyle name="Percent 6 3 2 2 2" xfId="3492"/>
    <cellStyle name="Percent 6 3 2 2 2 2" xfId="3493"/>
    <cellStyle name="Percent 6 3 2 2 2 2 2" xfId="16173"/>
    <cellStyle name="Percent 6 3 2 2 2 2_FC with allocations" xfId="31581"/>
    <cellStyle name="Percent 6 3 2 2 2 3" xfId="3494"/>
    <cellStyle name="Percent 6 3 2 2 2 4" xfId="16172"/>
    <cellStyle name="Percent 6 3 2 2 2_FC with allocations" xfId="31580"/>
    <cellStyle name="Percent 6 3 2 2 3" xfId="3495"/>
    <cellStyle name="Percent 6 3 2 2 3 2" xfId="16174"/>
    <cellStyle name="Percent 6 3 2 2 3_FC with allocations" xfId="31582"/>
    <cellStyle name="Percent 6 3 2 2 4" xfId="3496"/>
    <cellStyle name="Percent 6 3 2 2 5" xfId="16171"/>
    <cellStyle name="Percent 6 3 2 2_FC with allocations" xfId="31579"/>
    <cellStyle name="Percent 6 3 2 3" xfId="3497"/>
    <cellStyle name="Percent 6 3 2 3 2" xfId="3498"/>
    <cellStyle name="Percent 6 3 2 3 2 2" xfId="16176"/>
    <cellStyle name="Percent 6 3 2 3 2_FC with allocations" xfId="31584"/>
    <cellStyle name="Percent 6 3 2 3 3" xfId="3499"/>
    <cellStyle name="Percent 6 3 2 3 4" xfId="16175"/>
    <cellStyle name="Percent 6 3 2 3_FC with allocations" xfId="31583"/>
    <cellStyle name="Percent 6 3 2 4" xfId="3500"/>
    <cellStyle name="Percent 6 3 2 4 2" xfId="16177"/>
    <cellStyle name="Percent 6 3 2 4_FC with allocations" xfId="31585"/>
    <cellStyle name="Percent 6 3 2 5" xfId="3501"/>
    <cellStyle name="Percent 6 3 2 6" xfId="3502"/>
    <cellStyle name="Percent 6 3 2 7" xfId="16170"/>
    <cellStyle name="Percent 6 3 2_FC with allocations" xfId="31578"/>
    <cellStyle name="Percent 6 3 3" xfId="3503"/>
    <cellStyle name="Percent 6 3 3 2" xfId="3504"/>
    <cellStyle name="Percent 6 3 3 2 2" xfId="3505"/>
    <cellStyle name="Percent 6 3 3 2 2 2" xfId="16180"/>
    <cellStyle name="Percent 6 3 3 2 2_FC with allocations" xfId="31588"/>
    <cellStyle name="Percent 6 3 3 2 3" xfId="3506"/>
    <cellStyle name="Percent 6 3 3 2 4" xfId="16179"/>
    <cellStyle name="Percent 6 3 3 2_FC with allocations" xfId="31587"/>
    <cellStyle name="Percent 6 3 3 3" xfId="3507"/>
    <cellStyle name="Percent 6 3 3 3 2" xfId="16181"/>
    <cellStyle name="Percent 6 3 3 3_FC with allocations" xfId="31589"/>
    <cellStyle name="Percent 6 3 3 4" xfId="3508"/>
    <cellStyle name="Percent 6 3 3 5" xfId="16178"/>
    <cellStyle name="Percent 6 3 3_FC with allocations" xfId="31586"/>
    <cellStyle name="Percent 6 3 4" xfId="3509"/>
    <cellStyle name="Percent 6 3 4 2" xfId="3510"/>
    <cellStyle name="Percent 6 3 4 2 2" xfId="16183"/>
    <cellStyle name="Percent 6 3 4 2_FC with allocations" xfId="31591"/>
    <cellStyle name="Percent 6 3 4 3" xfId="3511"/>
    <cellStyle name="Percent 6 3 4 4" xfId="16182"/>
    <cellStyle name="Percent 6 3 4_FC with allocations" xfId="31590"/>
    <cellStyle name="Percent 6 3 5" xfId="3512"/>
    <cellStyle name="Percent 6 3 5 2" xfId="16184"/>
    <cellStyle name="Percent 6 3 5_FC with allocations" xfId="31592"/>
    <cellStyle name="Percent 6 3 6" xfId="3513"/>
    <cellStyle name="Percent 6 3 7" xfId="3514"/>
    <cellStyle name="Percent 6 3 8" xfId="3515"/>
    <cellStyle name="Percent 6 3 9" xfId="3516"/>
    <cellStyle name="Percent 6 3_FC with allocations" xfId="31541"/>
    <cellStyle name="Percent 6 4" xfId="3517"/>
    <cellStyle name="Percent 6 4 2" xfId="3518"/>
    <cellStyle name="Percent 6 4 2 2" xfId="3519"/>
    <cellStyle name="Percent 6 4 2 2 2" xfId="3520"/>
    <cellStyle name="Percent 6 4 2 2 2 2" xfId="16189"/>
    <cellStyle name="Percent 6 4 2 2 2 3" xfId="16188"/>
    <cellStyle name="Percent 6 4 2 2 2_FC with allocations" xfId="31596"/>
    <cellStyle name="Percent 6 4 2 2 3" xfId="3521"/>
    <cellStyle name="Percent 6 4 2 2 3 2" xfId="16190"/>
    <cellStyle name="Percent 6 4 2 2 3_FC with allocations" xfId="31597"/>
    <cellStyle name="Percent 6 4 2 2 4" xfId="16187"/>
    <cellStyle name="Percent 6 4 2 2_FC with allocations" xfId="31595"/>
    <cellStyle name="Percent 6 4 2 3" xfId="3522"/>
    <cellStyle name="Percent 6 4 2 3 2" xfId="16192"/>
    <cellStyle name="Percent 6 4 2 3 3" xfId="16191"/>
    <cellStyle name="Percent 6 4 2 3_FC with allocations" xfId="31598"/>
    <cellStyle name="Percent 6 4 2 4" xfId="3523"/>
    <cellStyle name="Percent 6 4 2 4 2" xfId="16193"/>
    <cellStyle name="Percent 6 4 2 4_FC with allocations" xfId="31599"/>
    <cellStyle name="Percent 6 4 2 5" xfId="16186"/>
    <cellStyle name="Percent 6 4 2_FC with allocations" xfId="31594"/>
    <cellStyle name="Percent 6 4 3" xfId="3524"/>
    <cellStyle name="Percent 6 4 3 2" xfId="3525"/>
    <cellStyle name="Percent 6 4 3 2 2" xfId="16196"/>
    <cellStyle name="Percent 6 4 3 2 3" xfId="16195"/>
    <cellStyle name="Percent 6 4 3 2_FC with allocations" xfId="31601"/>
    <cellStyle name="Percent 6 4 3 3" xfId="3526"/>
    <cellStyle name="Percent 6 4 3 3 2" xfId="16197"/>
    <cellStyle name="Percent 6 4 3 3_FC with allocations" xfId="31602"/>
    <cellStyle name="Percent 6 4 3 4" xfId="16194"/>
    <cellStyle name="Percent 6 4 3_FC with allocations" xfId="31600"/>
    <cellStyle name="Percent 6 4 4" xfId="3527"/>
    <cellStyle name="Percent 6 4 4 2" xfId="16199"/>
    <cellStyle name="Percent 6 4 4 3" xfId="16198"/>
    <cellStyle name="Percent 6 4 4_FC with allocations" xfId="31603"/>
    <cellStyle name="Percent 6 4 5" xfId="3528"/>
    <cellStyle name="Percent 6 4 5 2" xfId="16200"/>
    <cellStyle name="Percent 6 4 5_FC with allocations" xfId="31604"/>
    <cellStyle name="Percent 6 4 6" xfId="3529"/>
    <cellStyle name="Percent 6 4 7" xfId="16185"/>
    <cellStyle name="Percent 6 4_FC with allocations" xfId="31593"/>
    <cellStyle name="Percent 6 5" xfId="3530"/>
    <cellStyle name="Percent 6 5 2" xfId="3531"/>
    <cellStyle name="Percent 6 5 2 2" xfId="3532"/>
    <cellStyle name="Percent 6 5 2 2 2" xfId="3533"/>
    <cellStyle name="Percent 6 5 2 2 2 2" xfId="16204"/>
    <cellStyle name="Percent 6 5 2 2 2_FC with allocations" xfId="31608"/>
    <cellStyle name="Percent 6 5 2 2 3" xfId="3534"/>
    <cellStyle name="Percent 6 5 2 2 4" xfId="16203"/>
    <cellStyle name="Percent 6 5 2 2_FC with allocations" xfId="31607"/>
    <cellStyle name="Percent 6 5 2 3" xfId="3535"/>
    <cellStyle name="Percent 6 5 2 3 2" xfId="16205"/>
    <cellStyle name="Percent 6 5 2 3_FC with allocations" xfId="31609"/>
    <cellStyle name="Percent 6 5 2 4" xfId="3536"/>
    <cellStyle name="Percent 6 5 2 5" xfId="16202"/>
    <cellStyle name="Percent 6 5 2_FC with allocations" xfId="31606"/>
    <cellStyle name="Percent 6 5 3" xfId="3537"/>
    <cellStyle name="Percent 6 5 3 2" xfId="3538"/>
    <cellStyle name="Percent 6 5 3 2 2" xfId="16207"/>
    <cellStyle name="Percent 6 5 3 2_FC with allocations" xfId="31611"/>
    <cellStyle name="Percent 6 5 3 3" xfId="3539"/>
    <cellStyle name="Percent 6 5 3 4" xfId="16206"/>
    <cellStyle name="Percent 6 5 3_FC with allocations" xfId="31610"/>
    <cellStyle name="Percent 6 5 4" xfId="3540"/>
    <cellStyle name="Percent 6 5 4 2" xfId="16208"/>
    <cellStyle name="Percent 6 5 4_FC with allocations" xfId="31612"/>
    <cellStyle name="Percent 6 5 5" xfId="3541"/>
    <cellStyle name="Percent 6 5 6" xfId="3542"/>
    <cellStyle name="Percent 6 5 7" xfId="16201"/>
    <cellStyle name="Percent 6 5_FC with allocations" xfId="31605"/>
    <cellStyle name="Percent 6 6" xfId="3543"/>
    <cellStyle name="Percent 6 6 2" xfId="3544"/>
    <cellStyle name="Percent 6 6 2 2" xfId="3545"/>
    <cellStyle name="Percent 6 6 2 2 2" xfId="16211"/>
    <cellStyle name="Percent 6 6 2 2_FC with allocations" xfId="31615"/>
    <cellStyle name="Percent 6 6 2 3" xfId="3546"/>
    <cellStyle name="Percent 6 6 2 4" xfId="16210"/>
    <cellStyle name="Percent 6 6 2_FC with allocations" xfId="31614"/>
    <cellStyle name="Percent 6 6 3" xfId="3547"/>
    <cellStyle name="Percent 6 6 3 2" xfId="16212"/>
    <cellStyle name="Percent 6 6 3_FC with allocations" xfId="31616"/>
    <cellStyle name="Percent 6 6 4" xfId="3548"/>
    <cellStyle name="Percent 6 6 5" xfId="16209"/>
    <cellStyle name="Percent 6 6_FC with allocations" xfId="31613"/>
    <cellStyle name="Percent 6 7" xfId="3549"/>
    <cellStyle name="Percent 6 7 2" xfId="3550"/>
    <cellStyle name="Percent 6 7 2 2" xfId="16215"/>
    <cellStyle name="Percent 6 7 2 3" xfId="16214"/>
    <cellStyle name="Percent 6 7 2_FC with allocations" xfId="31618"/>
    <cellStyle name="Percent 6 7 3" xfId="3551"/>
    <cellStyle name="Percent 6 7 3 2" xfId="16216"/>
    <cellStyle name="Percent 6 7 3_FC with allocations" xfId="31619"/>
    <cellStyle name="Percent 6 7 4" xfId="16213"/>
    <cellStyle name="Percent 6 7_FC with allocations" xfId="31617"/>
    <cellStyle name="Percent 6 8" xfId="3552"/>
    <cellStyle name="Percent 6 8 2" xfId="16218"/>
    <cellStyle name="Percent 6 8 2 2" xfId="16219"/>
    <cellStyle name="Percent 6 8 2_FC with allocations" xfId="31621"/>
    <cellStyle name="Percent 6 8 3" xfId="16220"/>
    <cellStyle name="Percent 6 8 4" xfId="16217"/>
    <cellStyle name="Percent 6 8_FC with allocations" xfId="31620"/>
    <cellStyle name="Percent 6 9" xfId="3553"/>
    <cellStyle name="Percent 6_FC with allocations" xfId="31520"/>
    <cellStyle name="Percent 60" xfId="16221"/>
    <cellStyle name="Percent 61" xfId="16222"/>
    <cellStyle name="Percent 62" xfId="16223"/>
    <cellStyle name="Percent 63" xfId="16224"/>
    <cellStyle name="Percent 64" xfId="16225"/>
    <cellStyle name="Percent 65" xfId="16226"/>
    <cellStyle name="Percent 66" xfId="16227"/>
    <cellStyle name="Percent 67" xfId="16228"/>
    <cellStyle name="Percent 68" xfId="16229"/>
    <cellStyle name="Percent 69" xfId="16230"/>
    <cellStyle name="Percent 7" xfId="3554"/>
    <cellStyle name="Percent 7 2" xfId="3555"/>
    <cellStyle name="Percent 7 2 2" xfId="3556"/>
    <cellStyle name="Percent 7 2 2 2" xfId="16234"/>
    <cellStyle name="Percent 7 2 2 2 2" xfId="16235"/>
    <cellStyle name="Percent 7 2 2 2 2 2" xfId="16236"/>
    <cellStyle name="Percent 7 2 2 2 2_FC with allocations" xfId="31626"/>
    <cellStyle name="Percent 7 2 2 2 3" xfId="16237"/>
    <cellStyle name="Percent 7 2 2 2_FC with allocations" xfId="31625"/>
    <cellStyle name="Percent 7 2 2 3" xfId="16238"/>
    <cellStyle name="Percent 7 2 2 3 2" xfId="16239"/>
    <cellStyle name="Percent 7 2 2 3_FC with allocations" xfId="31627"/>
    <cellStyle name="Percent 7 2 2 4" xfId="16240"/>
    <cellStyle name="Percent 7 2 2 5" xfId="16233"/>
    <cellStyle name="Percent 7 2 2_FC with allocations" xfId="31624"/>
    <cellStyle name="Percent 7 2 3" xfId="16241"/>
    <cellStyle name="Percent 7 2 3 2" xfId="16242"/>
    <cellStyle name="Percent 7 2 3 2 2" xfId="16243"/>
    <cellStyle name="Percent 7 2 3 2_FC with allocations" xfId="31629"/>
    <cellStyle name="Percent 7 2 3 3" xfId="16244"/>
    <cellStyle name="Percent 7 2 3_FC with allocations" xfId="31628"/>
    <cellStyle name="Percent 7 2 4" xfId="16245"/>
    <cellStyle name="Percent 7 2 4 2" xfId="16246"/>
    <cellStyle name="Percent 7 2 4 2 2" xfId="16247"/>
    <cellStyle name="Percent 7 2 4 2_FC with allocations" xfId="31631"/>
    <cellStyle name="Percent 7 2 4 3" xfId="16248"/>
    <cellStyle name="Percent 7 2 4_FC with allocations" xfId="31630"/>
    <cellStyle name="Percent 7 2 5" xfId="16232"/>
    <cellStyle name="Percent 7 2_FC with allocations" xfId="31623"/>
    <cellStyle name="Percent 7 3" xfId="16249"/>
    <cellStyle name="Percent 7 3 2" xfId="16250"/>
    <cellStyle name="Percent 7 3 2 2" xfId="16251"/>
    <cellStyle name="Percent 7 3 2 2 2" xfId="16252"/>
    <cellStyle name="Percent 7 3 2 2 2 2" xfId="16253"/>
    <cellStyle name="Percent 7 3 2 2 2_FC with allocations" xfId="31635"/>
    <cellStyle name="Percent 7 3 2 2 3" xfId="16254"/>
    <cellStyle name="Percent 7 3 2 2_FC with allocations" xfId="31634"/>
    <cellStyle name="Percent 7 3 2 3" xfId="16255"/>
    <cellStyle name="Percent 7 3 2 3 2" xfId="16256"/>
    <cellStyle name="Percent 7 3 2 3_FC with allocations" xfId="31636"/>
    <cellStyle name="Percent 7 3 2 4" xfId="16257"/>
    <cellStyle name="Percent 7 3 2_FC with allocations" xfId="31633"/>
    <cellStyle name="Percent 7 3 3" xfId="16258"/>
    <cellStyle name="Percent 7 3 3 2" xfId="16259"/>
    <cellStyle name="Percent 7 3 3 2 2" xfId="16260"/>
    <cellStyle name="Percent 7 3 3 2_FC with allocations" xfId="31638"/>
    <cellStyle name="Percent 7 3 3 3" xfId="16261"/>
    <cellStyle name="Percent 7 3 3_FC with allocations" xfId="31637"/>
    <cellStyle name="Percent 7 3 4" xfId="16262"/>
    <cellStyle name="Percent 7 3 4 2" xfId="16263"/>
    <cellStyle name="Percent 7 3 4_FC with allocations" xfId="31639"/>
    <cellStyle name="Percent 7 3 5" xfId="16264"/>
    <cellStyle name="Percent 7 3_FC with allocations" xfId="31632"/>
    <cellStyle name="Percent 7 4" xfId="16265"/>
    <cellStyle name="Percent 7 4 2" xfId="16266"/>
    <cellStyle name="Percent 7 4 2 2" xfId="16267"/>
    <cellStyle name="Percent 7 4 2 2 2" xfId="16268"/>
    <cellStyle name="Percent 7 4 2 2 2 2" xfId="16269"/>
    <cellStyle name="Percent 7 4 2 2 2_FC with allocations" xfId="31643"/>
    <cellStyle name="Percent 7 4 2 2 3" xfId="16270"/>
    <cellStyle name="Percent 7 4 2 2_FC with allocations" xfId="31642"/>
    <cellStyle name="Percent 7 4 2 3" xfId="16271"/>
    <cellStyle name="Percent 7 4 2 3 2" xfId="16272"/>
    <cellStyle name="Percent 7 4 2 3_FC with allocations" xfId="31644"/>
    <cellStyle name="Percent 7 4 2 4" xfId="16273"/>
    <cellStyle name="Percent 7 4 2_FC with allocations" xfId="31641"/>
    <cellStyle name="Percent 7 4 3" xfId="16274"/>
    <cellStyle name="Percent 7 4 3 2" xfId="16275"/>
    <cellStyle name="Percent 7 4 3 2 2" xfId="16276"/>
    <cellStyle name="Percent 7 4 3 2_FC with allocations" xfId="31646"/>
    <cellStyle name="Percent 7 4 3 3" xfId="16277"/>
    <cellStyle name="Percent 7 4 3_FC with allocations" xfId="31645"/>
    <cellStyle name="Percent 7 4 4" xfId="16278"/>
    <cellStyle name="Percent 7 4 4 2" xfId="16279"/>
    <cellStyle name="Percent 7 4 4_FC with allocations" xfId="31647"/>
    <cellStyle name="Percent 7 4 5" xfId="16280"/>
    <cellStyle name="Percent 7 4_FC with allocations" xfId="31640"/>
    <cellStyle name="Percent 7 5" xfId="16281"/>
    <cellStyle name="Percent 7 5 2" xfId="16282"/>
    <cellStyle name="Percent 7 5 2 2" xfId="16283"/>
    <cellStyle name="Percent 7 5 2 2 2" xfId="16284"/>
    <cellStyle name="Percent 7 5 2 2_FC with allocations" xfId="31650"/>
    <cellStyle name="Percent 7 5 2 3" xfId="16285"/>
    <cellStyle name="Percent 7 5 2_FC with allocations" xfId="31649"/>
    <cellStyle name="Percent 7 5 3" xfId="16286"/>
    <cellStyle name="Percent 7 5 3 2" xfId="16287"/>
    <cellStyle name="Percent 7 5 3_FC with allocations" xfId="31651"/>
    <cellStyle name="Percent 7 5 4" xfId="16288"/>
    <cellStyle name="Percent 7 5_FC with allocations" xfId="31648"/>
    <cellStyle name="Percent 7 6" xfId="16289"/>
    <cellStyle name="Percent 7 6 2" xfId="16290"/>
    <cellStyle name="Percent 7 6 2 2" xfId="16291"/>
    <cellStyle name="Percent 7 6 2_FC with allocations" xfId="31653"/>
    <cellStyle name="Percent 7 6 3" xfId="16292"/>
    <cellStyle name="Percent 7 6_FC with allocations" xfId="31652"/>
    <cellStyle name="Percent 7 7" xfId="16293"/>
    <cellStyle name="Percent 7 7 2" xfId="16294"/>
    <cellStyle name="Percent 7 7 2 2" xfId="16295"/>
    <cellStyle name="Percent 7 7 2_FC with allocations" xfId="31655"/>
    <cellStyle name="Percent 7 7 3" xfId="16296"/>
    <cellStyle name="Percent 7 7_FC with allocations" xfId="31654"/>
    <cellStyle name="Percent 7 8" xfId="16297"/>
    <cellStyle name="Percent 7 8 2" xfId="16298"/>
    <cellStyle name="Percent 7 8 2 2" xfId="16299"/>
    <cellStyle name="Percent 7 8 2_FC with allocations" xfId="31657"/>
    <cellStyle name="Percent 7 8 3" xfId="16300"/>
    <cellStyle name="Percent 7 8_FC with allocations" xfId="31656"/>
    <cellStyle name="Percent 7 9" xfId="16231"/>
    <cellStyle name="Percent 7_FC with allocations" xfId="31622"/>
    <cellStyle name="Percent 70" xfId="16301"/>
    <cellStyle name="Percent 71" xfId="16302"/>
    <cellStyle name="Percent 72" xfId="16303"/>
    <cellStyle name="Percent 73" xfId="16304"/>
    <cellStyle name="Percent 74" xfId="16305"/>
    <cellStyle name="Percent 75" xfId="16306"/>
    <cellStyle name="Percent 76" xfId="16307"/>
    <cellStyle name="Percent 77" xfId="16308"/>
    <cellStyle name="Percent 78" xfId="16309"/>
    <cellStyle name="Percent 79" xfId="16310"/>
    <cellStyle name="Percent 8" xfId="3557"/>
    <cellStyle name="Percent 8 2" xfId="3558"/>
    <cellStyle name="Percent 8 2 2" xfId="16313"/>
    <cellStyle name="Percent 8 2 2 2" xfId="16314"/>
    <cellStyle name="Percent 8 2 2 2 2" xfId="16315"/>
    <cellStyle name="Percent 8 2 2 2 2 2" xfId="16316"/>
    <cellStyle name="Percent 8 2 2 2 2_FC with allocations" xfId="31662"/>
    <cellStyle name="Percent 8 2 2 2 3" xfId="16317"/>
    <cellStyle name="Percent 8 2 2 2_FC with allocations" xfId="31661"/>
    <cellStyle name="Percent 8 2 2 3" xfId="16318"/>
    <cellStyle name="Percent 8 2 2 3 2" xfId="16319"/>
    <cellStyle name="Percent 8 2 2 3_FC with allocations" xfId="31663"/>
    <cellStyle name="Percent 8 2 2 4" xfId="16320"/>
    <cellStyle name="Percent 8 2 2_FC with allocations" xfId="31660"/>
    <cellStyle name="Percent 8 2 3" xfId="16321"/>
    <cellStyle name="Percent 8 2 3 2" xfId="16322"/>
    <cellStyle name="Percent 8 2 3 2 2" xfId="16323"/>
    <cellStyle name="Percent 8 2 3 2_FC with allocations" xfId="31665"/>
    <cellStyle name="Percent 8 2 3 3" xfId="16324"/>
    <cellStyle name="Percent 8 2 3_FC with allocations" xfId="31664"/>
    <cellStyle name="Percent 8 2 4" xfId="16325"/>
    <cellStyle name="Percent 8 2 4 2" xfId="16326"/>
    <cellStyle name="Percent 8 2 4_FC with allocations" xfId="31666"/>
    <cellStyle name="Percent 8 2 5" xfId="16327"/>
    <cellStyle name="Percent 8 2 6" xfId="16312"/>
    <cellStyle name="Percent 8 2_FC with allocations" xfId="31659"/>
    <cellStyle name="Percent 8 3" xfId="3559"/>
    <cellStyle name="Percent 8 3 2" xfId="16329"/>
    <cellStyle name="Percent 8 3 2 2" xfId="16330"/>
    <cellStyle name="Percent 8 3 2 2 2" xfId="16331"/>
    <cellStyle name="Percent 8 3 2 2 2 2" xfId="16332"/>
    <cellStyle name="Percent 8 3 2 2 2_FC with allocations" xfId="31670"/>
    <cellStyle name="Percent 8 3 2 2 3" xfId="16333"/>
    <cellStyle name="Percent 8 3 2 2_FC with allocations" xfId="31669"/>
    <cellStyle name="Percent 8 3 2 3" xfId="16334"/>
    <cellStyle name="Percent 8 3 2 3 2" xfId="16335"/>
    <cellStyle name="Percent 8 3 2 3_FC with allocations" xfId="31671"/>
    <cellStyle name="Percent 8 3 2 4" xfId="16336"/>
    <cellStyle name="Percent 8 3 2_FC with allocations" xfId="31668"/>
    <cellStyle name="Percent 8 3 3" xfId="16337"/>
    <cellStyle name="Percent 8 3 3 2" xfId="16338"/>
    <cellStyle name="Percent 8 3 3 2 2" xfId="16339"/>
    <cellStyle name="Percent 8 3 3 2_FC with allocations" xfId="31673"/>
    <cellStyle name="Percent 8 3 3 3" xfId="16340"/>
    <cellStyle name="Percent 8 3 3_FC with allocations" xfId="31672"/>
    <cellStyle name="Percent 8 3 4" xfId="16341"/>
    <cellStyle name="Percent 8 3 4 2" xfId="16342"/>
    <cellStyle name="Percent 8 3 4_FC with allocations" xfId="31674"/>
    <cellStyle name="Percent 8 3 5" xfId="16343"/>
    <cellStyle name="Percent 8 3 6" xfId="16328"/>
    <cellStyle name="Percent 8 3_FC with allocations" xfId="31667"/>
    <cellStyle name="Percent 8 4" xfId="16344"/>
    <cellStyle name="Percent 8 4 2" xfId="16345"/>
    <cellStyle name="Percent 8 4 2 2" xfId="16346"/>
    <cellStyle name="Percent 8 4 2 2 2" xfId="16347"/>
    <cellStyle name="Percent 8 4 2 2 2 2" xfId="16348"/>
    <cellStyle name="Percent 8 4 2 2 2_FC with allocations" xfId="31678"/>
    <cellStyle name="Percent 8 4 2 2 3" xfId="16349"/>
    <cellStyle name="Percent 8 4 2 2_FC with allocations" xfId="31677"/>
    <cellStyle name="Percent 8 4 2 3" xfId="16350"/>
    <cellStyle name="Percent 8 4 2 3 2" xfId="16351"/>
    <cellStyle name="Percent 8 4 2 3_FC with allocations" xfId="31679"/>
    <cellStyle name="Percent 8 4 2 4" xfId="16352"/>
    <cellStyle name="Percent 8 4 2_FC with allocations" xfId="31676"/>
    <cellStyle name="Percent 8 4 3" xfId="16353"/>
    <cellStyle name="Percent 8 4 3 2" xfId="16354"/>
    <cellStyle name="Percent 8 4 3 2 2" xfId="16355"/>
    <cellStyle name="Percent 8 4 3 2_FC with allocations" xfId="31681"/>
    <cellStyle name="Percent 8 4 3 3" xfId="16356"/>
    <cellStyle name="Percent 8 4 3_FC with allocations" xfId="31680"/>
    <cellStyle name="Percent 8 4 4" xfId="16357"/>
    <cellStyle name="Percent 8 4 4 2" xfId="16358"/>
    <cellStyle name="Percent 8 4 4_FC with allocations" xfId="31682"/>
    <cellStyle name="Percent 8 4 5" xfId="16359"/>
    <cellStyle name="Percent 8 4_FC with allocations" xfId="31675"/>
    <cellStyle name="Percent 8 5" xfId="16360"/>
    <cellStyle name="Percent 8 5 2" xfId="16361"/>
    <cellStyle name="Percent 8 5 2 2" xfId="16362"/>
    <cellStyle name="Percent 8 5 2 2 2" xfId="16363"/>
    <cellStyle name="Percent 8 5 2 2_FC with allocations" xfId="31685"/>
    <cellStyle name="Percent 8 5 2 3" xfId="16364"/>
    <cellStyle name="Percent 8 5 2_FC with allocations" xfId="31684"/>
    <cellStyle name="Percent 8 5 3" xfId="16365"/>
    <cellStyle name="Percent 8 5 3 2" xfId="16366"/>
    <cellStyle name="Percent 8 5 3_FC with allocations" xfId="31686"/>
    <cellStyle name="Percent 8 5 4" xfId="16367"/>
    <cellStyle name="Percent 8 5_FC with allocations" xfId="31683"/>
    <cellStyle name="Percent 8 6" xfId="16368"/>
    <cellStyle name="Percent 8 6 2" xfId="16369"/>
    <cellStyle name="Percent 8 6 2 2" xfId="16370"/>
    <cellStyle name="Percent 8 6 2_FC with allocations" xfId="31688"/>
    <cellStyle name="Percent 8 6 3" xfId="16371"/>
    <cellStyle name="Percent 8 6_FC with allocations" xfId="31687"/>
    <cellStyle name="Percent 8 7" xfId="16372"/>
    <cellStyle name="Percent 8 7 2" xfId="16373"/>
    <cellStyle name="Percent 8 7 2 2" xfId="16374"/>
    <cellStyle name="Percent 8 7 2_FC with allocations" xfId="31690"/>
    <cellStyle name="Percent 8 7 3" xfId="16375"/>
    <cellStyle name="Percent 8 7_FC with allocations" xfId="31689"/>
    <cellStyle name="Percent 8 8" xfId="16376"/>
    <cellStyle name="Percent 8 8 2" xfId="16377"/>
    <cellStyle name="Percent 8 8 2 2" xfId="16378"/>
    <cellStyle name="Percent 8 8 2_FC with allocations" xfId="31692"/>
    <cellStyle name="Percent 8 8 3" xfId="16379"/>
    <cellStyle name="Percent 8 8_FC with allocations" xfId="31691"/>
    <cellStyle name="Percent 8 9" xfId="16311"/>
    <cellStyle name="Percent 8_FC with allocations" xfId="31658"/>
    <cellStyle name="Percent 80" xfId="16380"/>
    <cellStyle name="Percent 81" xfId="16381"/>
    <cellStyle name="Percent 82" xfId="16382"/>
    <cellStyle name="Percent 82 2" xfId="16383"/>
    <cellStyle name="Percent 82 2 2" xfId="16384"/>
    <cellStyle name="Percent 82 2_FC with allocations" xfId="31694"/>
    <cellStyle name="Percent 82 3" xfId="16385"/>
    <cellStyle name="Percent 82_FC with allocations" xfId="31693"/>
    <cellStyle name="Percent 83" xfId="16386"/>
    <cellStyle name="Percent 83 2" xfId="16387"/>
    <cellStyle name="Percent 83 2 2" xfId="16388"/>
    <cellStyle name="Percent 83 2_FC with allocations" xfId="31696"/>
    <cellStyle name="Percent 83 3" xfId="16389"/>
    <cellStyle name="Percent 83_FC with allocations" xfId="31695"/>
    <cellStyle name="Percent 84" xfId="16390"/>
    <cellStyle name="Percent 84 2" xfId="16391"/>
    <cellStyle name="Percent 84 2 2" xfId="16392"/>
    <cellStyle name="Percent 84 2_FC with allocations" xfId="31698"/>
    <cellStyle name="Percent 84 3" xfId="16393"/>
    <cellStyle name="Percent 84_FC with allocations" xfId="31697"/>
    <cellStyle name="Percent 85" xfId="16565"/>
    <cellStyle name="Percent 86" xfId="16701"/>
    <cellStyle name="Percent 87" xfId="4550"/>
    <cellStyle name="Percent 88" xfId="16703"/>
    <cellStyle name="Percent 89" xfId="16705"/>
    <cellStyle name="Percent 9" xfId="3560"/>
    <cellStyle name="Percent 9 10" xfId="3561"/>
    <cellStyle name="Percent 9 11" xfId="3562"/>
    <cellStyle name="Percent 9 12" xfId="3563"/>
    <cellStyle name="Percent 9 13" xfId="4504"/>
    <cellStyle name="Percent 9 13 10" xfId="19920"/>
    <cellStyle name="Percent 9 13 11" xfId="21913"/>
    <cellStyle name="Percent 9 13 2" xfId="4809"/>
    <cellStyle name="Percent 9 13 2 2" xfId="16687"/>
    <cellStyle name="Percent 9 13 2 2 2" xfId="18709"/>
    <cellStyle name="Percent 9 13 2 2 2 2" xfId="19728"/>
    <cellStyle name="Percent 9 13 2 2 2 2 2" xfId="21738"/>
    <cellStyle name="Percent 9 13 2 2 2 2 3" xfId="23896"/>
    <cellStyle name="Percent 9 13 2 2 2 2_FC with allocations" xfId="31704"/>
    <cellStyle name="Percent 9 13 2 2 2 3" xfId="20862"/>
    <cellStyle name="Percent 9 13 2 2 2 4" xfId="23019"/>
    <cellStyle name="Percent 9 13 2 2 2_FC with allocations" xfId="31703"/>
    <cellStyle name="Percent 9 13 2 2 3" xfId="19196"/>
    <cellStyle name="Percent 9 13 2 2 3 2" xfId="21329"/>
    <cellStyle name="Percent 9 13 2 2 3 3" xfId="23486"/>
    <cellStyle name="Percent 9 13 2 2 3_FC with allocations" xfId="31705"/>
    <cellStyle name="Percent 9 13 2 2 4" xfId="20247"/>
    <cellStyle name="Percent 9 13 2 2 5" xfId="22364"/>
    <cellStyle name="Percent 9 13 2 2_FC with allocations" xfId="31702"/>
    <cellStyle name="Percent 9 13 2 3" xfId="18272"/>
    <cellStyle name="Percent 9 13 2 3 2" xfId="19563"/>
    <cellStyle name="Percent 9 13 2 3 2 2" xfId="21573"/>
    <cellStyle name="Percent 9 13 2 3 2 3" xfId="23731"/>
    <cellStyle name="Percent 9 13 2 3 2_FC with allocations" xfId="31707"/>
    <cellStyle name="Percent 9 13 2 3 3" xfId="20696"/>
    <cellStyle name="Percent 9 13 2 3 4" xfId="22838"/>
    <cellStyle name="Percent 9 13 2 3_FC with allocations" xfId="31706"/>
    <cellStyle name="Percent 9 13 2 4" xfId="17967"/>
    <cellStyle name="Percent 9 13 2 4 2" xfId="20424"/>
    <cellStyle name="Percent 9 13 2 4 3" xfId="22564"/>
    <cellStyle name="Percent 9 13 2 4_FC with allocations" xfId="31708"/>
    <cellStyle name="Percent 9 13 2 5" xfId="18928"/>
    <cellStyle name="Percent 9 13 2 5 2" xfId="21080"/>
    <cellStyle name="Percent 9 13 2 5 3" xfId="23237"/>
    <cellStyle name="Percent 9 13 2 5_FC with allocations" xfId="31709"/>
    <cellStyle name="Percent 9 13 2 6" xfId="20079"/>
    <cellStyle name="Percent 9 13 2 7" xfId="22074"/>
    <cellStyle name="Percent 9 13 2_FC with allocations" xfId="31701"/>
    <cellStyle name="Percent 9 13 3" xfId="16634"/>
    <cellStyle name="Percent 9 13 3 2" xfId="18656"/>
    <cellStyle name="Percent 9 13 3 2 2" xfId="19675"/>
    <cellStyle name="Percent 9 13 3 2 2 2" xfId="21685"/>
    <cellStyle name="Percent 9 13 3 2 2 3" xfId="23843"/>
    <cellStyle name="Percent 9 13 3 2 2_FC with allocations" xfId="31712"/>
    <cellStyle name="Percent 9 13 3 2 3" xfId="20809"/>
    <cellStyle name="Percent 9 13 3 2 4" xfId="22966"/>
    <cellStyle name="Percent 9 13 3 2_FC with allocations" xfId="31711"/>
    <cellStyle name="Percent 9 13 3 3" xfId="18023"/>
    <cellStyle name="Percent 9 13 3 3 2" xfId="20477"/>
    <cellStyle name="Percent 9 13 3 3 3" xfId="22617"/>
    <cellStyle name="Percent 9 13 3 3_FC with allocations" xfId="31713"/>
    <cellStyle name="Percent 9 13 3 4" xfId="19142"/>
    <cellStyle name="Percent 9 13 3 4 2" xfId="21275"/>
    <cellStyle name="Percent 9 13 3 4 3" xfId="23432"/>
    <cellStyle name="Percent 9 13 3 4_FC with allocations" xfId="31714"/>
    <cellStyle name="Percent 9 13 3 5" xfId="20194"/>
    <cellStyle name="Percent 9 13 3 6" xfId="22311"/>
    <cellStyle name="Percent 9 13 3_FC with allocations" xfId="31710"/>
    <cellStyle name="Percent 9 13 4" xfId="4709"/>
    <cellStyle name="Percent 9 13 4 2" xfId="18219"/>
    <cellStyle name="Percent 9 13 4 2 2" xfId="19510"/>
    <cellStyle name="Percent 9 13 4 2 2 2" xfId="21520"/>
    <cellStyle name="Percent 9 13 4 2 2 3" xfId="23678"/>
    <cellStyle name="Percent 9 13 4 2 2_FC with allocations" xfId="31717"/>
    <cellStyle name="Percent 9 13 4 2 3" xfId="20643"/>
    <cellStyle name="Percent 9 13 4 2 4" xfId="22785"/>
    <cellStyle name="Percent 9 13 4 2_FC with allocations" xfId="31716"/>
    <cellStyle name="Percent 9 13 4 3" xfId="19087"/>
    <cellStyle name="Percent 9 13 4 3 2" xfId="21222"/>
    <cellStyle name="Percent 9 13 4 3 3" xfId="23379"/>
    <cellStyle name="Percent 9 13 4 3_FC with allocations" xfId="31718"/>
    <cellStyle name="Percent 9 13 4 4" xfId="20026"/>
    <cellStyle name="Percent 9 13 4 5" xfId="22021"/>
    <cellStyle name="Percent 9 13 4_FC with allocations" xfId="31715"/>
    <cellStyle name="Percent 9 13 5" xfId="16765"/>
    <cellStyle name="Percent 9 13 5 2" xfId="18769"/>
    <cellStyle name="Percent 9 13 5 2 2" xfId="20922"/>
    <cellStyle name="Percent 9 13 5 2 3" xfId="23079"/>
    <cellStyle name="Percent 9 13 5 2_FC with allocations" xfId="31720"/>
    <cellStyle name="Percent 9 13 5 3" xfId="19789"/>
    <cellStyle name="Percent 9 13 5 3 2" xfId="21799"/>
    <cellStyle name="Percent 9 13 5 3 3" xfId="23957"/>
    <cellStyle name="Percent 9 13 5 3_FC with allocations" xfId="31721"/>
    <cellStyle name="Percent 9 13 5 4" xfId="20308"/>
    <cellStyle name="Percent 9 13 5 5" xfId="22436"/>
    <cellStyle name="Percent 9 13 5_FC with allocations" xfId="31719"/>
    <cellStyle name="Percent 9 13 6" xfId="18085"/>
    <cellStyle name="Percent 9 13 6 2" xfId="19404"/>
    <cellStyle name="Percent 9 13 6 2 2" xfId="21414"/>
    <cellStyle name="Percent 9 13 6 2 3" xfId="23572"/>
    <cellStyle name="Percent 9 13 6 2_FC with allocations" xfId="31723"/>
    <cellStyle name="Percent 9 13 6 3" xfId="20537"/>
    <cellStyle name="Percent 9 13 6 4" xfId="22679"/>
    <cellStyle name="Percent 9 13 6_FC with allocations" xfId="31722"/>
    <cellStyle name="Percent 9 13 7" xfId="17394"/>
    <cellStyle name="Percent 9 13 8" xfId="18875"/>
    <cellStyle name="Percent 9 13 8 2" xfId="21027"/>
    <cellStyle name="Percent 9 13 8 3" xfId="23184"/>
    <cellStyle name="Percent 9 13 8_FC with allocations" xfId="31724"/>
    <cellStyle name="Percent 9 13 9" xfId="19843"/>
    <cellStyle name="Percent 9 13 9 2" xfId="21852"/>
    <cellStyle name="Percent 9 13 9 3" xfId="24010"/>
    <cellStyle name="Percent 9 13 9_FC with allocations" xfId="31725"/>
    <cellStyle name="Percent 9 13_FC with allocations" xfId="31700"/>
    <cellStyle name="Percent 9 14" xfId="4617"/>
    <cellStyle name="Percent 9 15" xfId="16394"/>
    <cellStyle name="Percent 9 16" xfId="16578"/>
    <cellStyle name="Percent 9 16 2" xfId="18603"/>
    <cellStyle name="Percent 9 16 2 2" xfId="19622"/>
    <cellStyle name="Percent 9 16 2 2 2" xfId="21632"/>
    <cellStyle name="Percent 9 16 2 2 3" xfId="23790"/>
    <cellStyle name="Percent 9 16 2 2_FC with allocations" xfId="31728"/>
    <cellStyle name="Percent 9 16 2 3" xfId="20756"/>
    <cellStyle name="Percent 9 16 2 4" xfId="22913"/>
    <cellStyle name="Percent 9 16 2_FC with allocations" xfId="31727"/>
    <cellStyle name="Percent 9 16 3" xfId="19038"/>
    <cellStyle name="Percent 9 16 3 2" xfId="21181"/>
    <cellStyle name="Percent 9 16 3 3" xfId="23338"/>
    <cellStyle name="Percent 9 16 3_FC with allocations" xfId="31729"/>
    <cellStyle name="Percent 9 16 4" xfId="20141"/>
    <cellStyle name="Percent 9 16 5" xfId="22257"/>
    <cellStyle name="Percent 9 16_FC with allocations" xfId="31726"/>
    <cellStyle name="Percent 9 17" xfId="4563"/>
    <cellStyle name="Percent 9 17 2" xfId="18138"/>
    <cellStyle name="Percent 9 17 2 2" xfId="19457"/>
    <cellStyle name="Percent 9 17 2 2 2" xfId="21467"/>
    <cellStyle name="Percent 9 17 2 2 3" xfId="23625"/>
    <cellStyle name="Percent 9 17 2 2_FC with allocations" xfId="31732"/>
    <cellStyle name="Percent 9 17 2 3" xfId="20590"/>
    <cellStyle name="Percent 9 17 2 4" xfId="22732"/>
    <cellStyle name="Percent 9 17 2_FC with allocations" xfId="31731"/>
    <cellStyle name="Percent 9 17 3" xfId="18987"/>
    <cellStyle name="Percent 9 17 3 2" xfId="21139"/>
    <cellStyle name="Percent 9 17 3 3" xfId="23296"/>
    <cellStyle name="Percent 9 17 3_FC with allocations" xfId="31733"/>
    <cellStyle name="Percent 9 17 4" xfId="19973"/>
    <cellStyle name="Percent 9 17 5" xfId="21968"/>
    <cellStyle name="Percent 9 17_FC with allocations" xfId="31730"/>
    <cellStyle name="Percent 9 18" xfId="16860"/>
    <cellStyle name="Percent 9 18 2" xfId="20362"/>
    <cellStyle name="Percent 9 18 3" xfId="22502"/>
    <cellStyle name="Percent 9 18_FC with allocations" xfId="31734"/>
    <cellStyle name="Percent 9 19" xfId="18822"/>
    <cellStyle name="Percent 9 19 2" xfId="20974"/>
    <cellStyle name="Percent 9 19 3" xfId="23131"/>
    <cellStyle name="Percent 9 19_FC with allocations" xfId="31735"/>
    <cellStyle name="Percent 9 2" xfId="3564"/>
    <cellStyle name="Percent 9 2 2" xfId="3565"/>
    <cellStyle name="Percent 9 2 2 2" xfId="3566"/>
    <cellStyle name="Percent 9 2 2 2 2" xfId="3567"/>
    <cellStyle name="Percent 9 2 2 2 2 2" xfId="3568"/>
    <cellStyle name="Percent 9 2 2 2 2 2 2" xfId="16399"/>
    <cellStyle name="Percent 9 2 2 2 2 2_FC with allocations" xfId="31740"/>
    <cellStyle name="Percent 9 2 2 2 2 3" xfId="3569"/>
    <cellStyle name="Percent 9 2 2 2 2 4" xfId="16398"/>
    <cellStyle name="Percent 9 2 2 2 2_FC with allocations" xfId="31739"/>
    <cellStyle name="Percent 9 2 2 2 3" xfId="3570"/>
    <cellStyle name="Percent 9 2 2 2 3 2" xfId="16400"/>
    <cellStyle name="Percent 9 2 2 2 3_FC with allocations" xfId="31741"/>
    <cellStyle name="Percent 9 2 2 2 4" xfId="3571"/>
    <cellStyle name="Percent 9 2 2 2 5" xfId="16397"/>
    <cellStyle name="Percent 9 2 2 2_FC with allocations" xfId="31738"/>
    <cellStyle name="Percent 9 2 2 3" xfId="3572"/>
    <cellStyle name="Percent 9 2 2 3 2" xfId="3573"/>
    <cellStyle name="Percent 9 2 2 3 2 2" xfId="16402"/>
    <cellStyle name="Percent 9 2 2 3 2_FC with allocations" xfId="31743"/>
    <cellStyle name="Percent 9 2 2 3 3" xfId="3574"/>
    <cellStyle name="Percent 9 2 2 3 4" xfId="16401"/>
    <cellStyle name="Percent 9 2 2 3_FC with allocations" xfId="31742"/>
    <cellStyle name="Percent 9 2 2 4" xfId="3575"/>
    <cellStyle name="Percent 9 2 2 4 2" xfId="16403"/>
    <cellStyle name="Percent 9 2 2 4_FC with allocations" xfId="31744"/>
    <cellStyle name="Percent 9 2 2 5" xfId="3576"/>
    <cellStyle name="Percent 9 2 2 6" xfId="3577"/>
    <cellStyle name="Percent 9 2 2 7" xfId="16396"/>
    <cellStyle name="Percent 9 2 2_FC with allocations" xfId="31737"/>
    <cellStyle name="Percent 9 2 3" xfId="3578"/>
    <cellStyle name="Percent 9 2 3 2" xfId="3579"/>
    <cellStyle name="Percent 9 2 3 2 2" xfId="3580"/>
    <cellStyle name="Percent 9 2 3 2 2 2" xfId="16406"/>
    <cellStyle name="Percent 9 2 3 2 2_FC with allocations" xfId="31747"/>
    <cellStyle name="Percent 9 2 3 2 3" xfId="3581"/>
    <cellStyle name="Percent 9 2 3 2 4" xfId="16405"/>
    <cellStyle name="Percent 9 2 3 2_FC with allocations" xfId="31746"/>
    <cellStyle name="Percent 9 2 3 3" xfId="3582"/>
    <cellStyle name="Percent 9 2 3 3 2" xfId="16407"/>
    <cellStyle name="Percent 9 2 3 3_FC with allocations" xfId="31748"/>
    <cellStyle name="Percent 9 2 3 4" xfId="3583"/>
    <cellStyle name="Percent 9 2 3 5" xfId="16404"/>
    <cellStyle name="Percent 9 2 3_FC with allocations" xfId="31745"/>
    <cellStyle name="Percent 9 2 4" xfId="3584"/>
    <cellStyle name="Percent 9 2 4 2" xfId="3585"/>
    <cellStyle name="Percent 9 2 4 2 2" xfId="16409"/>
    <cellStyle name="Percent 9 2 4 2_FC with allocations" xfId="31750"/>
    <cellStyle name="Percent 9 2 4 3" xfId="3586"/>
    <cellStyle name="Percent 9 2 4 4" xfId="16408"/>
    <cellStyle name="Percent 9 2 4_FC with allocations" xfId="31749"/>
    <cellStyle name="Percent 9 2 5" xfId="3587"/>
    <cellStyle name="Percent 9 2 5 2" xfId="16410"/>
    <cellStyle name="Percent 9 2 5_FC with allocations" xfId="31751"/>
    <cellStyle name="Percent 9 2 6" xfId="3588"/>
    <cellStyle name="Percent 9 2 7" xfId="3589"/>
    <cellStyle name="Percent 9 2 8" xfId="16395"/>
    <cellStyle name="Percent 9 2_FC with allocations" xfId="31736"/>
    <cellStyle name="Percent 9 3" xfId="3590"/>
    <cellStyle name="Percent 9 3 2" xfId="3591"/>
    <cellStyle name="Percent 9 3 2 2" xfId="3592"/>
    <cellStyle name="Percent 9 3 2 2 2" xfId="3593"/>
    <cellStyle name="Percent 9 3 2 2 2 2" xfId="16415"/>
    <cellStyle name="Percent 9 3 2 2 2 3" xfId="16414"/>
    <cellStyle name="Percent 9 3 2 2 2_FC with allocations" xfId="31755"/>
    <cellStyle name="Percent 9 3 2 2 3" xfId="3594"/>
    <cellStyle name="Percent 9 3 2 2 3 2" xfId="16416"/>
    <cellStyle name="Percent 9 3 2 2 3_FC with allocations" xfId="31756"/>
    <cellStyle name="Percent 9 3 2 2 4" xfId="16413"/>
    <cellStyle name="Percent 9 3 2 2_FC with allocations" xfId="31754"/>
    <cellStyle name="Percent 9 3 2 3" xfId="3595"/>
    <cellStyle name="Percent 9 3 2 3 2" xfId="16418"/>
    <cellStyle name="Percent 9 3 2 3 3" xfId="16417"/>
    <cellStyle name="Percent 9 3 2 3_FC with allocations" xfId="31757"/>
    <cellStyle name="Percent 9 3 2 4" xfId="3596"/>
    <cellStyle name="Percent 9 3 2 4 2" xfId="16419"/>
    <cellStyle name="Percent 9 3 2 4_FC with allocations" xfId="31758"/>
    <cellStyle name="Percent 9 3 2 5" xfId="16412"/>
    <cellStyle name="Percent 9 3 2_FC with allocations" xfId="31753"/>
    <cellStyle name="Percent 9 3 3" xfId="3597"/>
    <cellStyle name="Percent 9 3 3 2" xfId="3598"/>
    <cellStyle name="Percent 9 3 3 2 2" xfId="16422"/>
    <cellStyle name="Percent 9 3 3 2 3" xfId="16421"/>
    <cellStyle name="Percent 9 3 3 2_FC with allocations" xfId="31760"/>
    <cellStyle name="Percent 9 3 3 3" xfId="3599"/>
    <cellStyle name="Percent 9 3 3 3 2" xfId="16423"/>
    <cellStyle name="Percent 9 3 3 3_FC with allocations" xfId="31761"/>
    <cellStyle name="Percent 9 3 3 4" xfId="16420"/>
    <cellStyle name="Percent 9 3 3_FC with allocations" xfId="31759"/>
    <cellStyle name="Percent 9 3 4" xfId="3600"/>
    <cellStyle name="Percent 9 3 4 2" xfId="16425"/>
    <cellStyle name="Percent 9 3 4 3" xfId="16424"/>
    <cellStyle name="Percent 9 3 4_FC with allocations" xfId="31762"/>
    <cellStyle name="Percent 9 3 5" xfId="3601"/>
    <cellStyle name="Percent 9 3 5 2" xfId="16426"/>
    <cellStyle name="Percent 9 3 5_FC with allocations" xfId="31763"/>
    <cellStyle name="Percent 9 3 6" xfId="3602"/>
    <cellStyle name="Percent 9 3 7" xfId="16411"/>
    <cellStyle name="Percent 9 3_FC with allocations" xfId="31752"/>
    <cellStyle name="Percent 9 4" xfId="3603"/>
    <cellStyle name="Percent 9 4 2" xfId="3604"/>
    <cellStyle name="Percent 9 4 2 2" xfId="3605"/>
    <cellStyle name="Percent 9 4 2 2 2" xfId="16430"/>
    <cellStyle name="Percent 9 4 2 2 2 2" xfId="16431"/>
    <cellStyle name="Percent 9 4 2 2 2_FC with allocations" xfId="31767"/>
    <cellStyle name="Percent 9 4 2 2 3" xfId="16432"/>
    <cellStyle name="Percent 9 4 2 2 4" xfId="16429"/>
    <cellStyle name="Percent 9 4 2 2_FC with allocations" xfId="31766"/>
    <cellStyle name="Percent 9 4 2 3" xfId="3606"/>
    <cellStyle name="Percent 9 4 2 3 2" xfId="16434"/>
    <cellStyle name="Percent 9 4 2 3 3" xfId="16433"/>
    <cellStyle name="Percent 9 4 2 3_FC with allocations" xfId="31768"/>
    <cellStyle name="Percent 9 4 2 4" xfId="16435"/>
    <cellStyle name="Percent 9 4 2 5" xfId="16428"/>
    <cellStyle name="Percent 9 4 2_FC with allocations" xfId="31765"/>
    <cellStyle name="Percent 9 4 3" xfId="3607"/>
    <cellStyle name="Percent 9 4 3 2" xfId="16437"/>
    <cellStyle name="Percent 9 4 3 2 2" xfId="16438"/>
    <cellStyle name="Percent 9 4 3 2_FC with allocations" xfId="31770"/>
    <cellStyle name="Percent 9 4 3 3" xfId="16439"/>
    <cellStyle name="Percent 9 4 3 4" xfId="16436"/>
    <cellStyle name="Percent 9 4 3_FC with allocations" xfId="31769"/>
    <cellStyle name="Percent 9 4 4" xfId="3608"/>
    <cellStyle name="Percent 9 4 4 2" xfId="16441"/>
    <cellStyle name="Percent 9 4 4 3" xfId="16440"/>
    <cellStyle name="Percent 9 4 4_FC with allocations" xfId="31771"/>
    <cellStyle name="Percent 9 4 5" xfId="16442"/>
    <cellStyle name="Percent 9 4 6" xfId="16427"/>
    <cellStyle name="Percent 9 4_FC with allocations" xfId="31764"/>
    <cellStyle name="Percent 9 5" xfId="3609"/>
    <cellStyle name="Percent 9 5 2" xfId="3610"/>
    <cellStyle name="Percent 9 5 2 2" xfId="16445"/>
    <cellStyle name="Percent 9 5 2 2 2" xfId="16446"/>
    <cellStyle name="Percent 9 5 2 2_FC with allocations" xfId="31774"/>
    <cellStyle name="Percent 9 5 2 3" xfId="16447"/>
    <cellStyle name="Percent 9 5 2 4" xfId="16444"/>
    <cellStyle name="Percent 9 5 2_FC with allocations" xfId="31773"/>
    <cellStyle name="Percent 9 5 3" xfId="3611"/>
    <cellStyle name="Percent 9 5 3 2" xfId="16449"/>
    <cellStyle name="Percent 9 5 3 3" xfId="16448"/>
    <cellStyle name="Percent 9 5 3_FC with allocations" xfId="31775"/>
    <cellStyle name="Percent 9 5 4" xfId="16450"/>
    <cellStyle name="Percent 9 5 5" xfId="16443"/>
    <cellStyle name="Percent 9 5_FC with allocations" xfId="31772"/>
    <cellStyle name="Percent 9 6" xfId="3612"/>
    <cellStyle name="Percent 9 6 2" xfId="16452"/>
    <cellStyle name="Percent 9 6 2 2" xfId="16453"/>
    <cellStyle name="Percent 9 6 2_FC with allocations" xfId="31777"/>
    <cellStyle name="Percent 9 6 3" xfId="16454"/>
    <cellStyle name="Percent 9 6 4" xfId="16451"/>
    <cellStyle name="Percent 9 6_FC with allocations" xfId="31776"/>
    <cellStyle name="Percent 9 7" xfId="3613"/>
    <cellStyle name="Percent 9 7 2" xfId="16456"/>
    <cellStyle name="Percent 9 7 2 2" xfId="16457"/>
    <cellStyle name="Percent 9 7 2_FC with allocations" xfId="31779"/>
    <cellStyle name="Percent 9 7 3" xfId="16458"/>
    <cellStyle name="Percent 9 7 4" xfId="16455"/>
    <cellStyle name="Percent 9 7_FC with allocations" xfId="31778"/>
    <cellStyle name="Percent 9 8" xfId="3614"/>
    <cellStyle name="Percent 9 8 2" xfId="16460"/>
    <cellStyle name="Percent 9 8 2 2" xfId="16461"/>
    <cellStyle name="Percent 9 8 2_FC with allocations" xfId="31781"/>
    <cellStyle name="Percent 9 8 3" xfId="16462"/>
    <cellStyle name="Percent 9 8 4" xfId="16459"/>
    <cellStyle name="Percent 9 8_FC with allocations" xfId="31780"/>
    <cellStyle name="Percent 9 9" xfId="3615"/>
    <cellStyle name="Percent 9_FC with allocations" xfId="31699"/>
    <cellStyle name="Percent 90" xfId="16706"/>
    <cellStyle name="Percent 91" xfId="16708"/>
    <cellStyle name="Percent 92" xfId="16712"/>
    <cellStyle name="Percent 93" xfId="16847"/>
    <cellStyle name="Percent 94" xfId="18543"/>
    <cellStyle name="Percent 95" xfId="18809"/>
    <cellStyle name="Percent 96" xfId="19790"/>
    <cellStyle name="Percent 97" xfId="19867"/>
    <cellStyle name="Percent 98" xfId="20084"/>
    <cellStyle name="Percent 99" xfId="21853"/>
    <cellStyle name="PrePop Currency (0)" xfId="3616"/>
    <cellStyle name="PrePop Currency (0) 2" xfId="16464"/>
    <cellStyle name="PrePop Currency (0) 2 2" xfId="16465"/>
    <cellStyle name="PrePop Currency (0) 2_FC with allocations" xfId="31783"/>
    <cellStyle name="PrePop Currency (0) 3" xfId="16466"/>
    <cellStyle name="PrePop Currency (0) 3 2" xfId="16467"/>
    <cellStyle name="PrePop Currency (0) 3_FC with allocations" xfId="31784"/>
    <cellStyle name="PrePop Currency (0) 4" xfId="16468"/>
    <cellStyle name="PrePop Currency (0) 4 2" xfId="16469"/>
    <cellStyle name="PrePop Currency (0) 4 3" xfId="16470"/>
    <cellStyle name="PrePop Currency (0) 4_FC with allocations" xfId="31785"/>
    <cellStyle name="PrePop Currency (0) 5" xfId="16471"/>
    <cellStyle name="PrePop Currency (0) 5 2" xfId="16472"/>
    <cellStyle name="PrePop Currency (0) 5_FC with allocations" xfId="31786"/>
    <cellStyle name="PrePop Currency (0) 6" xfId="16473"/>
    <cellStyle name="PrePop Currency (0) 6 2" xfId="16474"/>
    <cellStyle name="PrePop Currency (0) 6_FC with allocations" xfId="31787"/>
    <cellStyle name="PrePop Currency (0) 7" xfId="16475"/>
    <cellStyle name="PrePop Currency (0) 8" xfId="16463"/>
    <cellStyle name="PrePop Currency (0)_FC with allocations" xfId="31782"/>
    <cellStyle name="STYLE1" xfId="3617"/>
    <cellStyle name="STYLE1 10" xfId="3618"/>
    <cellStyle name="STYLE1 10 2" xfId="3619"/>
    <cellStyle name="STYLE1 10 3" xfId="3620"/>
    <cellStyle name="STYLE1 10_FC with allocations" xfId="31788"/>
    <cellStyle name="STYLE1 11" xfId="3621"/>
    <cellStyle name="STYLE1 12" xfId="3622"/>
    <cellStyle name="STYLE1 12 2" xfId="3623"/>
    <cellStyle name="STYLE1 12 3" xfId="3624"/>
    <cellStyle name="STYLE1 12_FC with allocations" xfId="31789"/>
    <cellStyle name="STYLE1 13" xfId="3625"/>
    <cellStyle name="STYLE1 13 2" xfId="3626"/>
    <cellStyle name="STYLE1 13_FC with allocations" xfId="31790"/>
    <cellStyle name="STYLE1 14" xfId="3627"/>
    <cellStyle name="STYLE1 14 2" xfId="3628"/>
    <cellStyle name="STYLE1 14_FC with allocations" xfId="31791"/>
    <cellStyle name="STYLE1 15" xfId="3629"/>
    <cellStyle name="STYLE1 15 2" xfId="4719"/>
    <cellStyle name="STYLE1 15 3" xfId="4618"/>
    <cellStyle name="STYLE1 15 3 2" xfId="18144"/>
    <cellStyle name="STYLE1 15 3_FC with allocations" xfId="31793"/>
    <cellStyle name="STYLE1 15_FC with allocations" xfId="31792"/>
    <cellStyle name="STYLE1 16" xfId="4415"/>
    <cellStyle name="STYLE1 17" xfId="4814"/>
    <cellStyle name="STYLE1 17 2" xfId="19313"/>
    <cellStyle name="STYLE1 17 3" xfId="22079"/>
    <cellStyle name="STYLE1 17_FC with allocations" xfId="31794"/>
    <cellStyle name="STYLE1 18" xfId="16476"/>
    <cellStyle name="STYLE1 2" xfId="3630"/>
    <cellStyle name="STYLE1 2 2" xfId="3631"/>
    <cellStyle name="STYLE1 2 3" xfId="3632"/>
    <cellStyle name="STYLE1 2 4" xfId="16477"/>
    <cellStyle name="STYLE1 2_Comp Cost Rate of Debt" xfId="3633"/>
    <cellStyle name="STYLE1 3" xfId="3634"/>
    <cellStyle name="STYLE1 3 2" xfId="3635"/>
    <cellStyle name="STYLE1 3 3" xfId="3636"/>
    <cellStyle name="STYLE1 3_Comp Cost Rate of Debt" xfId="3637"/>
    <cellStyle name="STYLE1 4" xfId="3638"/>
    <cellStyle name="STYLE1 4 2" xfId="3639"/>
    <cellStyle name="STYLE1 4 3" xfId="3640"/>
    <cellStyle name="STYLE1 4_Comp Cost Rate of Debt" xfId="3641"/>
    <cellStyle name="STYLE1 5" xfId="3642"/>
    <cellStyle name="STYLE1 5 2" xfId="3643"/>
    <cellStyle name="STYLE1 5_FC with allocations" xfId="31795"/>
    <cellStyle name="STYLE1 6" xfId="3644"/>
    <cellStyle name="STYLE1 6 2" xfId="3645"/>
    <cellStyle name="STYLE1 6 2 2" xfId="3646"/>
    <cellStyle name="STYLE1 6 2 3" xfId="3647"/>
    <cellStyle name="STYLE1 6 2_FC with allocations" xfId="31797"/>
    <cellStyle name="STYLE1 6 3" xfId="3648"/>
    <cellStyle name="STYLE1 6 4" xfId="3649"/>
    <cellStyle name="STYLE1 6_FC with allocations" xfId="31796"/>
    <cellStyle name="STYLE1 7" xfId="3650"/>
    <cellStyle name="STYLE1 7 2" xfId="3651"/>
    <cellStyle name="STYLE1 7 3" xfId="3652"/>
    <cellStyle name="STYLE1 7 3 2" xfId="3653"/>
    <cellStyle name="STYLE1 7 3 3" xfId="3654"/>
    <cellStyle name="STYLE1 7 3_FC with allocations" xfId="31799"/>
    <cellStyle name="STYLE1 7_FC with allocations" xfId="31798"/>
    <cellStyle name="STYLE1 8" xfId="3655"/>
    <cellStyle name="STYLE1 8 2" xfId="3656"/>
    <cellStyle name="STYLE1 8 3" xfId="3657"/>
    <cellStyle name="STYLE1 8 3 2" xfId="3658"/>
    <cellStyle name="STYLE1 8 3 3" xfId="3659"/>
    <cellStyle name="STYLE1 8 3_FC with allocations" xfId="31801"/>
    <cellStyle name="STYLE1 8_FC with allocations" xfId="31800"/>
    <cellStyle name="STYLE1 9" xfId="3660"/>
    <cellStyle name="STYLE1 9 2" xfId="3661"/>
    <cellStyle name="STYLE1 9 3" xfId="3662"/>
    <cellStyle name="STYLE1 9_FC with allocations" xfId="31802"/>
    <cellStyle name="STYLE1_BS-13MO" xfId="3663"/>
    <cellStyle name="STYLE10" xfId="16478"/>
    <cellStyle name="STYLE10 2" xfId="16479"/>
    <cellStyle name="STYLE10_FC with allocations" xfId="31803"/>
    <cellStyle name="STYLE2" xfId="3664"/>
    <cellStyle name="STYLE2 10" xfId="3665"/>
    <cellStyle name="STYLE2 10 2" xfId="3666"/>
    <cellStyle name="STYLE2 10_FC with allocations" xfId="31804"/>
    <cellStyle name="STYLE2 11" xfId="3667"/>
    <cellStyle name="STYLE2 11 2" xfId="4720"/>
    <cellStyle name="STYLE2 11 3" xfId="4619"/>
    <cellStyle name="STYLE2 11 3 2" xfId="18145"/>
    <cellStyle name="STYLE2 11 3_FC with allocations" xfId="31806"/>
    <cellStyle name="STYLE2 11_FC with allocations" xfId="31805"/>
    <cellStyle name="STYLE2 12" xfId="4416"/>
    <cellStyle name="STYLE2 13" xfId="4815"/>
    <cellStyle name="STYLE2 13 2" xfId="19024"/>
    <cellStyle name="STYLE2 13 3" xfId="22080"/>
    <cellStyle name="STYLE2 13_FC with allocations" xfId="31807"/>
    <cellStyle name="STYLE2 14" xfId="16480"/>
    <cellStyle name="STYLE2 2" xfId="3668"/>
    <cellStyle name="STYLE2 2 2" xfId="16481"/>
    <cellStyle name="STYLE2 2_FC with allocations" xfId="31808"/>
    <cellStyle name="STYLE2 3" xfId="3669"/>
    <cellStyle name="STYLE2 4" xfId="3670"/>
    <cellStyle name="STYLE2 5" xfId="3671"/>
    <cellStyle name="STYLE2 5 2" xfId="3672"/>
    <cellStyle name="STYLE2 5_FC with allocations" xfId="31809"/>
    <cellStyle name="STYLE2 6" xfId="3673"/>
    <cellStyle name="STYLE2 6 2" xfId="3674"/>
    <cellStyle name="STYLE2 6 2 2" xfId="3675"/>
    <cellStyle name="STYLE2 6 2 3" xfId="3676"/>
    <cellStyle name="STYLE2 6 2_FC with allocations" xfId="31811"/>
    <cellStyle name="STYLE2 6 3" xfId="3677"/>
    <cellStyle name="STYLE2 6 4" xfId="3678"/>
    <cellStyle name="STYLE2 6_FC with allocations" xfId="31810"/>
    <cellStyle name="STYLE2 7" xfId="3679"/>
    <cellStyle name="STYLE2 7 2" xfId="3680"/>
    <cellStyle name="STYLE2 7 3" xfId="3681"/>
    <cellStyle name="STYLE2 7 4" xfId="3682"/>
    <cellStyle name="STYLE2 7_FC with allocations" xfId="31812"/>
    <cellStyle name="STYLE2 8" xfId="3683"/>
    <cellStyle name="STYLE2 8 2" xfId="3684"/>
    <cellStyle name="STYLE2 8 3" xfId="3685"/>
    <cellStyle name="STYLE2 8 3 2" xfId="3686"/>
    <cellStyle name="STYLE2 8 3 3" xfId="3687"/>
    <cellStyle name="STYLE2 8 3_FC with allocations" xfId="31814"/>
    <cellStyle name="STYLE2 8 4" xfId="3688"/>
    <cellStyle name="STYLE2 8 4 2" xfId="3689"/>
    <cellStyle name="STYLE2 8 4_FC with allocations" xfId="31815"/>
    <cellStyle name="STYLE2 8_FC with allocations" xfId="31813"/>
    <cellStyle name="STYLE2 9" xfId="3690"/>
    <cellStyle name="STYLE2 9 2" xfId="3691"/>
    <cellStyle name="STYLE2 9 3" xfId="3692"/>
    <cellStyle name="STYLE2 9 4" xfId="3693"/>
    <cellStyle name="STYLE2 9_FC with allocations" xfId="31816"/>
    <cellStyle name="STYLE2_BS-13MO" xfId="3694"/>
    <cellStyle name="STYLE3" xfId="3695"/>
    <cellStyle name="STYLE3 10" xfId="3696"/>
    <cellStyle name="STYLE3 10 2" xfId="3697"/>
    <cellStyle name="STYLE3 10_FC with allocations" xfId="31817"/>
    <cellStyle name="STYLE3 11" xfId="3698"/>
    <cellStyle name="STYLE3 11 2" xfId="4721"/>
    <cellStyle name="STYLE3 11 3" xfId="4620"/>
    <cellStyle name="STYLE3 11 3 2" xfId="18146"/>
    <cellStyle name="STYLE3 11 3_FC with allocations" xfId="31819"/>
    <cellStyle name="STYLE3 11_FC with allocations" xfId="31818"/>
    <cellStyle name="STYLE3 12" xfId="4417"/>
    <cellStyle name="STYLE3 13" xfId="4816"/>
    <cellStyle name="STYLE3 13 2" xfId="19270"/>
    <cellStyle name="STYLE3 13 3" xfId="22081"/>
    <cellStyle name="STYLE3 13_FC with allocations" xfId="31820"/>
    <cellStyle name="STYLE3 14" xfId="16482"/>
    <cellStyle name="STYLE3 2" xfId="3699"/>
    <cellStyle name="STYLE3 2 2" xfId="16483"/>
    <cellStyle name="STYLE3 2_FC with allocations" xfId="31821"/>
    <cellStyle name="STYLE3 3" xfId="3700"/>
    <cellStyle name="STYLE3 4" xfId="3701"/>
    <cellStyle name="STYLE3 5" xfId="3702"/>
    <cellStyle name="STYLE3 5 2" xfId="3703"/>
    <cellStyle name="STYLE3 5_FC with allocations" xfId="31822"/>
    <cellStyle name="STYLE3 6" xfId="3704"/>
    <cellStyle name="STYLE3 6 2" xfId="3705"/>
    <cellStyle name="STYLE3 6 2 2" xfId="3706"/>
    <cellStyle name="STYLE3 6 2 3" xfId="3707"/>
    <cellStyle name="STYLE3 6 2_FC with allocations" xfId="31824"/>
    <cellStyle name="STYLE3 6 3" xfId="3708"/>
    <cellStyle name="STYLE3 6 4" xfId="3709"/>
    <cellStyle name="STYLE3 6_FC with allocations" xfId="31823"/>
    <cellStyle name="STYLE3 7" xfId="3710"/>
    <cellStyle name="STYLE3 7 2" xfId="3711"/>
    <cellStyle name="STYLE3 7 3" xfId="3712"/>
    <cellStyle name="STYLE3 7 4" xfId="3713"/>
    <cellStyle name="STYLE3 7_FC with allocations" xfId="31825"/>
    <cellStyle name="STYLE3 8" xfId="3714"/>
    <cellStyle name="STYLE3 8 2" xfId="3715"/>
    <cellStyle name="STYLE3 8 3" xfId="3716"/>
    <cellStyle name="STYLE3 8 3 2" xfId="3717"/>
    <cellStyle name="STYLE3 8 3 3" xfId="3718"/>
    <cellStyle name="STYLE3 8 3_FC with allocations" xfId="31827"/>
    <cellStyle name="STYLE3 8 4" xfId="3719"/>
    <cellStyle name="STYLE3 8 4 2" xfId="3720"/>
    <cellStyle name="STYLE3 8 4_FC with allocations" xfId="31828"/>
    <cellStyle name="STYLE3 8_FC with allocations" xfId="31826"/>
    <cellStyle name="STYLE3 9" xfId="3721"/>
    <cellStyle name="STYLE3 9 2" xfId="3722"/>
    <cellStyle name="STYLE3 9 3" xfId="3723"/>
    <cellStyle name="STYLE3 9 4" xfId="3724"/>
    <cellStyle name="STYLE3 9_FC with allocations" xfId="31829"/>
    <cellStyle name="STYLE3_BS-13MO" xfId="3725"/>
    <cellStyle name="STYLE4" xfId="3726"/>
    <cellStyle name="STYLE4 10" xfId="3727"/>
    <cellStyle name="STYLE4 10 2" xfId="3728"/>
    <cellStyle name="STYLE4 10 3" xfId="3729"/>
    <cellStyle name="STYLE4 10 4" xfId="3730"/>
    <cellStyle name="STYLE4 10_FC with allocations" xfId="31830"/>
    <cellStyle name="STYLE4 11" xfId="3731"/>
    <cellStyle name="STYLE4 11 2" xfId="3732"/>
    <cellStyle name="STYLE4 11_FC with allocations" xfId="31831"/>
    <cellStyle name="STYLE4 12" xfId="3733"/>
    <cellStyle name="STYLE4 12 2" xfId="4722"/>
    <cellStyle name="STYLE4 12 3" xfId="4621"/>
    <cellStyle name="STYLE4 12 3 2" xfId="18147"/>
    <cellStyle name="STYLE4 12 3_FC with allocations" xfId="31833"/>
    <cellStyle name="STYLE4 12_FC with allocations" xfId="31832"/>
    <cellStyle name="STYLE4 13" xfId="4418"/>
    <cellStyle name="STYLE4 14" xfId="4817"/>
    <cellStyle name="STYLE4 14 2" xfId="19271"/>
    <cellStyle name="STYLE4 14 3" xfId="22082"/>
    <cellStyle name="STYLE4 14_FC with allocations" xfId="31834"/>
    <cellStyle name="STYLE4 15" xfId="16484"/>
    <cellStyle name="STYLE4 15 2" xfId="18544"/>
    <cellStyle name="STYLE4 15 3" xfId="18028"/>
    <cellStyle name="STYLE4 15 3 2" xfId="20482"/>
    <cellStyle name="STYLE4 15 3 3" xfId="22622"/>
    <cellStyle name="STYLE4 15 3_FC with allocations" xfId="31836"/>
    <cellStyle name="STYLE4 15_FC with allocations" xfId="31835"/>
    <cellStyle name="STYLE4 16" xfId="16696"/>
    <cellStyle name="STYLE4 16 2" xfId="19344"/>
    <cellStyle name="STYLE4 16 3" xfId="22373"/>
    <cellStyle name="STYLE4 16_FC with allocations" xfId="31837"/>
    <cellStyle name="STYLE4 2" xfId="3734"/>
    <cellStyle name="STYLE4 2 2" xfId="16485"/>
    <cellStyle name="STYLE4 2_FC with allocations" xfId="31838"/>
    <cellStyle name="STYLE4 3" xfId="3735"/>
    <cellStyle name="STYLE4 3 2" xfId="3736"/>
    <cellStyle name="STYLE4 3_FC with allocations" xfId="31839"/>
    <cellStyle name="STYLE4 4" xfId="3737"/>
    <cellStyle name="STYLE4 5" xfId="3738"/>
    <cellStyle name="STYLE4 6" xfId="3739"/>
    <cellStyle name="STYLE4 6 2" xfId="3740"/>
    <cellStyle name="STYLE4 6 3" xfId="3741"/>
    <cellStyle name="STYLE4 6_FC with allocations" xfId="31840"/>
    <cellStyle name="STYLE4 7" xfId="3742"/>
    <cellStyle name="STYLE4 7 2" xfId="3743"/>
    <cellStyle name="STYLE4 7 2 2" xfId="3744"/>
    <cellStyle name="STYLE4 7 2 3" xfId="3745"/>
    <cellStyle name="STYLE4 7 2_FC with allocations" xfId="31842"/>
    <cellStyle name="STYLE4 7 3" xfId="3746"/>
    <cellStyle name="STYLE4 7 3 2" xfId="3747"/>
    <cellStyle name="STYLE4 7 3_FC with allocations" xfId="31843"/>
    <cellStyle name="STYLE4 7 4" xfId="3748"/>
    <cellStyle name="STYLE4 7 5" xfId="3749"/>
    <cellStyle name="STYLE4 7_FC with allocations" xfId="31841"/>
    <cellStyle name="STYLE4 8" xfId="3750"/>
    <cellStyle name="STYLE4 8 2" xfId="3751"/>
    <cellStyle name="STYLE4 8 2 2" xfId="3752"/>
    <cellStyle name="STYLE4 8 2 3" xfId="3753"/>
    <cellStyle name="STYLE4 8 2_FC with allocations" xfId="31845"/>
    <cellStyle name="STYLE4 8 3" xfId="3754"/>
    <cellStyle name="STYLE4 8_FC with allocations" xfId="31844"/>
    <cellStyle name="STYLE4 9" xfId="3755"/>
    <cellStyle name="STYLE4 9 2" xfId="3756"/>
    <cellStyle name="STYLE4 9 3" xfId="3757"/>
    <cellStyle name="STYLE4 9_FC with allocations" xfId="31846"/>
    <cellStyle name="STYLE4_BS-13MO" xfId="3758"/>
    <cellStyle name="STYLE5" xfId="3759"/>
    <cellStyle name="STYLE5 10" xfId="3760"/>
    <cellStyle name="STYLE5 10 2" xfId="3761"/>
    <cellStyle name="STYLE5 10 3" xfId="3762"/>
    <cellStyle name="STYLE5 10 4" xfId="3763"/>
    <cellStyle name="STYLE5 10 5" xfId="3764"/>
    <cellStyle name="STYLE5 10_FC with allocations" xfId="31847"/>
    <cellStyle name="STYLE5 11" xfId="3765"/>
    <cellStyle name="STYLE5 11 2" xfId="3766"/>
    <cellStyle name="STYLE5 11 3" xfId="3767"/>
    <cellStyle name="STYLE5 11_FC with allocations" xfId="31848"/>
    <cellStyle name="STYLE5 12" xfId="3768"/>
    <cellStyle name="STYLE5 12 2" xfId="3769"/>
    <cellStyle name="STYLE5 12 3" xfId="3770"/>
    <cellStyle name="STYLE5 12_FC with allocations" xfId="31849"/>
    <cellStyle name="STYLE5 13" xfId="3771"/>
    <cellStyle name="STYLE5 13 2" xfId="3772"/>
    <cellStyle name="STYLE5 13_FC with allocations" xfId="31850"/>
    <cellStyle name="STYLE5 14" xfId="3773"/>
    <cellStyle name="STYLE5 14 2" xfId="3774"/>
    <cellStyle name="STYLE5 14_FC with allocations" xfId="31851"/>
    <cellStyle name="STYLE5 15" xfId="3775"/>
    <cellStyle name="STYLE5 15 2" xfId="3776"/>
    <cellStyle name="STYLE5 15_FC with allocations" xfId="31852"/>
    <cellStyle name="STYLE5 16" xfId="3777"/>
    <cellStyle name="STYLE5 16 2" xfId="3778"/>
    <cellStyle name="STYLE5 16_FC with allocations" xfId="31853"/>
    <cellStyle name="STYLE5 17" xfId="3779"/>
    <cellStyle name="STYLE5 17 2" xfId="4723"/>
    <cellStyle name="STYLE5 17 3" xfId="4622"/>
    <cellStyle name="STYLE5 17 3 2" xfId="18148"/>
    <cellStyle name="STYLE5 17 3_FC with allocations" xfId="31855"/>
    <cellStyle name="STYLE5 17_FC with allocations" xfId="31854"/>
    <cellStyle name="STYLE5 18" xfId="4419"/>
    <cellStyle name="STYLE5 19" xfId="4449"/>
    <cellStyle name="STYLE5 19 2" xfId="4758"/>
    <cellStyle name="STYLE5 19 3" xfId="4658"/>
    <cellStyle name="STYLE5 19 3 2" xfId="18168"/>
    <cellStyle name="STYLE5 19 3_FC with allocations" xfId="31857"/>
    <cellStyle name="STYLE5 19_FC with allocations" xfId="31856"/>
    <cellStyle name="STYLE5 2" xfId="3780"/>
    <cellStyle name="STYLE5 2 2" xfId="3781"/>
    <cellStyle name="STYLE5 2 3" xfId="16487"/>
    <cellStyle name="STYLE5 2_FC with allocations" xfId="31858"/>
    <cellStyle name="STYLE5 20" xfId="4818"/>
    <cellStyle name="STYLE5 20 2" xfId="18274"/>
    <cellStyle name="STYLE5 20 2 2" xfId="19309"/>
    <cellStyle name="STYLE5 20 2 3" xfId="22840"/>
    <cellStyle name="STYLE5 20 2_FC with allocations" xfId="31860"/>
    <cellStyle name="STYLE5 20 3" xfId="18024"/>
    <cellStyle name="STYLE5 20 3 2" xfId="20478"/>
    <cellStyle name="STYLE5 20 3 3" xfId="22618"/>
    <cellStyle name="STYLE5 20 3_FC with allocations" xfId="31861"/>
    <cellStyle name="STYLE5 20 4" xfId="22083"/>
    <cellStyle name="STYLE5 20_FC with allocations" xfId="31859"/>
    <cellStyle name="STYLE5 21" xfId="16486"/>
    <cellStyle name="STYLE5 21 2" xfId="18545"/>
    <cellStyle name="STYLE5 21 3" xfId="18027"/>
    <cellStyle name="STYLE5 21 3 2" xfId="20481"/>
    <cellStyle name="STYLE5 21 3 3" xfId="22621"/>
    <cellStyle name="STYLE5 21 3_FC with allocations" xfId="31863"/>
    <cellStyle name="STYLE5 21_FC with allocations" xfId="31862"/>
    <cellStyle name="STYLE5 22" xfId="16520"/>
    <cellStyle name="STYLE5 22 2" xfId="19334"/>
    <cellStyle name="STYLE5 22 3" xfId="22203"/>
    <cellStyle name="STYLE5 22_FC with allocations" xfId="31864"/>
    <cellStyle name="STYLE5 23" xfId="16695"/>
    <cellStyle name="STYLE5 23 2" xfId="19343"/>
    <cellStyle name="STYLE5 23 3" xfId="22372"/>
    <cellStyle name="STYLE5 23_FC with allocations" xfId="31865"/>
    <cellStyle name="STYLE5 3" xfId="3782"/>
    <cellStyle name="STYLE5 3 2" xfId="3783"/>
    <cellStyle name="STYLE5 3_FC with allocations" xfId="31866"/>
    <cellStyle name="STYLE5 4" xfId="3784"/>
    <cellStyle name="STYLE5 4 2" xfId="3785"/>
    <cellStyle name="STYLE5 4 2 2" xfId="3786"/>
    <cellStyle name="STYLE5 4 2_FC with allocations" xfId="31868"/>
    <cellStyle name="STYLE5 4 3" xfId="3787"/>
    <cellStyle name="STYLE5 4 4" xfId="3788"/>
    <cellStyle name="STYLE5 4 5" xfId="3789"/>
    <cellStyle name="STYLE5 4_FC with allocations" xfId="31867"/>
    <cellStyle name="STYLE5 5" xfId="3790"/>
    <cellStyle name="STYLE5 5 2" xfId="3791"/>
    <cellStyle name="STYLE5 5_FC with allocations" xfId="31869"/>
    <cellStyle name="STYLE5 6" xfId="3792"/>
    <cellStyle name="STYLE5 6 2" xfId="3793"/>
    <cellStyle name="STYLE5 6 2 2" xfId="3794"/>
    <cellStyle name="STYLE5 6 2 3" xfId="3795"/>
    <cellStyle name="STYLE5 6 2_FC with allocations" xfId="31871"/>
    <cellStyle name="STYLE5 6 3" xfId="3796"/>
    <cellStyle name="STYLE5 6 4" xfId="3797"/>
    <cellStyle name="STYLE5 6_FC with allocations" xfId="31870"/>
    <cellStyle name="STYLE5 7" xfId="3798"/>
    <cellStyle name="STYLE5 7 2" xfId="3799"/>
    <cellStyle name="STYLE5 7 3" xfId="3800"/>
    <cellStyle name="STYLE5 7_FC with allocations" xfId="31872"/>
    <cellStyle name="STYLE5 8" xfId="3801"/>
    <cellStyle name="STYLE5 8 2" xfId="3802"/>
    <cellStyle name="STYLE5 8 2 2" xfId="3803"/>
    <cellStyle name="STYLE5 8 2 3" xfId="3804"/>
    <cellStyle name="STYLE5 8 2_FC with allocations" xfId="31874"/>
    <cellStyle name="STYLE5 8 3" xfId="3805"/>
    <cellStyle name="STYLE5 8 3 2" xfId="3806"/>
    <cellStyle name="STYLE5 8 3 3" xfId="3807"/>
    <cellStyle name="STYLE5 8 3_FC with allocations" xfId="31875"/>
    <cellStyle name="STYLE5 8 4" xfId="3808"/>
    <cellStyle name="STYLE5 8 4 2" xfId="3809"/>
    <cellStyle name="STYLE5 8 4_FC with allocations" xfId="31876"/>
    <cellStyle name="STYLE5 8_FC with allocations" xfId="31873"/>
    <cellStyle name="STYLE5 9" xfId="3810"/>
    <cellStyle name="STYLE5 9 2" xfId="3811"/>
    <cellStyle name="STYLE5 9 3" xfId="3812"/>
    <cellStyle name="STYLE5 9_FC with allocations" xfId="31877"/>
    <cellStyle name="STYLE5_BS-13MO" xfId="3813"/>
    <cellStyle name="STYLE6" xfId="3814"/>
    <cellStyle name="STYLE6 10" xfId="3815"/>
    <cellStyle name="STYLE6 10 2" xfId="3816"/>
    <cellStyle name="STYLE6 10 3" xfId="3817"/>
    <cellStyle name="STYLE6 10 4" xfId="3818"/>
    <cellStyle name="STYLE6 10 5" xfId="3819"/>
    <cellStyle name="STYLE6 10_FC with allocations" xfId="31878"/>
    <cellStyle name="STYLE6 11" xfId="3820"/>
    <cellStyle name="STYLE6 11 2" xfId="3821"/>
    <cellStyle name="STYLE6 11_FC with allocations" xfId="31879"/>
    <cellStyle name="STYLE6 12" xfId="3822"/>
    <cellStyle name="STYLE6 12 2" xfId="3823"/>
    <cellStyle name="STYLE6 12_FC with allocations" xfId="31880"/>
    <cellStyle name="STYLE6 13" xfId="3824"/>
    <cellStyle name="STYLE6 13 2" xfId="3825"/>
    <cellStyle name="STYLE6 13_FC with allocations" xfId="31881"/>
    <cellStyle name="STYLE6 14" xfId="3826"/>
    <cellStyle name="STYLE6 14 2" xfId="3827"/>
    <cellStyle name="STYLE6 14_FC with allocations" xfId="31882"/>
    <cellStyle name="STYLE6 15" xfId="3828"/>
    <cellStyle name="STYLE6 15 2" xfId="3829"/>
    <cellStyle name="STYLE6 15_FC with allocations" xfId="31883"/>
    <cellStyle name="STYLE6 16" xfId="3830"/>
    <cellStyle name="STYLE6 16 2" xfId="4724"/>
    <cellStyle name="STYLE6 16 3" xfId="4623"/>
    <cellStyle name="STYLE6 16 3 2" xfId="18149"/>
    <cellStyle name="STYLE6 16 3_FC with allocations" xfId="31885"/>
    <cellStyle name="STYLE6 16_FC with allocations" xfId="31884"/>
    <cellStyle name="STYLE6 17" xfId="4420"/>
    <cellStyle name="STYLE6 18" xfId="4450"/>
    <cellStyle name="STYLE6 18 2" xfId="4759"/>
    <cellStyle name="STYLE6 18 3" xfId="4659"/>
    <cellStyle name="STYLE6 18 3 2" xfId="18169"/>
    <cellStyle name="STYLE6 18 3_FC with allocations" xfId="31887"/>
    <cellStyle name="STYLE6 18_FC with allocations" xfId="31886"/>
    <cellStyle name="STYLE6 19" xfId="4819"/>
    <cellStyle name="STYLE6 19 2" xfId="18275"/>
    <cellStyle name="STYLE6 19 2 2" xfId="19269"/>
    <cellStyle name="STYLE6 19 2 3" xfId="22841"/>
    <cellStyle name="STYLE6 19 2_FC with allocations" xfId="31889"/>
    <cellStyle name="STYLE6 19 3" xfId="17886"/>
    <cellStyle name="STYLE6 19 4" xfId="22084"/>
    <cellStyle name="STYLE6 19_FC with allocations" xfId="31888"/>
    <cellStyle name="STYLE6 2" xfId="3831"/>
    <cellStyle name="STYLE6 2 2" xfId="3832"/>
    <cellStyle name="STYLE6 2 3" xfId="16489"/>
    <cellStyle name="STYLE6 2_FC with allocations" xfId="31890"/>
    <cellStyle name="STYLE6 20" xfId="16488"/>
    <cellStyle name="STYLE6 20 2" xfId="18546"/>
    <cellStyle name="STYLE6 20 3" xfId="18025"/>
    <cellStyle name="STYLE6 20 3 2" xfId="20479"/>
    <cellStyle name="STYLE6 20 3 3" xfId="22619"/>
    <cellStyle name="STYLE6 20 3_FC with allocations" xfId="31892"/>
    <cellStyle name="STYLE6 20_FC with allocations" xfId="31891"/>
    <cellStyle name="STYLE6 21" xfId="16521"/>
    <cellStyle name="STYLE6 21 2" xfId="19335"/>
    <cellStyle name="STYLE6 21 3" xfId="22204"/>
    <cellStyle name="STYLE6 21_FC with allocations" xfId="31893"/>
    <cellStyle name="STYLE6 22" xfId="16694"/>
    <cellStyle name="STYLE6 22 2" xfId="19342"/>
    <cellStyle name="STYLE6 22 3" xfId="22371"/>
    <cellStyle name="STYLE6 22_FC with allocations" xfId="31894"/>
    <cellStyle name="STYLE6 3" xfId="3833"/>
    <cellStyle name="STYLE6 3 2" xfId="3834"/>
    <cellStyle name="STYLE6 3_FC with allocations" xfId="31895"/>
    <cellStyle name="STYLE6 4" xfId="3835"/>
    <cellStyle name="STYLE6 4 2" xfId="3836"/>
    <cellStyle name="STYLE6 4_FC with allocations" xfId="31896"/>
    <cellStyle name="STYLE6 5" xfId="3837"/>
    <cellStyle name="STYLE6 5 2" xfId="3838"/>
    <cellStyle name="STYLE6 5 3" xfId="3839"/>
    <cellStyle name="STYLE6 5_FC with allocations" xfId="31897"/>
    <cellStyle name="STYLE6 6" xfId="3840"/>
    <cellStyle name="STYLE6 6 2" xfId="3841"/>
    <cellStyle name="STYLE6 6 2 2" xfId="3842"/>
    <cellStyle name="STYLE6 6 2 3" xfId="3843"/>
    <cellStyle name="STYLE6 6 2_FC with allocations" xfId="31899"/>
    <cellStyle name="STYLE6 6 3" xfId="3844"/>
    <cellStyle name="STYLE6 6 4" xfId="3845"/>
    <cellStyle name="STYLE6 6_FC with allocations" xfId="31898"/>
    <cellStyle name="STYLE6 7" xfId="3846"/>
    <cellStyle name="STYLE6 7 2" xfId="3847"/>
    <cellStyle name="STYLE6 7 3" xfId="3848"/>
    <cellStyle name="STYLE6 7 4" xfId="3849"/>
    <cellStyle name="STYLE6 7_FC with allocations" xfId="31900"/>
    <cellStyle name="STYLE6 8" xfId="3850"/>
    <cellStyle name="STYLE6 8 2" xfId="3851"/>
    <cellStyle name="STYLE6 8 3" xfId="3852"/>
    <cellStyle name="STYLE6 8_FC with allocations" xfId="31901"/>
    <cellStyle name="STYLE6 9" xfId="3853"/>
    <cellStyle name="STYLE6 9 2" xfId="3854"/>
    <cellStyle name="STYLE6 9 3" xfId="3855"/>
    <cellStyle name="STYLE6 9_FC with allocations" xfId="31902"/>
    <cellStyle name="STYLE6_CF-GM12" xfId="3856"/>
    <cellStyle name="STYLE7" xfId="3857"/>
    <cellStyle name="STYLE7 10" xfId="3858"/>
    <cellStyle name="STYLE7 10 2" xfId="4725"/>
    <cellStyle name="STYLE7 10 3" xfId="4624"/>
    <cellStyle name="STYLE7 10 3 2" xfId="18150"/>
    <cellStyle name="STYLE7 10 3_FC with allocations" xfId="31904"/>
    <cellStyle name="STYLE7 10_FC with allocations" xfId="31903"/>
    <cellStyle name="STYLE7 11" xfId="4421"/>
    <cellStyle name="STYLE7 12" xfId="4451"/>
    <cellStyle name="STYLE7 12 2" xfId="4760"/>
    <cellStyle name="STYLE7 12 3" xfId="4660"/>
    <cellStyle name="STYLE7 12 3 2" xfId="18170"/>
    <cellStyle name="STYLE7 12 3_FC with allocations" xfId="31906"/>
    <cellStyle name="STYLE7 12_FC with allocations" xfId="31905"/>
    <cellStyle name="STYLE7 13" xfId="4820"/>
    <cellStyle name="STYLE7 13 2" xfId="18276"/>
    <cellStyle name="STYLE7 13 2 2" xfId="19272"/>
    <cellStyle name="STYLE7 13 2 3" xfId="22842"/>
    <cellStyle name="STYLE7 13 2_FC with allocations" xfId="31908"/>
    <cellStyle name="STYLE7 13 3" xfId="17893"/>
    <cellStyle name="STYLE7 13 4" xfId="22085"/>
    <cellStyle name="STYLE7 13_FC with allocations" xfId="31907"/>
    <cellStyle name="STYLE7 14" xfId="16490"/>
    <cellStyle name="STYLE7 14 2" xfId="18547"/>
    <cellStyle name="STYLE7 14 3" xfId="18026"/>
    <cellStyle name="STYLE7 14 3 2" xfId="20480"/>
    <cellStyle name="STYLE7 14 3 3" xfId="22620"/>
    <cellStyle name="STYLE7 14 3_FC with allocations" xfId="31910"/>
    <cellStyle name="STYLE7 14_FC with allocations" xfId="31909"/>
    <cellStyle name="STYLE7 15" xfId="16522"/>
    <cellStyle name="STYLE7 15 2" xfId="19336"/>
    <cellStyle name="STYLE7 15 3" xfId="22205"/>
    <cellStyle name="STYLE7 15_FC with allocations" xfId="31911"/>
    <cellStyle name="STYLE7 16" xfId="16693"/>
    <cellStyle name="STYLE7 16 2" xfId="19341"/>
    <cellStyle name="STYLE7 16 3" xfId="22370"/>
    <cellStyle name="STYLE7 16_FC with allocations" xfId="31912"/>
    <cellStyle name="STYLE7 2" xfId="3859"/>
    <cellStyle name="STYLE7 2 2" xfId="3860"/>
    <cellStyle name="STYLE7 2 3" xfId="16491"/>
    <cellStyle name="STYLE7 2_FC with allocations" xfId="31913"/>
    <cellStyle name="STYLE7 3" xfId="3861"/>
    <cellStyle name="STYLE7 3 2" xfId="3862"/>
    <cellStyle name="STYLE7 3 3" xfId="3863"/>
    <cellStyle name="STYLE7 3 4" xfId="3864"/>
    <cellStyle name="STYLE7 3_FC with allocations" xfId="31914"/>
    <cellStyle name="STYLE7 4" xfId="3865"/>
    <cellStyle name="STYLE7 4 2" xfId="3866"/>
    <cellStyle name="STYLE7 4 3" xfId="3867"/>
    <cellStyle name="STYLE7 4 4" xfId="3868"/>
    <cellStyle name="STYLE7 4 5" xfId="3869"/>
    <cellStyle name="STYLE7 4_FC with allocations" xfId="31915"/>
    <cellStyle name="STYLE7 5" xfId="3870"/>
    <cellStyle name="STYLE7 5 2" xfId="3871"/>
    <cellStyle name="STYLE7 5 3" xfId="3872"/>
    <cellStyle name="STYLE7 5 4" xfId="3873"/>
    <cellStyle name="STYLE7 5_FC with allocations" xfId="31916"/>
    <cellStyle name="STYLE7 6" xfId="3874"/>
    <cellStyle name="STYLE7 6 2" xfId="3875"/>
    <cellStyle name="STYLE7 6 3" xfId="3876"/>
    <cellStyle name="STYLE7 6 4" xfId="3877"/>
    <cellStyle name="STYLE7 6 5" xfId="3878"/>
    <cellStyle name="STYLE7 6_FC with allocations" xfId="31917"/>
    <cellStyle name="STYLE7 7" xfId="3879"/>
    <cellStyle name="STYLE7 7 2" xfId="3880"/>
    <cellStyle name="STYLE7 7_FC with allocations" xfId="31918"/>
    <cellStyle name="STYLE7 8" xfId="3881"/>
    <cellStyle name="STYLE7 8 2" xfId="3882"/>
    <cellStyle name="STYLE7 8_FC with allocations" xfId="31919"/>
    <cellStyle name="STYLE7 9" xfId="3883"/>
    <cellStyle name="STYLE7_CF-GM12" xfId="3884"/>
    <cellStyle name="STYLE8" xfId="3885"/>
    <cellStyle name="STYLE8 2" xfId="3886"/>
    <cellStyle name="STYLE8 2 2" xfId="16493"/>
    <cellStyle name="STYLE8 2_FC with allocations" xfId="31920"/>
    <cellStyle name="STYLE8 3" xfId="3887"/>
    <cellStyle name="STYLE8 4" xfId="3888"/>
    <cellStyle name="STYLE8 5" xfId="16492"/>
    <cellStyle name="STYLE8_COST OF SALES ISEXT-12 SEG 4" xfId="31931"/>
    <cellStyle name="STYLE9" xfId="3889"/>
    <cellStyle name="STYLE9 2" xfId="3890"/>
    <cellStyle name="STYLE9 2 2" xfId="16495"/>
    <cellStyle name="STYLE9 2_FC with allocations" xfId="31922"/>
    <cellStyle name="STYLE9 3" xfId="3891"/>
    <cellStyle name="STYLE9 4" xfId="3892"/>
    <cellStyle name="STYLE9 5" xfId="16494"/>
    <cellStyle name="STYLE9_FC with allocations" xfId="31921"/>
    <cellStyle name="Text" xfId="3893"/>
    <cellStyle name="Text 2" xfId="3894"/>
    <cellStyle name="Text Indent A" xfId="3895"/>
    <cellStyle name="Text Indent A 2" xfId="16496"/>
    <cellStyle name="Text Indent A_FC with allocations" xfId="31924"/>
    <cellStyle name="Text Indent B" xfId="3896"/>
    <cellStyle name="Text Indent B 2" xfId="16498"/>
    <cellStyle name="Text Indent B 2 2" xfId="16499"/>
    <cellStyle name="Text Indent B 2_FC with allocations" xfId="31926"/>
    <cellStyle name="Text Indent B 3" xfId="16500"/>
    <cellStyle name="Text Indent B 3 2" xfId="16501"/>
    <cellStyle name="Text Indent B 3_FC with allocations" xfId="31927"/>
    <cellStyle name="Text Indent B 4" xfId="16502"/>
    <cellStyle name="Text Indent B 4 2" xfId="16503"/>
    <cellStyle name="Text Indent B 4 3" xfId="16504"/>
    <cellStyle name="Text Indent B 4_FC with allocations" xfId="31928"/>
    <cellStyle name="Text Indent B 5" xfId="16505"/>
    <cellStyle name="Text Indent B 5 2" xfId="16506"/>
    <cellStyle name="Text Indent B 5_FC with allocations" xfId="31929"/>
    <cellStyle name="Text Indent B 6" xfId="16507"/>
    <cellStyle name="Text Indent B 6 2" xfId="16508"/>
    <cellStyle name="Text Indent B 6_FC with allocations" xfId="31930"/>
    <cellStyle name="Text Indent B 7" xfId="16509"/>
    <cellStyle name="Text Indent B 8" xfId="16497"/>
    <cellStyle name="Text Indent B_FC with allocations" xfId="31925"/>
    <cellStyle name="Text_FC with allocations" xfId="31923"/>
    <cellStyle name="Tickmark" xfId="3897"/>
    <cellStyle name="Title" xfId="16766" builtinId="15" customBuiltin="1"/>
    <cellStyle name="Total" xfId="16781" builtinId="25" customBuiltin="1"/>
    <cellStyle name="Warning Text" xfId="16779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FBFB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3.xml" Id="rId13" /><Relationship Type="http://schemas.openxmlformats.org/officeDocument/2006/relationships/externalLink" Target="externalLinks/externalLink4.xml" Id="rId18" /><Relationship Type="http://schemas.openxmlformats.org/officeDocument/2006/relationships/externalLink" Target="externalLinks/externalLink12.xml" Id="rId26" /><Relationship Type="http://schemas.openxmlformats.org/officeDocument/2006/relationships/externalLink" Target="externalLinks/externalLink25.xml" Id="rId39" /><Relationship Type="http://schemas.openxmlformats.org/officeDocument/2006/relationships/externalLink" Target="externalLinks/externalLink7.xml" Id="rId21" /><Relationship Type="http://schemas.openxmlformats.org/officeDocument/2006/relationships/externalLink" Target="externalLinks/externalLink20.xml" Id="rId34" /><Relationship Type="http://schemas.openxmlformats.org/officeDocument/2006/relationships/externalLink" Target="externalLinks/externalLink28.xml" Id="rId42" /><Relationship Type="http://schemas.openxmlformats.org/officeDocument/2006/relationships/externalLink" Target="externalLinks/externalLink33.xml" Id="rId47" /><Relationship Type="http://schemas.openxmlformats.org/officeDocument/2006/relationships/externalLink" Target="externalLinks/externalLink36.xml" Id="rId50" /><Relationship Type="http://schemas.openxmlformats.org/officeDocument/2006/relationships/externalLink" Target="externalLinks/externalLink41.xml" Id="rId55" /><Relationship Type="http://schemas.openxmlformats.org/officeDocument/2006/relationships/externalLink" Target="externalLinks/externalLink49.xml" Id="rId63" /><Relationship Type="http://schemas.openxmlformats.org/officeDocument/2006/relationships/externalLink" Target="externalLinks/externalLink54.xml" Id="rId68" /><Relationship Type="http://schemas.openxmlformats.org/officeDocument/2006/relationships/styles" Target="styles.xml" Id="rId76" /><Relationship Type="http://schemas.openxmlformats.org/officeDocument/2006/relationships/worksheet" Target="worksheets/sheet7.xml" Id="rId7" /><Relationship Type="http://schemas.openxmlformats.org/officeDocument/2006/relationships/externalLink" Target="externalLinks/externalLink57.xml" Id="rId71" /><Relationship Type="http://schemas.openxmlformats.org/officeDocument/2006/relationships/worksheet" Target="worksheets/sheet2.xml" Id="rId2" /><Relationship Type="http://schemas.openxmlformats.org/officeDocument/2006/relationships/externalLink" Target="externalLinks/externalLink2.xml" Id="rId16" /><Relationship Type="http://schemas.openxmlformats.org/officeDocument/2006/relationships/externalLink" Target="externalLinks/externalLink15.xml" Id="rId29" /><Relationship Type="http://schemas.openxmlformats.org/officeDocument/2006/relationships/worksheet" Target="worksheets/sheet11.xml" Id="rId11" /><Relationship Type="http://schemas.openxmlformats.org/officeDocument/2006/relationships/externalLink" Target="externalLinks/externalLink10.xml" Id="rId24" /><Relationship Type="http://schemas.openxmlformats.org/officeDocument/2006/relationships/externalLink" Target="externalLinks/externalLink18.xml" Id="rId32" /><Relationship Type="http://schemas.openxmlformats.org/officeDocument/2006/relationships/externalLink" Target="externalLinks/externalLink23.xml" Id="rId37" /><Relationship Type="http://schemas.openxmlformats.org/officeDocument/2006/relationships/externalLink" Target="externalLinks/externalLink26.xml" Id="rId40" /><Relationship Type="http://schemas.openxmlformats.org/officeDocument/2006/relationships/externalLink" Target="externalLinks/externalLink31.xml" Id="rId45" /><Relationship Type="http://schemas.openxmlformats.org/officeDocument/2006/relationships/externalLink" Target="externalLinks/externalLink39.xml" Id="rId53" /><Relationship Type="http://schemas.openxmlformats.org/officeDocument/2006/relationships/externalLink" Target="externalLinks/externalLink44.xml" Id="rId58" /><Relationship Type="http://schemas.openxmlformats.org/officeDocument/2006/relationships/externalLink" Target="externalLinks/externalLink52.xml" Id="rId66" /><Relationship Type="http://schemas.openxmlformats.org/officeDocument/2006/relationships/externalLink" Target="externalLinks/externalLink60.xml" Id="rId74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1.xml" Id="rId15" /><Relationship Type="http://schemas.openxmlformats.org/officeDocument/2006/relationships/externalLink" Target="externalLinks/externalLink9.xml" Id="rId23" /><Relationship Type="http://schemas.openxmlformats.org/officeDocument/2006/relationships/externalLink" Target="externalLinks/externalLink14.xml" Id="rId28" /><Relationship Type="http://schemas.openxmlformats.org/officeDocument/2006/relationships/externalLink" Target="externalLinks/externalLink22.xml" Id="rId36" /><Relationship Type="http://schemas.openxmlformats.org/officeDocument/2006/relationships/externalLink" Target="externalLinks/externalLink35.xml" Id="rId49" /><Relationship Type="http://schemas.openxmlformats.org/officeDocument/2006/relationships/externalLink" Target="externalLinks/externalLink43.xml" Id="rId57" /><Relationship Type="http://schemas.openxmlformats.org/officeDocument/2006/relationships/externalLink" Target="externalLinks/externalLink47.xml" Id="rId61" /><Relationship Type="http://schemas.openxmlformats.org/officeDocument/2006/relationships/worksheet" Target="worksheets/sheet10.xml" Id="rId10" /><Relationship Type="http://schemas.openxmlformats.org/officeDocument/2006/relationships/externalLink" Target="externalLinks/externalLink5.xml" Id="rId19" /><Relationship Type="http://schemas.openxmlformats.org/officeDocument/2006/relationships/externalLink" Target="externalLinks/externalLink17.xml" Id="rId31" /><Relationship Type="http://schemas.openxmlformats.org/officeDocument/2006/relationships/externalLink" Target="externalLinks/externalLink30.xml" Id="rId44" /><Relationship Type="http://schemas.openxmlformats.org/officeDocument/2006/relationships/externalLink" Target="externalLinks/externalLink38.xml" Id="rId52" /><Relationship Type="http://schemas.openxmlformats.org/officeDocument/2006/relationships/externalLink" Target="externalLinks/externalLink46.xml" Id="rId60" /><Relationship Type="http://schemas.openxmlformats.org/officeDocument/2006/relationships/externalLink" Target="externalLinks/externalLink51.xml" Id="rId65" /><Relationship Type="http://schemas.openxmlformats.org/officeDocument/2006/relationships/externalLink" Target="externalLinks/externalLink59.xml" Id="rId73" /><Relationship Type="http://schemas.openxmlformats.org/officeDocument/2006/relationships/calcChain" Target="calcChain.xml" Id="rId78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externalLink" Target="externalLinks/externalLink8.xml" Id="rId22" /><Relationship Type="http://schemas.openxmlformats.org/officeDocument/2006/relationships/externalLink" Target="externalLinks/externalLink13.xml" Id="rId27" /><Relationship Type="http://schemas.openxmlformats.org/officeDocument/2006/relationships/externalLink" Target="externalLinks/externalLink16.xml" Id="rId30" /><Relationship Type="http://schemas.openxmlformats.org/officeDocument/2006/relationships/externalLink" Target="externalLinks/externalLink21.xml" Id="rId35" /><Relationship Type="http://schemas.openxmlformats.org/officeDocument/2006/relationships/externalLink" Target="externalLinks/externalLink29.xml" Id="rId43" /><Relationship Type="http://schemas.openxmlformats.org/officeDocument/2006/relationships/externalLink" Target="externalLinks/externalLink34.xml" Id="rId48" /><Relationship Type="http://schemas.openxmlformats.org/officeDocument/2006/relationships/externalLink" Target="externalLinks/externalLink42.xml" Id="rId56" /><Relationship Type="http://schemas.openxmlformats.org/officeDocument/2006/relationships/externalLink" Target="externalLinks/externalLink50.xml" Id="rId64" /><Relationship Type="http://schemas.openxmlformats.org/officeDocument/2006/relationships/externalLink" Target="externalLinks/externalLink55.xml" Id="rId69" /><Relationship Type="http://schemas.openxmlformats.org/officeDocument/2006/relationships/sharedStrings" Target="sharedStrings.xml" Id="rId77" /><Relationship Type="http://schemas.openxmlformats.org/officeDocument/2006/relationships/worksheet" Target="worksheets/sheet8.xml" Id="rId8" /><Relationship Type="http://schemas.openxmlformats.org/officeDocument/2006/relationships/externalLink" Target="externalLinks/externalLink37.xml" Id="rId51" /><Relationship Type="http://schemas.openxmlformats.org/officeDocument/2006/relationships/externalLink" Target="externalLinks/externalLink58.xml" Id="rId72" /><Relationship Type="http://schemas.openxmlformats.org/officeDocument/2006/relationships/worksheet" Target="worksheets/sheet3.xml" Id="rId3" /><Relationship Type="http://schemas.openxmlformats.org/officeDocument/2006/relationships/worksheet" Target="worksheets/sheet12.xml" Id="rId12" /><Relationship Type="http://schemas.openxmlformats.org/officeDocument/2006/relationships/externalLink" Target="externalLinks/externalLink3.xml" Id="rId17" /><Relationship Type="http://schemas.openxmlformats.org/officeDocument/2006/relationships/externalLink" Target="externalLinks/externalLink11.xml" Id="rId25" /><Relationship Type="http://schemas.openxmlformats.org/officeDocument/2006/relationships/externalLink" Target="externalLinks/externalLink19.xml" Id="rId33" /><Relationship Type="http://schemas.openxmlformats.org/officeDocument/2006/relationships/externalLink" Target="externalLinks/externalLink24.xml" Id="rId38" /><Relationship Type="http://schemas.openxmlformats.org/officeDocument/2006/relationships/externalLink" Target="externalLinks/externalLink32.xml" Id="rId46" /><Relationship Type="http://schemas.openxmlformats.org/officeDocument/2006/relationships/externalLink" Target="externalLinks/externalLink45.xml" Id="rId59" /><Relationship Type="http://schemas.openxmlformats.org/officeDocument/2006/relationships/externalLink" Target="externalLinks/externalLink53.xml" Id="rId67" /><Relationship Type="http://schemas.openxmlformats.org/officeDocument/2006/relationships/externalLink" Target="externalLinks/externalLink6.xml" Id="rId20" /><Relationship Type="http://schemas.openxmlformats.org/officeDocument/2006/relationships/externalLink" Target="externalLinks/externalLink27.xml" Id="rId41" /><Relationship Type="http://schemas.openxmlformats.org/officeDocument/2006/relationships/externalLink" Target="externalLinks/externalLink40.xml" Id="rId54" /><Relationship Type="http://schemas.openxmlformats.org/officeDocument/2006/relationships/externalLink" Target="externalLinks/externalLink48.xml" Id="rId62" /><Relationship Type="http://schemas.openxmlformats.org/officeDocument/2006/relationships/externalLink" Target="externalLinks/externalLink56.xml" Id="rId70" /><Relationship Type="http://schemas.openxmlformats.org/officeDocument/2006/relationships/theme" Target="theme/theme1.xml" Id="rId75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COMPLET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DCFYN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NY\HELMET\SENSHEL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Rolex-Time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Forecast/2015/Gas/Gas%20Gross%20Margin%20Forecast%20-%2006-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Budget/2016/FINAL%202016%20Electric%20Margin%20Budget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AIG\MATH\MODEL\MATH1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2006%20ESN%20Rate%20Case%20Files\Data%20Requests%20%20Staff-ES-COS-1\To%20Sergio%20re-amended%20sched-data%20request%20responses\Amended%20St%20H-3%20(1)%20-%20attachment%20to%20COS1-74%20-%20all%20tab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Snug\Model\Linens32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i\Extendicare\RECAP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budis112700quarterl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ocuments%20and%20Settings\epearson\Local%20Settings\Temporary%20Internet%20Files\OLK134\Return%20Calcs\ESN%20ROR%2012-08%20-%20prorated%20plant%20ba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ex-Rolex%20Merger6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Model\Comb41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amast\Templates\Fendi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COMPANY\HELMET\TPG1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ContractSales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342940819.72999996</v>
          </cell>
          <cell r="M5">
            <v>760635428.82000017</v>
          </cell>
          <cell r="N5">
            <v>834106936</v>
          </cell>
          <cell r="O5">
            <v>873972739.34144032</v>
          </cell>
          <cell r="P5">
            <v>783240163.8588562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76942183.449999988</v>
          </cell>
          <cell r="AF5">
            <v>75177083</v>
          </cell>
          <cell r="AG5">
            <v>81424135.219999999</v>
          </cell>
          <cell r="AH5">
            <v>75212494.439999998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7891880.4800000004</v>
          </cell>
          <cell r="F6">
            <v>7173898.6600000001</v>
          </cell>
          <cell r="G6">
            <v>34090008.910000004</v>
          </cell>
          <cell r="H6">
            <v>85679375.200000003</v>
          </cell>
          <cell r="I6">
            <v>64352885</v>
          </cell>
          <cell r="J6">
            <v>75701782.473944634</v>
          </cell>
          <cell r="K6">
            <v>69620054.150460452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6329315.6699999999</v>
          </cell>
          <cell r="AB6">
            <v>5860488</v>
          </cell>
          <cell r="AC6">
            <v>7708631.629999999</v>
          </cell>
          <cell r="AD6">
            <v>7699797.7599999998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34090008.910000004</v>
          </cell>
          <cell r="AR6">
            <v>85679375.200000003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85679375.200000003</v>
          </cell>
          <cell r="BC6" t="str">
            <v>0</v>
          </cell>
          <cell r="BD6">
            <v>7891880.4800000004</v>
          </cell>
          <cell r="BE6">
            <v>75701782.473944634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1236435.5900000001</v>
          </cell>
          <cell r="BM6">
            <v>25081691.909999996</v>
          </cell>
          <cell r="BN6" t="str">
            <v>0</v>
          </cell>
          <cell r="BO6">
            <v>2514538.48</v>
          </cell>
          <cell r="BP6">
            <v>30400180.220000003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30400180.220000003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22443164.160000004</v>
          </cell>
          <cell r="CB6" t="str">
            <v>0</v>
          </cell>
          <cell r="CC6">
            <v>1990066.82</v>
          </cell>
          <cell r="CD6">
            <v>20052968.986817483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17669457.889999997</v>
          </cell>
          <cell r="CP6" t="str">
            <v>0</v>
          </cell>
          <cell r="CQ6">
            <v>1861864.66</v>
          </cell>
          <cell r="CR6">
            <v>20753366.649999999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20753366.649999999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20753366.649999999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22443164.160000004</v>
          </cell>
          <cell r="DL6" t="str">
            <v>0</v>
          </cell>
          <cell r="DN6">
            <v>2047574</v>
          </cell>
          <cell r="DO6">
            <v>18730543.360507555</v>
          </cell>
          <cell r="DP6" t="str">
            <v>0</v>
          </cell>
          <cell r="DQ6">
            <v>1169698.08</v>
          </cell>
          <cell r="DR6">
            <v>21630323.599999998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7891880.4800000004</v>
          </cell>
          <cell r="F7">
            <v>7173898.6600000001</v>
          </cell>
          <cell r="G7">
            <v>34090008.910000004</v>
          </cell>
          <cell r="H7">
            <v>85679375.200000003</v>
          </cell>
          <cell r="I7">
            <v>64352885</v>
          </cell>
          <cell r="J7">
            <v>75701782.473944634</v>
          </cell>
          <cell r="K7">
            <v>69620054.150460452</v>
          </cell>
          <cell r="L7">
            <v>342940819.72999996</v>
          </cell>
          <cell r="M7">
            <v>760635428.82000017</v>
          </cell>
          <cell r="N7">
            <v>834106936</v>
          </cell>
          <cell r="O7">
            <v>873972739.34144032</v>
          </cell>
          <cell r="P7">
            <v>783240163.8588562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6329315.6699999999</v>
          </cell>
          <cell r="AB7">
            <v>5860488</v>
          </cell>
          <cell r="AC7">
            <v>7708631.629999999</v>
          </cell>
          <cell r="AD7">
            <v>7699797.7599999998</v>
          </cell>
          <cell r="AE7">
            <v>76942183.449999988</v>
          </cell>
          <cell r="AF7">
            <v>75177083</v>
          </cell>
          <cell r="AG7">
            <v>81424135.219999999</v>
          </cell>
          <cell r="AH7">
            <v>75212494.439999998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34090008.910000004</v>
          </cell>
          <cell r="AR7">
            <v>85679375.200000003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85679375.200000003</v>
          </cell>
          <cell r="BC7" t="str">
            <v>0</v>
          </cell>
          <cell r="BD7">
            <v>7891880.4800000004</v>
          </cell>
          <cell r="BE7">
            <v>75701782.473944634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1236435.5900000001</v>
          </cell>
          <cell r="BM7">
            <v>25081691.909999996</v>
          </cell>
          <cell r="BN7" t="str">
            <v>0</v>
          </cell>
          <cell r="BO7">
            <v>2514538.48</v>
          </cell>
          <cell r="BP7">
            <v>30400180.220000003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30400180.220000003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22443164.160000004</v>
          </cell>
          <cell r="CB7" t="str">
            <v>0</v>
          </cell>
          <cell r="CC7">
            <v>1990066.82</v>
          </cell>
          <cell r="CD7">
            <v>20052968.986817483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17669457.889999997</v>
          </cell>
          <cell r="CP7" t="str">
            <v>0</v>
          </cell>
          <cell r="CQ7">
            <v>1861864.66</v>
          </cell>
          <cell r="CR7">
            <v>20753366.649999999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20753366.649999999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20753366.649999999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22443164.160000004</v>
          </cell>
          <cell r="DL7" t="str">
            <v>0</v>
          </cell>
          <cell r="DN7">
            <v>2047574</v>
          </cell>
          <cell r="DO7">
            <v>18730543.360507555</v>
          </cell>
          <cell r="DP7" t="str">
            <v>0</v>
          </cell>
          <cell r="DQ7">
            <v>1169698.08</v>
          </cell>
          <cell r="DR7">
            <v>21630323.599999998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124709515.81999998</v>
          </cell>
          <cell r="H8">
            <v>265344591.04999998</v>
          </cell>
          <cell r="I8">
            <v>301191218</v>
          </cell>
          <cell r="J8">
            <v>98110442.910000011</v>
          </cell>
          <cell r="K8">
            <v>66933047.470000014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25528586.880000003</v>
          </cell>
          <cell r="AB8">
            <v>26796950</v>
          </cell>
          <cell r="AC8">
            <v>27310932.990000002</v>
          </cell>
          <cell r="AD8">
            <v>25719691.380000003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124709515.81999998</v>
          </cell>
          <cell r="AR8">
            <v>265344591.04999998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265344591.05000001</v>
          </cell>
          <cell r="BC8" t="str">
            <v>0</v>
          </cell>
          <cell r="BD8" t="str">
            <v>0</v>
          </cell>
          <cell r="BE8">
            <v>98110442.910000011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92172595.370000005</v>
          </cell>
          <cell r="BN8" t="str">
            <v>0</v>
          </cell>
          <cell r="BO8" t="str">
            <v>0</v>
          </cell>
          <cell r="BP8">
            <v>98103131.910000011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98103131.910000011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60457289.059999995</v>
          </cell>
          <cell r="CB8" t="str">
            <v>0</v>
          </cell>
          <cell r="CC8" t="str">
            <v>0</v>
          </cell>
          <cell r="CD8">
            <v>26847506.080000006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53452061.99000001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68027390.340000004</v>
          </cell>
          <cell r="CP8" t="str">
            <v>0</v>
          </cell>
          <cell r="CQ8" t="str">
            <v>0</v>
          </cell>
          <cell r="CR8">
            <v>71257453.830000013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71257453.830000013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71257453.830000013</v>
          </cell>
          <cell r="DE8" t="str">
            <v>0</v>
          </cell>
          <cell r="DG8" t="str">
            <v>0</v>
          </cell>
          <cell r="DH8">
            <v>53452061.99000001</v>
          </cell>
          <cell r="DI8" t="str">
            <v>0</v>
          </cell>
          <cell r="DJ8" t="str">
            <v>0</v>
          </cell>
          <cell r="DK8">
            <v>60457289.059999995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71853721.890000001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16024770.859999998</v>
          </cell>
          <cell r="H9">
            <v>35254245.879999995</v>
          </cell>
          <cell r="I9">
            <v>37945270</v>
          </cell>
          <cell r="J9">
            <v>13489766.069999998</v>
          </cell>
          <cell r="K9">
            <v>9799650.1600000001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16024770.859999998</v>
          </cell>
          <cell r="AR9">
            <v>35254245.879999995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35254245.880000003</v>
          </cell>
          <cell r="BC9" t="str">
            <v>0</v>
          </cell>
          <cell r="BD9" t="str">
            <v>0</v>
          </cell>
          <cell r="BE9">
            <v>13489766.069999998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12299512.210000001</v>
          </cell>
          <cell r="BN9" t="str">
            <v>0</v>
          </cell>
          <cell r="BO9" t="str">
            <v>0</v>
          </cell>
          <cell r="BP9">
            <v>13489766.069999998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13489766.069999998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8207079.0499999998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6225120.7000000002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9101490.9100000001</v>
          </cell>
          <cell r="CP9" t="str">
            <v>0</v>
          </cell>
          <cell r="CQ9" t="str">
            <v>0</v>
          </cell>
          <cell r="CR9">
            <v>9799650.1600000001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9799650.1600000001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9799650.1600000001</v>
          </cell>
          <cell r="DE9" t="str">
            <v>0</v>
          </cell>
          <cell r="DG9" t="str">
            <v>0</v>
          </cell>
          <cell r="DH9">
            <v>6225120.7000000002</v>
          </cell>
          <cell r="DI9" t="str">
            <v>0</v>
          </cell>
          <cell r="DJ9" t="str">
            <v>0</v>
          </cell>
          <cell r="DK9">
            <v>8207079.0499999998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39105769.619999997</v>
          </cell>
          <cell r="H10">
            <v>84822979.579999983</v>
          </cell>
          <cell r="I10">
            <v>95267985</v>
          </cell>
          <cell r="J10">
            <v>33262431.579999994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9152712.1699999999</v>
          </cell>
          <cell r="AB10">
            <v>8228470</v>
          </cell>
          <cell r="AC10">
            <v>9950179.9500000011</v>
          </cell>
          <cell r="AD10">
            <v>9950179.9500000011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39105769.619999997</v>
          </cell>
          <cell r="AR10">
            <v>84822979.579999983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84822979.579999983</v>
          </cell>
          <cell r="BC10" t="str">
            <v>0</v>
          </cell>
          <cell r="BD10" t="str">
            <v>0</v>
          </cell>
          <cell r="BE10">
            <v>33262431.579999994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29802967.090000004</v>
          </cell>
          <cell r="BN10" t="str">
            <v>0</v>
          </cell>
          <cell r="BO10" t="str">
            <v>0</v>
          </cell>
          <cell r="BP10">
            <v>33262431.579999994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33262431.579999994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19488258.599999998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16018114.940000001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16018114.940000001</v>
          </cell>
          <cell r="DI10" t="str">
            <v>0</v>
          </cell>
          <cell r="DJ10" t="str">
            <v>0</v>
          </cell>
          <cell r="DK10">
            <v>19488258.599999998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23610639.890000001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299761311.93636918</v>
          </cell>
          <cell r="K13">
            <v>309244588.57373762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299761311.93636918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70533157.515046999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119751470.42118317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179840056.29999995</v>
          </cell>
          <cell r="H14">
            <v>385421816.50999999</v>
          </cell>
          <cell r="I14">
            <v>434404473</v>
          </cell>
          <cell r="J14">
            <v>444623952.49636912</v>
          </cell>
          <cell r="K14">
            <v>409064940.88373768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38103437.890000001</v>
          </cell>
          <cell r="AB14">
            <v>38439302</v>
          </cell>
          <cell r="AC14">
            <v>41892576.359999999</v>
          </cell>
          <cell r="AD14">
            <v>39427385.370000005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179840056.29999995</v>
          </cell>
          <cell r="AR14">
            <v>385421816.50999999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385421816.50999999</v>
          </cell>
          <cell r="BC14" t="str">
            <v>0</v>
          </cell>
          <cell r="BD14" t="str">
            <v>0</v>
          </cell>
          <cell r="BE14">
            <v>444623952.49636912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134275074.67000002</v>
          </cell>
          <cell r="BN14" t="str">
            <v>0</v>
          </cell>
          <cell r="BO14" t="str">
            <v>0</v>
          </cell>
          <cell r="BP14">
            <v>148766241.04000002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88152626.710000008</v>
          </cell>
          <cell r="CB14" t="str">
            <v>0</v>
          </cell>
          <cell r="CC14" t="str">
            <v>0</v>
          </cell>
          <cell r="CD14">
            <v>111245556.40504701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75695297.63000001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98485603.520000011</v>
          </cell>
          <cell r="CP14" t="str">
            <v>0</v>
          </cell>
          <cell r="CQ14" t="str">
            <v>0</v>
          </cell>
          <cell r="CR14">
            <v>107414578.69000001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75695297.63000001</v>
          </cell>
          <cell r="DI14" t="str">
            <v>0</v>
          </cell>
          <cell r="DJ14" t="str">
            <v>0</v>
          </cell>
          <cell r="DK14">
            <v>88152626.710000008</v>
          </cell>
          <cell r="DL14" t="str">
            <v>0</v>
          </cell>
          <cell r="DN14" t="str">
            <v>0</v>
          </cell>
          <cell r="DO14">
            <v>119754212.42118317</v>
          </cell>
          <cell r="DP14" t="str">
            <v>0</v>
          </cell>
          <cell r="DQ14" t="str">
            <v>0</v>
          </cell>
          <cell r="DR14">
            <v>104961014.53000002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7891880.4800000004</v>
          </cell>
          <cell r="F15">
            <v>7173898.6600000001</v>
          </cell>
          <cell r="G15">
            <v>213930065.20999998</v>
          </cell>
          <cell r="H15">
            <v>471101191.70999992</v>
          </cell>
          <cell r="I15">
            <v>498757358</v>
          </cell>
          <cell r="J15">
            <v>520325734.97031379</v>
          </cell>
          <cell r="K15">
            <v>478684995.03419805</v>
          </cell>
          <cell r="L15">
            <v>342940819.72999996</v>
          </cell>
          <cell r="M15">
            <v>760635428.82000017</v>
          </cell>
          <cell r="N15">
            <v>834106936</v>
          </cell>
          <cell r="O15">
            <v>873972739.34144032</v>
          </cell>
          <cell r="P15">
            <v>783240163.8588562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44432753.560000002</v>
          </cell>
          <cell r="AB15">
            <v>44299790</v>
          </cell>
          <cell r="AC15">
            <v>49601207.989999995</v>
          </cell>
          <cell r="AD15">
            <v>47127183.129999995</v>
          </cell>
          <cell r="AE15">
            <v>76942183.449999988</v>
          </cell>
          <cell r="AF15">
            <v>75177083</v>
          </cell>
          <cell r="AG15">
            <v>81424135.219999999</v>
          </cell>
          <cell r="AH15">
            <v>75212494.439999998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213930065.20999998</v>
          </cell>
          <cell r="AR15">
            <v>471101191.70999992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471101191.71000004</v>
          </cell>
          <cell r="BC15" t="str">
            <v>0</v>
          </cell>
          <cell r="BD15">
            <v>7891880.4800000004</v>
          </cell>
          <cell r="BE15">
            <v>520325734.97031379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1236435.5900000001</v>
          </cell>
          <cell r="BM15">
            <v>159356766.58000001</v>
          </cell>
          <cell r="BN15" t="str">
            <v>0</v>
          </cell>
          <cell r="BO15">
            <v>2514538.48</v>
          </cell>
          <cell r="BP15">
            <v>179166421.25999999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175255509.77999997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131298525.39186449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89031939.890000015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128167945.34000002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124898125.32000001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124898125.32000001</v>
          </cell>
          <cell r="DE15" t="str">
            <v>0</v>
          </cell>
          <cell r="DG15">
            <v>1224872.48</v>
          </cell>
          <cell r="DH15">
            <v>89031939.890000015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138484755.78169072</v>
          </cell>
          <cell r="DP15" t="str">
            <v>0</v>
          </cell>
          <cell r="DQ15">
            <v>1169698.08</v>
          </cell>
          <cell r="DR15">
            <v>126591338.13000001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-22369853.899999999</v>
          </cell>
          <cell r="H16">
            <v>-51839086.880000003</v>
          </cell>
          <cell r="I16">
            <v>-50045467</v>
          </cell>
          <cell r="J16">
            <v>-51457581.193189174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-4845642.3899999997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-22369853.899999999</v>
          </cell>
          <cell r="AR16">
            <v>-51839086.880000003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-51839086.880000003</v>
          </cell>
          <cell r="BC16" t="str">
            <v>0</v>
          </cell>
          <cell r="BD16" t="str">
            <v>0</v>
          </cell>
          <cell r="BE16">
            <v>-51457581.193189174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-16599543.079999998</v>
          </cell>
          <cell r="BN16" t="str">
            <v>0</v>
          </cell>
          <cell r="BO16" t="str">
            <v>0</v>
          </cell>
          <cell r="BP16">
            <v>-18205678.770000003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-18205678.770000003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-13152368.070000002</v>
          </cell>
          <cell r="CB16" t="str">
            <v>0</v>
          </cell>
          <cell r="CC16" t="str">
            <v>0</v>
          </cell>
          <cell r="CD16">
            <v>-12696708.317256181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-8753886.9299999997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-12045612.380000001</v>
          </cell>
          <cell r="CP16" t="str">
            <v>0</v>
          </cell>
          <cell r="CQ16" t="str">
            <v>0</v>
          </cell>
          <cell r="CR16">
            <v>-13615966.969999999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-13615966.969999999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-13615966.969999999</v>
          </cell>
          <cell r="DE16" t="str">
            <v>0</v>
          </cell>
          <cell r="DG16" t="str">
            <v>0</v>
          </cell>
          <cell r="DH16">
            <v>-8753886.9299999997</v>
          </cell>
          <cell r="DI16" t="str">
            <v>0</v>
          </cell>
          <cell r="DJ16" t="str">
            <v>0</v>
          </cell>
          <cell r="DK16">
            <v>-13152368.070000002</v>
          </cell>
          <cell r="DL16" t="str">
            <v>0</v>
          </cell>
          <cell r="DN16" t="str">
            <v>0</v>
          </cell>
          <cell r="DO16">
            <v>-13501741.461914413</v>
          </cell>
          <cell r="DP16" t="str">
            <v>0</v>
          </cell>
          <cell r="DQ16" t="str">
            <v>0</v>
          </cell>
          <cell r="DR16">
            <v>-13215364.980000002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-1341889.2124673785</v>
          </cell>
          <cell r="K17">
            <v>-717259.81313223322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-1341889.2124673785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-757349.53999999911</v>
          </cell>
          <cell r="BN17" t="str">
            <v>0</v>
          </cell>
          <cell r="BO17" t="str">
            <v>0</v>
          </cell>
          <cell r="BP17">
            <v>-865168.68999999948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-865168.68999999948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-563988.85999999754</v>
          </cell>
          <cell r="CB17" t="str">
            <v>0</v>
          </cell>
          <cell r="CC17" t="str">
            <v>0</v>
          </cell>
          <cell r="CD17">
            <v>-301376.90022484434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-1139045.8799999999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-544387.52999999933</v>
          </cell>
          <cell r="CP17" t="str">
            <v>0</v>
          </cell>
          <cell r="CQ17" t="str">
            <v>0</v>
          </cell>
          <cell r="CR17">
            <v>-669730.00999999791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-669730.00999999791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-669730.00999999791</v>
          </cell>
          <cell r="DE17" t="str">
            <v>0</v>
          </cell>
          <cell r="DG17" t="str">
            <v>0</v>
          </cell>
          <cell r="DH17">
            <v>-1139045.8799999999</v>
          </cell>
          <cell r="DI17" t="str">
            <v>0</v>
          </cell>
          <cell r="DJ17" t="str">
            <v>0</v>
          </cell>
          <cell r="DK17">
            <v>-563988.85999999754</v>
          </cell>
          <cell r="DL17" t="str">
            <v>0</v>
          </cell>
          <cell r="DN17" t="str">
            <v>0</v>
          </cell>
          <cell r="DO17">
            <v>-199948.61249253474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15573795.629999999</v>
          </cell>
          <cell r="C18">
            <v>34736742.329999998</v>
          </cell>
          <cell r="D18">
            <v>38735254</v>
          </cell>
          <cell r="E18">
            <v>12080297.389999999</v>
          </cell>
          <cell r="F18">
            <v>8640339.7699999996</v>
          </cell>
          <cell r="G18">
            <v>-16423994.669999998</v>
          </cell>
          <cell r="H18">
            <v>-28448078.460000008</v>
          </cell>
          <cell r="I18">
            <v>-39175228</v>
          </cell>
          <cell r="J18">
            <v>-12550804.620000005</v>
          </cell>
          <cell r="K18">
            <v>-8933643.9199999906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15573795.629999999</v>
          </cell>
          <cell r="AO18">
            <v>34736742.329999998</v>
          </cell>
          <cell r="AP18">
            <v>38735254</v>
          </cell>
          <cell r="AQ18">
            <v>-16423994.669999998</v>
          </cell>
          <cell r="AR18">
            <v>-28448078.460000008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34736742.330000006</v>
          </cell>
          <cell r="BB18">
            <v>-28448078.460000001</v>
          </cell>
          <cell r="BC18" t="str">
            <v>0</v>
          </cell>
          <cell r="BD18">
            <v>12080297.389999999</v>
          </cell>
          <cell r="BE18">
            <v>-12550804.620000005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11869829.629999999</v>
          </cell>
          <cell r="BM18">
            <v>-9476121.9700000007</v>
          </cell>
          <cell r="BN18" t="str">
            <v>0</v>
          </cell>
          <cell r="BO18">
            <v>12080297.389999999</v>
          </cell>
          <cell r="BP18">
            <v>-12623472.620000005</v>
          </cell>
          <cell r="BQ18" t="str">
            <v>0</v>
          </cell>
          <cell r="BR18" t="str">
            <v>0</v>
          </cell>
          <cell r="BS18">
            <v>12080297.389999999</v>
          </cell>
          <cell r="BT18">
            <v>-12623472.620000005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8757170.2100000009</v>
          </cell>
          <cell r="CA18">
            <v>-5757952.8899999997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6628192.8499999996</v>
          </cell>
          <cell r="CH18">
            <v>-7408599.7499999953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8773921.0999999996</v>
          </cell>
          <cell r="CO18">
            <v>-6716702.4900000012</v>
          </cell>
          <cell r="CP18" t="str">
            <v>0</v>
          </cell>
          <cell r="CQ18">
            <v>8945602.7799999993</v>
          </cell>
          <cell r="CR18">
            <v>-9015394.9199999906</v>
          </cell>
          <cell r="CS18" t="str">
            <v>0</v>
          </cell>
          <cell r="CT18" t="str">
            <v>0</v>
          </cell>
          <cell r="CU18">
            <v>8945602.7799999993</v>
          </cell>
          <cell r="CV18">
            <v>-9015394.9199999906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8945602.7799999993</v>
          </cell>
          <cell r="DD18">
            <v>-9015394.9199999906</v>
          </cell>
          <cell r="DE18" t="str">
            <v>0</v>
          </cell>
          <cell r="DG18">
            <v>6628192.8499999996</v>
          </cell>
          <cell r="DH18">
            <v>-7408599.7499999953</v>
          </cell>
          <cell r="DI18" t="str">
            <v>0</v>
          </cell>
          <cell r="DJ18">
            <v>8757170.2100000009</v>
          </cell>
          <cell r="DK18">
            <v>-5757952.8899999997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8901724.1199999992</v>
          </cell>
          <cell r="DR18">
            <v>-8482910.209999999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15573795.629999999</v>
          </cell>
          <cell r="C20">
            <v>34736742.329999998</v>
          </cell>
          <cell r="D20">
            <v>38735254</v>
          </cell>
          <cell r="E20">
            <v>12080297.389999999</v>
          </cell>
          <cell r="F20">
            <v>8640339.7699999996</v>
          </cell>
          <cell r="G20">
            <v>-40602624.460000008</v>
          </cell>
          <cell r="H20">
            <v>-83642379.349999949</v>
          </cell>
          <cell r="I20">
            <v>-89189094</v>
          </cell>
          <cell r="J20">
            <v>-65350275.025656596</v>
          </cell>
          <cell r="K20">
            <v>-61139983.303132229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-6801974.4699999942</v>
          </cell>
          <cell r="AB20">
            <v>-8025374</v>
          </cell>
          <cell r="AC20">
            <v>-8241107.3699999982</v>
          </cell>
          <cell r="AD20">
            <v>-8058122.0199999968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15573795.629999999</v>
          </cell>
          <cell r="AO20">
            <v>34736742.329999998</v>
          </cell>
          <cell r="AP20">
            <v>38735254</v>
          </cell>
          <cell r="AQ20">
            <v>-40602624.460000008</v>
          </cell>
          <cell r="AR20">
            <v>-83642379.349999949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34736742.330000006</v>
          </cell>
          <cell r="BB20">
            <v>-83642379.349999949</v>
          </cell>
          <cell r="BC20" t="str">
            <v>0</v>
          </cell>
          <cell r="BD20">
            <v>12080297.389999999</v>
          </cell>
          <cell r="BE20">
            <v>-65350275.025656596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11869829.629999999</v>
          </cell>
          <cell r="BM20">
            <v>-26833014.59</v>
          </cell>
          <cell r="BN20" t="str">
            <v>0</v>
          </cell>
          <cell r="BO20">
            <v>12080297.389999999</v>
          </cell>
          <cell r="BP20">
            <v>-31694320.079999983</v>
          </cell>
          <cell r="BQ20" t="str">
            <v>0</v>
          </cell>
          <cell r="BR20" t="str">
            <v>0</v>
          </cell>
          <cell r="BS20">
            <v>12080297.389999999</v>
          </cell>
          <cell r="BT20">
            <v>-31694320.079999983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8757170.2100000009</v>
          </cell>
          <cell r="CA20">
            <v>-19474309.820000004</v>
          </cell>
          <cell r="CB20" t="str">
            <v>0</v>
          </cell>
          <cell r="CC20">
            <v>3134694.61</v>
          </cell>
          <cell r="CD20">
            <v>-16587996.917481024</v>
          </cell>
          <cell r="CE20" t="str">
            <v>0</v>
          </cell>
          <cell r="CF20" t="str">
            <v>0</v>
          </cell>
          <cell r="CG20">
            <v>6628192.8499999996</v>
          </cell>
          <cell r="CH20">
            <v>-17301532.559999995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8773921.0999999996</v>
          </cell>
          <cell r="CO20">
            <v>-19306702.400000006</v>
          </cell>
          <cell r="CP20" t="str">
            <v>0</v>
          </cell>
          <cell r="CQ20">
            <v>8945602.7799999993</v>
          </cell>
          <cell r="CR20">
            <v>-23301091.899999995</v>
          </cell>
          <cell r="CS20" t="str">
            <v>0</v>
          </cell>
          <cell r="CT20" t="str">
            <v>0</v>
          </cell>
          <cell r="CU20">
            <v>8945602.7799999993</v>
          </cell>
          <cell r="CV20">
            <v>-23301091.899999995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8945602.7799999993</v>
          </cell>
          <cell r="DD20">
            <v>-23301091.899999995</v>
          </cell>
          <cell r="DE20" t="str">
            <v>0</v>
          </cell>
          <cell r="DG20">
            <v>6628192.8499999996</v>
          </cell>
          <cell r="DH20">
            <v>-17301532.559999995</v>
          </cell>
          <cell r="DI20" t="str">
            <v>0</v>
          </cell>
          <cell r="DJ20">
            <v>8757170.2100000009</v>
          </cell>
          <cell r="DK20">
            <v>-19474309.820000004</v>
          </cell>
          <cell r="DL20" t="str">
            <v>0</v>
          </cell>
          <cell r="DN20" t="str">
            <v>0</v>
          </cell>
          <cell r="DO20">
            <v>-13674441.074406948</v>
          </cell>
          <cell r="DP20" t="str">
            <v>0</v>
          </cell>
          <cell r="DQ20">
            <v>8901724.1199999992</v>
          </cell>
          <cell r="DR20">
            <v>-23089159.079999998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18660532.769999992</v>
          </cell>
          <cell r="C21">
            <v>39302299.359999992</v>
          </cell>
          <cell r="D21">
            <v>45732349</v>
          </cell>
          <cell r="E21">
            <v>19972177.869999997</v>
          </cell>
          <cell r="F21">
            <v>15814238.430000002</v>
          </cell>
          <cell r="G21">
            <v>173327440.74999997</v>
          </cell>
          <cell r="H21">
            <v>387458812.35999984</v>
          </cell>
          <cell r="I21">
            <v>409568264</v>
          </cell>
          <cell r="J21">
            <v>454975459.94465703</v>
          </cell>
          <cell r="K21">
            <v>417545011.73106593</v>
          </cell>
          <cell r="L21">
            <v>342940819.72999996</v>
          </cell>
          <cell r="M21">
            <v>760635428.82000017</v>
          </cell>
          <cell r="N21">
            <v>834106936</v>
          </cell>
          <cell r="O21">
            <v>873972739.34144032</v>
          </cell>
          <cell r="P21">
            <v>783240163.8588562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37630779.089999989</v>
          </cell>
          <cell r="AB21">
            <v>36274416</v>
          </cell>
          <cell r="AC21">
            <v>41360100.619999997</v>
          </cell>
          <cell r="AD21">
            <v>39069061.109999999</v>
          </cell>
          <cell r="AE21">
            <v>76942183.449999988</v>
          </cell>
          <cell r="AF21">
            <v>75177083</v>
          </cell>
          <cell r="AG21">
            <v>81424135.219999999</v>
          </cell>
          <cell r="AH21">
            <v>75212494.439999998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18660532.769999992</v>
          </cell>
          <cell r="AO21">
            <v>39302299.359999992</v>
          </cell>
          <cell r="AP21">
            <v>45732349</v>
          </cell>
          <cell r="AQ21">
            <v>173327440.74999997</v>
          </cell>
          <cell r="AR21">
            <v>387458812.35999984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39302299.359999992</v>
          </cell>
          <cell r="BB21">
            <v>387458812.35999995</v>
          </cell>
          <cell r="BC21" t="str">
            <v>0</v>
          </cell>
          <cell r="BD21">
            <v>19972177.869999997</v>
          </cell>
          <cell r="BE21">
            <v>454975459.94465703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13106265.219999999</v>
          </cell>
          <cell r="BM21">
            <v>132523751.99000011</v>
          </cell>
          <cell r="BN21" t="str">
            <v>0</v>
          </cell>
          <cell r="BO21">
            <v>14594835.869999999</v>
          </cell>
          <cell r="BP21">
            <v>147472101.1800001</v>
          </cell>
          <cell r="BQ21" t="str">
            <v>0</v>
          </cell>
          <cell r="BR21" t="str">
            <v>0</v>
          </cell>
          <cell r="BS21">
            <v>14594835.869999999</v>
          </cell>
          <cell r="BT21">
            <v>143561189.70000005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9810747.9199999999</v>
          </cell>
          <cell r="CA21">
            <v>91121481.050000116</v>
          </cell>
          <cell r="CB21" t="str">
            <v>0</v>
          </cell>
          <cell r="CC21">
            <v>5124761.43</v>
          </cell>
          <cell r="CD21">
            <v>114710528.47438347</v>
          </cell>
          <cell r="CE21" t="str">
            <v>0</v>
          </cell>
          <cell r="CF21" t="str">
            <v>0</v>
          </cell>
          <cell r="CG21">
            <v>7853065.3300000001</v>
          </cell>
          <cell r="CH21">
            <v>71730407.330000028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9724557.8899999987</v>
          </cell>
          <cell r="CO21">
            <v>96848359.009999961</v>
          </cell>
          <cell r="CP21" t="str">
            <v>0</v>
          </cell>
          <cell r="CQ21">
            <v>10807467.439999999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10807467.439999999</v>
          </cell>
          <cell r="CV21">
            <v>101597033.41999999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10807467.439999999</v>
          </cell>
          <cell r="DD21">
            <v>101597033.41999999</v>
          </cell>
          <cell r="DE21" t="str">
            <v>0</v>
          </cell>
          <cell r="DG21">
            <v>7853065.3300000001</v>
          </cell>
          <cell r="DH21">
            <v>71730407.330000028</v>
          </cell>
          <cell r="DI21" t="str">
            <v>0</v>
          </cell>
          <cell r="DJ21">
            <v>9810747.9199999999</v>
          </cell>
          <cell r="DK21">
            <v>91121481.050000116</v>
          </cell>
          <cell r="DL21" t="str">
            <v>0</v>
          </cell>
          <cell r="DN21">
            <v>2047574</v>
          </cell>
          <cell r="DO21">
            <v>124810314.70728377</v>
          </cell>
          <cell r="DP21" t="str">
            <v>0</v>
          </cell>
          <cell r="DQ21">
            <v>10071422.199999997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6878325.3399999999</v>
          </cell>
          <cell r="I22">
            <v>6642173</v>
          </cell>
          <cell r="J22">
            <v>7459020.2010373082</v>
          </cell>
          <cell r="K22">
            <v>6744485.915393129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6878325.3399999999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6878325.3399999999</v>
          </cell>
          <cell r="BC22" t="str">
            <v>0</v>
          </cell>
          <cell r="BD22" t="str">
            <v>0</v>
          </cell>
          <cell r="BE22">
            <v>7459020.2010373082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2134028.7599999998</v>
          </cell>
          <cell r="CB22" t="str">
            <v>0</v>
          </cell>
          <cell r="CC22" t="str">
            <v>0</v>
          </cell>
          <cell r="CD22">
            <v>1911606.2836337565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2134028.7599999998</v>
          </cell>
          <cell r="DL22" t="str">
            <v>0</v>
          </cell>
          <cell r="DN22" t="str">
            <v>0</v>
          </cell>
          <cell r="DO22">
            <v>1901293.3240617425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2834654.8620726434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2834654.8620726434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1199798.8799999999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698330.31963034754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807304.23421000293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58217.619999999937</v>
          </cell>
          <cell r="K24">
            <v>-6609.6100000001024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8067.7199999999939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58217.619999999937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-144512.54999999999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152763.23000000001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26695.439999999999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167255.26999999999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167255.26999999999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167255.26999999999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26695.439999999999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163799.26999999999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2266844.7400000002</v>
          </cell>
          <cell r="D25">
            <v>2241066</v>
          </cell>
          <cell r="E25">
            <v>767793.27</v>
          </cell>
          <cell r="F25">
            <v>576106.68999999994</v>
          </cell>
          <cell r="G25">
            <v>3294815.53</v>
          </cell>
          <cell r="H25">
            <v>7630687.1799999997</v>
          </cell>
          <cell r="I25">
            <v>8511336</v>
          </cell>
          <cell r="J25">
            <v>2923552.25</v>
          </cell>
          <cell r="K25">
            <v>2152313.9300000002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2266844.7400000002</v>
          </cell>
          <cell r="AP25">
            <v>2241066</v>
          </cell>
          <cell r="AQ25">
            <v>3294815.53</v>
          </cell>
          <cell r="AR25">
            <v>7630687.1799999997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2266844.7400000002</v>
          </cell>
          <cell r="BB25">
            <v>7630687.1799999997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2664675.9700000002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1164101.6000000001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572036.69999999995</v>
          </cell>
          <cell r="CO25">
            <v>1967251.23</v>
          </cell>
          <cell r="CP25" t="str">
            <v>0</v>
          </cell>
          <cell r="CQ25">
            <v>553606.68999999994</v>
          </cell>
          <cell r="CR25">
            <v>2130713.9300000002</v>
          </cell>
          <cell r="CS25" t="str">
            <v>0</v>
          </cell>
          <cell r="CT25" t="str">
            <v>0</v>
          </cell>
          <cell r="CU25">
            <v>553606.68999999994</v>
          </cell>
          <cell r="CV25">
            <v>2130713.9300000002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553606.68999999994</v>
          </cell>
          <cell r="DD25">
            <v>2130713.9300000002</v>
          </cell>
          <cell r="DE25" t="str">
            <v>0</v>
          </cell>
          <cell r="DG25">
            <v>383378.21</v>
          </cell>
          <cell r="DH25">
            <v>1164101.6000000001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7677715.8500000006</v>
          </cell>
          <cell r="H26">
            <v>16989842.799999997</v>
          </cell>
          <cell r="I26">
            <v>17069082</v>
          </cell>
          <cell r="J26">
            <v>13275444.933109952</v>
          </cell>
          <cell r="K26">
            <v>11932049.32039313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7677715.8500000006</v>
          </cell>
          <cell r="AR26">
            <v>16989842.799999997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16989842.800000001</v>
          </cell>
          <cell r="BC26" t="str">
            <v>0</v>
          </cell>
          <cell r="BD26">
            <v>1418840.87</v>
          </cell>
          <cell r="BE26">
            <v>13275444.933109952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6570763.0899999989</v>
          </cell>
          <cell r="BN26" t="str">
            <v>0</v>
          </cell>
          <cell r="BO26">
            <v>987389.87</v>
          </cell>
          <cell r="BP26">
            <v>6305352.3199999994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6305352.3199999994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3541138.1532641035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5075057.6399999997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2803733.5582717452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19882900.52999999</v>
          </cell>
          <cell r="C27">
            <v>42240563.79999999</v>
          </cell>
          <cell r="D27">
            <v>48613494</v>
          </cell>
          <cell r="E27">
            <v>21391018.739999998</v>
          </cell>
          <cell r="F27">
            <v>17020483.390000001</v>
          </cell>
          <cell r="G27">
            <v>181005156.59999999</v>
          </cell>
          <cell r="H27">
            <v>404448655.15999967</v>
          </cell>
          <cell r="I27">
            <v>426637346</v>
          </cell>
          <cell r="J27">
            <v>468250904.87776685</v>
          </cell>
          <cell r="K27">
            <v>429477061.05145901</v>
          </cell>
          <cell r="L27">
            <v>342940819.72999996</v>
          </cell>
          <cell r="M27">
            <v>760635428.82000017</v>
          </cell>
          <cell r="N27">
            <v>834106936</v>
          </cell>
          <cell r="O27">
            <v>873972739.34144032</v>
          </cell>
          <cell r="P27">
            <v>783240163.8588562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39628673.659999982</v>
          </cell>
          <cell r="AB27">
            <v>37793552</v>
          </cell>
          <cell r="AC27">
            <v>42866469.580000006</v>
          </cell>
          <cell r="AD27">
            <v>40566658.050000004</v>
          </cell>
          <cell r="AE27">
            <v>76942183.449999988</v>
          </cell>
          <cell r="AF27">
            <v>75177083</v>
          </cell>
          <cell r="AG27">
            <v>81424135.219999999</v>
          </cell>
          <cell r="AH27">
            <v>75212494.439999998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19882900.52999999</v>
          </cell>
          <cell r="AO27">
            <v>42240563.79999999</v>
          </cell>
          <cell r="AP27">
            <v>48613494</v>
          </cell>
          <cell r="AQ27">
            <v>181005156.59999999</v>
          </cell>
          <cell r="AR27">
            <v>404448655.15999967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42240563.79999999</v>
          </cell>
          <cell r="BB27">
            <v>404448655.15999979</v>
          </cell>
          <cell r="BC27" t="str">
            <v>0</v>
          </cell>
          <cell r="BD27">
            <v>21391018.739999998</v>
          </cell>
          <cell r="BE27">
            <v>468250904.87776685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14078167.029999999</v>
          </cell>
          <cell r="BM27">
            <v>139094515.08000016</v>
          </cell>
          <cell r="BN27" t="str">
            <v>0</v>
          </cell>
          <cell r="BO27">
            <v>15582225.739999998</v>
          </cell>
          <cell r="BP27">
            <v>153777453.50000015</v>
          </cell>
          <cell r="BQ27" t="str">
            <v>0</v>
          </cell>
          <cell r="BR27" t="str">
            <v>0</v>
          </cell>
          <cell r="BS27">
            <v>15582225.739999998</v>
          </cell>
          <cell r="BT27">
            <v>149866542.0200001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10522398.799999999</v>
          </cell>
          <cell r="CA27">
            <v>94774187.220000118</v>
          </cell>
          <cell r="CB27" t="str">
            <v>0</v>
          </cell>
          <cell r="CC27">
            <v>5499153.3400000017</v>
          </cell>
          <cell r="CD27">
            <v>118251666.62764758</v>
          </cell>
          <cell r="CE27" t="str">
            <v>0</v>
          </cell>
          <cell r="CF27" t="str">
            <v>0</v>
          </cell>
          <cell r="CG27">
            <v>8354571.1300000008</v>
          </cell>
          <cell r="CH27">
            <v>74933766.070000008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101923416.64999993</v>
          </cell>
          <cell r="CP27" t="str">
            <v>0</v>
          </cell>
          <cell r="CQ27">
            <v>11528329.399999999</v>
          </cell>
          <cell r="CR27">
            <v>109342369.11000004</v>
          </cell>
          <cell r="CS27" t="str">
            <v>0</v>
          </cell>
          <cell r="CT27" t="str">
            <v>0</v>
          </cell>
          <cell r="CU27">
            <v>11528329.399999999</v>
          </cell>
          <cell r="CV27">
            <v>106072549.09000003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11528329.399999999</v>
          </cell>
          <cell r="DD27">
            <v>106072549.09000003</v>
          </cell>
          <cell r="DE27" t="str">
            <v>0</v>
          </cell>
          <cell r="DG27">
            <v>8354571.1300000008</v>
          </cell>
          <cell r="DH27">
            <v>74933766.070000008</v>
          </cell>
          <cell r="DI27" t="str">
            <v>0</v>
          </cell>
          <cell r="DJ27">
            <v>10522398.799999999</v>
          </cell>
          <cell r="DK27">
            <v>94774187.220000118</v>
          </cell>
          <cell r="DL27" t="str">
            <v>0</v>
          </cell>
          <cell r="DN27">
            <v>2209370</v>
          </cell>
          <cell r="DO27">
            <v>127614048.2655555</v>
          </cell>
          <cell r="DP27" t="str">
            <v>0</v>
          </cell>
          <cell r="DQ27">
            <v>10808415.609999996</v>
          </cell>
          <cell r="DR27">
            <v>108508647.52000003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12281424.450000001</v>
          </cell>
          <cell r="H28">
            <v>28916391.100000001</v>
          </cell>
          <cell r="I28">
            <v>31287015</v>
          </cell>
          <cell r="J28">
            <v>11537201.270000001</v>
          </cell>
          <cell r="K28">
            <v>8223565.5600000015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12281424.450000001</v>
          </cell>
          <cell r="AR28">
            <v>28916391.100000001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28916391.100000001</v>
          </cell>
          <cell r="BC28" t="str">
            <v>0</v>
          </cell>
          <cell r="BD28">
            <v>1213047.29</v>
          </cell>
          <cell r="BE28">
            <v>11537201.270000001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9725586.3200000003</v>
          </cell>
          <cell r="BN28" t="str">
            <v>0</v>
          </cell>
          <cell r="BO28">
            <v>1105075.45</v>
          </cell>
          <cell r="BP28">
            <v>11073212.270000001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11073212.270000001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6750168.1199999992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7026679.6400000006</v>
          </cell>
          <cell r="CP28" t="str">
            <v>0</v>
          </cell>
          <cell r="CQ28">
            <v>797084.22</v>
          </cell>
          <cell r="CR28">
            <v>7926168.1900000013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7926168.1900000013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7926168.1900000013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6750168.1199999992</v>
          </cell>
          <cell r="DL28" t="str">
            <v>0</v>
          </cell>
          <cell r="DN28">
            <v>40489.440000000002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7154926.3800000008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10795912.169999994</v>
          </cell>
          <cell r="D29">
            <v>7158151.8799999999</v>
          </cell>
          <cell r="E29">
            <v>15209747.93</v>
          </cell>
          <cell r="F29">
            <v>7213175.6900000004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10795912.169999994</v>
          </cell>
          <cell r="AP29">
            <v>7158151.8799999999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7158151.8799999999</v>
          </cell>
          <cell r="AY29" t="str">
            <v>0</v>
          </cell>
          <cell r="AZ29" t="str">
            <v>0</v>
          </cell>
          <cell r="BA29">
            <v>10795912.169999992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2573732.9900000002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2245519.0099999998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6163421.2699999986</v>
          </cell>
          <cell r="C30">
            <v>10792175.950000001</v>
          </cell>
          <cell r="D30">
            <v>11106413.440000001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6163421.2699999986</v>
          </cell>
          <cell r="AO30">
            <v>10792175.950000001</v>
          </cell>
          <cell r="AP30">
            <v>11106413.440000001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11106413.440000001</v>
          </cell>
          <cell r="AY30" t="str">
            <v>0</v>
          </cell>
          <cell r="AZ30" t="str">
            <v>0</v>
          </cell>
          <cell r="BA30">
            <v>10792175.950000001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2597649.3199999998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2597649.3199999998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2597649.3199999998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10705057.450000001</v>
          </cell>
          <cell r="C31">
            <v>25974422.549999997</v>
          </cell>
          <cell r="D31">
            <v>23365400.02</v>
          </cell>
          <cell r="E31">
            <v>8551045.7300000004</v>
          </cell>
          <cell r="F31">
            <v>6203787.1399999997</v>
          </cell>
          <cell r="G31">
            <v>3790517.54</v>
          </cell>
          <cell r="H31">
            <v>9273580.6300000008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10705057.450000001</v>
          </cell>
          <cell r="AO31">
            <v>25974422.549999997</v>
          </cell>
          <cell r="AP31">
            <v>23365400.02</v>
          </cell>
          <cell r="AQ31">
            <v>3790517.54</v>
          </cell>
          <cell r="AR31">
            <v>9273580.6300000008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25974422.550000001</v>
          </cell>
          <cell r="BB31">
            <v>9273580.629999999</v>
          </cell>
          <cell r="BC31" t="str">
            <v>0</v>
          </cell>
          <cell r="BD31">
            <v>8551045.7300000004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8632327.1900000013</v>
          </cell>
          <cell r="BM31">
            <v>3078853.45</v>
          </cell>
          <cell r="BN31" t="str">
            <v>0</v>
          </cell>
          <cell r="BO31">
            <v>8545045.7300000004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8545045.7300000004</v>
          </cell>
          <cell r="BT31">
            <v>3669342.9</v>
          </cell>
          <cell r="BU31" t="str">
            <v>0</v>
          </cell>
          <cell r="BW31">
            <v>5813434.5499999998</v>
          </cell>
          <cell r="BX31">
            <v>2886410</v>
          </cell>
          <cell r="BY31" t="str">
            <v>0</v>
          </cell>
          <cell r="BZ31">
            <v>6234474.7900000019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4508020.3099999996</v>
          </cell>
          <cell r="CH31">
            <v>1135636.7</v>
          </cell>
          <cell r="CI31" t="str">
            <v>0</v>
          </cell>
          <cell r="CK31">
            <v>5789232.1299999999</v>
          </cell>
          <cell r="CL31">
            <v>2844105</v>
          </cell>
          <cell r="CM31" t="str">
            <v>0</v>
          </cell>
          <cell r="CN31">
            <v>6421448.2699999996</v>
          </cell>
          <cell r="CO31">
            <v>2233038.14</v>
          </cell>
          <cell r="CP31" t="str">
            <v>0</v>
          </cell>
          <cell r="CQ31">
            <v>6197037.1399999997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6197037.1399999997</v>
          </cell>
          <cell r="CV31">
            <v>2654880.84</v>
          </cell>
          <cell r="CW31" t="str">
            <v>0</v>
          </cell>
          <cell r="CY31">
            <v>5813434.5499999998</v>
          </cell>
          <cell r="CZ31">
            <v>2886410</v>
          </cell>
          <cell r="DA31" t="str">
            <v>0</v>
          </cell>
          <cell r="DC31">
            <v>6197037.1399999997</v>
          </cell>
          <cell r="DD31">
            <v>2654880.84</v>
          </cell>
          <cell r="DE31" t="str">
            <v>0</v>
          </cell>
          <cell r="DG31">
            <v>4508020.3099999996</v>
          </cell>
          <cell r="DH31">
            <v>1135636.7</v>
          </cell>
          <cell r="DI31" t="str">
            <v>0</v>
          </cell>
          <cell r="DJ31">
            <v>6234474.7900000019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7050267.5099999988</v>
          </cell>
          <cell r="DR31">
            <v>2682422.3199999998</v>
          </cell>
          <cell r="DS31" t="str">
            <v>0</v>
          </cell>
          <cell r="DT31">
            <v>6034703.6899999995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5422720.0899999999</v>
          </cell>
          <cell r="D32">
            <v>4597662</v>
          </cell>
          <cell r="E32">
            <v>2362902.4900000002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566902.69999999995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5422720.0899999999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5422720.0899999999</v>
          </cell>
          <cell r="BB32" t="str">
            <v>0</v>
          </cell>
          <cell r="BC32" t="str">
            <v>0</v>
          </cell>
          <cell r="BD32">
            <v>2362902.4900000002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20442296.510000005</v>
          </cell>
          <cell r="C33">
            <v>42189318.589999996</v>
          </cell>
          <cell r="D33">
            <v>39069475.460000001</v>
          </cell>
          <cell r="E33">
            <v>22078460.979999993</v>
          </cell>
          <cell r="F33">
            <v>19174339.970000006</v>
          </cell>
          <cell r="G33">
            <v>3790517.54</v>
          </cell>
          <cell r="H33">
            <v>9273580.6300000008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20442296.510000005</v>
          </cell>
          <cell r="AO33">
            <v>42189318.589999996</v>
          </cell>
          <cell r="AP33">
            <v>39069475.460000001</v>
          </cell>
          <cell r="AQ33">
            <v>3790517.54</v>
          </cell>
          <cell r="AR33">
            <v>9273580.6300000008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39069475.460000001</v>
          </cell>
          <cell r="AY33">
            <v>11655371</v>
          </cell>
          <cell r="AZ33" t="str">
            <v>0</v>
          </cell>
          <cell r="BA33">
            <v>42189318.589999996</v>
          </cell>
          <cell r="BB33">
            <v>9273580.629999999</v>
          </cell>
          <cell r="BC33" t="str">
            <v>0</v>
          </cell>
          <cell r="BD33">
            <v>22078460.979999993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14253733.069999998</v>
          </cell>
          <cell r="BM33">
            <v>3078853.45</v>
          </cell>
          <cell r="BN33" t="str">
            <v>0</v>
          </cell>
          <cell r="BO33">
            <v>14253321.020000005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14253321.020000005</v>
          </cell>
          <cell r="BT33">
            <v>3669342.9</v>
          </cell>
          <cell r="BU33" t="str">
            <v>0</v>
          </cell>
          <cell r="BW33">
            <v>9676144.4299999997</v>
          </cell>
          <cell r="BX33">
            <v>2886410</v>
          </cell>
          <cell r="BY33" t="str">
            <v>0</v>
          </cell>
          <cell r="BZ33">
            <v>10633806.310000002</v>
          </cell>
          <cell r="CA33">
            <v>2072254.22</v>
          </cell>
          <cell r="CB33" t="str">
            <v>0</v>
          </cell>
          <cell r="CC33">
            <v>5780578.6199999992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10055518.369999995</v>
          </cell>
          <cell r="CH33">
            <v>1135636.7</v>
          </cell>
          <cell r="CI33" t="str">
            <v>0</v>
          </cell>
          <cell r="CK33">
            <v>9709104.5300000012</v>
          </cell>
          <cell r="CL33">
            <v>2844105</v>
          </cell>
          <cell r="CM33" t="str">
            <v>0</v>
          </cell>
          <cell r="CN33">
            <v>9942892.8399999999</v>
          </cell>
          <cell r="CO33">
            <v>2233038.14</v>
          </cell>
          <cell r="CP33" t="str">
            <v>0</v>
          </cell>
          <cell r="CQ33">
            <v>10386778.140000001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10386778.140000001</v>
          </cell>
          <cell r="CV33">
            <v>2654880.84</v>
          </cell>
          <cell r="CW33" t="str">
            <v>0</v>
          </cell>
          <cell r="CY33">
            <v>9676144.4299999997</v>
          </cell>
          <cell r="CZ33">
            <v>2886410</v>
          </cell>
          <cell r="DA33" t="str">
            <v>0</v>
          </cell>
          <cell r="DC33">
            <v>10386778.140000001</v>
          </cell>
          <cell r="DD33">
            <v>2654880.84</v>
          </cell>
          <cell r="DE33" t="str">
            <v>0</v>
          </cell>
          <cell r="DG33">
            <v>10055518.369999995</v>
          </cell>
          <cell r="DH33">
            <v>1135636.7</v>
          </cell>
          <cell r="DI33" t="str">
            <v>0</v>
          </cell>
          <cell r="DJ33">
            <v>10633806.310000002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10846800.269999998</v>
          </cell>
          <cell r="DR33">
            <v>2682422.3199999998</v>
          </cell>
          <cell r="DS33" t="str">
            <v>0</v>
          </cell>
          <cell r="DT33">
            <v>9970799.8600000013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21799576.219999995</v>
          </cell>
          <cell r="H34">
            <v>49347425.210000001</v>
          </cell>
          <cell r="I34">
            <v>69118921</v>
          </cell>
          <cell r="J34">
            <v>12821237.710000001</v>
          </cell>
          <cell r="K34">
            <v>8079921.5599999977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7198015.9799999986</v>
          </cell>
          <cell r="AB34">
            <v>6425931</v>
          </cell>
          <cell r="AC34">
            <v>4544214</v>
          </cell>
          <cell r="AD34">
            <v>4539889.1900000004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21799576.219999995</v>
          </cell>
          <cell r="AR34">
            <v>49347425.210000001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49347425.210000001</v>
          </cell>
          <cell r="BC34" t="str">
            <v>0</v>
          </cell>
          <cell r="BD34" t="str">
            <v>0</v>
          </cell>
          <cell r="BE34">
            <v>12821237.710000001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23700995.720000003</v>
          </cell>
          <cell r="BN34" t="str">
            <v>0</v>
          </cell>
          <cell r="BO34" t="str">
            <v>0</v>
          </cell>
          <cell r="BP34">
            <v>15487905.710000001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15487905.710000001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10723078.350000001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10697812.079999998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17268307.620000001</v>
          </cell>
          <cell r="CP34" t="str">
            <v>0</v>
          </cell>
          <cell r="CQ34" t="str">
            <v>0</v>
          </cell>
          <cell r="CR34">
            <v>11101764.139999999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11101764.139999999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11101764.139999999</v>
          </cell>
          <cell r="DE34" t="str">
            <v>0</v>
          </cell>
          <cell r="DG34" t="str">
            <v>0</v>
          </cell>
          <cell r="DH34">
            <v>10697812.079999998</v>
          </cell>
          <cell r="DI34" t="str">
            <v>0</v>
          </cell>
          <cell r="DJ34" t="str">
            <v>0</v>
          </cell>
          <cell r="DK34">
            <v>10723078.350000001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13206735.330000002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9691725.9499999993</v>
          </cell>
          <cell r="H35">
            <v>19796718.620000001</v>
          </cell>
          <cell r="I35">
            <v>18147189</v>
          </cell>
          <cell r="J35">
            <v>6759717.8300000001</v>
          </cell>
          <cell r="K35">
            <v>5161162.0199999996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9691725.9499999993</v>
          </cell>
          <cell r="AR35">
            <v>19796718.620000001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19796718.620000005</v>
          </cell>
          <cell r="BC35" t="str">
            <v>0</v>
          </cell>
          <cell r="BD35" t="str">
            <v>0</v>
          </cell>
          <cell r="BE35">
            <v>6759717.8300000001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9191927.2300000004</v>
          </cell>
          <cell r="BN35" t="str">
            <v>0</v>
          </cell>
          <cell r="BO35" t="str">
            <v>0</v>
          </cell>
          <cell r="BP35">
            <v>6759717.8300000001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6759717.8300000001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7435339.7599999988</v>
          </cell>
          <cell r="CP35" t="str">
            <v>0</v>
          </cell>
          <cell r="CQ35" t="str">
            <v>0</v>
          </cell>
          <cell r="CR35">
            <v>5161162.0199999996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5161162.0199999996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5161162.0199999996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5474995.1300000008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53986.720000000001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1314433.6299999999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137068.79999999999</v>
          </cell>
          <cell r="AB36">
            <v>141446.32999999999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53986.720000000001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1314433.6299999999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1314433.6299999999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585461.31999999995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44621.279999999999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44621.279999999999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-4093.5000000000146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315232.34000000003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315232.34000000003</v>
          </cell>
          <cell r="DI36" t="str">
            <v>0</v>
          </cell>
          <cell r="DJ36">
            <v>13288.09</v>
          </cell>
          <cell r="DK36">
            <v>-4093.5000000000146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53986.720000000001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32351565.659999993</v>
          </cell>
          <cell r="H37">
            <v>70458577.460000008</v>
          </cell>
          <cell r="I37">
            <v>89023154.959999993</v>
          </cell>
          <cell r="J37">
            <v>77815034.269604042</v>
          </cell>
          <cell r="K37">
            <v>81012823.939929664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10641924.439999999</v>
          </cell>
          <cell r="AB37">
            <v>8210258.3300000001</v>
          </cell>
          <cell r="AC37">
            <v>6129272.5100000007</v>
          </cell>
          <cell r="AD37">
            <v>6688489.7000000002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53986.720000000001</v>
          </cell>
          <cell r="AO37">
            <v>249393</v>
          </cell>
          <cell r="AP37">
            <v>359000.04</v>
          </cell>
          <cell r="AQ37">
            <v>32351565.659999993</v>
          </cell>
          <cell r="AR37">
            <v>70458577.460000008</v>
          </cell>
          <cell r="AS37">
            <v>89023154.959999993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89023154.959999993</v>
          </cell>
          <cell r="AZ37" t="str">
            <v>0</v>
          </cell>
          <cell r="BA37">
            <v>249393</v>
          </cell>
          <cell r="BB37">
            <v>70458577.460000023</v>
          </cell>
          <cell r="BC37" t="str">
            <v>0</v>
          </cell>
          <cell r="BD37">
            <v>283954.64</v>
          </cell>
          <cell r="BE37">
            <v>77815034.269604042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33342557.140000004</v>
          </cell>
          <cell r="BN37" t="str">
            <v>0</v>
          </cell>
          <cell r="BO37">
            <v>44621.279999999999</v>
          </cell>
          <cell r="BP37">
            <v>21213337.149999999</v>
          </cell>
          <cell r="BQ37" t="str">
            <v>0</v>
          </cell>
          <cell r="BR37" t="str">
            <v>0</v>
          </cell>
          <cell r="BS37">
            <v>44621.279999999999</v>
          </cell>
          <cell r="BT37">
            <v>22954674.149999999</v>
          </cell>
          <cell r="BU37" t="str">
            <v>0</v>
          </cell>
          <cell r="BW37">
            <v>89750.01</v>
          </cell>
          <cell r="BX37">
            <v>21683738.989999998</v>
          </cell>
          <cell r="BY37" t="str">
            <v>0</v>
          </cell>
          <cell r="BZ37">
            <v>13288.09</v>
          </cell>
          <cell r="CA37">
            <v>15635167.530000001</v>
          </cell>
          <cell r="CB37" t="str">
            <v>0</v>
          </cell>
          <cell r="CC37">
            <v>60025.01</v>
          </cell>
          <cell r="CD37">
            <v>19088080.806963906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15543608.349999998</v>
          </cell>
          <cell r="CI37" t="str">
            <v>0</v>
          </cell>
          <cell r="CK37">
            <v>89750.01</v>
          </cell>
          <cell r="CL37">
            <v>21971099.989999998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15440488.309999999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16807957.309999999</v>
          </cell>
          <cell r="CW37" t="str">
            <v>0</v>
          </cell>
          <cell r="CY37">
            <v>89750.01</v>
          </cell>
          <cell r="CZ37">
            <v>21683738.989999998</v>
          </cell>
          <cell r="DA37" t="str">
            <v>0</v>
          </cell>
          <cell r="DC37">
            <v>44429.61</v>
          </cell>
          <cell r="DD37">
            <v>16807957.309999999</v>
          </cell>
          <cell r="DE37" t="str">
            <v>0</v>
          </cell>
          <cell r="DG37">
            <v>9557.11</v>
          </cell>
          <cell r="DH37">
            <v>15543608.349999998</v>
          </cell>
          <cell r="DI37" t="str">
            <v>0</v>
          </cell>
          <cell r="DJ37">
            <v>13288.09</v>
          </cell>
          <cell r="DK37">
            <v>15635167.530000001</v>
          </cell>
          <cell r="DL37" t="str">
            <v>0</v>
          </cell>
          <cell r="DN37">
            <v>89750.01</v>
          </cell>
          <cell r="DO37">
            <v>23436058.786346234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24465716.989999998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21799576.219999995</v>
          </cell>
          <cell r="H38">
            <v>49347425.210000001</v>
          </cell>
          <cell r="I38">
            <v>69118921</v>
          </cell>
          <cell r="J38">
            <v>12821237.710000001</v>
          </cell>
          <cell r="K38">
            <v>8079921.5599999977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7198015.9799999986</v>
          </cell>
          <cell r="AB38">
            <v>6425931</v>
          </cell>
          <cell r="AC38">
            <v>4544214</v>
          </cell>
          <cell r="AD38">
            <v>4539889.1900000004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21799576.219999995</v>
          </cell>
          <cell r="AR38">
            <v>49347425.210000001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49347425.210000001</v>
          </cell>
          <cell r="BC38" t="str">
            <v>0</v>
          </cell>
          <cell r="BD38" t="str">
            <v>0</v>
          </cell>
          <cell r="BE38">
            <v>12821237.710000001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23700995.720000003</v>
          </cell>
          <cell r="BN38" t="str">
            <v>0</v>
          </cell>
          <cell r="BO38" t="str">
            <v>0</v>
          </cell>
          <cell r="BP38">
            <v>15487905.710000001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15487905.710000001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10723078.350000001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10697812.079999998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17268307.620000001</v>
          </cell>
          <cell r="CP38" t="str">
            <v>0</v>
          </cell>
          <cell r="CQ38" t="str">
            <v>0</v>
          </cell>
          <cell r="CR38">
            <v>11101764.139999999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11101764.139999999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11101764.139999999</v>
          </cell>
          <cell r="DE38" t="str">
            <v>0</v>
          </cell>
          <cell r="DG38" t="str">
            <v>0</v>
          </cell>
          <cell r="DH38">
            <v>10697812.079999998</v>
          </cell>
          <cell r="DI38" t="str">
            <v>0</v>
          </cell>
          <cell r="DJ38" t="str">
            <v>0</v>
          </cell>
          <cell r="DK38">
            <v>10723078.350000001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13206735.330000002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1188592.6000000001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1188592.6000000001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1124477.5900000001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667174.69999999995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1152023.8999999999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667174.69999999995</v>
          </cell>
          <cell r="DH39" t="str">
            <v>0</v>
          </cell>
          <cell r="DI39" t="str">
            <v>0</v>
          </cell>
          <cell r="DJ39">
            <v>1124477.5900000001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15560943.150000002</v>
          </cell>
          <cell r="S42">
            <v>7581448</v>
          </cell>
          <cell r="T42">
            <v>6512022.6899999995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15560943.150000002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15560943.150000002</v>
          </cell>
          <cell r="BD42" t="str">
            <v>0</v>
          </cell>
          <cell r="BE42" t="str">
            <v>0</v>
          </cell>
          <cell r="BF42">
            <v>6512022.6899999995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34351022.459999993</v>
          </cell>
          <cell r="C43">
            <v>73439132.089999974</v>
          </cell>
          <cell r="D43">
            <v>86333786.450000003</v>
          </cell>
          <cell r="E43">
            <v>89055320.965976179</v>
          </cell>
          <cell r="F43">
            <v>67285538.352877676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16105613.560000002</v>
          </cell>
          <cell r="S43">
            <v>7584448</v>
          </cell>
          <cell r="T43">
            <v>6535074.5399999991</v>
          </cell>
          <cell r="U43">
            <v>7591483.7800000003</v>
          </cell>
          <cell r="W43">
            <v>5865406.080000001</v>
          </cell>
          <cell r="X43">
            <v>7561790.0700000003</v>
          </cell>
          <cell r="Y43">
            <v>7225923.6199999973</v>
          </cell>
          <cell r="Z43">
            <v>5479182.3299999982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34351022.459999993</v>
          </cell>
          <cell r="AO43">
            <v>73439132.089999974</v>
          </cell>
          <cell r="AP43">
            <v>86333786.450000003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16105613.560000002</v>
          </cell>
          <cell r="AV43">
            <v>7584448</v>
          </cell>
          <cell r="AX43">
            <v>86333786.450000003</v>
          </cell>
          <cell r="AY43" t="str">
            <v>0</v>
          </cell>
          <cell r="AZ43">
            <v>7584448</v>
          </cell>
          <cell r="BA43">
            <v>73439132.089999974</v>
          </cell>
          <cell r="BB43" t="str">
            <v>0</v>
          </cell>
          <cell r="BC43">
            <v>16105613.560000002</v>
          </cell>
          <cell r="BD43">
            <v>89055320.965976179</v>
          </cell>
          <cell r="BE43" t="str">
            <v>0</v>
          </cell>
          <cell r="BF43">
            <v>6535074.5399999991</v>
          </cell>
          <cell r="BG43">
            <v>7591483.7800000003</v>
          </cell>
          <cell r="BI43">
            <v>29528296.199999999</v>
          </cell>
          <cell r="BJ43" t="str">
            <v>0</v>
          </cell>
          <cell r="BK43">
            <v>2530148</v>
          </cell>
          <cell r="BL43">
            <v>24055780.659999989</v>
          </cell>
          <cell r="BM43" t="str">
            <v>0</v>
          </cell>
          <cell r="BN43">
            <v>3881367</v>
          </cell>
          <cell r="BO43">
            <v>30438215.130000006</v>
          </cell>
          <cell r="BP43" t="str">
            <v>0</v>
          </cell>
          <cell r="BQ43">
            <v>1480774.54</v>
          </cell>
          <cell r="BR43">
            <v>2537183.7799999998</v>
          </cell>
          <cell r="BS43">
            <v>28800941.130000006</v>
          </cell>
          <cell r="BT43" t="str">
            <v>0</v>
          </cell>
          <cell r="BU43">
            <v>1480774.54</v>
          </cell>
          <cell r="BW43">
            <v>21574505.629999999</v>
          </cell>
          <cell r="BX43" t="str">
            <v>0</v>
          </cell>
          <cell r="BY43">
            <v>1895361</v>
          </cell>
          <cell r="BZ43">
            <v>17653876.930000003</v>
          </cell>
          <cell r="CA43" t="str">
            <v>0</v>
          </cell>
          <cell r="CB43">
            <v>6537090.6699999999</v>
          </cell>
          <cell r="CC43">
            <v>21853210.595724821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12846830.339999996</v>
          </cell>
          <cell r="CH43" t="str">
            <v>0</v>
          </cell>
          <cell r="CI43">
            <v>1257710.07</v>
          </cell>
          <cell r="CK43">
            <v>22158367.989999998</v>
          </cell>
          <cell r="CL43" t="str">
            <v>0</v>
          </cell>
          <cell r="CM43">
            <v>1898361</v>
          </cell>
          <cell r="CN43">
            <v>18002946.539999992</v>
          </cell>
          <cell r="CO43" t="str">
            <v>0</v>
          </cell>
          <cell r="CP43">
            <v>3252022</v>
          </cell>
          <cell r="CQ43">
            <v>22859229.120000008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21504192.120000008</v>
          </cell>
          <cell r="CV43" t="str">
            <v>0</v>
          </cell>
          <cell r="CW43">
            <v>851075.47</v>
          </cell>
          <cell r="CY43">
            <v>21574505.629999999</v>
          </cell>
          <cell r="CZ43" t="str">
            <v>0</v>
          </cell>
          <cell r="DA43">
            <v>1895361</v>
          </cell>
          <cell r="DC43">
            <v>21504192.120000008</v>
          </cell>
          <cell r="DD43" t="str">
            <v>0</v>
          </cell>
          <cell r="DE43">
            <v>851075.47</v>
          </cell>
          <cell r="DG43">
            <v>12846830.339999996</v>
          </cell>
          <cell r="DH43" t="str">
            <v>0</v>
          </cell>
          <cell r="DI43">
            <v>1257710.07</v>
          </cell>
          <cell r="DJ43">
            <v>17653876.930000003</v>
          </cell>
          <cell r="DK43" t="str">
            <v>0</v>
          </cell>
          <cell r="DL43">
            <v>6537090.6699999999</v>
          </cell>
          <cell r="DN43">
            <v>22534854.770125687</v>
          </cell>
          <cell r="DO43" t="str">
            <v>0</v>
          </cell>
          <cell r="DP43">
            <v>1895361</v>
          </cell>
          <cell r="DQ43">
            <v>18496506.800000004</v>
          </cell>
          <cell r="DR43" t="str">
            <v>0</v>
          </cell>
          <cell r="DS43">
            <v>2328609.02</v>
          </cell>
          <cell r="DT43">
            <v>21682440.060000002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-20010.490000000078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39898.300000000003</v>
          </cell>
          <cell r="Z45">
            <v>39898.300000000003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-20010.490000000078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-94048.320000000007</v>
          </cell>
          <cell r="BO45">
            <v>-518.90000000006694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-518.90000000006694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671021.32999999996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58855258.920000054</v>
          </cell>
          <cell r="C47">
            <v>130897160.54999992</v>
          </cell>
          <cell r="D47">
            <v>136989921.87</v>
          </cell>
          <cell r="E47">
            <v>128311595.42597614</v>
          </cell>
          <cell r="F47">
            <v>95423559.622877717</v>
          </cell>
          <cell r="G47">
            <v>48423507.649999999</v>
          </cell>
          <cell r="H47">
            <v>108648549.19000003</v>
          </cell>
          <cell r="I47">
            <v>131965540.95999999</v>
          </cell>
          <cell r="J47">
            <v>93021578.439604044</v>
          </cell>
          <cell r="K47">
            <v>91891270.33992967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16886466.520000003</v>
          </cell>
          <cell r="S47">
            <v>7894949</v>
          </cell>
          <cell r="T47">
            <v>7645379.5199999986</v>
          </cell>
          <cell r="U47">
            <v>7849506.1500000004</v>
          </cell>
          <cell r="W47">
            <v>10865308.410000002</v>
          </cell>
          <cell r="X47">
            <v>11910968.499999998</v>
          </cell>
          <cell r="Y47">
            <v>12623931.049999997</v>
          </cell>
          <cell r="Z47">
            <v>10173197.75999999</v>
          </cell>
          <cell r="AA47">
            <v>14381266.199999999</v>
          </cell>
          <cell r="AB47">
            <v>12032917.33</v>
          </cell>
          <cell r="AC47">
            <v>10238595.630000001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525061.68999999994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58855258.920000054</v>
          </cell>
          <cell r="AO47">
            <v>130897160.54999992</v>
          </cell>
          <cell r="AP47">
            <v>136989921.87</v>
          </cell>
          <cell r="AQ47">
            <v>48423507.649999999</v>
          </cell>
          <cell r="AR47">
            <v>108648549.19000003</v>
          </cell>
          <cell r="AS47">
            <v>131965540.95999999</v>
          </cell>
          <cell r="AT47">
            <v>2882078.17</v>
          </cell>
          <cell r="AU47">
            <v>16886466.520000003</v>
          </cell>
          <cell r="AV47">
            <v>7894949</v>
          </cell>
          <cell r="AX47">
            <v>136989921.87</v>
          </cell>
          <cell r="AY47">
            <v>131965540.95999999</v>
          </cell>
          <cell r="AZ47">
            <v>7894949</v>
          </cell>
          <cell r="BA47">
            <v>130897160.54999991</v>
          </cell>
          <cell r="BB47">
            <v>108648549.19000003</v>
          </cell>
          <cell r="BC47">
            <v>16886466.520000003</v>
          </cell>
          <cell r="BD47">
            <v>128311595.42597616</v>
          </cell>
          <cell r="BE47">
            <v>93021578.439604044</v>
          </cell>
          <cell r="BF47">
            <v>7645379.5199999986</v>
          </cell>
          <cell r="BG47">
            <v>9603721.1500000004</v>
          </cell>
          <cell r="BI47">
            <v>46421449.769999996</v>
          </cell>
          <cell r="BJ47">
            <v>44286446.32</v>
          </cell>
          <cell r="BK47">
            <v>2633648</v>
          </cell>
          <cell r="BL47">
            <v>42922115.849999987</v>
          </cell>
          <cell r="BM47">
            <v>46146996.910000004</v>
          </cell>
          <cell r="BN47">
            <v>3787318.68</v>
          </cell>
          <cell r="BO47">
            <v>50763751.990000024</v>
          </cell>
          <cell r="BP47">
            <v>35955892.320000008</v>
          </cell>
          <cell r="BQ47">
            <v>2429310.52</v>
          </cell>
          <cell r="BR47">
            <v>2655289.15</v>
          </cell>
          <cell r="BS47">
            <v>46448958.990000017</v>
          </cell>
          <cell r="BT47">
            <v>37697229.320000008</v>
          </cell>
          <cell r="BU47">
            <v>2419058.52</v>
          </cell>
          <cell r="BW47">
            <v>34146381.04999999</v>
          </cell>
          <cell r="BX47">
            <v>32278929.989999998</v>
          </cell>
          <cell r="BY47">
            <v>1972986</v>
          </cell>
          <cell r="BZ47">
            <v>32129346.119999982</v>
          </cell>
          <cell r="CA47">
            <v>24457589.870000001</v>
          </cell>
          <cell r="CB47">
            <v>6655639.0700000003</v>
          </cell>
          <cell r="CC47">
            <v>31206133.575724814</v>
          </cell>
          <cell r="CD47">
            <v>23365998.94696391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21034501.309999999</v>
          </cell>
          <cell r="CI47">
            <v>1932780.33</v>
          </cell>
          <cell r="CK47">
            <v>34753908.509999998</v>
          </cell>
          <cell r="CL47">
            <v>32449872.989999998</v>
          </cell>
          <cell r="CM47">
            <v>1975986</v>
          </cell>
          <cell r="CN47">
            <v>31442626.510000024</v>
          </cell>
          <cell r="CO47">
            <v>34288017.800000004</v>
          </cell>
          <cell r="CP47">
            <v>3204884.43</v>
          </cell>
          <cell r="CQ47">
            <v>38317044.399999999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34951455.399999991</v>
          </cell>
          <cell r="CV47">
            <v>27389006.34</v>
          </cell>
          <cell r="CW47">
            <v>949297.84</v>
          </cell>
          <cell r="CY47">
            <v>34146381.04999999</v>
          </cell>
          <cell r="CZ47">
            <v>32278929.989999998</v>
          </cell>
          <cell r="DA47">
            <v>1972986</v>
          </cell>
          <cell r="DC47">
            <v>34951455.399999991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21034501.309999999</v>
          </cell>
          <cell r="DI47">
            <v>1932780.33</v>
          </cell>
          <cell r="DJ47">
            <v>32129346.119999982</v>
          </cell>
          <cell r="DK47">
            <v>24457589.870000001</v>
          </cell>
          <cell r="DL47">
            <v>6655639.0700000003</v>
          </cell>
          <cell r="DN47">
            <v>29858276.370125685</v>
          </cell>
          <cell r="DO47">
            <v>23610676.786346234</v>
          </cell>
          <cell r="DP47">
            <v>1966861</v>
          </cell>
          <cell r="DQ47">
            <v>33593485.649999999</v>
          </cell>
          <cell r="DR47">
            <v>29052983.130000003</v>
          </cell>
          <cell r="DS47">
            <v>2822668.67</v>
          </cell>
          <cell r="DT47">
            <v>34574992.909999996</v>
          </cell>
          <cell r="DU47">
            <v>36319204.990000002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-8606880.1399999969</v>
          </cell>
          <cell r="S48">
            <v>-10633322.08</v>
          </cell>
          <cell r="T48">
            <v>-10143354.119999999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-825694.71999999997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-8606880.1399999969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-8606880.1399999987</v>
          </cell>
          <cell r="BD48" t="str">
            <v>0</v>
          </cell>
          <cell r="BE48" t="str">
            <v>0</v>
          </cell>
          <cell r="BF48">
            <v>-10143354.119999999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-2658333.5099999998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-2535333.5099999998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-2658333.5499999998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-2658333.5099999998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-2533083.5099999998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-2658333.5099999998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58855258.920000054</v>
          </cell>
          <cell r="C49">
            <v>130897160.54999992</v>
          </cell>
          <cell r="D49">
            <v>136989921.87</v>
          </cell>
          <cell r="E49">
            <v>128311595.42597614</v>
          </cell>
          <cell r="F49">
            <v>95423559.622877717</v>
          </cell>
          <cell r="G49">
            <v>48423507.649999999</v>
          </cell>
          <cell r="H49">
            <v>108648549.19000003</v>
          </cell>
          <cell r="I49">
            <v>131965540.95999999</v>
          </cell>
          <cell r="J49">
            <v>93021578.439604044</v>
          </cell>
          <cell r="K49">
            <v>91891270.33992967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8279586.3800000055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10865308.410000002</v>
          </cell>
          <cell r="X49">
            <v>11910968.499999998</v>
          </cell>
          <cell r="Y49">
            <v>12623931.049999997</v>
          </cell>
          <cell r="Z49">
            <v>10173197.75999999</v>
          </cell>
          <cell r="AA49">
            <v>14381266.199999999</v>
          </cell>
          <cell r="AB49">
            <v>12032917.33</v>
          </cell>
          <cell r="AC49">
            <v>10238595.630000001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-300633.03000000003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58855258.920000054</v>
          </cell>
          <cell r="AO49">
            <v>130897160.54999992</v>
          </cell>
          <cell r="AP49">
            <v>136989921.87</v>
          </cell>
          <cell r="AQ49">
            <v>48423507.649999999</v>
          </cell>
          <cell r="AR49">
            <v>108648549.19000003</v>
          </cell>
          <cell r="AS49">
            <v>131965540.95999999</v>
          </cell>
          <cell r="AT49">
            <v>-712024.97</v>
          </cell>
          <cell r="AU49">
            <v>8279586.3800000055</v>
          </cell>
          <cell r="AV49">
            <v>-2738373.08</v>
          </cell>
          <cell r="AX49">
            <v>136989921.87</v>
          </cell>
          <cell r="AY49">
            <v>131965540.95999999</v>
          </cell>
          <cell r="AZ49">
            <v>-2738373.08</v>
          </cell>
          <cell r="BA49">
            <v>130897160.54999991</v>
          </cell>
          <cell r="BB49">
            <v>108648549.19000003</v>
          </cell>
          <cell r="BC49">
            <v>8279586.3800000055</v>
          </cell>
          <cell r="BD49">
            <v>128311595.42597616</v>
          </cell>
          <cell r="BE49">
            <v>93021578.439604044</v>
          </cell>
          <cell r="BF49">
            <v>-2497974.6</v>
          </cell>
          <cell r="BG49">
            <v>-662165.24999999942</v>
          </cell>
          <cell r="BI49">
            <v>46421449.769999996</v>
          </cell>
          <cell r="BJ49">
            <v>44286446.32</v>
          </cell>
          <cell r="BK49">
            <v>-910796.72</v>
          </cell>
          <cell r="BL49">
            <v>42922115.849999987</v>
          </cell>
          <cell r="BM49">
            <v>46146996.910000004</v>
          </cell>
          <cell r="BN49">
            <v>-306.96999999985565</v>
          </cell>
          <cell r="BO49">
            <v>50763751.990000024</v>
          </cell>
          <cell r="BP49">
            <v>35955892.320000008</v>
          </cell>
          <cell r="BQ49">
            <v>-940166.24</v>
          </cell>
          <cell r="BR49">
            <v>-603719.89</v>
          </cell>
          <cell r="BS49">
            <v>46448958.990000017</v>
          </cell>
          <cell r="BT49">
            <v>37697229.320000008</v>
          </cell>
          <cell r="BU49">
            <v>-950418.24</v>
          </cell>
          <cell r="BW49">
            <v>34146381.04999999</v>
          </cell>
          <cell r="BX49">
            <v>32278929.989999998</v>
          </cell>
          <cell r="BY49">
            <v>-685347.51</v>
          </cell>
          <cell r="BZ49">
            <v>32129346.119999982</v>
          </cell>
          <cell r="CA49">
            <v>24457589.870000001</v>
          </cell>
          <cell r="CB49">
            <v>4482932.76</v>
          </cell>
          <cell r="CC49">
            <v>31206133.575724814</v>
          </cell>
          <cell r="CD49">
            <v>23365998.94696391</v>
          </cell>
          <cell r="CE49">
            <v>98704.450000000274</v>
          </cell>
          <cell r="CF49">
            <v>-584608.51</v>
          </cell>
          <cell r="CG49">
            <v>23903803.52</v>
          </cell>
          <cell r="CH49">
            <v>21034501.309999999</v>
          </cell>
          <cell r="CI49">
            <v>752575.06</v>
          </cell>
          <cell r="CK49">
            <v>34753908.509999998</v>
          </cell>
          <cell r="CL49">
            <v>32449872.989999998</v>
          </cell>
          <cell r="CM49">
            <v>-682347.55</v>
          </cell>
          <cell r="CN49">
            <v>31442626.510000024</v>
          </cell>
          <cell r="CO49">
            <v>34288017.800000004</v>
          </cell>
          <cell r="CP49">
            <v>593277.72</v>
          </cell>
          <cell r="CQ49">
            <v>38317044.399999999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34951455.399999991</v>
          </cell>
          <cell r="CV49">
            <v>27389006.34</v>
          </cell>
          <cell r="CW49">
            <v>-1464600.03</v>
          </cell>
          <cell r="CY49">
            <v>34146381.04999999</v>
          </cell>
          <cell r="CZ49">
            <v>32278929.989999998</v>
          </cell>
          <cell r="DA49">
            <v>-685347.51</v>
          </cell>
          <cell r="DC49">
            <v>34951455.399999991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21034501.309999999</v>
          </cell>
          <cell r="DI49">
            <v>752575.06</v>
          </cell>
          <cell r="DJ49">
            <v>32129346.119999982</v>
          </cell>
          <cell r="DK49">
            <v>24457589.870000001</v>
          </cell>
          <cell r="DL49">
            <v>4482932.76</v>
          </cell>
          <cell r="DN49">
            <v>29858276.370125685</v>
          </cell>
          <cell r="DO49">
            <v>23610676.786346234</v>
          </cell>
          <cell r="DP49">
            <v>-566222.51</v>
          </cell>
          <cell r="DQ49">
            <v>33593485.649999999</v>
          </cell>
          <cell r="DR49">
            <v>29052983.130000003</v>
          </cell>
          <cell r="DS49">
            <v>680581.93999999948</v>
          </cell>
          <cell r="DT49">
            <v>34574992.909999996</v>
          </cell>
          <cell r="DU49">
            <v>36319204.990000002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78738159.449999958</v>
          </cell>
          <cell r="C50">
            <v>173137724.35000008</v>
          </cell>
          <cell r="D50">
            <v>185603415.87</v>
          </cell>
          <cell r="E50">
            <v>149702614.16597614</v>
          </cell>
          <cell r="F50">
            <v>112444043.01287773</v>
          </cell>
          <cell r="G50">
            <v>229428664.24999997</v>
          </cell>
          <cell r="H50">
            <v>513097204.34999985</v>
          </cell>
          <cell r="I50">
            <v>558602886.96000004</v>
          </cell>
          <cell r="J50">
            <v>561272483.31737089</v>
          </cell>
          <cell r="K50">
            <v>521368331.39138871</v>
          </cell>
          <cell r="L50">
            <v>342940819.72999996</v>
          </cell>
          <cell r="M50">
            <v>760635428.82000017</v>
          </cell>
          <cell r="N50">
            <v>834106936</v>
          </cell>
          <cell r="O50">
            <v>873972739.34144032</v>
          </cell>
          <cell r="P50">
            <v>783240163.8588562</v>
          </cell>
          <cell r="Q50">
            <v>-712024.97</v>
          </cell>
          <cell r="R50">
            <v>8279586.3800000055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14393024.779999997</v>
          </cell>
          <cell r="X50">
            <v>16011172.499999998</v>
          </cell>
          <cell r="Y50">
            <v>16417419.879999999</v>
          </cell>
          <cell r="Z50">
            <v>13966686.589999994</v>
          </cell>
          <cell r="AA50">
            <v>54009939.859999985</v>
          </cell>
          <cell r="AB50">
            <v>49826469.329999998</v>
          </cell>
          <cell r="AC50">
            <v>53105065.210000008</v>
          </cell>
          <cell r="AD50">
            <v>51276865.540000007</v>
          </cell>
          <cell r="AE50">
            <v>76942183.449999988</v>
          </cell>
          <cell r="AF50">
            <v>75177083</v>
          </cell>
          <cell r="AG50">
            <v>81424135.219999999</v>
          </cell>
          <cell r="AH50">
            <v>75212494.439999998</v>
          </cell>
          <cell r="AI50">
            <v>-300633.03000000003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78738159.449999958</v>
          </cell>
          <cell r="AO50">
            <v>173137724.35000008</v>
          </cell>
          <cell r="AP50">
            <v>185603415.87</v>
          </cell>
          <cell r="AQ50">
            <v>229428664.24999997</v>
          </cell>
          <cell r="AR50">
            <v>513097204.34999985</v>
          </cell>
          <cell r="AS50">
            <v>558602886.96000004</v>
          </cell>
          <cell r="AT50">
            <v>-712024.97</v>
          </cell>
          <cell r="AU50">
            <v>8279586.3800000055</v>
          </cell>
          <cell r="AV50">
            <v>-2738373.08</v>
          </cell>
          <cell r="AX50">
            <v>185603415.87</v>
          </cell>
          <cell r="AY50">
            <v>558602886.96000004</v>
          </cell>
          <cell r="AZ50">
            <v>-2738373.08</v>
          </cell>
          <cell r="BA50">
            <v>173137724.35000008</v>
          </cell>
          <cell r="BB50">
            <v>513097204.34999996</v>
          </cell>
          <cell r="BC50">
            <v>8279586.3800000055</v>
          </cell>
          <cell r="BD50">
            <v>149702614.16597614</v>
          </cell>
          <cell r="BE50">
            <v>561272483.31737089</v>
          </cell>
          <cell r="BF50">
            <v>-2497974.6</v>
          </cell>
          <cell r="BG50">
            <v>-662165.24999999942</v>
          </cell>
          <cell r="BI50">
            <v>62637451.769999996</v>
          </cell>
          <cell r="BJ50">
            <v>185367487.31999999</v>
          </cell>
          <cell r="BK50">
            <v>-910796.72</v>
          </cell>
          <cell r="BL50">
            <v>57000282.879999958</v>
          </cell>
          <cell r="BM50">
            <v>185241511.99000013</v>
          </cell>
          <cell r="BN50">
            <v>-306.96999999985565</v>
          </cell>
          <cell r="BO50">
            <v>66345977.730000079</v>
          </cell>
          <cell r="BP50">
            <v>189733345.82000008</v>
          </cell>
          <cell r="BQ50">
            <v>-940166.24</v>
          </cell>
          <cell r="BR50">
            <v>-603719.89</v>
          </cell>
          <cell r="BS50">
            <v>62031184.730000064</v>
          </cell>
          <cell r="BT50">
            <v>187563771.34000003</v>
          </cell>
          <cell r="BU50">
            <v>-950418.24</v>
          </cell>
          <cell r="BW50">
            <v>46228660.050000004</v>
          </cell>
          <cell r="BX50">
            <v>136496818.99000001</v>
          </cell>
          <cell r="BY50">
            <v>-685347.51</v>
          </cell>
          <cell r="BZ50">
            <v>42651744.920000009</v>
          </cell>
          <cell r="CA50">
            <v>119231777.09000009</v>
          </cell>
          <cell r="CB50">
            <v>4482932.76</v>
          </cell>
          <cell r="CC50">
            <v>36705286.915724836</v>
          </cell>
          <cell r="CD50">
            <v>141617665.57461149</v>
          </cell>
          <cell r="CE50">
            <v>98704.450000000274</v>
          </cell>
          <cell r="CF50">
            <v>-584608.51</v>
          </cell>
          <cell r="CG50">
            <v>32258374.650000002</v>
          </cell>
          <cell r="CH50">
            <v>95968267.38000001</v>
          </cell>
          <cell r="CI50">
            <v>752575.06</v>
          </cell>
          <cell r="CK50">
            <v>46859298.510000005</v>
          </cell>
          <cell r="CL50">
            <v>135582070.99000001</v>
          </cell>
          <cell r="CM50">
            <v>-682347.55</v>
          </cell>
          <cell r="CN50">
            <v>41901694.360000014</v>
          </cell>
          <cell r="CO50">
            <v>136211434.44999993</v>
          </cell>
          <cell r="CP50">
            <v>593277.72</v>
          </cell>
          <cell r="CQ50">
            <v>49845373.800000004</v>
          </cell>
          <cell r="CR50">
            <v>135363906.45000005</v>
          </cell>
          <cell r="CS50">
            <v>-1464226.03</v>
          </cell>
          <cell r="CT50">
            <v>-410278.72</v>
          </cell>
          <cell r="CU50">
            <v>46479784.79999999</v>
          </cell>
          <cell r="CV50">
            <v>133461555.43000001</v>
          </cell>
          <cell r="CW50">
            <v>-1464600.03</v>
          </cell>
          <cell r="CY50">
            <v>46228660.050000004</v>
          </cell>
          <cell r="CZ50">
            <v>136496818.99000001</v>
          </cell>
          <cell r="DA50">
            <v>-685347.51</v>
          </cell>
          <cell r="DC50">
            <v>46479784.79999999</v>
          </cell>
          <cell r="DD50">
            <v>133461555.43000001</v>
          </cell>
          <cell r="DE50">
            <v>-1464600.03</v>
          </cell>
          <cell r="DG50">
            <v>32258374.650000002</v>
          </cell>
          <cell r="DH50">
            <v>95968267.38000001</v>
          </cell>
          <cell r="DI50">
            <v>752575.06</v>
          </cell>
          <cell r="DJ50">
            <v>42651744.920000009</v>
          </cell>
          <cell r="DK50">
            <v>119231777.09000009</v>
          </cell>
          <cell r="DL50">
            <v>4482932.76</v>
          </cell>
          <cell r="DN50">
            <v>32067646.370125685</v>
          </cell>
          <cell r="DO50">
            <v>151224725.05190173</v>
          </cell>
          <cell r="DP50">
            <v>-566222.51</v>
          </cell>
          <cell r="DQ50">
            <v>44401901.26000002</v>
          </cell>
          <cell r="DR50">
            <v>137561630.65000004</v>
          </cell>
          <cell r="DS50">
            <v>680581.93999999948</v>
          </cell>
          <cell r="DT50">
            <v>47002342.910000011</v>
          </cell>
          <cell r="DU50">
            <v>154253066.99000001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310505.59999999998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310505.59999999998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-80338.240000000005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-16958.509999999998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-80338.240000000005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-66407.679999999993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-37176.239999999998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8087223.6099999985</v>
          </cell>
          <cell r="R54">
            <v>25532446.150000002</v>
          </cell>
          <cell r="S54">
            <v>23561986</v>
          </cell>
          <cell r="T54">
            <v>23806080.359999999</v>
          </cell>
          <cell r="U54">
            <v>23272458.040000007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8087223.6099999985</v>
          </cell>
          <cell r="AU54">
            <v>25532446.150000002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25532446.150000002</v>
          </cell>
          <cell r="BD54" t="str">
            <v>0</v>
          </cell>
          <cell r="BE54" t="str">
            <v>0</v>
          </cell>
          <cell r="BF54">
            <v>23806080.359999999</v>
          </cell>
          <cell r="BG54">
            <v>23189658.040000007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9359041.9800000004</v>
          </cell>
          <cell r="BO54" t="str">
            <v>0</v>
          </cell>
          <cell r="BP54" t="str">
            <v>0</v>
          </cell>
          <cell r="BQ54">
            <v>8460118.3599999994</v>
          </cell>
          <cell r="BR54">
            <v>7900763.040000001</v>
          </cell>
          <cell r="BS54" t="str">
            <v>0</v>
          </cell>
          <cell r="BT54" t="str">
            <v>0</v>
          </cell>
          <cell r="BU54">
            <v>7956449.8899999987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6464317.4500000002</v>
          </cell>
          <cell r="CC54" t="str">
            <v>0</v>
          </cell>
          <cell r="CD54" t="str">
            <v>0</v>
          </cell>
          <cell r="CE54">
            <v>6257991.0799999991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6805141.3400000017</v>
          </cell>
          <cell r="CQ54" t="str">
            <v>0</v>
          </cell>
          <cell r="CR54" t="str">
            <v>0</v>
          </cell>
          <cell r="CS54">
            <v>6290864.2800000012</v>
          </cell>
          <cell r="CT54">
            <v>5673119.040000001</v>
          </cell>
          <cell r="CU54" t="str">
            <v>0</v>
          </cell>
          <cell r="CV54" t="str">
            <v>0</v>
          </cell>
          <cell r="CW54">
            <v>5789324.2800000012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5789324.2800000012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6464317.4500000002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6292241.3000000026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3592435.5871600001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3592435.5871600001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787557.71821600001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896348.92471199995</v>
          </cell>
          <cell r="DQ55" t="str">
            <v>0</v>
          </cell>
          <cell r="DR55" t="str">
            <v>0</v>
          </cell>
          <cell r="DS55">
            <v>487489.93999999948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78738159.449999958</v>
          </cell>
          <cell r="C57">
            <v>173137724.35000008</v>
          </cell>
          <cell r="D57">
            <v>185603415.87</v>
          </cell>
          <cell r="E57">
            <v>149702614.16597614</v>
          </cell>
          <cell r="F57">
            <v>112444043.01287773</v>
          </cell>
          <cell r="G57">
            <v>229428664.24999997</v>
          </cell>
          <cell r="H57">
            <v>513097204.34999985</v>
          </cell>
          <cell r="I57">
            <v>558602886.96000004</v>
          </cell>
          <cell r="J57">
            <v>561272483.31737089</v>
          </cell>
          <cell r="K57">
            <v>521368331.39138871</v>
          </cell>
          <cell r="L57">
            <v>342940819.72999996</v>
          </cell>
          <cell r="M57">
            <v>760635428.82000017</v>
          </cell>
          <cell r="N57">
            <v>834106936</v>
          </cell>
          <cell r="O57">
            <v>873972739.34144032</v>
          </cell>
          <cell r="P57">
            <v>783240163.8588562</v>
          </cell>
          <cell r="Q57">
            <v>8721944.7199999988</v>
          </cell>
          <cell r="R57">
            <v>36890881.040000007</v>
          </cell>
          <cell r="S57">
            <v>23504052.920000002</v>
          </cell>
          <cell r="T57">
            <v>25187377.34716</v>
          </cell>
          <cell r="U57">
            <v>24055268.590000007</v>
          </cell>
          <cell r="W57">
            <v>14393024.779999997</v>
          </cell>
          <cell r="X57">
            <v>16011172.499999998</v>
          </cell>
          <cell r="Y57">
            <v>16417419.879999999</v>
          </cell>
          <cell r="Z57">
            <v>13966686.589999994</v>
          </cell>
          <cell r="AA57">
            <v>54009939.859999985</v>
          </cell>
          <cell r="AB57">
            <v>49826469.329999998</v>
          </cell>
          <cell r="AC57">
            <v>53105065.210000008</v>
          </cell>
          <cell r="AD57">
            <v>51276865.540000007</v>
          </cell>
          <cell r="AE57">
            <v>76942183.449999988</v>
          </cell>
          <cell r="AF57">
            <v>75177083</v>
          </cell>
          <cell r="AG57">
            <v>81424135.219999999</v>
          </cell>
          <cell r="AH57">
            <v>75212494.439999998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78738159.449999958</v>
          </cell>
          <cell r="AO57">
            <v>173137724.35000008</v>
          </cell>
          <cell r="AP57">
            <v>185603415.87</v>
          </cell>
          <cell r="AQ57">
            <v>229428664.24999997</v>
          </cell>
          <cell r="AR57">
            <v>513097204.34999985</v>
          </cell>
          <cell r="AS57">
            <v>558602886.96000004</v>
          </cell>
          <cell r="AT57">
            <v>8721944.7199999988</v>
          </cell>
          <cell r="AU57">
            <v>36890881.040000007</v>
          </cell>
          <cell r="AV57">
            <v>23504052.920000002</v>
          </cell>
          <cell r="AX57">
            <v>185603415.87</v>
          </cell>
          <cell r="AY57">
            <v>558602886.96000004</v>
          </cell>
          <cell r="AZ57">
            <v>23504052.920000002</v>
          </cell>
          <cell r="BA57">
            <v>173137724.35000008</v>
          </cell>
          <cell r="BB57">
            <v>513097204.34999996</v>
          </cell>
          <cell r="BC57">
            <v>36890881.040000007</v>
          </cell>
          <cell r="BD57">
            <v>149702614.16597614</v>
          </cell>
          <cell r="BE57">
            <v>561272483.31737089</v>
          </cell>
          <cell r="BF57">
            <v>25187377.34716</v>
          </cell>
          <cell r="BG57">
            <v>25480683.590000007</v>
          </cell>
          <cell r="BI57">
            <v>62637451.769999996</v>
          </cell>
          <cell r="BJ57">
            <v>185367487.31999999</v>
          </cell>
          <cell r="BK57">
            <v>8062574.2800000003</v>
          </cell>
          <cell r="BL57">
            <v>57000282.879999958</v>
          </cell>
          <cell r="BM57">
            <v>185241511.99000013</v>
          </cell>
          <cell r="BN57">
            <v>10858124.830000002</v>
          </cell>
          <cell r="BO57">
            <v>66345977.730000079</v>
          </cell>
          <cell r="BP57">
            <v>189733345.82000008</v>
          </cell>
          <cell r="BQ57">
            <v>8716660.1999999974</v>
          </cell>
          <cell r="BR57">
            <v>8463273.9500000011</v>
          </cell>
          <cell r="BS57">
            <v>62031184.730000064</v>
          </cell>
          <cell r="BT57">
            <v>187563771.34000003</v>
          </cell>
          <cell r="BU57">
            <v>8129407.7299999986</v>
          </cell>
          <cell r="BW57">
            <v>46228660.050000004</v>
          </cell>
          <cell r="BX57">
            <v>136496818.99000001</v>
          </cell>
          <cell r="BY57">
            <v>6349425.4900000002</v>
          </cell>
          <cell r="BZ57">
            <v>42651744.920000009</v>
          </cell>
          <cell r="CA57">
            <v>119231777.09000009</v>
          </cell>
          <cell r="CB57">
            <v>11707605.809999999</v>
          </cell>
          <cell r="CC57">
            <v>36705286.915724836</v>
          </cell>
          <cell r="CD57">
            <v>141617665.57461149</v>
          </cell>
          <cell r="CE57">
            <v>7215962.2482159995</v>
          </cell>
          <cell r="CF57">
            <v>6408764.4900000002</v>
          </cell>
          <cell r="CG57">
            <v>32258374.650000002</v>
          </cell>
          <cell r="CH57">
            <v>95968267.38000001</v>
          </cell>
          <cell r="CI57">
            <v>3503364.05</v>
          </cell>
          <cell r="CK57">
            <v>46859298.510000005</v>
          </cell>
          <cell r="CL57">
            <v>135582070.99000001</v>
          </cell>
          <cell r="CM57">
            <v>5826209.4500000002</v>
          </cell>
          <cell r="CN57">
            <v>41901694.360000014</v>
          </cell>
          <cell r="CO57">
            <v>136211434.44999993</v>
          </cell>
          <cell r="CP57">
            <v>8429880.7800000012</v>
          </cell>
          <cell r="CQ57">
            <v>49845373.800000004</v>
          </cell>
          <cell r="CR57">
            <v>135363906.45000005</v>
          </cell>
          <cell r="CS57">
            <v>5775493.6700000009</v>
          </cell>
          <cell r="CT57">
            <v>6205701.120000002</v>
          </cell>
          <cell r="CU57">
            <v>46479784.79999999</v>
          </cell>
          <cell r="CV57">
            <v>133461555.43000001</v>
          </cell>
          <cell r="CW57">
            <v>5218580.67</v>
          </cell>
          <cell r="CY57">
            <v>46228660.050000004</v>
          </cell>
          <cell r="CZ57">
            <v>136496818.99000001</v>
          </cell>
          <cell r="DA57">
            <v>6349425.4900000002</v>
          </cell>
          <cell r="DC57">
            <v>46479784.79999999</v>
          </cell>
          <cell r="DD57">
            <v>133461555.43000001</v>
          </cell>
          <cell r="DE57">
            <v>5218580.67</v>
          </cell>
          <cell r="DG57">
            <v>32258374.650000002</v>
          </cell>
          <cell r="DH57">
            <v>95968267.38000001</v>
          </cell>
          <cell r="DI57">
            <v>3503364.05</v>
          </cell>
          <cell r="DJ57">
            <v>42651744.920000009</v>
          </cell>
          <cell r="DK57">
            <v>119231777.09000009</v>
          </cell>
          <cell r="DL57">
            <v>11707605.809999999</v>
          </cell>
          <cell r="DN57">
            <v>32067646.370125685</v>
          </cell>
          <cell r="DO57">
            <v>151224725.05190173</v>
          </cell>
          <cell r="DP57">
            <v>6210180.4147120006</v>
          </cell>
          <cell r="DQ57">
            <v>44401901.26000002</v>
          </cell>
          <cell r="DR57">
            <v>137561630.65000004</v>
          </cell>
          <cell r="DS57">
            <v>7465532.5100000016</v>
          </cell>
          <cell r="DT57">
            <v>47002342.910000011</v>
          </cell>
          <cell r="DU57">
            <v>154253066.99000001</v>
          </cell>
          <cell r="DV57">
            <v>5844830.4900000002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7392535.8899999997</v>
          </cell>
          <cell r="R58">
            <v>13128000.319999998</v>
          </cell>
          <cell r="S58">
            <v>15421985</v>
          </cell>
          <cell r="T58">
            <v>14299912.619999999</v>
          </cell>
          <cell r="U58">
            <v>13274210.949999999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7392535.8899999997</v>
          </cell>
          <cell r="AU58">
            <v>13128000.319999998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13128000.319999998</v>
          </cell>
          <cell r="BD58" t="str">
            <v>0</v>
          </cell>
          <cell r="BE58" t="str">
            <v>0</v>
          </cell>
          <cell r="BF58">
            <v>14299912.619999999</v>
          </cell>
          <cell r="BG58">
            <v>13274210.949999999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7370211.6200000001</v>
          </cell>
          <cell r="BR58">
            <v>6697049.9500000002</v>
          </cell>
          <cell r="BS58" t="str">
            <v>0</v>
          </cell>
          <cell r="BT58" t="str">
            <v>0</v>
          </cell>
          <cell r="BU58">
            <v>7370211.6200000001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6237814.3300000001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78738159.449999958</v>
          </cell>
          <cell r="C61">
            <v>173137724.35000008</v>
          </cell>
          <cell r="D61">
            <v>185603415.87</v>
          </cell>
          <cell r="E61">
            <v>149702614.16597614</v>
          </cell>
          <cell r="F61">
            <v>112444043.01287773</v>
          </cell>
          <cell r="G61">
            <v>229428664.24999997</v>
          </cell>
          <cell r="H61">
            <v>513097204.34999985</v>
          </cell>
          <cell r="I61">
            <v>558602886.96000004</v>
          </cell>
          <cell r="J61">
            <v>561272483.31737089</v>
          </cell>
          <cell r="K61">
            <v>521368331.39138871</v>
          </cell>
          <cell r="L61">
            <v>342940819.72999996</v>
          </cell>
          <cell r="M61">
            <v>760635428.82000017</v>
          </cell>
          <cell r="N61">
            <v>834106936</v>
          </cell>
          <cell r="O61">
            <v>873972739.34144032</v>
          </cell>
          <cell r="P61">
            <v>783240163.8588562</v>
          </cell>
          <cell r="Q61">
            <v>16114480.609999999</v>
          </cell>
          <cell r="R61">
            <v>50018881.360000007</v>
          </cell>
          <cell r="S61">
            <v>38926037.920000002</v>
          </cell>
          <cell r="T61">
            <v>39487289.967159994</v>
          </cell>
          <cell r="U61">
            <v>37329479.540000007</v>
          </cell>
          <cell r="W61">
            <v>14393024.779999997</v>
          </cell>
          <cell r="X61">
            <v>16011172.499999998</v>
          </cell>
          <cell r="Y61">
            <v>16417419.879999999</v>
          </cell>
          <cell r="Z61">
            <v>13966686.589999994</v>
          </cell>
          <cell r="AA61">
            <v>54009939.859999985</v>
          </cell>
          <cell r="AB61">
            <v>49826469.329999998</v>
          </cell>
          <cell r="AC61">
            <v>53105065.210000008</v>
          </cell>
          <cell r="AD61">
            <v>51276865.540000007</v>
          </cell>
          <cell r="AE61">
            <v>76942183.449999988</v>
          </cell>
          <cell r="AF61">
            <v>75177083</v>
          </cell>
          <cell r="AG61">
            <v>81424135.219999999</v>
          </cell>
          <cell r="AH61">
            <v>75212494.439999998</v>
          </cell>
          <cell r="AI61">
            <v>2543310.14</v>
          </cell>
          <cell r="AJ61">
            <v>4858765.79</v>
          </cell>
          <cell r="AK61">
            <v>5264070.9000000004</v>
          </cell>
          <cell r="AL61">
            <v>5019681.1100000003</v>
          </cell>
          <cell r="AN61">
            <v>78738159.449999958</v>
          </cell>
          <cell r="AO61">
            <v>173137724.35000008</v>
          </cell>
          <cell r="AP61">
            <v>185603415.87</v>
          </cell>
          <cell r="AQ61">
            <v>229428664.24999997</v>
          </cell>
          <cell r="AR61">
            <v>513097204.34999985</v>
          </cell>
          <cell r="AS61">
            <v>558602886.96000004</v>
          </cell>
          <cell r="AT61">
            <v>16114480.609999999</v>
          </cell>
          <cell r="AU61">
            <v>50018881.360000007</v>
          </cell>
          <cell r="AV61">
            <v>38926037.920000002</v>
          </cell>
          <cell r="AX61">
            <v>185603415.87</v>
          </cell>
          <cell r="AY61">
            <v>558602886.96000004</v>
          </cell>
          <cell r="AZ61">
            <v>38926037.920000002</v>
          </cell>
          <cell r="BA61">
            <v>173137724.35000008</v>
          </cell>
          <cell r="BB61">
            <v>513097204.34999996</v>
          </cell>
          <cell r="BC61">
            <v>50018881.360000007</v>
          </cell>
          <cell r="BD61">
            <v>149702614.16597614</v>
          </cell>
          <cell r="BE61">
            <v>561272483.31737089</v>
          </cell>
          <cell r="BF61">
            <v>39487289.967159994</v>
          </cell>
          <cell r="BG61">
            <v>38754894.540000007</v>
          </cell>
          <cell r="BI61">
            <v>62637451.769999996</v>
          </cell>
          <cell r="BJ61">
            <v>185367487.31999999</v>
          </cell>
          <cell r="BK61">
            <v>15698318.280000001</v>
          </cell>
          <cell r="BL61">
            <v>57000282.879999958</v>
          </cell>
          <cell r="BM61">
            <v>185241511.99000013</v>
          </cell>
          <cell r="BN61">
            <v>16482484.830000002</v>
          </cell>
          <cell r="BO61">
            <v>66345977.730000079</v>
          </cell>
          <cell r="BP61">
            <v>189733345.82000008</v>
          </cell>
          <cell r="BQ61">
            <v>16086871.819999997</v>
          </cell>
          <cell r="BR61">
            <v>15160323.9</v>
          </cell>
          <cell r="BS61">
            <v>62031184.730000064</v>
          </cell>
          <cell r="BT61">
            <v>187563771.34000003</v>
          </cell>
          <cell r="BU61">
            <v>15499619.349999998</v>
          </cell>
          <cell r="BW61">
            <v>46228660.050000004</v>
          </cell>
          <cell r="BX61">
            <v>136496818.99000001</v>
          </cell>
          <cell r="BY61">
            <v>11573483.49</v>
          </cell>
          <cell r="BZ61">
            <v>42651744.920000009</v>
          </cell>
          <cell r="CA61">
            <v>119231777.09000009</v>
          </cell>
          <cell r="CB61">
            <v>13438246.259999998</v>
          </cell>
          <cell r="CC61">
            <v>36705286.915724836</v>
          </cell>
          <cell r="CD61">
            <v>141617665.57461149</v>
          </cell>
          <cell r="CE61">
            <v>11272375.918215999</v>
          </cell>
          <cell r="CF61">
            <v>10423742.49</v>
          </cell>
          <cell r="CG61">
            <v>32258374.650000002</v>
          </cell>
          <cell r="CH61">
            <v>95968267.38000001</v>
          </cell>
          <cell r="CI61">
            <v>5585269.9900000002</v>
          </cell>
          <cell r="CK61">
            <v>46859298.510000005</v>
          </cell>
          <cell r="CL61">
            <v>135582070.99000001</v>
          </cell>
          <cell r="CM61">
            <v>11091267.449999999</v>
          </cell>
          <cell r="CN61">
            <v>41901694.360000014</v>
          </cell>
          <cell r="CO61">
            <v>136211434.44999993</v>
          </cell>
          <cell r="CP61">
            <v>12066240.780000001</v>
          </cell>
          <cell r="CQ61">
            <v>49845373.800000004</v>
          </cell>
          <cell r="CR61">
            <v>135363906.45000005</v>
          </cell>
          <cell r="CS61">
            <v>11086123.620000001</v>
          </cell>
          <cell r="CT61">
            <v>10532065.07</v>
          </cell>
          <cell r="CU61">
            <v>46479784.79999999</v>
          </cell>
          <cell r="CV61">
            <v>133461555.43000001</v>
          </cell>
          <cell r="CW61">
            <v>10529210.619999999</v>
          </cell>
          <cell r="CY61">
            <v>46228660.050000004</v>
          </cell>
          <cell r="CZ61">
            <v>136496818.99000001</v>
          </cell>
          <cell r="DA61">
            <v>11573483.49</v>
          </cell>
          <cell r="DC61">
            <v>46479784.79999999</v>
          </cell>
          <cell r="DD61">
            <v>133461555.43000001</v>
          </cell>
          <cell r="DE61">
            <v>10529210.619999999</v>
          </cell>
          <cell r="DG61">
            <v>32258374.650000002</v>
          </cell>
          <cell r="DH61">
            <v>95968267.38000001</v>
          </cell>
          <cell r="DI61">
            <v>5585269.9900000002</v>
          </cell>
          <cell r="DJ61">
            <v>42651744.920000009</v>
          </cell>
          <cell r="DK61">
            <v>119231777.09000009</v>
          </cell>
          <cell r="DL61">
            <v>13438246.259999998</v>
          </cell>
          <cell r="DN61">
            <v>32067646.370125685</v>
          </cell>
          <cell r="DO61">
            <v>151224725.05190173</v>
          </cell>
          <cell r="DP61">
            <v>8676618.4147120006</v>
          </cell>
          <cell r="DQ61">
            <v>44401901.26000002</v>
          </cell>
          <cell r="DR61">
            <v>137561630.65000004</v>
          </cell>
          <cell r="DS61">
            <v>13703346.84</v>
          </cell>
          <cell r="DT61">
            <v>47002342.910000011</v>
          </cell>
          <cell r="DU61">
            <v>154253066.99000001</v>
          </cell>
          <cell r="DV61">
            <v>8311268.4900000002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9007326.4000000004</v>
          </cell>
          <cell r="C62">
            <v>17407028.330000002</v>
          </cell>
          <cell r="D62">
            <v>22400615.359999999</v>
          </cell>
          <cell r="E62">
            <v>11792546.27</v>
          </cell>
          <cell r="F62">
            <v>9962463.2200000007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9007326.4000000004</v>
          </cell>
          <cell r="AO62">
            <v>17407028.330000002</v>
          </cell>
          <cell r="AP62">
            <v>22400615.359999999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22400615.359999999</v>
          </cell>
          <cell r="AY62" t="str">
            <v>0</v>
          </cell>
          <cell r="AZ62">
            <v>0</v>
          </cell>
          <cell r="BA62">
            <v>17407028.330000002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7490790.1199999992</v>
          </cell>
          <cell r="BJ62" t="str">
            <v>0</v>
          </cell>
          <cell r="BK62">
            <v>0</v>
          </cell>
          <cell r="BL62">
            <v>5460974.9299999988</v>
          </cell>
          <cell r="BM62" t="str">
            <v>0</v>
          </cell>
          <cell r="BN62">
            <v>285</v>
          </cell>
          <cell r="BO62">
            <v>7366462.0300000003</v>
          </cell>
          <cell r="BP62" t="str">
            <v>0</v>
          </cell>
          <cell r="BQ62">
            <v>0</v>
          </cell>
          <cell r="BR62">
            <v>0</v>
          </cell>
          <cell r="BS62">
            <v>7366462.0300000003</v>
          </cell>
          <cell r="BT62" t="str">
            <v>0</v>
          </cell>
          <cell r="BU62">
            <v>0</v>
          </cell>
          <cell r="BW62">
            <v>5575893.8399999999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5626469.8399999999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5455436.5900000008</v>
          </cell>
          <cell r="CR62" t="str">
            <v>0</v>
          </cell>
          <cell r="CS62">
            <v>0</v>
          </cell>
          <cell r="CT62">
            <v>0</v>
          </cell>
          <cell r="CU62">
            <v>5455436.5900000008</v>
          </cell>
          <cell r="CV62" t="str">
            <v>0</v>
          </cell>
          <cell r="CW62">
            <v>0</v>
          </cell>
          <cell r="CY62">
            <v>5575893.8399999999</v>
          </cell>
          <cell r="CZ62" t="str">
            <v>0</v>
          </cell>
          <cell r="DA62">
            <v>0</v>
          </cell>
          <cell r="DC62">
            <v>5455436.5900000008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5632331.8399999999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78738159.449999958</v>
          </cell>
          <cell r="C63">
            <v>173137724.35000008</v>
          </cell>
          <cell r="D63">
            <v>185603415.87</v>
          </cell>
          <cell r="E63">
            <v>149702614.16597614</v>
          </cell>
          <cell r="F63">
            <v>112444043.01287773</v>
          </cell>
          <cell r="G63">
            <v>229428664.24999997</v>
          </cell>
          <cell r="H63">
            <v>513097204.34999985</v>
          </cell>
          <cell r="I63">
            <v>558602886.96000004</v>
          </cell>
          <cell r="J63">
            <v>561272483.31737089</v>
          </cell>
          <cell r="K63">
            <v>521368331.39138871</v>
          </cell>
          <cell r="L63">
            <v>342940819.72999996</v>
          </cell>
          <cell r="M63">
            <v>760635428.82000017</v>
          </cell>
          <cell r="N63">
            <v>834106936</v>
          </cell>
          <cell r="O63">
            <v>873972739.34144032</v>
          </cell>
          <cell r="P63">
            <v>783240163.8588562</v>
          </cell>
          <cell r="Q63">
            <v>-712024.97</v>
          </cell>
          <cell r="R63">
            <v>8279586.3800000055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14393024.779999997</v>
          </cell>
          <cell r="X63">
            <v>16011172.499999998</v>
          </cell>
          <cell r="Y63">
            <v>16417419.879999999</v>
          </cell>
          <cell r="Z63">
            <v>13966686.589999994</v>
          </cell>
          <cell r="AA63">
            <v>54009939.859999985</v>
          </cell>
          <cell r="AB63">
            <v>49826469.329999998</v>
          </cell>
          <cell r="AC63">
            <v>53105065.210000008</v>
          </cell>
          <cell r="AD63">
            <v>51276865.540000007</v>
          </cell>
          <cell r="AE63">
            <v>76942183.449999988</v>
          </cell>
          <cell r="AF63">
            <v>75177083</v>
          </cell>
          <cell r="AG63">
            <v>81424135.219999999</v>
          </cell>
          <cell r="AH63">
            <v>75212494.439999998</v>
          </cell>
          <cell r="AI63">
            <v>-300633.03000000003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78738159.449999958</v>
          </cell>
          <cell r="AO63">
            <v>173137724.35000008</v>
          </cell>
          <cell r="AP63">
            <v>185603415.87</v>
          </cell>
          <cell r="AQ63">
            <v>229428664.24999997</v>
          </cell>
          <cell r="AR63">
            <v>513097204.34999985</v>
          </cell>
          <cell r="AS63">
            <v>558602886.96000004</v>
          </cell>
          <cell r="AT63">
            <v>-712024.97</v>
          </cell>
          <cell r="AU63">
            <v>8279586.3800000055</v>
          </cell>
          <cell r="AV63">
            <v>-2738373.08</v>
          </cell>
          <cell r="AX63">
            <v>185603415.87</v>
          </cell>
          <cell r="AY63">
            <v>558602886.96000004</v>
          </cell>
          <cell r="AZ63">
            <v>-2738373.08</v>
          </cell>
          <cell r="BA63">
            <v>173137724.35000008</v>
          </cell>
          <cell r="BB63">
            <v>513097204.34999996</v>
          </cell>
          <cell r="BC63">
            <v>8279586.3800000055</v>
          </cell>
          <cell r="BD63">
            <v>149702614.16597614</v>
          </cell>
          <cell r="BE63">
            <v>561272483.31737089</v>
          </cell>
          <cell r="BF63">
            <v>-2497974.6</v>
          </cell>
          <cell r="BG63">
            <v>-662165.24999999942</v>
          </cell>
          <cell r="BI63">
            <v>62637451.769999996</v>
          </cell>
          <cell r="BJ63">
            <v>185367487.31999999</v>
          </cell>
          <cell r="BK63">
            <v>-910796.72</v>
          </cell>
          <cell r="BL63">
            <v>57000282.879999958</v>
          </cell>
          <cell r="BM63">
            <v>185241511.99000013</v>
          </cell>
          <cell r="BN63">
            <v>-306.96999999985565</v>
          </cell>
          <cell r="BO63">
            <v>66345977.730000079</v>
          </cell>
          <cell r="BP63">
            <v>189733345.82000008</v>
          </cell>
          <cell r="BQ63">
            <v>-940166.24</v>
          </cell>
          <cell r="BR63">
            <v>-603719.89</v>
          </cell>
          <cell r="BS63">
            <v>62031184.730000064</v>
          </cell>
          <cell r="BT63">
            <v>187563771.34000003</v>
          </cell>
          <cell r="BU63">
            <v>-950418.24</v>
          </cell>
          <cell r="BW63">
            <v>46228660.050000004</v>
          </cell>
          <cell r="BX63">
            <v>136496818.99000001</v>
          </cell>
          <cell r="BY63">
            <v>-685347.51</v>
          </cell>
          <cell r="BZ63">
            <v>42651744.920000009</v>
          </cell>
          <cell r="CA63">
            <v>119231777.09000009</v>
          </cell>
          <cell r="CB63">
            <v>4482932.76</v>
          </cell>
          <cell r="CC63">
            <v>36705286.915724836</v>
          </cell>
          <cell r="CD63">
            <v>141617665.57461149</v>
          </cell>
          <cell r="CE63">
            <v>98704.450000000274</v>
          </cell>
          <cell r="CF63">
            <v>-584608.51</v>
          </cell>
          <cell r="CG63">
            <v>32258374.650000002</v>
          </cell>
          <cell r="CH63">
            <v>95968267.38000001</v>
          </cell>
          <cell r="CI63">
            <v>752575.06</v>
          </cell>
          <cell r="CK63">
            <v>46859298.510000005</v>
          </cell>
          <cell r="CL63">
            <v>135582070.99000001</v>
          </cell>
          <cell r="CM63">
            <v>-682347.55</v>
          </cell>
          <cell r="CN63">
            <v>41901694.360000014</v>
          </cell>
          <cell r="CO63">
            <v>136211434.44999993</v>
          </cell>
          <cell r="CP63">
            <v>593277.72</v>
          </cell>
          <cell r="CQ63">
            <v>49845373.800000004</v>
          </cell>
          <cell r="CR63">
            <v>135363906.45000005</v>
          </cell>
          <cell r="CS63">
            <v>-1464226.03</v>
          </cell>
          <cell r="CT63">
            <v>-410278.72</v>
          </cell>
          <cell r="CU63">
            <v>46479784.79999999</v>
          </cell>
          <cell r="CV63">
            <v>133461555.43000001</v>
          </cell>
          <cell r="CW63">
            <v>-1464600.03</v>
          </cell>
          <cell r="CY63">
            <v>46228660.050000004</v>
          </cell>
          <cell r="CZ63">
            <v>136496818.99000001</v>
          </cell>
          <cell r="DA63">
            <v>-685347.51</v>
          </cell>
          <cell r="DC63">
            <v>46479784.79999999</v>
          </cell>
          <cell r="DD63">
            <v>133461555.43000001</v>
          </cell>
          <cell r="DE63">
            <v>-1464600.03</v>
          </cell>
          <cell r="DG63">
            <v>32258374.650000002</v>
          </cell>
          <cell r="DH63">
            <v>95968267.38000001</v>
          </cell>
          <cell r="DI63">
            <v>752575.06</v>
          </cell>
          <cell r="DJ63">
            <v>42651744.920000009</v>
          </cell>
          <cell r="DK63">
            <v>119231777.09000009</v>
          </cell>
          <cell r="DL63">
            <v>4482932.76</v>
          </cell>
          <cell r="DN63">
            <v>32067646.370125685</v>
          </cell>
          <cell r="DO63">
            <v>151224725.05190173</v>
          </cell>
          <cell r="DP63">
            <v>-566222.51</v>
          </cell>
          <cell r="DQ63">
            <v>44401901.26000002</v>
          </cell>
          <cell r="DR63">
            <v>137561630.65000004</v>
          </cell>
          <cell r="DS63">
            <v>680581.93999999948</v>
          </cell>
          <cell r="DT63">
            <v>47002342.910000011</v>
          </cell>
          <cell r="DU63">
            <v>154253066.99000001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87745485.84999992</v>
          </cell>
          <cell r="C64">
            <v>190544752.68000007</v>
          </cell>
          <cell r="D64">
            <v>208004031.23000005</v>
          </cell>
          <cell r="E64">
            <v>161495160.43597612</v>
          </cell>
          <cell r="F64">
            <v>122406506.2328777</v>
          </cell>
          <cell r="G64">
            <v>229428664.24999997</v>
          </cell>
          <cell r="H64">
            <v>513097204.34999985</v>
          </cell>
          <cell r="I64">
            <v>558602886.96000004</v>
          </cell>
          <cell r="J64">
            <v>561272483.31737089</v>
          </cell>
          <cell r="K64">
            <v>521368331.39138871</v>
          </cell>
          <cell r="L64">
            <v>342940819.72999996</v>
          </cell>
          <cell r="M64">
            <v>760635428.82000017</v>
          </cell>
          <cell r="N64">
            <v>834106936</v>
          </cell>
          <cell r="O64">
            <v>873972739.34144032</v>
          </cell>
          <cell r="P64">
            <v>783240163.8588562</v>
          </cell>
          <cell r="Q64">
            <v>-792363.21</v>
          </cell>
          <cell r="R64">
            <v>8086093.8900000062</v>
          </cell>
          <cell r="S64">
            <v>-2738373.08</v>
          </cell>
          <cell r="T64">
            <v>-2675343.81</v>
          </cell>
          <cell r="U64">
            <v>-2220637.0299999998</v>
          </cell>
          <cell r="W64">
            <v>15808480.139999997</v>
          </cell>
          <cell r="X64">
            <v>17884543.779999997</v>
          </cell>
          <cell r="Y64">
            <v>18149366.900000002</v>
          </cell>
          <cell r="Z64">
            <v>15640910.829999993</v>
          </cell>
          <cell r="AA64">
            <v>54009939.859999985</v>
          </cell>
          <cell r="AB64">
            <v>49826469.329999998</v>
          </cell>
          <cell r="AC64">
            <v>53105065.210000008</v>
          </cell>
          <cell r="AD64">
            <v>51276865.540000007</v>
          </cell>
          <cell r="AE64">
            <v>76942183.449999988</v>
          </cell>
          <cell r="AF64">
            <v>75177083</v>
          </cell>
          <cell r="AG64">
            <v>81424135.219999999</v>
          </cell>
          <cell r="AH64">
            <v>75212494.439999998</v>
          </cell>
          <cell r="AI64">
            <v>-290009.53999999998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87745485.84999992</v>
          </cell>
          <cell r="AO64">
            <v>190544752.68000007</v>
          </cell>
          <cell r="AP64">
            <v>208004031.23000005</v>
          </cell>
          <cell r="AQ64">
            <v>229428664.24999997</v>
          </cell>
          <cell r="AR64">
            <v>513097204.34999985</v>
          </cell>
          <cell r="AS64">
            <v>558602886.96000004</v>
          </cell>
          <cell r="AT64">
            <v>-792363.21</v>
          </cell>
          <cell r="AU64">
            <v>8086093.8900000062</v>
          </cell>
          <cell r="AV64">
            <v>-2738373.08</v>
          </cell>
          <cell r="AX64">
            <v>208004031.23000005</v>
          </cell>
          <cell r="AY64">
            <v>558602886.96000004</v>
          </cell>
          <cell r="AZ64">
            <v>-2738373.08</v>
          </cell>
          <cell r="BA64">
            <v>190544752.68000007</v>
          </cell>
          <cell r="BB64">
            <v>513097204.34999996</v>
          </cell>
          <cell r="BC64">
            <v>8086093.8900000062</v>
          </cell>
          <cell r="BD64">
            <v>161495160.43597612</v>
          </cell>
          <cell r="BE64">
            <v>561272483.31737089</v>
          </cell>
          <cell r="BF64">
            <v>-2675343.81</v>
          </cell>
          <cell r="BG64">
            <v>-848622.02999999945</v>
          </cell>
          <cell r="BI64">
            <v>70128241.890000001</v>
          </cell>
          <cell r="BJ64">
            <v>185367487.31999999</v>
          </cell>
          <cell r="BK64">
            <v>-910796.72</v>
          </cell>
          <cell r="BL64">
            <v>62461257.80999995</v>
          </cell>
          <cell r="BM64">
            <v>185241511.99000013</v>
          </cell>
          <cell r="BN64">
            <v>30494.230000000145</v>
          </cell>
          <cell r="BO64">
            <v>73712439.760000035</v>
          </cell>
          <cell r="BP64">
            <v>189733345.82000008</v>
          </cell>
          <cell r="BQ64">
            <v>-1005535.45</v>
          </cell>
          <cell r="BR64">
            <v>-653976.67000000004</v>
          </cell>
          <cell r="BS64">
            <v>69397646.760000035</v>
          </cell>
          <cell r="BT64">
            <v>187563771.34000003</v>
          </cell>
          <cell r="BU64">
            <v>-1016825.92</v>
          </cell>
          <cell r="BW64">
            <v>51804553.890000015</v>
          </cell>
          <cell r="BX64">
            <v>136496818.99000001</v>
          </cell>
          <cell r="BY64">
            <v>-685347.51</v>
          </cell>
          <cell r="BZ64">
            <v>46825298.790000036</v>
          </cell>
          <cell r="CA64">
            <v>119231777.09000009</v>
          </cell>
          <cell r="CB64">
            <v>4436128.8499999996</v>
          </cell>
          <cell r="CC64">
            <v>39722836.915724836</v>
          </cell>
          <cell r="CD64">
            <v>141617665.57461149</v>
          </cell>
          <cell r="CE64">
            <v>55592.020000000281</v>
          </cell>
          <cell r="CF64">
            <v>-584608.51</v>
          </cell>
          <cell r="CG64">
            <v>35810264.459999979</v>
          </cell>
          <cell r="CH64">
            <v>95968267.38000001</v>
          </cell>
          <cell r="CI64">
            <v>722493.6</v>
          </cell>
          <cell r="CK64">
            <v>52485768.350000016</v>
          </cell>
          <cell r="CL64">
            <v>135582070.99000001</v>
          </cell>
          <cell r="CM64">
            <v>-682347.55</v>
          </cell>
          <cell r="CN64">
            <v>46072249.539999984</v>
          </cell>
          <cell r="CO64">
            <v>136211434.44999993</v>
          </cell>
          <cell r="CP64">
            <v>556101.48</v>
          </cell>
          <cell r="CQ64">
            <v>55300810.390000001</v>
          </cell>
          <cell r="CR64">
            <v>135363906.45000005</v>
          </cell>
          <cell r="CS64">
            <v>-1514482.81</v>
          </cell>
          <cell r="CT64">
            <v>-460535.5</v>
          </cell>
          <cell r="CU64">
            <v>51935221.389999993</v>
          </cell>
          <cell r="CV64">
            <v>133461555.43000001</v>
          </cell>
          <cell r="CW64">
            <v>-1514856.81</v>
          </cell>
          <cell r="CY64">
            <v>51804553.890000015</v>
          </cell>
          <cell r="CZ64">
            <v>136496818.99000001</v>
          </cell>
          <cell r="DA64">
            <v>-685347.51</v>
          </cell>
          <cell r="DC64">
            <v>51935221.389999993</v>
          </cell>
          <cell r="DD64">
            <v>133461555.43000001</v>
          </cell>
          <cell r="DE64">
            <v>-1514856.81</v>
          </cell>
          <cell r="DG64">
            <v>35810264.459999979</v>
          </cell>
          <cell r="DH64">
            <v>95968267.38000001</v>
          </cell>
          <cell r="DI64">
            <v>722493.6</v>
          </cell>
          <cell r="DJ64">
            <v>46825298.790000036</v>
          </cell>
          <cell r="DK64">
            <v>119231777.09000009</v>
          </cell>
          <cell r="DL64">
            <v>4436128.8499999996</v>
          </cell>
          <cell r="DN64">
            <v>33727433.210125685</v>
          </cell>
          <cell r="DO64">
            <v>151224725.05190173</v>
          </cell>
          <cell r="DP64">
            <v>-608222.51</v>
          </cell>
          <cell r="DQ64">
            <v>48756140.69000005</v>
          </cell>
          <cell r="DR64">
            <v>137561630.65000004</v>
          </cell>
          <cell r="DS64">
            <v>613929.36</v>
          </cell>
          <cell r="DT64">
            <v>52634674.750000022</v>
          </cell>
          <cell r="DU64">
            <v>154253066.99000001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13046260.990000002</v>
          </cell>
          <cell r="C65">
            <v>28192829.619999997</v>
          </cell>
          <cell r="D65">
            <v>32092098</v>
          </cell>
          <cell r="E65">
            <v>9957781.6000000034</v>
          </cell>
          <cell r="F65">
            <v>7130652.0000000009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2389582.2400000002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154079.04000000001</v>
          </cell>
          <cell r="AD65">
            <v>154079.04000000001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13046260.990000002</v>
          </cell>
          <cell r="AO65">
            <v>28192829.619999997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28192829.620000001</v>
          </cell>
          <cell r="BB65">
            <v>463819.73</v>
          </cell>
          <cell r="BC65" t="str">
            <v>0</v>
          </cell>
          <cell r="BD65">
            <v>9957781.6000000034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9592773.1399999987</v>
          </cell>
          <cell r="BM65">
            <v>309218.7</v>
          </cell>
          <cell r="BN65" t="str">
            <v>0</v>
          </cell>
          <cell r="BO65">
            <v>9957781.6000000034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9957781.6000000034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7246111.6100000003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5610345.9800000004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7133333.4000000004</v>
          </cell>
          <cell r="CO65">
            <v>234352.29</v>
          </cell>
          <cell r="CP65" t="str">
            <v>0</v>
          </cell>
          <cell r="CQ65">
            <v>7435915.0100000007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7435915.0100000007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7435915.0100000007</v>
          </cell>
          <cell r="DD65">
            <v>65698.81</v>
          </cell>
          <cell r="DE65" t="str">
            <v>0</v>
          </cell>
          <cell r="DG65">
            <v>5610345.9800000004</v>
          </cell>
          <cell r="DH65">
            <v>60231.49</v>
          </cell>
          <cell r="DI65" t="str">
            <v>0</v>
          </cell>
          <cell r="DJ65">
            <v>7246111.6100000003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7151386.870000002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15573795.629999999</v>
          </cell>
          <cell r="C66">
            <v>34736742.329999998</v>
          </cell>
          <cell r="D66">
            <v>38735254</v>
          </cell>
          <cell r="E66">
            <v>12080297.389999999</v>
          </cell>
          <cell r="F66">
            <v>8640339.7699999996</v>
          </cell>
          <cell r="G66">
            <v>23534127.340000015</v>
          </cell>
          <cell r="H66">
            <v>56493674.659999982</v>
          </cell>
          <cell r="I66">
            <v>53762001</v>
          </cell>
          <cell r="J66">
            <v>19555806.850000005</v>
          </cell>
          <cell r="K66">
            <v>14268722.469999999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5754618.9800000004</v>
          </cell>
          <cell r="AB66">
            <v>4784579</v>
          </cell>
          <cell r="AC66">
            <v>5511220.1500000013</v>
          </cell>
          <cell r="AD66">
            <v>5511220.1500000013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15573795.629999999</v>
          </cell>
          <cell r="AO66">
            <v>34736742.329999998</v>
          </cell>
          <cell r="AP66">
            <v>38735254</v>
          </cell>
          <cell r="AQ66">
            <v>23534127.340000015</v>
          </cell>
          <cell r="AR66">
            <v>56493674.659999982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34736742.330000006</v>
          </cell>
          <cell r="BB66">
            <v>56493674.659999982</v>
          </cell>
          <cell r="BC66" t="str">
            <v>0</v>
          </cell>
          <cell r="BD66">
            <v>12080297.389999999</v>
          </cell>
          <cell r="BE66">
            <v>19555806.850000005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11869829.629999999</v>
          </cell>
          <cell r="BM66">
            <v>19855599.5</v>
          </cell>
          <cell r="BN66" t="str">
            <v>0</v>
          </cell>
          <cell r="BO66">
            <v>12080297.389999999</v>
          </cell>
          <cell r="BP66">
            <v>19483138.850000005</v>
          </cell>
          <cell r="BQ66" t="str">
            <v>0</v>
          </cell>
          <cell r="BR66" t="str">
            <v>0</v>
          </cell>
          <cell r="BS66">
            <v>12080297.389999999</v>
          </cell>
          <cell r="BT66">
            <v>19483138.850000005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8757170.2100000009</v>
          </cell>
          <cell r="CA66">
            <v>14536943.239999998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6628192.8499999996</v>
          </cell>
          <cell r="CH66">
            <v>9347155.8699999992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8773921.0999999996</v>
          </cell>
          <cell r="CO66">
            <v>14606785.969999999</v>
          </cell>
          <cell r="CP66" t="str">
            <v>0</v>
          </cell>
          <cell r="CQ66">
            <v>8945602.7799999993</v>
          </cell>
          <cell r="CR66">
            <v>14186971.469999999</v>
          </cell>
          <cell r="CS66" t="str">
            <v>0</v>
          </cell>
          <cell r="CT66" t="str">
            <v>0</v>
          </cell>
          <cell r="CU66">
            <v>8945602.7799999993</v>
          </cell>
          <cell r="CV66">
            <v>14186971.469999999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8945602.7799999993</v>
          </cell>
          <cell r="DD66">
            <v>14186971.469999999</v>
          </cell>
          <cell r="DE66" t="str">
            <v>0</v>
          </cell>
          <cell r="DG66">
            <v>6628192.8499999996</v>
          </cell>
          <cell r="DH66">
            <v>9347155.8699999992</v>
          </cell>
          <cell r="DI66" t="str">
            <v>0</v>
          </cell>
          <cell r="DJ66">
            <v>8757170.2100000009</v>
          </cell>
          <cell r="DK66">
            <v>14536943.239999998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8901724.1199999992</v>
          </cell>
          <cell r="DR66">
            <v>14417985.719999999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15573795.629999999</v>
          </cell>
          <cell r="C67">
            <v>34736742.329999998</v>
          </cell>
          <cell r="D67">
            <v>38735254</v>
          </cell>
          <cell r="E67">
            <v>12080297.389999999</v>
          </cell>
          <cell r="F67">
            <v>8640339.7699999996</v>
          </cell>
          <cell r="G67">
            <v>139237431.83999985</v>
          </cell>
          <cell r="H67">
            <v>301779437.15999997</v>
          </cell>
          <cell r="I67">
            <v>345215379</v>
          </cell>
          <cell r="J67">
            <v>80051351.479999945</v>
          </cell>
          <cell r="K67">
            <v>39447986.81000001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31301463.420000002</v>
          </cell>
          <cell r="AB67">
            <v>30413928</v>
          </cell>
          <cell r="AC67">
            <v>32777519.610000003</v>
          </cell>
          <cell r="AD67">
            <v>31369263.350000005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15573795.629999999</v>
          </cell>
          <cell r="AO67">
            <v>34736742.329999998</v>
          </cell>
          <cell r="AP67">
            <v>38735254</v>
          </cell>
          <cell r="AQ67">
            <v>139237431.83999985</v>
          </cell>
          <cell r="AR67">
            <v>301779437.15999997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34736742.330000006</v>
          </cell>
          <cell r="BB67">
            <v>301779437.15999997</v>
          </cell>
          <cell r="BC67" t="str">
            <v>0</v>
          </cell>
          <cell r="BD67">
            <v>12080297.389999999</v>
          </cell>
          <cell r="BE67">
            <v>80051351.479999945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11869829.629999999</v>
          </cell>
          <cell r="BM67">
            <v>107442060.08000003</v>
          </cell>
          <cell r="BN67" t="str">
            <v>0</v>
          </cell>
          <cell r="BO67">
            <v>12080297.389999999</v>
          </cell>
          <cell r="BP67">
            <v>113161009.47999997</v>
          </cell>
          <cell r="BQ67" t="str">
            <v>0</v>
          </cell>
          <cell r="BR67" t="str">
            <v>0</v>
          </cell>
          <cell r="BS67">
            <v>12080297.389999999</v>
          </cell>
          <cell r="BT67">
            <v>113161009.47999997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8757170.2100000009</v>
          </cell>
          <cell r="CA67">
            <v>68678316.890000105</v>
          </cell>
          <cell r="CB67" t="str">
            <v>0</v>
          </cell>
          <cell r="CC67">
            <v>3134694.61</v>
          </cell>
          <cell r="CD67">
            <v>24236492.710000005</v>
          </cell>
          <cell r="CE67" t="str">
            <v>0</v>
          </cell>
          <cell r="CF67" t="str">
            <v>0</v>
          </cell>
          <cell r="CG67">
            <v>6628192.8499999996</v>
          </cell>
          <cell r="CH67">
            <v>58393765.070000023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8773921.0999999996</v>
          </cell>
          <cell r="CO67">
            <v>79178901.119999975</v>
          </cell>
          <cell r="CP67" t="str">
            <v>0</v>
          </cell>
          <cell r="CQ67">
            <v>8945602.7799999993</v>
          </cell>
          <cell r="CR67">
            <v>80843666.769999981</v>
          </cell>
          <cell r="CS67" t="str">
            <v>0</v>
          </cell>
          <cell r="CT67" t="str">
            <v>0</v>
          </cell>
          <cell r="CU67">
            <v>8945602.7799999993</v>
          </cell>
          <cell r="CV67">
            <v>80843666.769999981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8945602.7799999993</v>
          </cell>
          <cell r="DD67">
            <v>80843666.769999981</v>
          </cell>
          <cell r="DE67" t="str">
            <v>0</v>
          </cell>
          <cell r="DG67">
            <v>6628192.8499999996</v>
          </cell>
          <cell r="DH67">
            <v>58393765.070000023</v>
          </cell>
          <cell r="DI67" t="str">
            <v>0</v>
          </cell>
          <cell r="DJ67">
            <v>8757170.2100000009</v>
          </cell>
          <cell r="DK67">
            <v>68678316.890000105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8901724.1199999992</v>
          </cell>
          <cell r="DR67">
            <v>81871855.450000003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20442296.510000005</v>
          </cell>
          <cell r="C68">
            <v>42189318.589999996</v>
          </cell>
          <cell r="D68">
            <v>39069475.460000001</v>
          </cell>
          <cell r="E68">
            <v>22078460.979999993</v>
          </cell>
          <cell r="F68">
            <v>19174339.970000006</v>
          </cell>
          <cell r="G68">
            <v>3790517.54</v>
          </cell>
          <cell r="H68">
            <v>9273580.6300000008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20442296.510000005</v>
          </cell>
          <cell r="AO68">
            <v>42189318.589999996</v>
          </cell>
          <cell r="AP68">
            <v>39069475.460000001</v>
          </cell>
          <cell r="AQ68">
            <v>3790517.54</v>
          </cell>
          <cell r="AR68">
            <v>9273580.6300000008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39069475.460000001</v>
          </cell>
          <cell r="AY68">
            <v>11655371</v>
          </cell>
          <cell r="AZ68" t="str">
            <v>0</v>
          </cell>
          <cell r="BA68">
            <v>42189318.589999996</v>
          </cell>
          <cell r="BB68">
            <v>9273580.629999999</v>
          </cell>
          <cell r="BC68" t="str">
            <v>0</v>
          </cell>
          <cell r="BD68">
            <v>22078460.979999993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14253733.069999998</v>
          </cell>
          <cell r="BM68">
            <v>3078853.45</v>
          </cell>
          <cell r="BN68" t="str">
            <v>0</v>
          </cell>
          <cell r="BO68">
            <v>14253321.020000005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14253321.020000005</v>
          </cell>
          <cell r="BT68">
            <v>3669342.9</v>
          </cell>
          <cell r="BU68" t="str">
            <v>0</v>
          </cell>
          <cell r="BW68">
            <v>9676144.4299999997</v>
          </cell>
          <cell r="BX68">
            <v>2886410</v>
          </cell>
          <cell r="BY68" t="str">
            <v>0</v>
          </cell>
          <cell r="BZ68">
            <v>10633806.310000002</v>
          </cell>
          <cell r="CA68">
            <v>2072254.22</v>
          </cell>
          <cell r="CB68" t="str">
            <v>0</v>
          </cell>
          <cell r="CC68">
            <v>5780578.6199999992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10055518.369999995</v>
          </cell>
          <cell r="CH68">
            <v>1135636.7</v>
          </cell>
          <cell r="CI68" t="str">
            <v>0</v>
          </cell>
          <cell r="CK68">
            <v>9709104.5300000012</v>
          </cell>
          <cell r="CL68">
            <v>2844105</v>
          </cell>
          <cell r="CM68" t="str">
            <v>0</v>
          </cell>
          <cell r="CN68">
            <v>9942892.8399999999</v>
          </cell>
          <cell r="CO68">
            <v>2233038.14</v>
          </cell>
          <cell r="CP68" t="str">
            <v>0</v>
          </cell>
          <cell r="CQ68">
            <v>10386778.140000001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10386778.140000001</v>
          </cell>
          <cell r="CV68">
            <v>2654880.84</v>
          </cell>
          <cell r="CW68" t="str">
            <v>0</v>
          </cell>
          <cell r="CY68">
            <v>9676144.4299999997</v>
          </cell>
          <cell r="CZ68">
            <v>2886410</v>
          </cell>
          <cell r="DA68" t="str">
            <v>0</v>
          </cell>
          <cell r="DC68">
            <v>10386778.140000001</v>
          </cell>
          <cell r="DD68">
            <v>2654880.84</v>
          </cell>
          <cell r="DE68" t="str">
            <v>0</v>
          </cell>
          <cell r="DG68">
            <v>10055518.369999995</v>
          </cell>
          <cell r="DH68">
            <v>1135636.7</v>
          </cell>
          <cell r="DI68" t="str">
            <v>0</v>
          </cell>
          <cell r="DJ68">
            <v>10633806.310000002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10846800.269999998</v>
          </cell>
          <cell r="DR68">
            <v>2682422.3199999998</v>
          </cell>
          <cell r="DS68" t="str">
            <v>0</v>
          </cell>
          <cell r="DT68">
            <v>9970799.8600000013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16796163.389999997</v>
          </cell>
          <cell r="C69">
            <v>37675006.769999996</v>
          </cell>
          <cell r="D69">
            <v>41616399</v>
          </cell>
          <cell r="E69">
            <v>13499138.259999998</v>
          </cell>
          <cell r="F69">
            <v>9846584.7299999986</v>
          </cell>
          <cell r="G69">
            <v>146915147.68999988</v>
          </cell>
          <cell r="H69">
            <v>318769279.9599998</v>
          </cell>
          <cell r="I69">
            <v>362284461</v>
          </cell>
          <cell r="J69">
            <v>392549122.40382218</v>
          </cell>
          <cell r="K69">
            <v>359857006.90099865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33299357.989999998</v>
          </cell>
          <cell r="AB69">
            <v>31933064</v>
          </cell>
          <cell r="AC69">
            <v>35157837.95000001</v>
          </cell>
          <cell r="AD69">
            <v>32866860.290000007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16796163.389999997</v>
          </cell>
          <cell r="AO69">
            <v>37675006.769999996</v>
          </cell>
          <cell r="AP69">
            <v>41616399</v>
          </cell>
          <cell r="AQ69">
            <v>146915147.68999988</v>
          </cell>
          <cell r="AR69">
            <v>318769279.9599998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37675006.770000003</v>
          </cell>
          <cell r="BB69">
            <v>318769279.9599998</v>
          </cell>
          <cell r="BC69" t="str">
            <v>0</v>
          </cell>
          <cell r="BD69">
            <v>13499138.259999998</v>
          </cell>
          <cell r="BE69">
            <v>392549122.40382218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12841731.439999999</v>
          </cell>
          <cell r="BM69">
            <v>114012823.17</v>
          </cell>
          <cell r="BN69" t="str">
            <v>0</v>
          </cell>
          <cell r="BO69">
            <v>13067687.259999998</v>
          </cell>
          <cell r="BP69">
            <v>123377273.27999997</v>
          </cell>
          <cell r="BQ69" t="str">
            <v>0</v>
          </cell>
          <cell r="BR69" t="str">
            <v>0</v>
          </cell>
          <cell r="BS69">
            <v>13067687.259999998</v>
          </cell>
          <cell r="BT69">
            <v>119466361.79999995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9468821.0899999999</v>
          </cell>
          <cell r="CA69">
            <v>72331023.060000107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7129698.6500000004</v>
          </cell>
          <cell r="CH69">
            <v>61597123.810000055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9508431.0600000005</v>
          </cell>
          <cell r="CO69">
            <v>84253958.759999946</v>
          </cell>
          <cell r="CP69" t="str">
            <v>0</v>
          </cell>
          <cell r="CQ69">
            <v>9666464.7399999984</v>
          </cell>
          <cell r="CR69">
            <v>88589002.460000038</v>
          </cell>
          <cell r="CS69" t="str">
            <v>0</v>
          </cell>
          <cell r="CT69" t="str">
            <v>0</v>
          </cell>
          <cell r="CU69">
            <v>9666464.7399999984</v>
          </cell>
          <cell r="CV69">
            <v>85319182.440000027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9666464.7399999984</v>
          </cell>
          <cell r="DD69">
            <v>85319182.440000027</v>
          </cell>
          <cell r="DE69" t="str">
            <v>0</v>
          </cell>
          <cell r="DG69">
            <v>7129698.6500000004</v>
          </cell>
          <cell r="DH69">
            <v>61597123.810000055</v>
          </cell>
          <cell r="DI69" t="str">
            <v>0</v>
          </cell>
          <cell r="DJ69">
            <v>9468821.0899999999</v>
          </cell>
          <cell r="DK69">
            <v>72331023.060000107</v>
          </cell>
          <cell r="DL69" t="str">
            <v>0</v>
          </cell>
          <cell r="DN69">
            <v>161796</v>
          </cell>
          <cell r="DO69">
            <v>108883504.90504795</v>
          </cell>
          <cell r="DP69" t="str">
            <v>0</v>
          </cell>
          <cell r="DQ69">
            <v>9638717.5299999975</v>
          </cell>
          <cell r="DR69">
            <v>86878323.920000032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19882900.52999999</v>
          </cell>
          <cell r="C70">
            <v>42240563.79999999</v>
          </cell>
          <cell r="D70">
            <v>48613494</v>
          </cell>
          <cell r="E70">
            <v>21391018.739999998</v>
          </cell>
          <cell r="F70">
            <v>17020483.390000001</v>
          </cell>
          <cell r="G70">
            <v>181005156.59999999</v>
          </cell>
          <cell r="H70">
            <v>404448655.15999967</v>
          </cell>
          <cell r="I70">
            <v>426637346</v>
          </cell>
          <cell r="J70">
            <v>468250904.87776685</v>
          </cell>
          <cell r="K70">
            <v>429477061.05145901</v>
          </cell>
          <cell r="L70">
            <v>342940819.72999996</v>
          </cell>
          <cell r="M70">
            <v>760635428.82000017</v>
          </cell>
          <cell r="N70">
            <v>834106936</v>
          </cell>
          <cell r="O70">
            <v>873972739.34144032</v>
          </cell>
          <cell r="P70">
            <v>783240163.8588562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39628673.659999982</v>
          </cell>
          <cell r="AB70">
            <v>37793552</v>
          </cell>
          <cell r="AC70">
            <v>42866469.580000006</v>
          </cell>
          <cell r="AD70">
            <v>40566658.050000004</v>
          </cell>
          <cell r="AE70">
            <v>76942183.449999988</v>
          </cell>
          <cell r="AF70">
            <v>75177083</v>
          </cell>
          <cell r="AG70">
            <v>81424135.219999999</v>
          </cell>
          <cell r="AH70">
            <v>75212494.439999998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19882900.52999999</v>
          </cell>
          <cell r="AO70">
            <v>42240563.79999999</v>
          </cell>
          <cell r="AP70">
            <v>48613494</v>
          </cell>
          <cell r="AQ70">
            <v>181005156.59999999</v>
          </cell>
          <cell r="AR70">
            <v>404448655.15999967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42240563.79999999</v>
          </cell>
          <cell r="BB70">
            <v>404448655.15999979</v>
          </cell>
          <cell r="BC70" t="str">
            <v>0</v>
          </cell>
          <cell r="BD70">
            <v>21391018.739999998</v>
          </cell>
          <cell r="BE70">
            <v>468250904.87776685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14078167.029999999</v>
          </cell>
          <cell r="BM70">
            <v>139094515.08000016</v>
          </cell>
          <cell r="BN70" t="str">
            <v>0</v>
          </cell>
          <cell r="BO70">
            <v>15582225.739999998</v>
          </cell>
          <cell r="BP70">
            <v>153777453.50000015</v>
          </cell>
          <cell r="BQ70" t="str">
            <v>0</v>
          </cell>
          <cell r="BR70" t="str">
            <v>0</v>
          </cell>
          <cell r="BS70">
            <v>15582225.739999998</v>
          </cell>
          <cell r="BT70">
            <v>149866542.0200001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10522398.799999999</v>
          </cell>
          <cell r="CA70">
            <v>94774187.220000118</v>
          </cell>
          <cell r="CB70" t="str">
            <v>0</v>
          </cell>
          <cell r="CC70">
            <v>5499153.3400000017</v>
          </cell>
          <cell r="CD70">
            <v>118251666.62764758</v>
          </cell>
          <cell r="CE70" t="str">
            <v>0</v>
          </cell>
          <cell r="CF70" t="str">
            <v>0</v>
          </cell>
          <cell r="CG70">
            <v>8354571.1300000008</v>
          </cell>
          <cell r="CH70">
            <v>74933766.070000008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101923416.64999993</v>
          </cell>
          <cell r="CP70" t="str">
            <v>0</v>
          </cell>
          <cell r="CQ70">
            <v>11528329.399999999</v>
          </cell>
          <cell r="CR70">
            <v>109342369.11000004</v>
          </cell>
          <cell r="CS70" t="str">
            <v>0</v>
          </cell>
          <cell r="CT70" t="str">
            <v>0</v>
          </cell>
          <cell r="CU70">
            <v>11528329.399999999</v>
          </cell>
          <cell r="CV70">
            <v>106072549.09000003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11528329.399999999</v>
          </cell>
          <cell r="DD70">
            <v>106072549.09000003</v>
          </cell>
          <cell r="DE70" t="str">
            <v>0</v>
          </cell>
          <cell r="DG70">
            <v>8354571.1300000008</v>
          </cell>
          <cell r="DH70">
            <v>74933766.070000008</v>
          </cell>
          <cell r="DI70" t="str">
            <v>0</v>
          </cell>
          <cell r="DJ70">
            <v>10522398.799999999</v>
          </cell>
          <cell r="DK70">
            <v>94774187.220000118</v>
          </cell>
          <cell r="DL70" t="str">
            <v>0</v>
          </cell>
          <cell r="DN70">
            <v>2209370</v>
          </cell>
          <cell r="DO70">
            <v>127614048.2655555</v>
          </cell>
          <cell r="DP70" t="str">
            <v>0</v>
          </cell>
          <cell r="DQ70">
            <v>10808415.609999996</v>
          </cell>
          <cell r="DR70">
            <v>108508647.52000003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19936887.249999989</v>
          </cell>
          <cell r="C71">
            <v>42489956.79999999</v>
          </cell>
          <cell r="D71">
            <v>48972494.039999999</v>
          </cell>
          <cell r="E71">
            <v>21674973.379999999</v>
          </cell>
          <cell r="F71">
            <v>17334163.030000001</v>
          </cell>
          <cell r="G71">
            <v>213356722.25999999</v>
          </cell>
          <cell r="H71">
            <v>474907232.61999971</v>
          </cell>
          <cell r="I71">
            <v>515660500.95999998</v>
          </cell>
          <cell r="J71">
            <v>546065939.14737082</v>
          </cell>
          <cell r="K71">
            <v>510489884.99138868</v>
          </cell>
          <cell r="L71">
            <v>342940819.72999996</v>
          </cell>
          <cell r="M71">
            <v>760635428.82000017</v>
          </cell>
          <cell r="N71">
            <v>834106936</v>
          </cell>
          <cell r="O71">
            <v>873972739.34144032</v>
          </cell>
          <cell r="P71">
            <v>783240163.8588562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50270598.099999979</v>
          </cell>
          <cell r="AB71">
            <v>46003810.329999998</v>
          </cell>
          <cell r="AC71">
            <v>48995742.090000011</v>
          </cell>
          <cell r="AD71">
            <v>47255147.750000007</v>
          </cell>
          <cell r="AE71">
            <v>76942183.449999988</v>
          </cell>
          <cell r="AF71">
            <v>75177083</v>
          </cell>
          <cell r="AG71">
            <v>81424135.219999999</v>
          </cell>
          <cell r="AH71">
            <v>75212494.439999998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19936887.249999989</v>
          </cell>
          <cell r="AO71">
            <v>42489956.79999999</v>
          </cell>
          <cell r="AP71">
            <v>48972494.039999999</v>
          </cell>
          <cell r="AQ71">
            <v>213356722.25999999</v>
          </cell>
          <cell r="AR71">
            <v>474907232.61999971</v>
          </cell>
          <cell r="AS71">
            <v>515660500.95999998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48972494.039999999</v>
          </cell>
          <cell r="AY71">
            <v>515660500.95999998</v>
          </cell>
          <cell r="AZ71" t="str">
            <v>0</v>
          </cell>
          <cell r="BA71">
            <v>42489956.79999999</v>
          </cell>
          <cell r="BB71">
            <v>474907232.61999983</v>
          </cell>
          <cell r="BC71" t="str">
            <v>0</v>
          </cell>
          <cell r="BD71">
            <v>21674973.379999999</v>
          </cell>
          <cell r="BE71">
            <v>546065939.14737082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171070830.31999999</v>
          </cell>
          <cell r="BK71" t="str">
            <v>0</v>
          </cell>
          <cell r="BL71">
            <v>14148910.01</v>
          </cell>
          <cell r="BM71">
            <v>172437072.22000015</v>
          </cell>
          <cell r="BN71" t="str">
            <v>0</v>
          </cell>
          <cell r="BO71">
            <v>15626847.019999998</v>
          </cell>
          <cell r="BP71">
            <v>174990790.65000015</v>
          </cell>
          <cell r="BQ71" t="str">
            <v>0</v>
          </cell>
          <cell r="BR71" t="str">
            <v>0</v>
          </cell>
          <cell r="BS71">
            <v>15626847.019999998</v>
          </cell>
          <cell r="BT71">
            <v>172821216.17000011</v>
          </cell>
          <cell r="BU71" t="str">
            <v>0</v>
          </cell>
          <cell r="BW71">
            <v>12172029.01</v>
          </cell>
          <cell r="BX71">
            <v>125901627.98999999</v>
          </cell>
          <cell r="BY71" t="str">
            <v>0</v>
          </cell>
          <cell r="BZ71">
            <v>10535686.889999999</v>
          </cell>
          <cell r="CA71">
            <v>110409354.75000012</v>
          </cell>
          <cell r="CB71" t="str">
            <v>0</v>
          </cell>
          <cell r="CC71">
            <v>5559178.3500000015</v>
          </cell>
          <cell r="CD71">
            <v>137339747.43461147</v>
          </cell>
          <cell r="CE71" t="str">
            <v>0</v>
          </cell>
          <cell r="CF71" t="str">
            <v>0</v>
          </cell>
          <cell r="CG71">
            <v>8364128.2400000012</v>
          </cell>
          <cell r="CH71">
            <v>90477374.420000017</v>
          </cell>
          <cell r="CI71" t="str">
            <v>0</v>
          </cell>
          <cell r="CK71">
            <v>12195140.01</v>
          </cell>
          <cell r="CL71">
            <v>125103297.98999999</v>
          </cell>
          <cell r="CM71" t="str">
            <v>0</v>
          </cell>
          <cell r="CN71">
            <v>10524030.33</v>
          </cell>
          <cell r="CO71">
            <v>126951716.66999994</v>
          </cell>
          <cell r="CP71" t="str">
            <v>0</v>
          </cell>
          <cell r="CQ71">
            <v>11572759.009999998</v>
          </cell>
          <cell r="CR71">
            <v>124782857.42000003</v>
          </cell>
          <cell r="CS71" t="str">
            <v>0</v>
          </cell>
          <cell r="CT71" t="str">
            <v>0</v>
          </cell>
          <cell r="CU71">
            <v>11572759.009999998</v>
          </cell>
          <cell r="CV71">
            <v>122880506.40000002</v>
          </cell>
          <cell r="CW71" t="str">
            <v>0</v>
          </cell>
          <cell r="CY71">
            <v>12172029.01</v>
          </cell>
          <cell r="CZ71">
            <v>125901627.98999999</v>
          </cell>
          <cell r="DA71" t="str">
            <v>0</v>
          </cell>
          <cell r="DC71">
            <v>11572759.009999998</v>
          </cell>
          <cell r="DD71">
            <v>122880506.40000002</v>
          </cell>
          <cell r="DE71" t="str">
            <v>0</v>
          </cell>
          <cell r="DG71">
            <v>8364128.2400000012</v>
          </cell>
          <cell r="DH71">
            <v>90477374.420000017</v>
          </cell>
          <cell r="DI71" t="str">
            <v>0</v>
          </cell>
          <cell r="DJ71">
            <v>10535686.889999999</v>
          </cell>
          <cell r="DK71">
            <v>110409354.75000012</v>
          </cell>
          <cell r="DL71" t="str">
            <v>0</v>
          </cell>
          <cell r="DN71">
            <v>2299120.0099999998</v>
          </cell>
          <cell r="DO71">
            <v>151050107.05190173</v>
          </cell>
          <cell r="DP71" t="str">
            <v>0</v>
          </cell>
          <cell r="DQ71">
            <v>10931027.399999995</v>
          </cell>
          <cell r="DR71">
            <v>127724281.95000005</v>
          </cell>
          <cell r="DS71" t="str">
            <v>0</v>
          </cell>
          <cell r="DT71">
            <v>12517100.01</v>
          </cell>
          <cell r="DU71">
            <v>142399578.99000001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633200.32999999996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67519.070000000007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633200.32999999996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633200.32999999996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583885.18000000005</v>
          </cell>
          <cell r="I73">
            <v>658778</v>
          </cell>
          <cell r="J73">
            <v>273995.28000000003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275777.53999999998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583885.18000000005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583885.18000000005</v>
          </cell>
          <cell r="BC73" t="str">
            <v>0</v>
          </cell>
          <cell r="BD73">
            <v>3338239.48</v>
          </cell>
          <cell r="BE73">
            <v>273995.28000000003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149957.39000000001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131232.29999999999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131232.29999999999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131232.29999999999</v>
          </cell>
          <cell r="DE73" t="str">
            <v>0</v>
          </cell>
          <cell r="DG73">
            <v>841074.29</v>
          </cell>
          <cell r="DH73">
            <v>149957.39000000001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1326615.1000000001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136477.67000000001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1326615.1000000001</v>
          </cell>
          <cell r="AP74">
            <v>1357485.28</v>
          </cell>
          <cell r="AQ74">
            <v>76595.22</v>
          </cell>
          <cell r="AR74">
            <v>136477.67000000001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1326615.1000000001</v>
          </cell>
          <cell r="BB74">
            <v>136477.67000000001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38020.589999999997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5926801.8499999996</v>
          </cell>
          <cell r="D75">
            <v>6646055.1600000001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552860.55000000005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5926801.8499999996</v>
          </cell>
          <cell r="AP75">
            <v>6646055.1600000001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6646055.1600000001</v>
          </cell>
          <cell r="AY75">
            <v>815214</v>
          </cell>
          <cell r="AZ75" t="str">
            <v>0</v>
          </cell>
          <cell r="BA75">
            <v>5926801.8500000006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276275.59000000003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276275.59000000003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1328958.3700000001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647.37599999999998</v>
          </cell>
        </row>
        <row r="36">
          <cell r="O36">
            <v>22.5</v>
          </cell>
          <cell r="R36" t="str">
            <v>New Goodwill</v>
          </cell>
          <cell r="W36">
            <v>364.01028910000002</v>
          </cell>
        </row>
        <row r="37">
          <cell r="O37">
            <v>1.6851700000000001</v>
          </cell>
          <cell r="R37" t="str">
            <v>Total Assets</v>
          </cell>
          <cell r="W37">
            <v>2031.7612891000003</v>
          </cell>
        </row>
        <row r="38">
          <cell r="O38">
            <v>24.185169999999999</v>
          </cell>
        </row>
        <row r="39">
          <cell r="R39" t="str">
            <v>Pro Forma Total Debt</v>
          </cell>
          <cell r="W39">
            <v>874.02417112400008</v>
          </cell>
        </row>
        <row r="40">
          <cell r="R40" t="str">
            <v>Prof Forma Net Debt</v>
          </cell>
          <cell r="W40">
            <v>537.45217112400007</v>
          </cell>
        </row>
        <row r="42">
          <cell r="O42">
            <v>24.185169999999999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 xml:space="preserve"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0.31756695233271359</v>
          </cell>
          <cell r="O34">
            <v>0.52891098619408305</v>
          </cell>
        </row>
        <row r="37">
          <cell r="M37">
            <v>22.753557870733346</v>
          </cell>
          <cell r="O37">
            <v>15.248907870733287</v>
          </cell>
        </row>
        <row r="38">
          <cell r="M38">
            <v>10.740422879214629</v>
          </cell>
          <cell r="N38" t="str">
            <v>x</v>
          </cell>
          <cell r="O38">
            <v>8.2640673933437618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0.2904614556706579</v>
          </cell>
          <cell r="O43">
            <v>108.54300000000001</v>
          </cell>
          <cell r="Q43">
            <v>0.37074242072329316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0.70953854432934216</v>
          </cell>
          <cell r="O45">
            <v>184.22900000000001</v>
          </cell>
          <cell r="Q45">
            <v>0.62925757927670678</v>
          </cell>
        </row>
        <row r="46">
          <cell r="M46">
            <v>1</v>
          </cell>
          <cell r="O46">
            <v>292.77200000000005</v>
          </cell>
          <cell r="Q46">
            <v>1</v>
          </cell>
        </row>
        <row r="48">
          <cell r="O48">
            <v>8.3719999999999999</v>
          </cell>
        </row>
        <row r="51">
          <cell r="O51">
            <v>1.4769965573078965</v>
          </cell>
          <cell r="P51" t="str">
            <v>x</v>
          </cell>
        </row>
        <row r="52">
          <cell r="O52">
            <v>-21456.642335766428</v>
          </cell>
          <cell r="P52" t="str">
            <v>x</v>
          </cell>
        </row>
        <row r="53">
          <cell r="O53">
            <v>0.10575335210394957</v>
          </cell>
        </row>
        <row r="54">
          <cell r="O54">
            <v>0.18359811227893102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24.185169999999999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 xml:space="preserve">       Page___of___</v>
          </cell>
        </row>
        <row r="4">
          <cell r="A4" t="str">
            <v>FLORIDA PUBLIC SERVICE COMMISSION</v>
          </cell>
          <cell r="E4" t="str">
            <v xml:space="preserve"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 xml:space="preserve">  1.</v>
          </cell>
          <cell r="B15" t="str">
            <v>Pre-tax Interest Coverage Ratio (x)</v>
          </cell>
        </row>
        <row r="17">
          <cell r="A17" t="str">
            <v xml:space="preserve">  2.</v>
          </cell>
          <cell r="B17" t="str">
            <v>Earned Returns on Average Book Equity (%)</v>
          </cell>
        </row>
        <row r="19">
          <cell r="A19" t="str">
            <v xml:space="preserve">  3.</v>
          </cell>
          <cell r="B19" t="str">
            <v>Book Value/Share ($)</v>
          </cell>
        </row>
        <row r="21">
          <cell r="A21" t="str">
            <v xml:space="preserve">  4.</v>
          </cell>
          <cell r="B21" t="str">
            <v>Dividends/Share ($)</v>
          </cell>
        </row>
        <row r="23">
          <cell r="A23" t="str">
            <v xml:space="preserve">  5.</v>
          </cell>
          <cell r="B23" t="str">
            <v>Earnings/Share ($)</v>
          </cell>
        </row>
        <row r="25">
          <cell r="A25" t="str">
            <v xml:space="preserve">  6.</v>
          </cell>
          <cell r="B25" t="str">
            <v>Market Value/Share ($)</v>
          </cell>
        </row>
        <row r="27">
          <cell r="A27" t="str">
            <v xml:space="preserve">  7.</v>
          </cell>
          <cell r="B27" t="str">
            <v>Market/Book Ratio (%)</v>
          </cell>
        </row>
        <row r="29">
          <cell r="A29" t="str">
            <v xml:space="preserve"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>
        <row r="4">
          <cell r="A4" t="str">
            <v>OM Case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8.5000000000000006E-2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0.96245000000000003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2">
          <cell r="P32">
            <v>226588.34122000006</v>
          </cell>
        </row>
        <row r="41">
          <cell r="D41">
            <v>1461898.2599999949</v>
          </cell>
          <cell r="E41">
            <v>1582295.390000002</v>
          </cell>
          <cell r="F41">
            <v>1520019.960000003</v>
          </cell>
          <cell r="G41">
            <v>1405400.9499999951</v>
          </cell>
          <cell r="H41">
            <v>1424539.3200000019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D41">
            <v>1730738</v>
          </cell>
          <cell r="E41">
            <v>1780722</v>
          </cell>
          <cell r="F41">
            <v>1632230.8299999996</v>
          </cell>
          <cell r="G41">
            <v>1450388.08</v>
          </cell>
          <cell r="H41">
            <v>1707631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33.299999999999997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-3 (1)"/>
      <sheetName val="MD"/>
      <sheetName val="DE"/>
      <sheetName val="P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 xml:space="preserve"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431.62960199999998</v>
          </cell>
          <cell r="J14">
            <v>172.75187399999999</v>
          </cell>
          <cell r="L14">
            <v>8.9912620000000008</v>
          </cell>
          <cell r="N14">
            <v>42.688620328312091</v>
          </cell>
          <cell r="P14">
            <v>53.146321</v>
          </cell>
          <cell r="R14">
            <v>51.739982194383501</v>
          </cell>
        </row>
        <row r="15">
          <cell r="H15" t="str">
            <v>NA</v>
          </cell>
          <cell r="J15" t="str">
            <v>NA</v>
          </cell>
          <cell r="L15">
            <v>211.02491914000001</v>
          </cell>
          <cell r="N15">
            <v>1105.2083803</v>
          </cell>
          <cell r="P15">
            <v>2091.3077313500003</v>
          </cell>
          <cell r="R15">
            <v>1179.15419421</v>
          </cell>
        </row>
        <row r="16">
          <cell r="H16">
            <v>1269.0999999999999</v>
          </cell>
          <cell r="J16">
            <v>1201.9769999999999</v>
          </cell>
          <cell r="L16">
            <v>433.358</v>
          </cell>
          <cell r="N16">
            <v>342.47300000000001</v>
          </cell>
          <cell r="P16">
            <v>383.63</v>
          </cell>
          <cell r="R16">
            <v>452.83299999999997</v>
          </cell>
        </row>
        <row r="17">
          <cell r="H17">
            <v>0</v>
          </cell>
          <cell r="J17">
            <v>0</v>
          </cell>
          <cell r="L17">
            <v>53.798000000000002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-21.466000000000001</v>
          </cell>
          <cell r="N19">
            <v>-69.561418399999994</v>
          </cell>
          <cell r="P19">
            <v>-92.221000000000004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652.49999999999989</v>
          </cell>
          <cell r="J21">
            <v>968.88199999999983</v>
          </cell>
          <cell r="L21">
            <v>670.01291914000001</v>
          </cell>
          <cell r="N21">
            <v>1378.1199618999999</v>
          </cell>
          <cell r="P21">
            <v>2382.7167313500004</v>
          </cell>
          <cell r="R21">
            <v>1629.3181942099998</v>
          </cell>
        </row>
        <row r="24">
          <cell r="H24">
            <v>0.13582148581420034</v>
          </cell>
          <cell r="I24" t="str">
            <v>x</v>
          </cell>
          <cell r="J24">
            <v>0.33920413508340569</v>
          </cell>
          <cell r="K24" t="str">
            <v>x</v>
          </cell>
          <cell r="L24">
            <v>1.4144275566129547</v>
          </cell>
          <cell r="N24">
            <v>3.3906510858734347</v>
          </cell>
          <cell r="O24" t="str">
            <v>x</v>
          </cell>
          <cell r="P24">
            <v>4.4655285643202518</v>
          </cell>
          <cell r="R24">
            <v>3.3855610730485917</v>
          </cell>
        </row>
        <row r="25">
          <cell r="H25">
            <v>0.71194762684124369</v>
          </cell>
          <cell r="J25">
            <v>2.2722373358348964</v>
          </cell>
          <cell r="L25">
            <v>7.8222277641702203</v>
          </cell>
          <cell r="N25">
            <v>8.2024114770197727</v>
          </cell>
          <cell r="P25">
            <v>10.555932409856329</v>
          </cell>
          <cell r="R25">
            <v>10.720609252599026</v>
          </cell>
        </row>
        <row r="26">
          <cell r="H26">
            <v>0.94305535482006042</v>
          </cell>
          <cell r="J26">
            <v>4.6239625838165432</v>
          </cell>
          <cell r="L26">
            <v>14.484573559461278</v>
          </cell>
          <cell r="N26">
            <v>10.197796061092653</v>
          </cell>
          <cell r="P26">
            <v>13.675697247029792</v>
          </cell>
          <cell r="R26">
            <v>14.812522220898938</v>
          </cell>
        </row>
        <row r="27">
          <cell r="H27">
            <v>0.63294208943641461</v>
          </cell>
          <cell r="J27">
            <v>1.9569420319127444</v>
          </cell>
          <cell r="L27" t="str">
            <v>NA</v>
          </cell>
          <cell r="N27">
            <v>8.9721351686197917</v>
          </cell>
          <cell r="P27">
            <v>9.8622381264486769</v>
          </cell>
          <cell r="R27">
            <v>10.852715607873176</v>
          </cell>
        </row>
        <row r="28">
          <cell r="H28">
            <v>0.59248161263960764</v>
          </cell>
          <cell r="J28">
            <v>1.7224568888888887</v>
          </cell>
          <cell r="L28" t="str">
            <v>NA</v>
          </cell>
          <cell r="N28" t="str">
            <v>NA</v>
          </cell>
          <cell r="P28">
            <v>9.1890348297339006</v>
          </cell>
          <cell r="R28">
            <v>9.7145134403171944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19.32089552238806</v>
          </cell>
          <cell r="O30" t="str">
            <v>x</v>
          </cell>
          <cell r="P30">
            <v>23.848484848484851</v>
          </cell>
          <cell r="R30">
            <v>20.168141592920357</v>
          </cell>
        </row>
        <row r="31">
          <cell r="H31" t="str">
            <v>NA</v>
          </cell>
          <cell r="I31" t="str">
            <v xml:space="preserve"> </v>
          </cell>
          <cell r="J31" t="str">
            <v>NA</v>
          </cell>
          <cell r="K31" t="str">
            <v xml:space="preserve"> </v>
          </cell>
          <cell r="L31" t="str">
            <v>NA</v>
          </cell>
          <cell r="N31">
            <v>18.232394366197184</v>
          </cell>
          <cell r="O31" t="str">
            <v xml:space="preserve"> </v>
          </cell>
          <cell r="P31">
            <v>19.195121951219516</v>
          </cell>
          <cell r="R31">
            <v>16.635036496350363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16.490445859872612</v>
          </cell>
          <cell r="P32">
            <v>17.034632034632036</v>
          </cell>
          <cell r="R32">
            <v>15.609589041095891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4804.1000000000004</v>
          </cell>
          <cell r="J36">
            <v>2856.3389999999999</v>
          </cell>
          <cell r="L36">
            <v>473.69900000000001</v>
          </cell>
          <cell r="N36">
            <v>406.447</v>
          </cell>
          <cell r="P36">
            <v>533.58000000000004</v>
          </cell>
          <cell r="R36">
            <v>481.25499999999994</v>
          </cell>
        </row>
        <row r="37">
          <cell r="H37">
            <v>916.5</v>
          </cell>
          <cell r="J37">
            <v>426.4</v>
          </cell>
          <cell r="L37">
            <v>85.654999999999973</v>
          </cell>
          <cell r="N37">
            <v>168.01399999999998</v>
          </cell>
          <cell r="P37">
            <v>225.72300000000001</v>
          </cell>
          <cell r="R37">
            <v>151.97999999999999</v>
          </cell>
        </row>
        <row r="38">
          <cell r="H38">
            <v>691.90000000000009</v>
          </cell>
          <cell r="J38">
            <v>209.53500000000008</v>
          </cell>
          <cell r="L38">
            <v>46.256999999999977</v>
          </cell>
          <cell r="N38">
            <v>135.13899999999998</v>
          </cell>
          <cell r="P38">
            <v>174.23</v>
          </cell>
          <cell r="R38">
            <v>109.99600000000001</v>
          </cell>
        </row>
        <row r="39">
          <cell r="H39">
            <v>351.6</v>
          </cell>
          <cell r="J39">
            <v>59.731999999999999</v>
          </cell>
          <cell r="L39">
            <v>-102.04499999999999</v>
          </cell>
          <cell r="N39">
            <v>57.591999999999999</v>
          </cell>
          <cell r="P39">
            <v>62.68</v>
          </cell>
          <cell r="R39">
            <v>57.893999999999998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1.1299999999999999</v>
          </cell>
        </row>
        <row r="41">
          <cell r="H41">
            <v>224.59999999999991</v>
          </cell>
          <cell r="J41">
            <v>216.8649999999999</v>
          </cell>
          <cell r="L41">
            <v>39.397999999999996</v>
          </cell>
          <cell r="N41">
            <v>32.875</v>
          </cell>
          <cell r="P41">
            <v>51.492999999999995</v>
          </cell>
          <cell r="R41">
            <v>41.983999999999995</v>
          </cell>
        </row>
        <row r="44">
          <cell r="H44">
            <v>19.077454674132511</v>
          </cell>
          <cell r="J44">
            <v>14.928200049083809</v>
          </cell>
          <cell r="L44">
            <v>18.082157657077587</v>
          </cell>
          <cell r="N44">
            <v>41.337246922723011</v>
          </cell>
          <cell r="P44">
            <v>42.303497132576183</v>
          </cell>
          <cell r="R44">
            <v>31.579931637073905</v>
          </cell>
        </row>
        <row r="45">
          <cell r="H45">
            <v>14.402281384650612</v>
          </cell>
          <cell r="J45">
            <v>7.3357889242138308</v>
          </cell>
          <cell r="L45">
            <v>9.7650617797377599</v>
          </cell>
          <cell r="N45">
            <v>33.248861475173882</v>
          </cell>
          <cell r="P45">
            <v>32.653022976873189</v>
          </cell>
          <cell r="R45">
            <v>22.856074222605486</v>
          </cell>
        </row>
        <row r="46">
          <cell r="H46">
            <v>7.3187485689307055</v>
          </cell>
          <cell r="J46">
            <v>2.0912083614725003</v>
          </cell>
          <cell r="L46" t="str">
            <v>NM</v>
          </cell>
          <cell r="N46">
            <v>14.169621131414429</v>
          </cell>
          <cell r="P46">
            <v>11.747066981521046</v>
          </cell>
          <cell r="R46">
            <v>12.029797093017217</v>
          </cell>
        </row>
        <row r="49">
          <cell r="H49">
            <v>2.2445356169691788E-2</v>
          </cell>
          <cell r="I49" t="str">
            <v>%</v>
          </cell>
          <cell r="J49">
            <v>-0.21458874434893049</v>
          </cell>
          <cell r="K49" t="str">
            <v>%</v>
          </cell>
          <cell r="L49" t="str">
            <v>NA</v>
          </cell>
          <cell r="N49">
            <v>8.9226128370105462E-2</v>
          </cell>
          <cell r="O49" t="str">
            <v>%</v>
          </cell>
          <cell r="P49">
            <v>0.33012666667669777</v>
          </cell>
          <cell r="R49">
            <v>4.3850124803518797E-2</v>
          </cell>
        </row>
        <row r="50">
          <cell r="H50">
            <v>2.942693895753723E-2</v>
          </cell>
          <cell r="J50">
            <v>8.0286230871305042E-2</v>
          </cell>
          <cell r="L50">
            <v>-1</v>
          </cell>
          <cell r="N50">
            <v>-1</v>
          </cell>
          <cell r="P50">
            <v>5.6751804387453531E-2</v>
          </cell>
          <cell r="R50">
            <v>1.3470133973472409E-2</v>
          </cell>
        </row>
        <row r="51">
          <cell r="H51">
            <v>2.0006477312108251</v>
          </cell>
          <cell r="J51">
            <v>-23.680847397785556</v>
          </cell>
          <cell r="L51" t="str">
            <v>NA</v>
          </cell>
          <cell r="N51">
            <v>7.9542959755253051</v>
          </cell>
          <cell r="P51">
            <v>36.044560678204896</v>
          </cell>
          <cell r="R51">
            <v>0.28509713152236049</v>
          </cell>
        </row>
        <row r="52">
          <cell r="H52">
            <v>4.3932508648301782</v>
          </cell>
          <cell r="J52">
            <v>-30.084400175318983</v>
          </cell>
          <cell r="L52" t="str">
            <v>NA</v>
          </cell>
          <cell r="N52">
            <v>7.9891245067934102</v>
          </cell>
          <cell r="P52">
            <v>32.885719191029935</v>
          </cell>
          <cell r="R52">
            <v>-2.8397734086669679</v>
          </cell>
        </row>
        <row r="53">
          <cell r="H53">
            <v>80.109174330347571</v>
          </cell>
          <cell r="J53">
            <v>-43.775366597196175</v>
          </cell>
          <cell r="L53" t="str">
            <v>NA</v>
          </cell>
          <cell r="N53">
            <v>17.884169268356121</v>
          </cell>
          <cell r="P53">
            <v>27.316011075390101</v>
          </cell>
          <cell r="R53">
            <v>-17.858427754227812</v>
          </cell>
        </row>
        <row r="54">
          <cell r="H54">
            <v>0.11799999999999999</v>
          </cell>
          <cell r="J54">
            <v>9.4E-2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21.466000000000001</v>
          </cell>
          <cell r="N57">
            <v>69.561418399999994</v>
          </cell>
          <cell r="P57">
            <v>92.221000000000004</v>
          </cell>
          <cell r="R57">
            <v>2.669</v>
          </cell>
        </row>
        <row r="59">
          <cell r="H59">
            <v>1269.0999999999999</v>
          </cell>
          <cell r="J59">
            <v>1201.9769999999999</v>
          </cell>
          <cell r="L59">
            <v>433.358</v>
          </cell>
          <cell r="N59">
            <v>342.47300000000001</v>
          </cell>
          <cell r="P59">
            <v>383.63</v>
          </cell>
          <cell r="R59">
            <v>452.83299999999997</v>
          </cell>
        </row>
        <row r="60">
          <cell r="H60">
            <v>0</v>
          </cell>
          <cell r="J60">
            <v>0</v>
          </cell>
          <cell r="L60">
            <v>53.798000000000002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2554.8409999999999</v>
          </cell>
          <cell r="L62">
            <v>487.15600000000001</v>
          </cell>
          <cell r="N62">
            <v>342.47300000000001</v>
          </cell>
          <cell r="P62">
            <v>383.63</v>
          </cell>
          <cell r="R62">
            <v>452.83299999999997</v>
          </cell>
        </row>
        <row r="66">
          <cell r="H66">
            <v>47.773776565850007</v>
          </cell>
          <cell r="I66" t="str">
            <v>%</v>
          </cell>
          <cell r="J66">
            <v>57.166043666385534</v>
          </cell>
          <cell r="K66" t="str">
            <v>%</v>
          </cell>
          <cell r="L66">
            <v>58.11554874712769</v>
          </cell>
          <cell r="N66">
            <v>55.374882525658521</v>
          </cell>
          <cell r="O66" t="str">
            <v>%</v>
          </cell>
          <cell r="P66">
            <v>57.509224044956575</v>
          </cell>
          <cell r="R66">
            <v>44.629716546256098</v>
          </cell>
        </row>
        <row r="67">
          <cell r="H67">
            <v>44.985248210791475</v>
          </cell>
          <cell r="J67">
            <v>55.79936708108729</v>
          </cell>
          <cell r="L67" t="str">
            <v>NA</v>
          </cell>
          <cell r="N67">
            <v>54.371332526100993</v>
          </cell>
          <cell r="P67">
            <v>56.420316508866328</v>
          </cell>
          <cell r="R67">
            <v>45.98705912205024</v>
          </cell>
        </row>
        <row r="68">
          <cell r="H68">
            <v>47.481791930784304</v>
          </cell>
          <cell r="J68">
            <v>59.873901976318578</v>
          </cell>
          <cell r="L68" t="str">
            <v>NA</v>
          </cell>
          <cell r="N68">
            <v>54.993968370956203</v>
          </cell>
          <cell r="P68">
            <v>58.91029117373342</v>
          </cell>
          <cell r="R68">
            <v>46.276150054451925</v>
          </cell>
        </row>
        <row r="69">
          <cell r="H69">
            <v>46.746938902475257</v>
          </cell>
          <cell r="I69" t="str">
            <v>%</v>
          </cell>
          <cell r="J69">
            <v>57.613104241263805</v>
          </cell>
          <cell r="K69" t="str">
            <v>%</v>
          </cell>
          <cell r="L69">
            <v>58.11554874712769</v>
          </cell>
          <cell r="N69">
            <v>54.913394474238572</v>
          </cell>
          <cell r="O69" t="str">
            <v>%</v>
          </cell>
          <cell r="P69">
            <v>57.61327724251877</v>
          </cell>
          <cell r="R69">
            <v>45.630975240919419</v>
          </cell>
        </row>
        <row r="72">
          <cell r="H72">
            <v>19.077454674132511</v>
          </cell>
          <cell r="I72" t="str">
            <v>%</v>
          </cell>
          <cell r="J72">
            <v>14.928200049083809</v>
          </cell>
          <cell r="K72" t="str">
            <v>%</v>
          </cell>
          <cell r="L72">
            <v>16.338549075391175</v>
          </cell>
          <cell r="N72">
            <v>39.363063412251307</v>
          </cell>
          <cell r="O72" t="str">
            <v>%</v>
          </cell>
          <cell r="P72">
            <v>42.381222682636093</v>
          </cell>
          <cell r="R72">
            <v>31.996245201736595</v>
          </cell>
        </row>
        <row r="73">
          <cell r="H73">
            <v>15.047124782277807</v>
          </cell>
          <cell r="J73">
            <v>7.0727434275582475</v>
          </cell>
          <cell r="L73" t="str">
            <v>NA</v>
          </cell>
          <cell r="N73">
            <v>39.188025865305107</v>
          </cell>
          <cell r="P73">
            <v>39.384692232590872</v>
          </cell>
          <cell r="R73">
            <v>34.44874397361076</v>
          </cell>
        </row>
        <row r="74">
          <cell r="H74">
            <v>19.168793752135237</v>
          </cell>
          <cell r="J74">
            <v>15.810099703161162</v>
          </cell>
          <cell r="L74" t="str">
            <v>NA</v>
          </cell>
          <cell r="N74">
            <v>40.072379548525475</v>
          </cell>
          <cell r="P74">
            <v>40.513253124979066</v>
          </cell>
          <cell r="R74">
            <v>34.665902589263489</v>
          </cell>
        </row>
        <row r="75">
          <cell r="H75">
            <v>17.76445773618185</v>
          </cell>
          <cell r="I75" t="str">
            <v>%</v>
          </cell>
          <cell r="J75">
            <v>12.603681059934408</v>
          </cell>
          <cell r="K75" t="str">
            <v>%</v>
          </cell>
          <cell r="L75">
            <v>16.338549075391175</v>
          </cell>
          <cell r="N75">
            <v>39.541156275360628</v>
          </cell>
          <cell r="O75" t="str">
            <v>%</v>
          </cell>
          <cell r="P75">
            <v>40.759722680068677</v>
          </cell>
          <cell r="R75">
            <v>33.703630588203616</v>
          </cell>
        </row>
        <row r="78">
          <cell r="H78">
            <v>14.402281384650612</v>
          </cell>
          <cell r="I78" t="str">
            <v>%</v>
          </cell>
          <cell r="J78">
            <v>7.3357889242138308</v>
          </cell>
          <cell r="K78" t="str">
            <v>%</v>
          </cell>
          <cell r="L78">
            <v>7.1136885873727902</v>
          </cell>
          <cell r="N78">
            <v>30.553947934309939</v>
          </cell>
          <cell r="O78" t="str">
            <v>%</v>
          </cell>
          <cell r="P78">
            <v>32.060888157272331</v>
          </cell>
          <cell r="R78">
            <v>23.094104631476615</v>
          </cell>
        </row>
        <row r="79">
          <cell r="H79">
            <v>9.5569281160237072</v>
          </cell>
          <cell r="J79">
            <v>9.6086438187431233E-2</v>
          </cell>
          <cell r="L79" t="str">
            <v>NA</v>
          </cell>
          <cell r="N79">
            <v>30.384112764149858</v>
          </cell>
          <cell r="P79">
            <v>27.771041936289532</v>
          </cell>
          <cell r="R79">
            <v>26.081155375116293</v>
          </cell>
        </row>
        <row r="80">
          <cell r="H80">
            <v>13.815501720164763</v>
          </cell>
          <cell r="J80">
            <v>9.2574823445518337</v>
          </cell>
          <cell r="L80" t="str">
            <v>NA</v>
          </cell>
          <cell r="N80">
            <v>31.084464854343235</v>
          </cell>
          <cell r="P80">
            <v>32.122173793694458</v>
          </cell>
          <cell r="R80">
            <v>26.656331834858822</v>
          </cell>
        </row>
        <row r="81">
          <cell r="H81">
            <v>12.59157040694636</v>
          </cell>
          <cell r="I81" t="str">
            <v>%</v>
          </cell>
          <cell r="J81">
            <v>5.5631192356510324</v>
          </cell>
          <cell r="K81" t="str">
            <v>%</v>
          </cell>
          <cell r="L81">
            <v>7.1136885873727902</v>
          </cell>
          <cell r="N81">
            <v>30.674175184267678</v>
          </cell>
          <cell r="O81" t="str">
            <v>%</v>
          </cell>
          <cell r="P81">
            <v>30.651367962418774</v>
          </cell>
          <cell r="R81">
            <v>25.277197280483907</v>
          </cell>
        </row>
        <row r="84">
          <cell r="H84">
            <v>7.3187485689307055</v>
          </cell>
          <cell r="I84" t="str">
            <v>%</v>
          </cell>
          <cell r="J84">
            <v>2.0912083614725003</v>
          </cell>
          <cell r="K84" t="str">
            <v>%</v>
          </cell>
          <cell r="L84">
            <v>-27.734325418535942</v>
          </cell>
          <cell r="N84">
            <v>15.289451467831942</v>
          </cell>
          <cell r="O84" t="str">
            <v>%</v>
          </cell>
          <cell r="P84">
            <v>11.859756674424325</v>
          </cell>
          <cell r="R84">
            <v>12.130596577099082</v>
          </cell>
        </row>
        <row r="85">
          <cell r="H85">
            <v>6.2805919216983845</v>
          </cell>
          <cell r="J85">
            <v>-3.8189276288776846</v>
          </cell>
          <cell r="L85" t="str">
            <v>NA</v>
          </cell>
          <cell r="N85">
            <v>13.585212406540274</v>
          </cell>
          <cell r="P85">
            <v>9.4017210453420521</v>
          </cell>
          <cell r="R85">
            <v>16.452254081028503</v>
          </cell>
        </row>
        <row r="86">
          <cell r="H86">
            <v>2.3585515363976421</v>
          </cell>
          <cell r="J86">
            <v>4.0807339719002886</v>
          </cell>
          <cell r="L86" t="str">
            <v>NA</v>
          </cell>
          <cell r="N86">
            <v>13.053201172939247</v>
          </cell>
          <cell r="P86">
            <v>12.944811563929004</v>
          </cell>
          <cell r="R86">
            <v>19.589909612078511</v>
          </cell>
        </row>
        <row r="87">
          <cell r="H87">
            <v>5.3192973423422432</v>
          </cell>
          <cell r="I87" t="str">
            <v>%</v>
          </cell>
          <cell r="J87">
            <v>0.78433823483170151</v>
          </cell>
          <cell r="K87" t="str">
            <v>%</v>
          </cell>
          <cell r="L87">
            <v>-27.734325418535942</v>
          </cell>
          <cell r="N87">
            <v>13.975955015770488</v>
          </cell>
          <cell r="O87" t="str">
            <v>%</v>
          </cell>
          <cell r="P87">
            <v>11.402096427898462</v>
          </cell>
          <cell r="R87">
            <v>16.057586756735365</v>
          </cell>
        </row>
        <row r="92">
          <cell r="H92">
            <v>4804.1000000000004</v>
          </cell>
          <cell r="J92">
            <v>2856.3389999999999</v>
          </cell>
          <cell r="L92">
            <v>473.69900000000001</v>
          </cell>
          <cell r="N92">
            <v>406.447</v>
          </cell>
          <cell r="P92">
            <v>533.58000000000004</v>
          </cell>
          <cell r="R92">
            <v>481.25499999999994</v>
          </cell>
        </row>
        <row r="93">
          <cell r="H93">
            <v>4804.1000000000004</v>
          </cell>
          <cell r="J93">
            <v>2856.3389999999999</v>
          </cell>
          <cell r="L93">
            <v>456.95</v>
          </cell>
          <cell r="N93">
            <v>376.678</v>
          </cell>
          <cell r="P93">
            <v>528.51</v>
          </cell>
          <cell r="R93">
            <v>477.25599999999997</v>
          </cell>
        </row>
        <row r="94">
          <cell r="H94">
            <v>4669.942</v>
          </cell>
          <cell r="J94">
            <v>3787.2150000000001</v>
          </cell>
          <cell r="L94">
            <v>0</v>
          </cell>
          <cell r="N94">
            <v>354.29700000000003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4630.3680000000004</v>
          </cell>
          <cell r="L95">
            <v>0</v>
          </cell>
          <cell r="N95">
            <v>317.49299999999999</v>
          </cell>
          <cell r="P95">
            <v>298.72199999999998</v>
          </cell>
          <cell r="R95">
            <v>438.00099999999998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2295.1000000000004</v>
          </cell>
          <cell r="J98">
            <v>1632.856</v>
          </cell>
          <cell r="L98">
            <v>265.55899999999997</v>
          </cell>
          <cell r="N98">
            <v>208.58500000000001</v>
          </cell>
          <cell r="P98">
            <v>303.94200000000001</v>
          </cell>
          <cell r="R98">
            <v>212.99799999999999</v>
          </cell>
        </row>
        <row r="99">
          <cell r="H99">
            <v>2100.7849999999999</v>
          </cell>
          <cell r="J99">
            <v>2113.2420000000002</v>
          </cell>
          <cell r="L99">
            <v>0</v>
          </cell>
          <cell r="N99">
            <v>192.63600000000002</v>
          </cell>
          <cell r="P99">
            <v>248.49199999999999</v>
          </cell>
          <cell r="R99">
            <v>217.482</v>
          </cell>
        </row>
        <row r="100">
          <cell r="H100">
            <v>2182.0209999999997</v>
          </cell>
          <cell r="J100">
            <v>2772.3819974628232</v>
          </cell>
          <cell r="L100">
            <v>0</v>
          </cell>
          <cell r="N100">
            <v>174.60199999999998</v>
          </cell>
          <cell r="P100">
            <v>175.97799999999995</v>
          </cell>
          <cell r="R100">
            <v>202.68999999999997</v>
          </cell>
        </row>
        <row r="103">
          <cell r="H103">
            <v>916.5</v>
          </cell>
          <cell r="J103">
            <v>426.4</v>
          </cell>
          <cell r="L103">
            <v>85.654999999999973</v>
          </cell>
          <cell r="N103">
            <v>168.01399999999998</v>
          </cell>
          <cell r="P103">
            <v>225.72300000000001</v>
          </cell>
          <cell r="R103">
            <v>151.97999999999999</v>
          </cell>
        </row>
        <row r="104">
          <cell r="H104">
            <v>916.5</v>
          </cell>
          <cell r="J104">
            <v>426.4</v>
          </cell>
          <cell r="L104">
            <v>74.658999999999963</v>
          </cell>
          <cell r="N104">
            <v>148.27199999999999</v>
          </cell>
          <cell r="P104">
            <v>223.989</v>
          </cell>
          <cell r="R104">
            <v>152.70400000000001</v>
          </cell>
        </row>
        <row r="105">
          <cell r="H105">
            <v>702.69199999999989</v>
          </cell>
          <cell r="J105">
            <v>267.86000000000013</v>
          </cell>
          <cell r="L105">
            <v>0</v>
          </cell>
          <cell r="N105">
            <v>138.84200000000004</v>
          </cell>
          <cell r="P105">
            <v>173.46199999999999</v>
          </cell>
          <cell r="R105">
            <v>162.91499999999999</v>
          </cell>
        </row>
        <row r="106">
          <cell r="H106">
            <v>880.89999999999964</v>
          </cell>
          <cell r="J106">
            <v>732.06579742326949</v>
          </cell>
          <cell r="L106">
            <v>0</v>
          </cell>
          <cell r="N106">
            <v>127.22699999999998</v>
          </cell>
          <cell r="P106">
            <v>121.02199999999995</v>
          </cell>
          <cell r="R106">
            <v>151.83699999999996</v>
          </cell>
        </row>
        <row r="109">
          <cell r="H109">
            <v>691.90000000000009</v>
          </cell>
          <cell r="J109">
            <v>209.53500000000008</v>
          </cell>
          <cell r="L109">
            <v>46.256999999999977</v>
          </cell>
          <cell r="N109">
            <v>135.13899999999998</v>
          </cell>
          <cell r="P109">
            <v>174.23</v>
          </cell>
          <cell r="R109">
            <v>109.99600000000001</v>
          </cell>
        </row>
        <row r="110">
          <cell r="H110">
            <v>691.90000000000009</v>
          </cell>
          <cell r="J110">
            <v>209.53500000000008</v>
          </cell>
          <cell r="L110">
            <v>32.505999999999965</v>
          </cell>
          <cell r="N110">
            <v>115.08999999999999</v>
          </cell>
          <cell r="P110">
            <v>169.44499999999999</v>
          </cell>
          <cell r="R110">
            <v>110.21800000000002</v>
          </cell>
        </row>
        <row r="111">
          <cell r="H111">
            <v>446.30299999999988</v>
          </cell>
          <cell r="J111">
            <v>3.6390000000001237</v>
          </cell>
          <cell r="L111">
            <v>0</v>
          </cell>
          <cell r="N111">
            <v>107.65000000000003</v>
          </cell>
          <cell r="P111">
            <v>122.31199999999998</v>
          </cell>
          <cell r="R111">
            <v>123.34299999999999</v>
          </cell>
        </row>
        <row r="112">
          <cell r="H112">
            <v>634.88999999999965</v>
          </cell>
          <cell r="J112">
            <v>428.65550008777791</v>
          </cell>
          <cell r="L112">
            <v>0</v>
          </cell>
          <cell r="N112">
            <v>98.690999999999974</v>
          </cell>
          <cell r="P112">
            <v>95.955999999999946</v>
          </cell>
          <cell r="R112">
            <v>116.75499999999997</v>
          </cell>
        </row>
        <row r="115">
          <cell r="H115">
            <v>351.6</v>
          </cell>
          <cell r="J115">
            <v>59.731999999999999</v>
          </cell>
          <cell r="L115">
            <v>-102.04499999999999</v>
          </cell>
          <cell r="N115">
            <v>57.591999999999999</v>
          </cell>
          <cell r="P115">
            <v>62.68</v>
          </cell>
          <cell r="R115">
            <v>57.893999999999998</v>
          </cell>
        </row>
        <row r="116">
          <cell r="H116">
            <v>351.6</v>
          </cell>
          <cell r="J116">
            <v>59.731999999999999</v>
          </cell>
          <cell r="L116">
            <v>-126.732</v>
          </cell>
          <cell r="N116">
            <v>57.591999999999999</v>
          </cell>
          <cell r="P116">
            <v>62.68</v>
          </cell>
          <cell r="R116">
            <v>57.893999999999998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48.131999999999998</v>
          </cell>
          <cell r="P117">
            <v>41.408000000000001</v>
          </cell>
          <cell r="R117">
            <v>77.805999999999997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41.442999999999998</v>
          </cell>
          <cell r="P118">
            <v>38.668999999999997</v>
          </cell>
          <cell r="R118">
            <v>85.804000000000002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1.1299999999999999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1.1299999999999999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1.1299999999999999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2.0499999999999998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 xml:space="preserve"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9.4E-2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2.0499999999999998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590.20000000000005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172.75187399999999</v>
          </cell>
          <cell r="L169">
            <v>8.9912620000000008</v>
          </cell>
          <cell r="N169">
            <v>41.881270000000001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0.80735032831208953</v>
          </cell>
          <cell r="P170">
            <v>0</v>
          </cell>
        </row>
        <row r="171">
          <cell r="J171">
            <v>172.75187399999999</v>
          </cell>
          <cell r="L171">
            <v>8.9912620000000008</v>
          </cell>
          <cell r="N171">
            <v>42.688620328312091</v>
          </cell>
          <cell r="P171">
            <v>53.146321</v>
          </cell>
        </row>
        <row r="174">
          <cell r="J174">
            <v>233.095</v>
          </cell>
          <cell r="L174">
            <v>21.466000000000001</v>
          </cell>
          <cell r="N174">
            <v>69.561418399999994</v>
          </cell>
          <cell r="P174">
            <v>92.221000000000004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1201.9769999999999</v>
          </cell>
          <cell r="L176">
            <v>433.358</v>
          </cell>
          <cell r="N176">
            <v>342.47300000000001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53.798000000000002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96.567999999999998</v>
          </cell>
          <cell r="P183">
            <v>125.759</v>
          </cell>
        </row>
        <row r="184">
          <cell r="L184">
            <v>99.703999999999994</v>
          </cell>
          <cell r="N184">
            <v>66.799000000000007</v>
          </cell>
          <cell r="P184">
            <v>120.68899999999999</v>
          </cell>
        </row>
        <row r="185">
          <cell r="J185">
            <v>2856.3389999999999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3787.2150000000001</v>
          </cell>
          <cell r="N186">
            <v>354.29700000000003</v>
          </cell>
          <cell r="P186">
            <v>440.43</v>
          </cell>
        </row>
        <row r="187">
          <cell r="J187">
            <v>4630.3680000000004</v>
          </cell>
          <cell r="N187">
            <v>317.49299999999999</v>
          </cell>
          <cell r="P187">
            <v>298.72199999999998</v>
          </cell>
        </row>
        <row r="189">
          <cell r="L189">
            <v>45.18</v>
          </cell>
          <cell r="N189">
            <v>39.927999999999997</v>
          </cell>
          <cell r="P189">
            <v>47.436000000000007</v>
          </cell>
        </row>
        <row r="190">
          <cell r="L190">
            <v>38.923000000000002</v>
          </cell>
          <cell r="N190">
            <v>30.744</v>
          </cell>
          <cell r="P190">
            <v>43.820000000000007</v>
          </cell>
        </row>
        <row r="191">
          <cell r="J191">
            <v>1223.4829999999999</v>
          </cell>
          <cell r="L191">
            <v>191.39099999999999</v>
          </cell>
          <cell r="N191">
            <v>168.09299999999999</v>
          </cell>
          <cell r="P191">
            <v>224.56800000000001</v>
          </cell>
        </row>
        <row r="192">
          <cell r="J192">
            <v>1673.973</v>
          </cell>
          <cell r="N192">
            <v>161.661</v>
          </cell>
          <cell r="P192">
            <v>191.93800000000002</v>
          </cell>
        </row>
        <row r="193">
          <cell r="J193">
            <v>1857.9860025371772</v>
          </cell>
          <cell r="N193">
            <v>142.89100000000002</v>
          </cell>
          <cell r="P193">
            <v>122.74400000000001</v>
          </cell>
        </row>
        <row r="195">
          <cell r="L195">
            <v>47.564</v>
          </cell>
          <cell r="N195">
            <v>14.355</v>
          </cell>
          <cell r="P195">
            <v>19.228000000000002</v>
          </cell>
        </row>
        <row r="196">
          <cell r="L196">
            <v>48.068000000000005</v>
          </cell>
          <cell r="N196">
            <v>13.512</v>
          </cell>
          <cell r="P196">
            <v>19.507999999999999</v>
          </cell>
        </row>
        <row r="197">
          <cell r="J197">
            <v>1423.3209999999999</v>
          </cell>
          <cell r="L197">
            <v>190.9</v>
          </cell>
          <cell r="N197">
            <v>60.313000000000002</v>
          </cell>
          <cell r="P197">
            <v>79.953000000000003</v>
          </cell>
        </row>
        <row r="198">
          <cell r="J198">
            <v>2109.6030000000001</v>
          </cell>
          <cell r="N198">
            <v>53.793999999999997</v>
          </cell>
          <cell r="P198">
            <v>75.03</v>
          </cell>
        </row>
        <row r="199">
          <cell r="J199">
            <v>2343.7264973750453</v>
          </cell>
          <cell r="N199">
            <v>47.375</v>
          </cell>
          <cell r="P199">
            <v>54.956000000000003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59.731999999999999</v>
          </cell>
          <cell r="L216">
            <v>-126.732</v>
          </cell>
          <cell r="N216">
            <v>57.591999999999999</v>
          </cell>
          <cell r="P216">
            <v>62.68</v>
          </cell>
        </row>
        <row r="217">
          <cell r="J217">
            <v>-144.631</v>
          </cell>
          <cell r="N217">
            <v>48.131999999999998</v>
          </cell>
          <cell r="P217">
            <v>41.408000000000001</v>
          </cell>
        </row>
        <row r="218">
          <cell r="J218">
            <v>188.953</v>
          </cell>
          <cell r="N218">
            <v>41.442999999999998</v>
          </cell>
          <cell r="P218">
            <v>38.668999999999997</v>
          </cell>
        </row>
        <row r="221">
          <cell r="L221">
            <v>-0.96</v>
          </cell>
        </row>
        <row r="222">
          <cell r="L222">
            <v>-1.1299999999999999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1.1299999999999999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8.0269999999999992</v>
          </cell>
          <cell r="N230">
            <v>7.923</v>
          </cell>
          <cell r="P230">
            <v>9.9130000000000003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216.8649999999999</v>
          </cell>
          <cell r="L232">
            <v>42.152999999999999</v>
          </cell>
          <cell r="N232">
            <v>33.182000000000002</v>
          </cell>
          <cell r="P232">
            <v>54.543999999999997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303.41029733549163</v>
          </cell>
          <cell r="N234">
            <v>28.536000000000001</v>
          </cell>
          <cell r="P234">
            <v>25.065999999999999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23.613645908592321</v>
          </cell>
        </row>
        <row r="27">
          <cell r="P27">
            <v>78.406999999999996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 xml:space="preserve"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 xml:space="preserve"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 xml:space="preserve"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 xml:space="preserve"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 xml:space="preserve"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 xml:space="preserve"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 xml:space="preserve"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 xml:space="preserve"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 xml:space="preserve"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 xml:space="preserve"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 xml:space="preserve"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 xml:space="preserve"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 xml:space="preserve"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 xml:space="preserve"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 xml:space="preserve"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 xml:space="preserve"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 xml:space="preserve"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 xml:space="preserve"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 xml:space="preserve"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 xml:space="preserve"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 xml:space="preserve"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 xml:space="preserve"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 xml:space="preserve"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 xml:space="preserve"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 xml:space="preserve"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 xml:space="preserve"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 xml:space="preserve"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 xml:space="preserve"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 xml:space="preserve"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 xml:space="preserve"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 xml:space="preserve"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 xml:space="preserve"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 xml:space="preserve"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 xml:space="preserve"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 xml:space="preserve"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 xml:space="preserve"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 xml:space="preserve"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 xml:space="preserve"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 xml:space="preserve"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 xml:space="preserve"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 xml:space="preserve"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 xml:space="preserve"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 xml:space="preserve"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 xml:space="preserve"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 xml:space="preserve"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 xml:space="preserve"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 xml:space="preserve"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 xml:space="preserve"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 xml:space="preserve"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 xml:space="preserve"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 xml:space="preserve"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 xml:space="preserve"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 xml:space="preserve"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 xml:space="preserve"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 xml:space="preserve"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 xml:space="preserve"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 xml:space="preserve"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 xml:space="preserve"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 xml:space="preserve"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 xml:space="preserve"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 xml:space="preserve"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 xml:space="preserve"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 xml:space="preserve"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 xml:space="preserve"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 xml:space="preserve"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 xml:space="preserve"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 xml:space="preserve"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 xml:space="preserve"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 xml:space="preserve"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 xml:space="preserve"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 xml:space="preserve"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 xml:space="preserve"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 xml:space="preserve"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 xml:space="preserve"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 xml:space="preserve"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 xml:space="preserve"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 xml:space="preserve"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 xml:space="preserve"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 xml:space="preserve"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 xml:space="preserve"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 xml:space="preserve"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 xml:space="preserve"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 xml:space="preserve"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 xml:space="preserve"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 xml:space="preserve"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 xml:space="preserve"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 xml:space="preserve"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 xml:space="preserve"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 xml:space="preserve"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 xml:space="preserve"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 xml:space="preserve"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 xml:space="preserve"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 xml:space="preserve"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 xml:space="preserve"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 xml:space="preserve"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 xml:space="preserve"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 xml:space="preserve"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 xml:space="preserve"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 xml:space="preserve"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 xml:space="preserve"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 xml:space="preserve"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 xml:space="preserve"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 xml:space="preserve"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 xml:space="preserve"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 xml:space="preserve"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 xml:space="preserve"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 xml:space="preserve"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 xml:space="preserve"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 xml:space="preserve"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 xml:space="preserve"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 xml:space="preserve"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 xml:space="preserve"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 xml:space="preserve"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 xml:space="preserve"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 xml:space="preserve"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 xml:space="preserve"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 xml:space="preserve"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 xml:space="preserve"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 xml:space="preserve"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 xml:space="preserve"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 xml:space="preserve"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 xml:space="preserve"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 xml:space="preserve"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 xml:space="preserve"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 xml:space="preserve"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 xml:space="preserve"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 xml:space="preserve"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 xml:space="preserve"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 xml:space="preserve"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 xml:space="preserve"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 xml:space="preserve"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 xml:space="preserve"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 xml:space="preserve"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 xml:space="preserve"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 xml:space="preserve"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 xml:space="preserve"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 xml:space="preserve"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 xml:space="preserve"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 xml:space="preserve"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 xml:space="preserve"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 xml:space="preserve"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 xml:space="preserve"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 xml:space="preserve"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 xml:space="preserve"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 xml:space="preserve"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 xml:space="preserve"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 xml:space="preserve"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 xml:space="preserve"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 xml:space="preserve"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 xml:space="preserve"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 xml:space="preserve"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 xml:space="preserve"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 xml:space="preserve"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 xml:space="preserve"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 xml:space="preserve"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 xml:space="preserve"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 xml:space="preserve"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 xml:space="preserve"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 xml:space="preserve"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 xml:space="preserve"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 xml:space="preserve"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 xml:space="preserve"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 xml:space="preserve"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 xml:space="preserve"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 xml:space="preserve"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 xml:space="preserve"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 xml:space="preserve"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 xml:space="preserve"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 xml:space="preserve"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 xml:space="preserve"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 xml:space="preserve"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 xml:space="preserve"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 xml:space="preserve"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 xml:space="preserve"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 xml:space="preserve"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 xml:space="preserve"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 xml:space="preserve"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 xml:space="preserve"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 xml:space="preserve"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 xml:space="preserve"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 xml:space="preserve"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 xml:space="preserve"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 xml:space="preserve"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 xml:space="preserve"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 xml:space="preserve"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 xml:space="preserve"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 xml:space="preserve"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 xml:space="preserve"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 xml:space="preserve"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 xml:space="preserve"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 xml:space="preserve"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 xml:space="preserve"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 xml:space="preserve"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 xml:space="preserve"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 xml:space="preserve"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 xml:space="preserve"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 xml:space="preserve"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 xml:space="preserve"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 xml:space="preserve"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 xml:space="preserve"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 xml:space="preserve"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 xml:space="preserve"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 xml:space="preserve"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 xml:space="preserve"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 xml:space="preserve"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 xml:space="preserve"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 xml:space="preserve"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 xml:space="preserve"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 xml:space="preserve"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 xml:space="preserve"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 xml:space="preserve"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 xml:space="preserve"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 xml:space="preserve"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 xml:space="preserve"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 xml:space="preserve"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 xml:space="preserve"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 xml:space="preserve"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 xml:space="preserve"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 xml:space="preserve"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 xml:space="preserve"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 xml:space="preserve"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 xml:space="preserve"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 xml:space="preserve"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 xml:space="preserve"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 xml:space="preserve"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 xml:space="preserve"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 xml:space="preserve"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 xml:space="preserve"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 xml:space="preserve"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 xml:space="preserve"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 xml:space="preserve"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 xml:space="preserve"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 xml:space="preserve"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 xml:space="preserve"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 xml:space="preserve"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 xml:space="preserve"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 xml:space="preserve"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 xml:space="preserve"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 xml:space="preserve"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 xml:space="preserve"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 xml:space="preserve"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 xml:space="preserve"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 xml:space="preserve"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 xml:space="preserve"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 xml:space="preserve"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 xml:space="preserve"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 xml:space="preserve"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 xml:space="preserve"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 xml:space="preserve"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 xml:space="preserve"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 xml:space="preserve"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 xml:space="preserve"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 xml:space="preserve"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 xml:space="preserve"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 xml:space="preserve"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 xml:space="preserve"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 xml:space="preserve"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 xml:space="preserve"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 xml:space="preserve"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 xml:space="preserve"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 xml:space="preserve"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 xml:space="preserve"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 xml:space="preserve"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 xml:space="preserve"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 xml:space="preserve"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 xml:space="preserve"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 xml:space="preserve"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 xml:space="preserve"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 xml:space="preserve"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 xml:space="preserve"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 xml:space="preserve"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 xml:space="preserve"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 xml:space="preserve"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 xml:space="preserve"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 xml:space="preserve"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 xml:space="preserve"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 xml:space="preserve"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 xml:space="preserve"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 xml:space="preserve"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 xml:space="preserve"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 xml:space="preserve"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 xml:space="preserve"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 xml:space="preserve"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 xml:space="preserve"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 xml:space="preserve"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 xml:space="preserve"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 xml:space="preserve"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 xml:space="preserve"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 xml:space="preserve"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 xml:space="preserve"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 xml:space="preserve"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 xml:space="preserve"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 xml:space="preserve"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 xml:space="preserve"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 xml:space="preserve"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 xml:space="preserve"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 xml:space="preserve"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 xml:space="preserve"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 xml:space="preserve"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 xml:space="preserve"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 xml:space="preserve"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 xml:space="preserve"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 xml:space="preserve"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 xml:space="preserve"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 xml:space="preserve"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 xml:space="preserve"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 xml:space="preserve"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 xml:space="preserve"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 xml:space="preserve"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 xml:space="preserve"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 xml:space="preserve"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 xml:space="preserve"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 xml:space="preserve"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 xml:space="preserve"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 xml:space="preserve"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 xml:space="preserve"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 xml:space="preserve"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 xml:space="preserve"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 xml:space="preserve"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 xml:space="preserve"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 xml:space="preserve"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 xml:space="preserve"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 xml:space="preserve"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 xml:space="preserve"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 xml:space="preserve"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 xml:space="preserve"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 xml:space="preserve"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 xml:space="preserve"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 xml:space="preserve"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 xml:space="preserve"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 xml:space="preserve"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 xml:space="preserve"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 xml:space="preserve"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 xml:space="preserve"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 xml:space="preserve"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 xml:space="preserve"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 xml:space="preserve"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 xml:space="preserve"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 xml:space="preserve"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 xml:space="preserve"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 xml:space="preserve"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 xml:space="preserve"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 xml:space="preserve"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 xml:space="preserve"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 xml:space="preserve"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 xml:space="preserve"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 xml:space="preserve"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 xml:space="preserve"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 xml:space="preserve"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 xml:space="preserve"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 xml:space="preserve"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 xml:space="preserve"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 xml:space="preserve"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 xml:space="preserve"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 xml:space="preserve"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 xml:space="preserve"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 xml:space="preserve"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 xml:space="preserve"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 xml:space="preserve"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 xml:space="preserve"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 xml:space="preserve"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 xml:space="preserve"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 xml:space="preserve"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 xml:space="preserve"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 xml:space="preserve"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 xml:space="preserve"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 xml:space="preserve"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 xml:space="preserve"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 xml:space="preserve"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 xml:space="preserve"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 xml:space="preserve"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 xml:space="preserve"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 xml:space="preserve"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 xml:space="preserve"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 xml:space="preserve"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 xml:space="preserve"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 xml:space="preserve"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 xml:space="preserve"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 xml:space="preserve"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 xml:space="preserve"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 xml:space="preserve"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 xml:space="preserve"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 xml:space="preserve"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 xml:space="preserve"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 xml:space="preserve"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 xml:space="preserve"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 xml:space="preserve"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 xml:space="preserve"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 xml:space="preserve"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 xml:space="preserve"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 xml:space="preserve"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 xml:space="preserve"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 xml:space="preserve"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 xml:space="preserve"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 xml:space="preserve"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 xml:space="preserve"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 xml:space="preserve"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 xml:space="preserve"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 xml:space="preserve"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 xml:space="preserve"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 xml:space="preserve"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 xml:space="preserve"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 xml:space="preserve"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 xml:space="preserve"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 xml:space="preserve"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 xml:space="preserve"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 xml:space="preserve"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 xml:space="preserve"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 xml:space="preserve"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 xml:space="preserve"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 xml:space="preserve"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 xml:space="preserve"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 xml:space="preserve"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 xml:space="preserve"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 xml:space="preserve"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 xml:space="preserve"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 xml:space="preserve"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 xml:space="preserve"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 xml:space="preserve"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 xml:space="preserve"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 xml:space="preserve"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 xml:space="preserve"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 xml:space="preserve"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 xml:space="preserve"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 xml:space="preserve"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 xml:space="preserve"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 xml:space="preserve"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 xml:space="preserve"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 xml:space="preserve"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 xml:space="preserve"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 xml:space="preserve"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 xml:space="preserve"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 xml:space="preserve"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 xml:space="preserve"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 xml:space="preserve"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 xml:space="preserve"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 xml:space="preserve"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 xml:space="preserve"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 xml:space="preserve"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 xml:space="preserve"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 xml:space="preserve"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 xml:space="preserve"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 xml:space="preserve"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 xml:space="preserve"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 xml:space="preserve"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 xml:space="preserve"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 xml:space="preserve"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 xml:space="preserve"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 xml:space="preserve"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 xml:space="preserve"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 xml:space="preserve"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 xml:space="preserve"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 xml:space="preserve"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 xml:space="preserve"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 xml:space="preserve"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 xml:space="preserve"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 xml:space="preserve"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 xml:space="preserve"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 xml:space="preserve"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 xml:space="preserve"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 xml:space="preserve"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 xml:space="preserve"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 xml:space="preserve"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 xml:space="preserve"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 xml:space="preserve"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 xml:space="preserve"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 xml:space="preserve"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 xml:space="preserve"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 xml:space="preserve"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 xml:space="preserve"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 xml:space="preserve"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 xml:space="preserve"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 xml:space="preserve"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 xml:space="preserve"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 xml:space="preserve"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 xml:space="preserve"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 xml:space="preserve"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 xml:space="preserve"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 xml:space="preserve"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 xml:space="preserve"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 xml:space="preserve"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 xml:space="preserve"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 xml:space="preserve"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 xml:space="preserve"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 xml:space="preserve"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 xml:space="preserve"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 xml:space="preserve"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 xml:space="preserve"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 xml:space="preserve"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 xml:space="preserve"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 xml:space="preserve"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 xml:space="preserve"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 xml:space="preserve"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 xml:space="preserve"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 xml:space="preserve"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 xml:space="preserve"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 xml:space="preserve"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 xml:space="preserve"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 xml:space="preserve"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 xml:space="preserve"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 xml:space="preserve"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 xml:space="preserve"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 xml:space="preserve"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 xml:space="preserve"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 xml:space="preserve"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 xml:space="preserve"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 xml:space="preserve"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 xml:space="preserve"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 xml:space="preserve"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 xml:space="preserve"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 xml:space="preserve"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 xml:space="preserve"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 xml:space="preserve"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 xml:space="preserve"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 xml:space="preserve"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 xml:space="preserve"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 xml:space="preserve"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 xml:space="preserve"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 xml:space="preserve"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 xml:space="preserve"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 xml:space="preserve"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 xml:space="preserve"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 xml:space="preserve"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 xml:space="preserve"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 xml:space="preserve"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 xml:space="preserve"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 xml:space="preserve"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 xml:space="preserve"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 xml:space="preserve"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 xml:space="preserve"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 xml:space="preserve"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 xml:space="preserve"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 xml:space="preserve"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 xml:space="preserve"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 xml:space="preserve"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 xml:space="preserve"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 xml:space="preserve"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 xml:space="preserve"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 xml:space="preserve"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 xml:space="preserve"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 xml:space="preserve"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 xml:space="preserve"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 xml:space="preserve"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 xml:space="preserve"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 xml:space="preserve"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 xml:space="preserve"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 xml:space="preserve"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 xml:space="preserve"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 xml:space="preserve"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 xml:space="preserve"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 xml:space="preserve"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 xml:space="preserve"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 xml:space="preserve"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 xml:space="preserve"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 xml:space="preserve"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 xml:space="preserve"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 xml:space="preserve"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 xml:space="preserve"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 xml:space="preserve"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 xml:space="preserve"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 xml:space="preserve"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 xml:space="preserve"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 xml:space="preserve"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 xml:space="preserve"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 xml:space="preserve"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 xml:space="preserve"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 xml:space="preserve"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 xml:space="preserve"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 xml:space="preserve"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 xml:space="preserve"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 xml:space="preserve"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 xml:space="preserve"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 xml:space="preserve"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 xml:space="preserve"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 xml:space="preserve"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 xml:space="preserve"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 xml:space="preserve"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 xml:space="preserve"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 xml:space="preserve"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 xml:space="preserve"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 xml:space="preserve"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 xml:space="preserve"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 xml:space="preserve"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 xml:space="preserve"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 xml:space="preserve"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 xml:space="preserve"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 xml:space="preserve"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 xml:space="preserve"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 xml:space="preserve"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 xml:space="preserve"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 xml:space="preserve"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 xml:space="preserve"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 xml:space="preserve"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 xml:space="preserve"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 xml:space="preserve"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 xml:space="preserve"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 xml:space="preserve"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 xml:space="preserve"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 xml:space="preserve"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 xml:space="preserve"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 xml:space="preserve"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 xml:space="preserve"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 xml:space="preserve"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 xml:space="preserve"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 xml:space="preserve"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 xml:space="preserve"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 xml:space="preserve"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 xml:space="preserve"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 xml:space="preserve"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 xml:space="preserve"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 xml:space="preserve"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 xml:space="preserve"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 xml:space="preserve"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 xml:space="preserve"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 xml:space="preserve"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 xml:space="preserve"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 xml:space="preserve"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 xml:space="preserve"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 xml:space="preserve"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 xml:space="preserve"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 xml:space="preserve"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 xml:space="preserve"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 xml:space="preserve"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 xml:space="preserve"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 xml:space="preserve"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 xml:space="preserve"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 xml:space="preserve"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 xml:space="preserve"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 xml:space="preserve"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 xml:space="preserve"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 xml:space="preserve"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 xml:space="preserve"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 xml:space="preserve"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 xml:space="preserve"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 xml:space="preserve"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 xml:space="preserve"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 xml:space="preserve"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 xml:space="preserve"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 xml:space="preserve"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 xml:space="preserve"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 xml:space="preserve"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 xml:space="preserve"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 xml:space="preserve"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 xml:space="preserve"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 xml:space="preserve"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 xml:space="preserve"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 xml:space="preserve"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 xml:space="preserve"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 xml:space="preserve"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 xml:space="preserve"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 xml:space="preserve"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 xml:space="preserve"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 xml:space="preserve"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 xml:space="preserve"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 xml:space="preserve"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 xml:space="preserve"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 xml:space="preserve"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 xml:space="preserve"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 xml:space="preserve"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 xml:space="preserve"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 xml:space="preserve"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 xml:space="preserve"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 xml:space="preserve"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 xml:space="preserve"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 xml:space="preserve"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 xml:space="preserve"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 xml:space="preserve"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 xml:space="preserve"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 xml:space="preserve"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 xml:space="preserve"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 xml:space="preserve"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 xml:space="preserve"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 xml:space="preserve"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 xml:space="preserve"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 xml:space="preserve"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 xml:space="preserve"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 xml:space="preserve"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 xml:space="preserve"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 xml:space="preserve"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 xml:space="preserve"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 xml:space="preserve"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 xml:space="preserve"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 xml:space="preserve"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 xml:space="preserve"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 xml:space="preserve"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 xml:space="preserve"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 xml:space="preserve"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 xml:space="preserve"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 xml:space="preserve"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 xml:space="preserve"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 xml:space="preserve"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 xml:space="preserve"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 xml:space="preserve"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 xml:space="preserve"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 xml:space="preserve"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 xml:space="preserve"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 xml:space="preserve"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 xml:space="preserve"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 xml:space="preserve"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 xml:space="preserve"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 xml:space="preserve"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 xml:space="preserve"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 xml:space="preserve"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 xml:space="preserve"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 xml:space="preserve"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 xml:space="preserve"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 xml:space="preserve"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 xml:space="preserve"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 xml:space="preserve"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 xml:space="preserve"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 xml:space="preserve"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 xml:space="preserve"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 xml:space="preserve"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 xml:space="preserve"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 xml:space="preserve"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 xml:space="preserve"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 xml:space="preserve"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 xml:space="preserve"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 xml:space="preserve"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 xml:space="preserve"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 xml:space="preserve"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 xml:space="preserve"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 xml:space="preserve"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 xml:space="preserve"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 xml:space="preserve"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 xml:space="preserve"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 xml:space="preserve"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 xml:space="preserve"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 xml:space="preserve"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 xml:space="preserve"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 xml:space="preserve"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 xml:space="preserve"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 xml:space="preserve"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 xml:space="preserve"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 xml:space="preserve"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 xml:space="preserve"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 xml:space="preserve"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 xml:space="preserve"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 xml:space="preserve"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 xml:space="preserve"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 xml:space="preserve"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 xml:space="preserve"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 xml:space="preserve"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 xml:space="preserve"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 xml:space="preserve"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 xml:space="preserve"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 xml:space="preserve"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 xml:space="preserve"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 xml:space="preserve"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 xml:space="preserve"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 xml:space="preserve"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 xml:space="preserve"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 xml:space="preserve"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 xml:space="preserve"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 xml:space="preserve"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 xml:space="preserve"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 xml:space="preserve"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 xml:space="preserve"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 xml:space="preserve"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 xml:space="preserve"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 xml:space="preserve"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 xml:space="preserve"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 xml:space="preserve"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 xml:space="preserve"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 xml:space="preserve"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 xml:space="preserve"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 xml:space="preserve"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 xml:space="preserve"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 xml:space="preserve"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 xml:space="preserve"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 xml:space="preserve"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 xml:space="preserve"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 xml:space="preserve"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 xml:space="preserve"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 xml:space="preserve"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 xml:space="preserve"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 xml:space="preserve"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 xml:space="preserve"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 xml:space="preserve"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 xml:space="preserve"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 xml:space="preserve"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 xml:space="preserve"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 xml:space="preserve"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 xml:space="preserve"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 xml:space="preserve"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 xml:space="preserve"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 xml:space="preserve"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 xml:space="preserve"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 xml:space="preserve"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 xml:space="preserve"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 xml:space="preserve"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 xml:space="preserve"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 xml:space="preserve"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 xml:space="preserve"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 xml:space="preserve"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 xml:space="preserve"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 xml:space="preserve"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 xml:space="preserve"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 xml:space="preserve"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 xml:space="preserve"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 xml:space="preserve"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 xml:space="preserve"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 xml:space="preserve"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 xml:space="preserve"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 xml:space="preserve"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 xml:space="preserve"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 xml:space="preserve"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 xml:space="preserve"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 xml:space="preserve"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 xml:space="preserve"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 xml:space="preserve"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 xml:space="preserve"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 xml:space="preserve"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 xml:space="preserve"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 xml:space="preserve"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 xml:space="preserve"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 xml:space="preserve"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 xml:space="preserve"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 xml:space="preserve"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 xml:space="preserve"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 xml:space="preserve"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 xml:space="preserve"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 xml:space="preserve"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 xml:space="preserve"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 xml:space="preserve"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 xml:space="preserve"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 xml:space="preserve"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 xml:space="preserve"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 xml:space="preserve"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 xml:space="preserve"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 xml:space="preserve"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 xml:space="preserve"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 xml:space="preserve"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 xml:space="preserve"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 xml:space="preserve"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 xml:space="preserve"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 xml:space="preserve"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 xml:space="preserve"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 xml:space="preserve"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 xml:space="preserve"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 xml:space="preserve"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 xml:space="preserve"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 xml:space="preserve"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 xml:space="preserve"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 xml:space="preserve"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 xml:space="preserve"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 xml:space="preserve"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 xml:space="preserve"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 xml:space="preserve"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 xml:space="preserve"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 xml:space="preserve"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 xml:space="preserve"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 xml:space="preserve"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 xml:space="preserve"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 xml:space="preserve"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 xml:space="preserve"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 xml:space="preserve"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 xml:space="preserve"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 xml:space="preserve"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 xml:space="preserve"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 xml:space="preserve"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 xml:space="preserve"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 xml:space="preserve"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 xml:space="preserve"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 xml:space="preserve"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 xml:space="preserve"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 xml:space="preserve"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 xml:space="preserve"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 xml:space="preserve"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 xml:space="preserve"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 xml:space="preserve"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 xml:space="preserve"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 xml:space="preserve"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 xml:space="preserve"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 xml:space="preserve"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 xml:space="preserve"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 xml:space="preserve"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 xml:space="preserve"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 xml:space="preserve"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 xml:space="preserve"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 xml:space="preserve"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 xml:space="preserve"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 xml:space="preserve"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 xml:space="preserve"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 xml:space="preserve"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 xml:space="preserve"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 xml:space="preserve"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 xml:space="preserve"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 xml:space="preserve"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 xml:space="preserve"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 xml:space="preserve"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 xml:space="preserve"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 xml:space="preserve"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 xml:space="preserve"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 xml:space="preserve"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 xml:space="preserve"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 xml:space="preserve"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 xml:space="preserve"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 xml:space="preserve"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 xml:space="preserve"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 xml:space="preserve"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 xml:space="preserve"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 xml:space="preserve"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 xml:space="preserve"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 xml:space="preserve"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 xml:space="preserve"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 xml:space="preserve"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 xml:space="preserve"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 xml:space="preserve"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 xml:space="preserve"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 xml:space="preserve"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 xml:space="preserve"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 xml:space="preserve"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 xml:space="preserve"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 xml:space="preserve"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 xml:space="preserve"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 xml:space="preserve"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 xml:space="preserve"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 xml:space="preserve"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 xml:space="preserve"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 xml:space="preserve"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 xml:space="preserve"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 xml:space="preserve"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 xml:space="preserve"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 xml:space="preserve"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 xml:space="preserve"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 xml:space="preserve"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 xml:space="preserve"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 xml:space="preserve"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 xml:space="preserve"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 xml:space="preserve"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 xml:space="preserve"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 xml:space="preserve"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 xml:space="preserve"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 xml:space="preserve"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 xml:space="preserve"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 xml:space="preserve"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 xml:space="preserve"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 xml:space="preserve"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 xml:space="preserve"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 xml:space="preserve"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 xml:space="preserve"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 xml:space="preserve"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 xml:space="preserve"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 xml:space="preserve"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 xml:space="preserve"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 xml:space="preserve"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 xml:space="preserve"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 xml:space="preserve"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 xml:space="preserve"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 xml:space="preserve"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 xml:space="preserve"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 xml:space="preserve"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 xml:space="preserve"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 xml:space="preserve"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 xml:space="preserve"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 xml:space="preserve"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 xml:space="preserve"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 xml:space="preserve"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 xml:space="preserve"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 xml:space="preserve"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 xml:space="preserve"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 xml:space="preserve"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 xml:space="preserve"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 xml:space="preserve"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 xml:space="preserve"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 xml:space="preserve"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 xml:space="preserve"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 xml:space="preserve"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 xml:space="preserve"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 xml:space="preserve"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 xml:space="preserve"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 xml:space="preserve"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 xml:space="preserve"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 xml:space="preserve"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 xml:space="preserve"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 xml:space="preserve"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 xml:space="preserve"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 xml:space="preserve"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 xml:space="preserve"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 xml:space="preserve"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 xml:space="preserve"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 xml:space="preserve"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 xml:space="preserve"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 xml:space="preserve"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 xml:space="preserve"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 xml:space="preserve"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 xml:space="preserve"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 xml:space="preserve"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 xml:space="preserve"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 xml:space="preserve"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 xml:space="preserve"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 xml:space="preserve"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 xml:space="preserve"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 xml:space="preserve"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 xml:space="preserve"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 xml:space="preserve"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 xml:space="preserve"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 xml:space="preserve"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 xml:space="preserve"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 xml:space="preserve"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 xml:space="preserve"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 xml:space="preserve"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 xml:space="preserve"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 xml:space="preserve"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 xml:space="preserve"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 xml:space="preserve"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 xml:space="preserve"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 xml:space="preserve"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 xml:space="preserve"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 xml:space="preserve"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 xml:space="preserve"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 xml:space="preserve"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 xml:space="preserve"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 xml:space="preserve"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 xml:space="preserve"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 xml:space="preserve"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 xml:space="preserve"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 xml:space="preserve"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 xml:space="preserve"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 xml:space="preserve"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 xml:space="preserve"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 xml:space="preserve"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 xml:space="preserve"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 xml:space="preserve"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 xml:space="preserve"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 xml:space="preserve"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 xml:space="preserve"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 xml:space="preserve"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 xml:space="preserve"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 xml:space="preserve"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 xml:space="preserve"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 xml:space="preserve"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 xml:space="preserve"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 xml:space="preserve"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 xml:space="preserve"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 xml:space="preserve"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 xml:space="preserve"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 xml:space="preserve"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 xml:space="preserve"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 xml:space="preserve"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 xml:space="preserve"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 xml:space="preserve"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 xml:space="preserve"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 xml:space="preserve"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 xml:space="preserve"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 xml:space="preserve"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 xml:space="preserve"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 xml:space="preserve"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 xml:space="preserve"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 xml:space="preserve"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 xml:space="preserve"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 xml:space="preserve"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 xml:space="preserve"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 xml:space="preserve"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 xml:space="preserve"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 xml:space="preserve"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 xml:space="preserve"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 xml:space="preserve"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 xml:space="preserve"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 xml:space="preserve"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 xml:space="preserve"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 xml:space="preserve"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 xml:space="preserve"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 xml:space="preserve"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 xml:space="preserve"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 xml:space="preserve">Applied Analytical Industries </v>
          </cell>
        </row>
        <row r="14">
          <cell r="A14" t="str">
            <v>BLPG</v>
          </cell>
          <cell r="B14" t="str">
            <v xml:space="preserve">Boron LePore &amp; Associates </v>
          </cell>
        </row>
        <row r="15">
          <cell r="A15" t="str">
            <v>BREL</v>
          </cell>
          <cell r="B15" t="str">
            <v xml:space="preserve"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 xml:space="preserve"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 xml:space="preserve">Kendle International </v>
          </cell>
        </row>
        <row r="22">
          <cell r="A22" t="str">
            <v>PPDI</v>
          </cell>
          <cell r="B22" t="str">
            <v xml:space="preserve"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 xml:space="preserve"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S"/>
      <sheetName val="Int Synch"/>
      <sheetName val="RateBase"/>
      <sheetName val="Mat&amp;Sup"/>
      <sheetName val="Prepayments"/>
      <sheetName val="Rev Deficiency"/>
      <sheetName val="Def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A10">
            <v>289725.71999999997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7">
          <cell r="E7" t="str">
            <v>JANUARY</v>
          </cell>
          <cell r="F7" t="str">
            <v>FEBRUARY</v>
          </cell>
          <cell r="G7" t="str">
            <v>MARCH</v>
          </cell>
          <cell r="H7" t="str">
            <v>APRIL</v>
          </cell>
          <cell r="I7" t="str">
            <v>MAY</v>
          </cell>
          <cell r="J7" t="str">
            <v>JUNE</v>
          </cell>
          <cell r="K7" t="str">
            <v>JULY</v>
          </cell>
          <cell r="L7" t="str">
            <v>AUGUST</v>
          </cell>
          <cell r="M7" t="str">
            <v>SEPTEMBER</v>
          </cell>
          <cell r="N7" t="str">
            <v>OCTOBER</v>
          </cell>
          <cell r="O7" t="str">
            <v>NOVEMBER</v>
          </cell>
          <cell r="P7" t="str">
            <v>DECEMBER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919269.98</v>
          </cell>
          <cell r="F17">
            <v>919269.98</v>
          </cell>
          <cell r="G17">
            <v>919269.98</v>
          </cell>
          <cell r="H17">
            <v>919269.98</v>
          </cell>
          <cell r="I17">
            <v>919269.98</v>
          </cell>
          <cell r="J17">
            <v>919269.98</v>
          </cell>
          <cell r="K17">
            <v>919269.98</v>
          </cell>
          <cell r="L17">
            <v>919269.98</v>
          </cell>
          <cell r="M17">
            <v>919269.98</v>
          </cell>
          <cell r="N17">
            <v>919269.98</v>
          </cell>
          <cell r="O17">
            <v>919269.98</v>
          </cell>
          <cell r="P17">
            <v>919269.98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919269.98</v>
          </cell>
          <cell r="F23">
            <v>919269.98</v>
          </cell>
          <cell r="G23">
            <v>919269.98</v>
          </cell>
          <cell r="H23">
            <v>919269.98</v>
          </cell>
          <cell r="I23">
            <v>919269.98</v>
          </cell>
          <cell r="J23">
            <v>919269.98</v>
          </cell>
          <cell r="K23">
            <v>919269.98</v>
          </cell>
          <cell r="L23">
            <v>919269.98</v>
          </cell>
          <cell r="M23">
            <v>919269.98</v>
          </cell>
          <cell r="N23">
            <v>919269.98</v>
          </cell>
          <cell r="O23">
            <v>919269.98</v>
          </cell>
          <cell r="P23">
            <v>919269.98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919269.98</v>
          </cell>
          <cell r="F26">
            <v>919269.98</v>
          </cell>
          <cell r="G26">
            <v>919269.98</v>
          </cell>
          <cell r="H26">
            <v>919269.98</v>
          </cell>
          <cell r="I26">
            <v>919269.98</v>
          </cell>
          <cell r="J26">
            <v>919269.98</v>
          </cell>
          <cell r="K26">
            <v>919269.98</v>
          </cell>
          <cell r="L26">
            <v>919269.98</v>
          </cell>
          <cell r="M26">
            <v>919269.98</v>
          </cell>
          <cell r="N26">
            <v>919269.98</v>
          </cell>
          <cell r="O26">
            <v>919269.98</v>
          </cell>
          <cell r="P26">
            <v>919269.98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919270</v>
          </cell>
          <cell r="F28">
            <v>919270</v>
          </cell>
          <cell r="G28">
            <v>919270</v>
          </cell>
          <cell r="H28">
            <v>919270</v>
          </cell>
          <cell r="I28">
            <v>919270</v>
          </cell>
          <cell r="J28">
            <v>919270</v>
          </cell>
          <cell r="K28">
            <v>919270</v>
          </cell>
          <cell r="L28">
            <v>919270</v>
          </cell>
          <cell r="M28">
            <v>919270</v>
          </cell>
          <cell r="N28">
            <v>919270</v>
          </cell>
          <cell r="O28">
            <v>919270</v>
          </cell>
          <cell r="P28">
            <v>919270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1.7999999999999999E-2</v>
          </cell>
          <cell r="F31">
            <v>1.7999999999999999E-2</v>
          </cell>
          <cell r="G31">
            <v>1.7999999999999999E-2</v>
          </cell>
          <cell r="H31">
            <v>1.7999999999999999E-2</v>
          </cell>
          <cell r="I31">
            <v>1.7999999999999999E-2</v>
          </cell>
          <cell r="J31">
            <v>1.7999999999999999E-2</v>
          </cell>
          <cell r="K31">
            <v>1.7999999999999999E-2</v>
          </cell>
          <cell r="L31">
            <v>1.7999999999999999E-2</v>
          </cell>
          <cell r="M31">
            <v>1.7999999999999999E-2</v>
          </cell>
          <cell r="N31">
            <v>1.7999999999999999E-2</v>
          </cell>
          <cell r="O31">
            <v>1.7999999999999999E-2</v>
          </cell>
          <cell r="P31">
            <v>1.7999999999999999E-2</v>
          </cell>
        </row>
        <row r="32">
          <cell r="E32">
            <v>2.5999999999999999E-2</v>
          </cell>
          <cell r="F32">
            <v>2.5999999999999999E-2</v>
          </cell>
          <cell r="G32">
            <v>2.5999999999999999E-2</v>
          </cell>
          <cell r="H32">
            <v>2.5999999999999999E-2</v>
          </cell>
          <cell r="I32">
            <v>2.5999999999999999E-2</v>
          </cell>
          <cell r="J32">
            <v>2.5999999999999999E-2</v>
          </cell>
          <cell r="K32">
            <v>2.5999999999999999E-2</v>
          </cell>
          <cell r="L32">
            <v>2.5999999999999999E-2</v>
          </cell>
          <cell r="M32">
            <v>2.5999999999999999E-2</v>
          </cell>
          <cell r="N32">
            <v>2.5999999999999999E-2</v>
          </cell>
          <cell r="O32">
            <v>2.5999999999999999E-2</v>
          </cell>
          <cell r="P32">
            <v>2.5999999999999999E-2</v>
          </cell>
        </row>
        <row r="33">
          <cell r="E33">
            <v>2.5000000000000001E-2</v>
          </cell>
          <cell r="F33">
            <v>2.5000000000000001E-2</v>
          </cell>
          <cell r="G33">
            <v>2.5000000000000001E-2</v>
          </cell>
          <cell r="H33">
            <v>2.5000000000000001E-2</v>
          </cell>
          <cell r="I33">
            <v>2.5000000000000001E-2</v>
          </cell>
          <cell r="J33">
            <v>2.5000000000000001E-2</v>
          </cell>
          <cell r="K33">
            <v>2.5000000000000001E-2</v>
          </cell>
          <cell r="L33">
            <v>2.5000000000000001E-2</v>
          </cell>
          <cell r="M33">
            <v>2.5000000000000001E-2</v>
          </cell>
          <cell r="N33">
            <v>2.5000000000000001E-2</v>
          </cell>
          <cell r="O33">
            <v>2.5000000000000001E-2</v>
          </cell>
          <cell r="P33">
            <v>2.5000000000000001E-2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6.4699999999999994E-2</v>
          </cell>
          <cell r="F37">
            <v>6.4699999999999994E-2</v>
          </cell>
          <cell r="G37">
            <v>6.4699999999999994E-2</v>
          </cell>
          <cell r="H37">
            <v>6.4699999999999994E-2</v>
          </cell>
          <cell r="I37">
            <v>6.4699999999999994E-2</v>
          </cell>
          <cell r="J37">
            <v>6.4699999999999994E-2</v>
          </cell>
          <cell r="K37">
            <v>6.4699999999999994E-2</v>
          </cell>
          <cell r="L37">
            <v>6.4699999999999994E-2</v>
          </cell>
          <cell r="M37">
            <v>6.4699999999999994E-2</v>
          </cell>
          <cell r="N37">
            <v>6.4699999999999994E-2</v>
          </cell>
          <cell r="O37">
            <v>6.4699999999999994E-2</v>
          </cell>
          <cell r="P37">
            <v>6.4699999999999994E-2</v>
          </cell>
        </row>
        <row r="38">
          <cell r="E38">
            <v>1.2500000000000001E-2</v>
          </cell>
          <cell r="F38">
            <v>1.2500000000000001E-2</v>
          </cell>
          <cell r="G38">
            <v>1.2500000000000001E-2</v>
          </cell>
          <cell r="H38">
            <v>1.2500000000000001E-2</v>
          </cell>
          <cell r="I38">
            <v>1.2500000000000001E-2</v>
          </cell>
          <cell r="J38">
            <v>1.2500000000000001E-2</v>
          </cell>
          <cell r="K38">
            <v>1.2500000000000001E-2</v>
          </cell>
          <cell r="L38">
            <v>1.2500000000000001E-2</v>
          </cell>
          <cell r="M38">
            <v>1.2500000000000001E-2</v>
          </cell>
          <cell r="N38">
            <v>1.2500000000000001E-2</v>
          </cell>
          <cell r="O38">
            <v>1.2500000000000001E-2</v>
          </cell>
          <cell r="P38">
            <v>1.2500000000000001E-2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4956</v>
          </cell>
          <cell r="F40">
            <v>4956</v>
          </cell>
          <cell r="G40">
            <v>4956</v>
          </cell>
          <cell r="H40">
            <v>4956</v>
          </cell>
          <cell r="I40">
            <v>4956</v>
          </cell>
          <cell r="J40">
            <v>4956</v>
          </cell>
          <cell r="K40">
            <v>4956</v>
          </cell>
          <cell r="L40">
            <v>4956</v>
          </cell>
          <cell r="M40">
            <v>4956</v>
          </cell>
          <cell r="N40">
            <v>4956</v>
          </cell>
          <cell r="O40">
            <v>4956</v>
          </cell>
          <cell r="P40">
            <v>4956</v>
          </cell>
        </row>
        <row r="41">
          <cell r="E41">
            <v>958</v>
          </cell>
          <cell r="F41">
            <v>958</v>
          </cell>
          <cell r="G41">
            <v>958</v>
          </cell>
          <cell r="H41">
            <v>958</v>
          </cell>
          <cell r="I41">
            <v>958</v>
          </cell>
          <cell r="J41">
            <v>958</v>
          </cell>
          <cell r="K41">
            <v>958</v>
          </cell>
          <cell r="L41">
            <v>958</v>
          </cell>
          <cell r="M41">
            <v>958</v>
          </cell>
          <cell r="N41">
            <v>958</v>
          </cell>
          <cell r="O41">
            <v>958</v>
          </cell>
          <cell r="P41">
            <v>958</v>
          </cell>
        </row>
        <row r="42">
          <cell r="E42">
            <v>5914</v>
          </cell>
          <cell r="F42">
            <v>5914</v>
          </cell>
          <cell r="G42">
            <v>5914</v>
          </cell>
          <cell r="H42">
            <v>5914</v>
          </cell>
          <cell r="I42">
            <v>5914</v>
          </cell>
          <cell r="J42">
            <v>5914</v>
          </cell>
          <cell r="K42">
            <v>5914</v>
          </cell>
          <cell r="L42">
            <v>5914</v>
          </cell>
          <cell r="M42">
            <v>5914</v>
          </cell>
          <cell r="N42">
            <v>5914</v>
          </cell>
          <cell r="O42">
            <v>5914</v>
          </cell>
          <cell r="P42">
            <v>5914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5914</v>
          </cell>
          <cell r="F49">
            <v>5914</v>
          </cell>
          <cell r="G49">
            <v>5914</v>
          </cell>
          <cell r="H49">
            <v>5914</v>
          </cell>
          <cell r="I49">
            <v>5914</v>
          </cell>
          <cell r="J49">
            <v>5914</v>
          </cell>
          <cell r="K49">
            <v>5914</v>
          </cell>
          <cell r="L49">
            <v>5914</v>
          </cell>
          <cell r="M49">
            <v>5914</v>
          </cell>
          <cell r="N49">
            <v>5914</v>
          </cell>
          <cell r="O49">
            <v>5914</v>
          </cell>
          <cell r="P49">
            <v>5914</v>
          </cell>
        </row>
        <row r="50">
          <cell r="E50">
            <v>4.2580800000000005</v>
          </cell>
          <cell r="F50">
            <v>4.2580800000000005</v>
          </cell>
          <cell r="G50">
            <v>4.2580800000000005</v>
          </cell>
          <cell r="H50">
            <v>4.2580800000000005</v>
          </cell>
          <cell r="I50">
            <v>4.2580800000000005</v>
          </cell>
          <cell r="J50">
            <v>4.2580800000000005</v>
          </cell>
          <cell r="K50">
            <v>4.2580800000000005</v>
          </cell>
          <cell r="L50">
            <v>4.2580800000000005</v>
          </cell>
          <cell r="M50">
            <v>4.2580800000000005</v>
          </cell>
          <cell r="N50">
            <v>4.2580800000000005</v>
          </cell>
          <cell r="O50">
            <v>4.2580800000000005</v>
          </cell>
          <cell r="P50">
            <v>4.2580800000000005</v>
          </cell>
        </row>
        <row r="51">
          <cell r="E51">
            <v>5918.2580799999996</v>
          </cell>
          <cell r="F51">
            <v>5918.2580799999996</v>
          </cell>
          <cell r="G51">
            <v>5918.2580799999996</v>
          </cell>
          <cell r="H51">
            <v>5918.2580799999996</v>
          </cell>
          <cell r="I51">
            <v>5918.2580799999996</v>
          </cell>
          <cell r="J51">
            <v>5918.2580799999996</v>
          </cell>
          <cell r="K51">
            <v>5918.2580799999996</v>
          </cell>
          <cell r="L51">
            <v>5918.2580799999996</v>
          </cell>
          <cell r="M51">
            <v>5918.2580799999996</v>
          </cell>
          <cell r="N51">
            <v>5918.2580799999996</v>
          </cell>
          <cell r="O51">
            <v>5918.2580799999996</v>
          </cell>
          <cell r="P51">
            <v>5918.2580799999996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5918.2580799999996</v>
          </cell>
          <cell r="F53">
            <v>11836.516159999999</v>
          </cell>
          <cell r="G53">
            <v>17754.774239999999</v>
          </cell>
          <cell r="H53">
            <v>23673.032319999998</v>
          </cell>
          <cell r="I53">
            <v>29591.290399999998</v>
          </cell>
          <cell r="J53">
            <v>35509.548479999998</v>
          </cell>
          <cell r="K53">
            <v>41427.806559999997</v>
          </cell>
          <cell r="L53">
            <v>47346.064639999997</v>
          </cell>
          <cell r="M53">
            <v>53264.322719999996</v>
          </cell>
          <cell r="N53">
            <v>59182.580799999996</v>
          </cell>
          <cell r="O53">
            <v>65100.838879999996</v>
          </cell>
          <cell r="P53">
            <v>71019.096959999995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81.172370000000001</v>
          </cell>
        </row>
      </sheetData>
      <sheetData sheetId="2" refreshError="1">
        <row r="8">
          <cell r="W8">
            <v>39.905000000000001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1344.1889999999999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511.83800000000002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83.867002981818189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16.775267999999997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</row>
        <row r="47">
          <cell r="K47">
            <v>121.68</v>
          </cell>
        </row>
        <row r="54">
          <cell r="K54">
            <v>95.346999999999994</v>
          </cell>
        </row>
        <row r="63">
          <cell r="K63">
            <v>34.380000000000003</v>
          </cell>
        </row>
        <row r="64">
          <cell r="K64">
            <v>14.88</v>
          </cell>
        </row>
        <row r="68">
          <cell r="K68">
            <v>1.1340563991323211</v>
          </cell>
        </row>
        <row r="69">
          <cell r="K69">
            <v>1.4778817201897638</v>
          </cell>
        </row>
        <row r="70">
          <cell r="K70">
            <v>1.8496928195173608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0.68720000000000003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22"/>
  </sheetPr>
  <dimension ref="A1:L24"/>
  <sheetViews>
    <sheetView view="pageBreakPreview" zoomScaleNormal="100" zoomScaleSheetLayoutView="100" workbookViewId="0">
      <selection activeCell="L91" sqref="L91"/>
    </sheetView>
  </sheetViews>
  <sheetFormatPr defaultColWidth="9.140625" defaultRowHeight="12.75"/>
  <cols>
    <col min="1" max="1" width="4.42578125" style="1" customWidth="1"/>
    <col min="2" max="2" width="4.42578125" style="3" customWidth="1"/>
    <col min="3" max="3" width="4.42578125" style="1" customWidth="1"/>
    <col min="4" max="12" width="10.7109375" style="1" customWidth="1"/>
    <col min="13" max="16384" width="9.140625" style="1"/>
  </cols>
  <sheetData>
    <row r="1" spans="1:12" ht="13.5" thickBot="1">
      <c r="A1" s="103" t="s">
        <v>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13.5" thickBot="1">
      <c r="A2" s="103" t="s">
        <v>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ht="13.5" thickBot="1">
      <c r="A3" s="103" t="s">
        <v>324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5" spans="1:12">
      <c r="A5" s="2" t="s">
        <v>10</v>
      </c>
      <c r="B5" s="3" t="s">
        <v>9</v>
      </c>
    </row>
    <row r="6" spans="1:12">
      <c r="A6" s="2" t="s">
        <v>11</v>
      </c>
      <c r="B6" s="3" t="s">
        <v>12</v>
      </c>
    </row>
    <row r="7" spans="1:12">
      <c r="B7" s="2" t="s">
        <v>13</v>
      </c>
      <c r="C7" s="1" t="s">
        <v>14</v>
      </c>
    </row>
    <row r="8" spans="1:12">
      <c r="B8" s="2" t="s">
        <v>15</v>
      </c>
      <c r="C8" s="1" t="s">
        <v>16</v>
      </c>
    </row>
    <row r="9" spans="1:12">
      <c r="B9" s="2" t="s">
        <v>17</v>
      </c>
      <c r="C9" s="1" t="s">
        <v>18</v>
      </c>
    </row>
    <row r="10" spans="1:12">
      <c r="A10" s="2" t="s">
        <v>304</v>
      </c>
      <c r="B10" s="3" t="s">
        <v>305</v>
      </c>
    </row>
    <row r="11" spans="1:12">
      <c r="B11" s="2" t="s">
        <v>306</v>
      </c>
      <c r="C11" s="1" t="s">
        <v>14</v>
      </c>
    </row>
    <row r="12" spans="1:12">
      <c r="B12" s="2" t="s">
        <v>307</v>
      </c>
      <c r="C12" s="1" t="s">
        <v>308</v>
      </c>
    </row>
    <row r="13" spans="1:12">
      <c r="B13" s="2" t="s">
        <v>309</v>
      </c>
      <c r="C13" s="1" t="s">
        <v>310</v>
      </c>
    </row>
    <row r="14" spans="1:12">
      <c r="B14" s="2" t="s">
        <v>315</v>
      </c>
      <c r="C14" s="1" t="s">
        <v>311</v>
      </c>
    </row>
    <row r="15" spans="1:12">
      <c r="B15" s="3" t="s">
        <v>316</v>
      </c>
      <c r="C15" s="1" t="s">
        <v>312</v>
      </c>
    </row>
    <row r="16" spans="1:12">
      <c r="B16" s="3" t="s">
        <v>317</v>
      </c>
      <c r="C16" s="1" t="s">
        <v>313</v>
      </c>
    </row>
    <row r="17" spans="1:4">
      <c r="B17" s="3" t="s">
        <v>318</v>
      </c>
      <c r="C17" s="1" t="s">
        <v>314</v>
      </c>
    </row>
    <row r="18" spans="1:4">
      <c r="C18" s="2" t="s">
        <v>319</v>
      </c>
      <c r="D18" s="1" t="s">
        <v>320</v>
      </c>
    </row>
    <row r="19" spans="1:4">
      <c r="C19" s="2" t="s">
        <v>321</v>
      </c>
      <c r="D19" s="1" t="s">
        <v>322</v>
      </c>
    </row>
    <row r="20" spans="1:4">
      <c r="D20" s="1" t="s">
        <v>323</v>
      </c>
    </row>
    <row r="21" spans="1:4">
      <c r="A21" s="2" t="s">
        <v>325</v>
      </c>
      <c r="B21" s="3" t="s">
        <v>326</v>
      </c>
    </row>
    <row r="22" spans="1:4">
      <c r="B22" s="3" t="s">
        <v>327</v>
      </c>
      <c r="C22" s="1" t="s">
        <v>14</v>
      </c>
    </row>
    <row r="23" spans="1:4">
      <c r="B23" s="3" t="s">
        <v>328</v>
      </c>
      <c r="C23" s="1" t="s">
        <v>329</v>
      </c>
    </row>
    <row r="24" spans="1:4">
      <c r="B24" s="3" t="s">
        <v>330</v>
      </c>
      <c r="C24" s="1" t="s">
        <v>331</v>
      </c>
    </row>
  </sheetData>
  <mergeCells count="3">
    <mergeCell ref="A1:L1"/>
    <mergeCell ref="A2:L2"/>
    <mergeCell ref="A3:L3"/>
  </mergeCells>
  <phoneticPr fontId="21" type="noConversion"/>
  <pageMargins left="0.75" right="0.75" top="1" bottom="1" header="0.5" footer="0.5"/>
  <pageSetup orientation="landscape" r:id="rId1"/>
  <headerFooter alignWithMargins="0"/>
  <ignoredErrors>
    <ignoredError sqref="A5:A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50"/>
  <sheetViews>
    <sheetView workbookViewId="0">
      <selection activeCell="A13" sqref="A13"/>
    </sheetView>
  </sheetViews>
  <sheetFormatPr defaultColWidth="9.140625" defaultRowHeight="15"/>
  <cols>
    <col min="1" max="1" width="47.42578125" style="43" customWidth="1"/>
    <col min="2" max="2" width="14.5703125" style="43" customWidth="1"/>
    <col min="3" max="3" width="1.5703125" style="56" customWidth="1"/>
    <col min="4" max="4" width="16" style="43" customWidth="1"/>
    <col min="5" max="5" width="2.5703125" style="56" customWidth="1"/>
    <col min="6" max="6" width="12.5703125" style="43" customWidth="1"/>
    <col min="7" max="7" width="2.42578125" style="56" customWidth="1"/>
    <col min="8" max="8" width="15.28515625" style="43" bestFit="1" customWidth="1"/>
    <col min="9" max="9" width="2" style="56" customWidth="1"/>
    <col min="10" max="10" width="15" style="43" bestFit="1" customWidth="1"/>
    <col min="11" max="11" width="2" style="56" customWidth="1"/>
    <col min="12" max="12" width="14.5703125" style="43" bestFit="1" customWidth="1"/>
    <col min="13" max="13" width="1.42578125" style="56" customWidth="1"/>
    <col min="14" max="14" width="7.85546875" style="43" customWidth="1"/>
    <col min="15" max="15" width="2.140625" style="56" customWidth="1"/>
    <col min="16" max="16" width="6.140625" style="43" bestFit="1" customWidth="1"/>
    <col min="17" max="17" width="2.7109375" style="56" customWidth="1"/>
    <col min="18" max="18" width="12.7109375" style="43" bestFit="1" customWidth="1"/>
    <col min="19" max="19" width="2.28515625" style="56" customWidth="1"/>
    <col min="20" max="20" width="16" style="43" bestFit="1" customWidth="1"/>
    <col min="21" max="21" width="1.7109375" style="56" customWidth="1"/>
    <col min="22" max="22" width="15.28515625" style="43" bestFit="1" customWidth="1"/>
    <col min="23" max="16384" width="9.140625" style="43"/>
  </cols>
  <sheetData>
    <row r="1" spans="1:23">
      <c r="A1" s="43" t="str">
        <f>'Year End ROR'!A1</f>
        <v>FLORIDA PUBLIC UTILITIES COMPANY</v>
      </c>
      <c r="T1" s="100"/>
      <c r="V1" s="43" t="s">
        <v>503</v>
      </c>
    </row>
    <row r="2" spans="1:23">
      <c r="A2" s="43" t="str">
        <f>'Year End ROR'!A2</f>
        <v>NATURAL GAS</v>
      </c>
      <c r="V2" s="43" t="s">
        <v>258</v>
      </c>
    </row>
    <row r="3" spans="1:23">
      <c r="A3" s="43" t="str">
        <f>'Year End ROR'!A3</f>
        <v>YEAR END RATE OF RETURN</v>
      </c>
    </row>
    <row r="4" spans="1:23">
      <c r="A4" s="43" t="str">
        <f>'Year End ROR'!A4</f>
        <v>For the 12 Months Ending December 31, 2020</v>
      </c>
    </row>
    <row r="5" spans="1:23">
      <c r="A5" s="43" t="s">
        <v>259</v>
      </c>
    </row>
    <row r="8" spans="1:23">
      <c r="B8" s="48" t="s">
        <v>121</v>
      </c>
      <c r="C8" s="57"/>
      <c r="D8" s="48" t="s">
        <v>227</v>
      </c>
      <c r="E8" s="57"/>
      <c r="F8" s="48" t="s">
        <v>124</v>
      </c>
      <c r="G8" s="57"/>
      <c r="H8" s="48" t="s">
        <v>123</v>
      </c>
      <c r="I8" s="57"/>
      <c r="J8" s="48" t="s">
        <v>122</v>
      </c>
      <c r="K8" s="57"/>
      <c r="L8" s="48" t="s">
        <v>254</v>
      </c>
      <c r="M8" s="57"/>
      <c r="N8" s="48" t="s">
        <v>255</v>
      </c>
      <c r="O8" s="57"/>
      <c r="P8" s="48" t="s">
        <v>256</v>
      </c>
      <c r="Q8" s="57"/>
      <c r="R8" s="48" t="s">
        <v>279</v>
      </c>
      <c r="S8" s="57"/>
      <c r="T8" s="48" t="s">
        <v>280</v>
      </c>
      <c r="U8" s="57"/>
      <c r="V8" s="48" t="s">
        <v>281</v>
      </c>
    </row>
    <row r="9" spans="1:23">
      <c r="B9" s="48"/>
      <c r="C9" s="57"/>
      <c r="D9" s="48"/>
      <c r="E9" s="57"/>
      <c r="F9" s="48"/>
      <c r="G9" s="57"/>
      <c r="H9" s="48"/>
      <c r="I9" s="57"/>
      <c r="J9" s="48"/>
      <c r="K9" s="57"/>
      <c r="L9" s="48"/>
      <c r="M9" s="57"/>
      <c r="N9" s="48"/>
      <c r="O9" s="57"/>
      <c r="P9" s="48"/>
      <c r="Q9" s="57"/>
      <c r="R9" s="48" t="s">
        <v>260</v>
      </c>
      <c r="S9" s="57"/>
      <c r="T9" s="48" t="s">
        <v>241</v>
      </c>
      <c r="U9" s="57"/>
      <c r="V9" s="48" t="s">
        <v>234</v>
      </c>
    </row>
    <row r="10" spans="1:23">
      <c r="B10" s="48" t="s">
        <v>261</v>
      </c>
      <c r="C10" s="57"/>
      <c r="D10" s="48" t="s">
        <v>262</v>
      </c>
      <c r="E10" s="57"/>
      <c r="F10" s="48" t="s">
        <v>263</v>
      </c>
      <c r="G10" s="57"/>
      <c r="H10" s="48" t="s">
        <v>264</v>
      </c>
      <c r="I10" s="57"/>
      <c r="J10" s="48" t="s">
        <v>265</v>
      </c>
      <c r="K10" s="57"/>
      <c r="L10" s="48" t="s">
        <v>266</v>
      </c>
      <c r="M10" s="57"/>
      <c r="N10" s="48" t="s">
        <v>267</v>
      </c>
      <c r="O10" s="57"/>
      <c r="P10" s="48" t="s">
        <v>268</v>
      </c>
      <c r="Q10" s="57"/>
      <c r="R10" s="48" t="s">
        <v>269</v>
      </c>
      <c r="S10" s="57"/>
      <c r="T10" s="48" t="s">
        <v>261</v>
      </c>
      <c r="U10" s="57"/>
      <c r="V10" s="48" t="s">
        <v>261</v>
      </c>
    </row>
    <row r="11" spans="1:23">
      <c r="B11" s="60" t="s">
        <v>270</v>
      </c>
      <c r="C11" s="57"/>
      <c r="D11" s="60" t="s">
        <v>271</v>
      </c>
      <c r="E11" s="57"/>
      <c r="F11" s="60" t="s">
        <v>272</v>
      </c>
      <c r="G11" s="57"/>
      <c r="H11" s="60" t="s">
        <v>243</v>
      </c>
      <c r="I11" s="57"/>
      <c r="J11" s="60" t="s">
        <v>273</v>
      </c>
      <c r="K11" s="57"/>
      <c r="L11" s="60" t="s">
        <v>274</v>
      </c>
      <c r="M11" s="57"/>
      <c r="N11" s="60" t="s">
        <v>275</v>
      </c>
      <c r="O11" s="57"/>
      <c r="P11" s="60" t="s">
        <v>275</v>
      </c>
      <c r="Q11" s="57"/>
      <c r="R11" s="60" t="s">
        <v>276</v>
      </c>
      <c r="S11" s="57"/>
      <c r="T11" s="60" t="s">
        <v>277</v>
      </c>
      <c r="U11" s="57"/>
      <c r="V11" s="60" t="s">
        <v>278</v>
      </c>
    </row>
    <row r="13" spans="1:23">
      <c r="A13" s="43" t="s">
        <v>248</v>
      </c>
      <c r="B13" s="49">
        <v>92962652</v>
      </c>
      <c r="C13" s="58"/>
      <c r="D13" s="49">
        <v>34903912</v>
      </c>
      <c r="E13" s="58"/>
      <c r="F13" s="49">
        <v>23111720.090000004</v>
      </c>
      <c r="G13" s="58"/>
      <c r="H13" s="49">
        <v>10825951.949999999</v>
      </c>
      <c r="I13" s="58"/>
      <c r="J13" s="49">
        <v>8131698</v>
      </c>
      <c r="K13" s="58"/>
      <c r="L13" s="49">
        <v>2708751</v>
      </c>
      <c r="M13" s="58"/>
      <c r="N13" s="49"/>
      <c r="O13" s="58"/>
      <c r="P13" s="49"/>
      <c r="Q13" s="58"/>
      <c r="R13" s="49"/>
      <c r="S13" s="58"/>
      <c r="T13" s="49">
        <f>SUM(D13:R13)</f>
        <v>79682033.040000007</v>
      </c>
      <c r="U13" s="58"/>
      <c r="V13" s="49">
        <f>+B13-T13</f>
        <v>13280618.959999993</v>
      </c>
      <c r="W13" s="63"/>
    </row>
    <row r="14" spans="1:23">
      <c r="B14" s="49"/>
      <c r="C14" s="58"/>
      <c r="D14" s="49"/>
      <c r="E14" s="58"/>
      <c r="F14" s="49"/>
      <c r="G14" s="58"/>
      <c r="H14" s="49"/>
      <c r="I14" s="58"/>
      <c r="J14" s="49"/>
      <c r="K14" s="58"/>
      <c r="L14" s="49"/>
      <c r="M14" s="58"/>
      <c r="N14" s="49"/>
      <c r="O14" s="58"/>
      <c r="P14" s="49"/>
      <c r="Q14" s="58"/>
      <c r="R14" s="49"/>
      <c r="S14" s="58"/>
      <c r="T14" s="49"/>
      <c r="U14" s="58"/>
      <c r="V14" s="49"/>
      <c r="W14" s="63"/>
    </row>
    <row r="15" spans="1:23">
      <c r="A15" s="43" t="s">
        <v>249</v>
      </c>
      <c r="B15" s="49"/>
      <c r="C15" s="58"/>
      <c r="D15" s="49"/>
      <c r="E15" s="58"/>
      <c r="F15" s="49"/>
      <c r="G15" s="58"/>
      <c r="H15" s="49"/>
      <c r="I15" s="58"/>
      <c r="J15" s="49"/>
      <c r="K15" s="58"/>
      <c r="L15" s="49"/>
      <c r="M15" s="58"/>
      <c r="N15" s="49"/>
      <c r="O15" s="58"/>
      <c r="P15" s="49"/>
      <c r="Q15" s="58"/>
      <c r="R15" s="49"/>
      <c r="S15" s="58"/>
      <c r="T15" s="49"/>
      <c r="U15" s="58"/>
      <c r="V15" s="49"/>
      <c r="W15" s="63"/>
    </row>
    <row r="16" spans="1:23">
      <c r="A16" s="96" t="s">
        <v>543</v>
      </c>
      <c r="B16" s="49"/>
      <c r="C16" s="58"/>
      <c r="D16" s="49"/>
      <c r="E16" s="58"/>
      <c r="F16" s="49"/>
      <c r="G16" s="58"/>
      <c r="H16" s="49"/>
      <c r="I16" s="58"/>
      <c r="J16" s="49"/>
      <c r="K16" s="58"/>
      <c r="L16" s="49">
        <v>236526.04316820001</v>
      </c>
      <c r="M16" s="58"/>
      <c r="N16" s="49"/>
      <c r="O16" s="58"/>
      <c r="P16" s="49"/>
      <c r="Q16" s="58"/>
      <c r="R16" s="49"/>
      <c r="S16" s="58"/>
      <c r="T16" s="49">
        <f>SUM(D16:R16)</f>
        <v>236526.04316820001</v>
      </c>
      <c r="U16" s="58"/>
      <c r="V16" s="49">
        <f>+B16-T16</f>
        <v>-236526.04316820001</v>
      </c>
      <c r="W16" s="63"/>
    </row>
    <row r="17" spans="1:23">
      <c r="A17" s="43" t="s">
        <v>473</v>
      </c>
      <c r="B17" s="49">
        <v>-31359571</v>
      </c>
      <c r="C17" s="58"/>
      <c r="D17" s="49">
        <v>-31229307</v>
      </c>
      <c r="E17" s="58"/>
      <c r="F17" s="49"/>
      <c r="G17" s="58"/>
      <c r="H17" s="49"/>
      <c r="I17" s="58"/>
      <c r="J17" s="49">
        <v>-141230.83685064316</v>
      </c>
      <c r="K17" s="58"/>
      <c r="L17" s="49">
        <f>-(-B17+D17+F17+H17+J17)*0.24522</f>
        <v>2689.2877325147151</v>
      </c>
      <c r="M17" s="58"/>
      <c r="N17" s="49"/>
      <c r="O17" s="58"/>
      <c r="P17" s="49"/>
      <c r="Q17" s="58"/>
      <c r="R17" s="49"/>
      <c r="S17" s="58"/>
      <c r="T17" s="49">
        <f t="shared" ref="T17:T29" si="0">SUM(D17:R17)</f>
        <v>-31367848.549118128</v>
      </c>
      <c r="U17" s="58"/>
      <c r="V17" s="49">
        <f t="shared" ref="V17:V29" si="1">+B17-T17</f>
        <v>8277.5491181276739</v>
      </c>
      <c r="W17" s="63"/>
    </row>
    <row r="18" spans="1:23">
      <c r="A18" s="43" t="s">
        <v>474</v>
      </c>
      <c r="B18" s="49">
        <v>-3691326</v>
      </c>
      <c r="C18" s="58"/>
      <c r="D18" s="49">
        <v>-3674605</v>
      </c>
      <c r="E18" s="58"/>
      <c r="F18" s="49"/>
      <c r="G18" s="58"/>
      <c r="H18" s="49"/>
      <c r="I18" s="58"/>
      <c r="J18" s="49">
        <v>-18474.44333004998</v>
      </c>
      <c r="K18" s="58"/>
      <c r="L18" s="49">
        <f t="shared" ref="L18:L30" si="2">-(-B18+D18+F18+H18+J18)*0.24522</f>
        <v>429.97937339485617</v>
      </c>
      <c r="M18" s="58"/>
      <c r="N18" s="49"/>
      <c r="O18" s="58"/>
      <c r="P18" s="49"/>
      <c r="Q18" s="58"/>
      <c r="R18" s="49"/>
      <c r="S18" s="58"/>
      <c r="T18" s="49">
        <f>SUM(D18:R18)</f>
        <v>-3692649.463956655</v>
      </c>
      <c r="U18" s="58"/>
      <c r="V18" s="49">
        <f t="shared" si="1"/>
        <v>1323.4639566550031</v>
      </c>
      <c r="W18" s="63"/>
    </row>
    <row r="19" spans="1:23">
      <c r="A19" s="43" t="s">
        <v>475</v>
      </c>
      <c r="B19" s="49"/>
      <c r="C19" s="58"/>
      <c r="D19" s="49"/>
      <c r="E19" s="58"/>
      <c r="F19" s="49"/>
      <c r="G19" s="58"/>
      <c r="H19" s="49">
        <v>-176315.65815599999</v>
      </c>
      <c r="I19" s="58"/>
      <c r="J19" s="49"/>
      <c r="K19" s="58"/>
      <c r="L19" s="49">
        <f t="shared" si="2"/>
        <v>43236.125693014314</v>
      </c>
      <c r="M19" s="58"/>
      <c r="N19" s="49"/>
      <c r="O19" s="58"/>
      <c r="P19" s="49"/>
      <c r="Q19" s="58"/>
      <c r="R19" s="49"/>
      <c r="S19" s="58"/>
      <c r="T19" s="49">
        <f t="shared" si="0"/>
        <v>-133079.53246298566</v>
      </c>
      <c r="U19" s="58"/>
      <c r="V19" s="49">
        <f t="shared" si="1"/>
        <v>133079.53246298566</v>
      </c>
      <c r="W19" s="63"/>
    </row>
    <row r="20" spans="1:23">
      <c r="A20" s="43" t="s">
        <v>476</v>
      </c>
      <c r="B20" s="49">
        <v>-240038</v>
      </c>
      <c r="C20" s="58"/>
      <c r="D20" s="49"/>
      <c r="E20" s="58"/>
      <c r="F20" s="49"/>
      <c r="G20" s="58"/>
      <c r="H20" s="49">
        <v>-238837</v>
      </c>
      <c r="I20" s="58"/>
      <c r="J20" s="49">
        <v>-1265.494280314364</v>
      </c>
      <c r="K20" s="58"/>
      <c r="L20" s="49">
        <f t="shared" si="2"/>
        <v>15.815287418688341</v>
      </c>
      <c r="M20" s="58"/>
      <c r="N20" s="49"/>
      <c r="O20" s="58"/>
      <c r="P20" s="49"/>
      <c r="Q20" s="58"/>
      <c r="R20" s="49"/>
      <c r="S20" s="58"/>
      <c r="T20" s="49">
        <f t="shared" si="0"/>
        <v>-240086.67899289567</v>
      </c>
      <c r="U20" s="58"/>
      <c r="V20" s="49">
        <f t="shared" si="1"/>
        <v>48.678992895671399</v>
      </c>
      <c r="W20" s="63"/>
    </row>
    <row r="21" spans="1:23">
      <c r="A21" s="43" t="s">
        <v>546</v>
      </c>
      <c r="B21" s="49">
        <v>-3302413</v>
      </c>
      <c r="C21" s="58"/>
      <c r="D21" s="49"/>
      <c r="E21" s="58"/>
      <c r="F21" s="49"/>
      <c r="G21" s="58"/>
      <c r="H21" s="49"/>
      <c r="I21" s="58"/>
      <c r="J21" s="49">
        <v>-3302413</v>
      </c>
      <c r="K21" s="58"/>
      <c r="L21" s="49">
        <f t="shared" si="2"/>
        <v>0</v>
      </c>
      <c r="M21" s="58"/>
      <c r="N21" s="49"/>
      <c r="O21" s="58"/>
      <c r="P21" s="49"/>
      <c r="Q21" s="58"/>
      <c r="R21" s="49"/>
      <c r="S21" s="58"/>
      <c r="T21" s="49">
        <f t="shared" si="0"/>
        <v>-3302413</v>
      </c>
      <c r="U21" s="58"/>
      <c r="V21" s="49">
        <f t="shared" si="1"/>
        <v>0</v>
      </c>
      <c r="W21" s="63"/>
    </row>
    <row r="22" spans="1:23">
      <c r="A22" s="96" t="s">
        <v>547</v>
      </c>
      <c r="B22" s="49"/>
      <c r="C22" s="58"/>
      <c r="D22" s="49"/>
      <c r="E22" s="58"/>
      <c r="F22" s="49">
        <v>-600.0625</v>
      </c>
      <c r="G22" s="58"/>
      <c r="H22" s="49"/>
      <c r="I22" s="58"/>
      <c r="J22" s="49"/>
      <c r="K22" s="58"/>
      <c r="L22" s="49">
        <f t="shared" si="2"/>
        <v>147.14732624999999</v>
      </c>
      <c r="M22" s="58"/>
      <c r="N22" s="49"/>
      <c r="O22" s="58"/>
      <c r="P22" s="49"/>
      <c r="Q22" s="58"/>
      <c r="R22" s="49"/>
      <c r="S22" s="58"/>
      <c r="T22" s="49">
        <f t="shared" si="0"/>
        <v>-452.91517375000001</v>
      </c>
      <c r="U22" s="58"/>
      <c r="V22" s="49">
        <f t="shared" si="1"/>
        <v>452.91517375000001</v>
      </c>
      <c r="W22" s="63"/>
    </row>
    <row r="23" spans="1:23">
      <c r="A23" s="96" t="s">
        <v>548</v>
      </c>
      <c r="B23" s="49">
        <v>0</v>
      </c>
      <c r="C23" s="58"/>
      <c r="D23" s="49"/>
      <c r="E23" s="58"/>
      <c r="F23" s="49"/>
      <c r="G23" s="58"/>
      <c r="H23" s="49"/>
      <c r="I23" s="58"/>
      <c r="J23" s="49"/>
      <c r="K23" s="58"/>
      <c r="L23" s="49">
        <f t="shared" si="2"/>
        <v>0</v>
      </c>
      <c r="M23" s="58"/>
      <c r="N23" s="49"/>
      <c r="O23" s="58"/>
      <c r="P23" s="49"/>
      <c r="Q23" s="58"/>
      <c r="R23" s="49"/>
      <c r="S23" s="58"/>
      <c r="T23" s="49">
        <f t="shared" si="0"/>
        <v>0</v>
      </c>
      <c r="U23" s="58"/>
      <c r="V23" s="49">
        <f t="shared" si="1"/>
        <v>0</v>
      </c>
      <c r="W23" s="63"/>
    </row>
    <row r="24" spans="1:23">
      <c r="A24" s="96" t="s">
        <v>549</v>
      </c>
      <c r="B24" s="49">
        <v>-461975.88</v>
      </c>
      <c r="C24" s="58"/>
      <c r="D24" s="49"/>
      <c r="E24" s="58"/>
      <c r="F24" s="49">
        <v>-11818.17</v>
      </c>
      <c r="G24" s="58"/>
      <c r="H24" s="49">
        <v>-51000</v>
      </c>
      <c r="I24" s="58"/>
      <c r="J24" s="49">
        <v>-18755</v>
      </c>
      <c r="K24" s="58"/>
      <c r="L24" s="49">
        <f t="shared" si="2"/>
        <v>-93282.352546199996</v>
      </c>
      <c r="M24" s="58"/>
      <c r="N24" s="49"/>
      <c r="O24" s="58"/>
      <c r="P24" s="49"/>
      <c r="Q24" s="58"/>
      <c r="R24" s="49"/>
      <c r="S24" s="58"/>
      <c r="T24" s="49">
        <f t="shared" si="0"/>
        <v>-174855.52254619999</v>
      </c>
      <c r="U24" s="58"/>
      <c r="V24" s="49">
        <f t="shared" si="1"/>
        <v>-287120.35745380004</v>
      </c>
      <c r="W24" s="63"/>
    </row>
    <row r="25" spans="1:23">
      <c r="A25" s="96" t="s">
        <v>557</v>
      </c>
      <c r="B25" s="49">
        <v>143630</v>
      </c>
      <c r="C25" s="58"/>
      <c r="D25" s="49"/>
      <c r="E25" s="58"/>
      <c r="F25" s="49"/>
      <c r="G25" s="58"/>
      <c r="H25" s="49"/>
      <c r="I25" s="58"/>
      <c r="J25" s="49"/>
      <c r="K25" s="58"/>
      <c r="L25" s="49">
        <f t="shared" si="2"/>
        <v>35220.948599999996</v>
      </c>
      <c r="M25" s="58"/>
      <c r="N25" s="49"/>
      <c r="O25" s="58"/>
      <c r="P25" s="49"/>
      <c r="Q25" s="58"/>
      <c r="R25" s="49"/>
      <c r="S25" s="58"/>
      <c r="T25" s="49">
        <f t="shared" si="0"/>
        <v>35220.948599999996</v>
      </c>
      <c r="U25" s="58"/>
      <c r="V25" s="49">
        <f t="shared" si="1"/>
        <v>108409.0514</v>
      </c>
      <c r="W25" s="63"/>
    </row>
    <row r="26" spans="1:23">
      <c r="B26" s="49"/>
      <c r="C26" s="58"/>
      <c r="D26" s="49"/>
      <c r="E26" s="58"/>
      <c r="F26" s="49"/>
      <c r="G26" s="58"/>
      <c r="H26" s="49"/>
      <c r="I26" s="58"/>
      <c r="J26" s="49"/>
      <c r="K26" s="58"/>
      <c r="L26" s="49">
        <f t="shared" si="2"/>
        <v>0</v>
      </c>
      <c r="M26" s="58"/>
      <c r="N26" s="49"/>
      <c r="O26" s="58"/>
      <c r="P26" s="49"/>
      <c r="Q26" s="58"/>
      <c r="R26" s="49"/>
      <c r="S26" s="58"/>
      <c r="T26" s="49">
        <f t="shared" si="0"/>
        <v>0</v>
      </c>
      <c r="U26" s="58"/>
      <c r="V26" s="49">
        <f t="shared" si="1"/>
        <v>0</v>
      </c>
      <c r="W26" s="63"/>
    </row>
    <row r="27" spans="1:23">
      <c r="B27" s="49"/>
      <c r="C27" s="58"/>
      <c r="D27" s="49"/>
      <c r="E27" s="58"/>
      <c r="F27" s="49"/>
      <c r="G27" s="58"/>
      <c r="H27" s="49"/>
      <c r="I27" s="58"/>
      <c r="J27" s="49"/>
      <c r="K27" s="58"/>
      <c r="L27" s="49">
        <f t="shared" si="2"/>
        <v>0</v>
      </c>
      <c r="M27" s="58"/>
      <c r="N27" s="49"/>
      <c r="O27" s="58"/>
      <c r="P27" s="49"/>
      <c r="Q27" s="58"/>
      <c r="R27" s="49"/>
      <c r="S27" s="58"/>
      <c r="T27" s="49">
        <f t="shared" si="0"/>
        <v>0</v>
      </c>
      <c r="U27" s="58"/>
      <c r="V27" s="49">
        <f t="shared" si="1"/>
        <v>0</v>
      </c>
      <c r="W27" s="63"/>
    </row>
    <row r="28" spans="1:23">
      <c r="B28" s="49"/>
      <c r="C28" s="58"/>
      <c r="D28" s="49"/>
      <c r="E28" s="58"/>
      <c r="F28" s="49"/>
      <c r="G28" s="58"/>
      <c r="H28" s="49"/>
      <c r="I28" s="58"/>
      <c r="J28" s="49"/>
      <c r="K28" s="58"/>
      <c r="L28" s="49">
        <f t="shared" si="2"/>
        <v>0</v>
      </c>
      <c r="M28" s="58"/>
      <c r="N28" s="49"/>
      <c r="O28" s="58"/>
      <c r="P28" s="49"/>
      <c r="Q28" s="58"/>
      <c r="R28" s="49"/>
      <c r="S28" s="58"/>
      <c r="T28" s="49">
        <f t="shared" si="0"/>
        <v>0</v>
      </c>
      <c r="U28" s="58"/>
      <c r="V28" s="49">
        <f t="shared" si="1"/>
        <v>0</v>
      </c>
      <c r="W28" s="63"/>
    </row>
    <row r="29" spans="1:23">
      <c r="B29" s="49"/>
      <c r="C29" s="58"/>
      <c r="D29" s="49"/>
      <c r="E29" s="58"/>
      <c r="F29" s="49"/>
      <c r="G29" s="58"/>
      <c r="H29" s="49"/>
      <c r="I29" s="58"/>
      <c r="J29" s="49"/>
      <c r="K29" s="58"/>
      <c r="L29" s="49">
        <f t="shared" si="2"/>
        <v>0</v>
      </c>
      <c r="M29" s="58"/>
      <c r="N29" s="49"/>
      <c r="O29" s="58"/>
      <c r="P29" s="49"/>
      <c r="Q29" s="58"/>
      <c r="R29" s="49"/>
      <c r="S29" s="58"/>
      <c r="T29" s="49">
        <f t="shared" si="0"/>
        <v>0</v>
      </c>
      <c r="U29" s="58"/>
      <c r="V29" s="49">
        <f t="shared" si="1"/>
        <v>0</v>
      </c>
      <c r="W29" s="63"/>
    </row>
    <row r="30" spans="1:23">
      <c r="B30" s="49"/>
      <c r="C30" s="58"/>
      <c r="D30" s="49"/>
      <c r="E30" s="58"/>
      <c r="F30" s="49"/>
      <c r="G30" s="58"/>
      <c r="H30" s="49"/>
      <c r="I30" s="58"/>
      <c r="J30" s="49"/>
      <c r="K30" s="58"/>
      <c r="L30" s="49">
        <f t="shared" si="2"/>
        <v>0</v>
      </c>
      <c r="M30" s="58"/>
      <c r="N30" s="49"/>
      <c r="O30" s="58"/>
      <c r="P30" s="49"/>
      <c r="Q30" s="58"/>
      <c r="R30" s="49"/>
      <c r="S30" s="58"/>
      <c r="T30" s="49">
        <f>SUM(D30:R30)</f>
        <v>0</v>
      </c>
      <c r="U30" s="58"/>
      <c r="V30" s="49">
        <f>+B30-T30</f>
        <v>0</v>
      </c>
      <c r="W30" s="63"/>
    </row>
    <row r="31" spans="1:23">
      <c r="B31" s="49"/>
      <c r="C31" s="58"/>
      <c r="D31" s="49"/>
      <c r="E31" s="58"/>
      <c r="F31" s="49"/>
      <c r="G31" s="58"/>
      <c r="H31" s="49"/>
      <c r="I31" s="58"/>
      <c r="J31" s="49"/>
      <c r="K31" s="58"/>
      <c r="L31" s="49"/>
      <c r="M31" s="58"/>
      <c r="N31" s="49"/>
      <c r="O31" s="58"/>
      <c r="P31" s="49"/>
      <c r="Q31" s="58"/>
      <c r="R31" s="49"/>
      <c r="S31" s="58"/>
      <c r="T31" s="49"/>
      <c r="U31" s="58"/>
      <c r="V31" s="49"/>
      <c r="W31" s="63"/>
    </row>
    <row r="32" spans="1:23">
      <c r="A32" s="43" t="s">
        <v>250</v>
      </c>
      <c r="B32" s="53">
        <f>SUM(B16:B30)</f>
        <v>-38911693.880000003</v>
      </c>
      <c r="C32" s="58"/>
      <c r="D32" s="53">
        <f>SUM(D16:D30)</f>
        <v>-34903912</v>
      </c>
      <c r="E32" s="58"/>
      <c r="F32" s="53">
        <f>SUM(F16:F30)</f>
        <v>-12418.2325</v>
      </c>
      <c r="G32" s="58"/>
      <c r="H32" s="53">
        <f>SUM(H16:H30)</f>
        <v>-466152.65815599996</v>
      </c>
      <c r="I32" s="58"/>
      <c r="J32" s="53">
        <f>SUM(J16:J30)</f>
        <v>-3482138.7744610077</v>
      </c>
      <c r="K32" s="58"/>
      <c r="L32" s="53">
        <f>SUM(L16:L30)</f>
        <v>224982.99463459256</v>
      </c>
      <c r="M32" s="58"/>
      <c r="N32" s="53">
        <f>SUM(N16:N30)</f>
        <v>0</v>
      </c>
      <c r="O32" s="58"/>
      <c r="P32" s="53">
        <f>SUM(P16:P30)</f>
        <v>0</v>
      </c>
      <c r="Q32" s="58"/>
      <c r="R32" s="53">
        <f>SUM(R16:R30)</f>
        <v>0</v>
      </c>
      <c r="S32" s="58"/>
      <c r="T32" s="53">
        <f>SUM(T16:T30)</f>
        <v>-38639638.670482412</v>
      </c>
      <c r="U32" s="58"/>
      <c r="V32" s="53">
        <f>SUM(V16:V30)</f>
        <v>-272055.20951758604</v>
      </c>
      <c r="W32" s="63"/>
    </row>
    <row r="33" spans="1:23">
      <c r="B33" s="49"/>
      <c r="C33" s="58"/>
      <c r="D33" s="49"/>
      <c r="E33" s="58"/>
      <c r="F33" s="49"/>
      <c r="G33" s="58"/>
      <c r="H33" s="49"/>
      <c r="I33" s="58"/>
      <c r="J33" s="49"/>
      <c r="K33" s="58"/>
      <c r="L33" s="49"/>
      <c r="M33" s="58"/>
      <c r="N33" s="49"/>
      <c r="O33" s="58"/>
      <c r="P33" s="49"/>
      <c r="Q33" s="58"/>
      <c r="R33" s="49"/>
      <c r="S33" s="58"/>
      <c r="T33" s="49"/>
      <c r="U33" s="58"/>
      <c r="V33" s="49"/>
      <c r="W33" s="63"/>
    </row>
    <row r="34" spans="1:23">
      <c r="A34" s="43" t="s">
        <v>251</v>
      </c>
      <c r="B34" s="51">
        <f>+B13+B32</f>
        <v>54050958.119999997</v>
      </c>
      <c r="C34" s="58"/>
      <c r="D34" s="51">
        <f>+D13+D32</f>
        <v>0</v>
      </c>
      <c r="E34" s="58"/>
      <c r="F34" s="51">
        <f>+F13+F32</f>
        <v>23099301.857500002</v>
      </c>
      <c r="G34" s="58"/>
      <c r="H34" s="51">
        <f>+H13+H32</f>
        <v>10359799.291843999</v>
      </c>
      <c r="I34" s="58"/>
      <c r="J34" s="51">
        <f>+J13+J32</f>
        <v>4649559.2255389923</v>
      </c>
      <c r="K34" s="58"/>
      <c r="L34" s="51">
        <f>+L13+L32</f>
        <v>2933733.9946345924</v>
      </c>
      <c r="M34" s="58"/>
      <c r="N34" s="51">
        <f>+N13+N32</f>
        <v>0</v>
      </c>
      <c r="O34" s="58"/>
      <c r="P34" s="51">
        <f>+P13+P32</f>
        <v>0</v>
      </c>
      <c r="Q34" s="58"/>
      <c r="R34" s="51">
        <f>+R13+R32</f>
        <v>0</v>
      </c>
      <c r="S34" s="58"/>
      <c r="T34" s="51">
        <f>+T13+T32</f>
        <v>41042394.369517595</v>
      </c>
      <c r="U34" s="58"/>
      <c r="V34" s="51">
        <f>+V13+V32</f>
        <v>13008563.750482406</v>
      </c>
      <c r="W34" s="63"/>
    </row>
    <row r="35" spans="1:23">
      <c r="B35" s="49"/>
      <c r="C35" s="58"/>
      <c r="D35" s="49"/>
      <c r="E35" s="58"/>
      <c r="F35" s="49"/>
      <c r="G35" s="58"/>
      <c r="H35" s="49"/>
      <c r="I35" s="58"/>
      <c r="J35" s="49"/>
      <c r="K35" s="58"/>
      <c r="L35" s="49"/>
      <c r="M35" s="58"/>
      <c r="N35" s="49"/>
      <c r="O35" s="58"/>
      <c r="P35" s="49"/>
      <c r="Q35" s="58"/>
      <c r="R35" s="49"/>
      <c r="S35" s="58"/>
      <c r="T35" s="49"/>
      <c r="U35" s="58"/>
      <c r="V35" s="49"/>
      <c r="W35" s="63"/>
    </row>
    <row r="36" spans="1:23">
      <c r="B36" s="51">
        <f>'NOI SCH 2 P 2'!B35</f>
        <v>0</v>
      </c>
      <c r="C36" s="58"/>
      <c r="D36" s="51"/>
      <c r="E36" s="58"/>
      <c r="F36" s="51">
        <f>'NOI SCH 2 P 2'!F35</f>
        <v>0</v>
      </c>
      <c r="G36" s="58"/>
      <c r="H36" s="51">
        <f>'NOI SCH 2 P 2'!H35</f>
        <v>0</v>
      </c>
      <c r="I36" s="58"/>
      <c r="J36" s="51">
        <f>'NOI SCH 2 P 2'!J35</f>
        <v>0</v>
      </c>
      <c r="K36" s="58"/>
      <c r="L36" s="51">
        <f t="shared" ref="L36" si="3">-(-B36+D36+F36+H36+J36)*0.25345</f>
        <v>0</v>
      </c>
      <c r="M36" s="58"/>
      <c r="N36" s="51"/>
      <c r="O36" s="58"/>
      <c r="P36" s="51"/>
      <c r="Q36" s="58"/>
      <c r="R36" s="51"/>
      <c r="S36" s="58"/>
      <c r="T36" s="51">
        <f>SUM(D36:R36)</f>
        <v>0</v>
      </c>
      <c r="U36" s="58"/>
      <c r="V36" s="51">
        <f>+B36-T36</f>
        <v>0</v>
      </c>
      <c r="W36" s="63"/>
    </row>
    <row r="37" spans="1:23">
      <c r="B37" s="49"/>
      <c r="C37" s="58"/>
      <c r="D37" s="49"/>
      <c r="E37" s="58"/>
      <c r="F37" s="49"/>
      <c r="G37" s="58"/>
      <c r="H37" s="49"/>
      <c r="I37" s="58"/>
      <c r="J37" s="49"/>
      <c r="K37" s="58"/>
      <c r="L37" s="49"/>
      <c r="M37" s="58"/>
      <c r="N37" s="49"/>
      <c r="O37" s="58"/>
      <c r="P37" s="49"/>
      <c r="Q37" s="58"/>
      <c r="R37" s="49"/>
      <c r="S37" s="58"/>
      <c r="T37" s="49"/>
      <c r="U37" s="58"/>
      <c r="V37" s="49"/>
      <c r="W37" s="63"/>
    </row>
    <row r="38" spans="1:23">
      <c r="A38" s="43" t="s">
        <v>555</v>
      </c>
      <c r="B38" s="51">
        <f>B34+B36</f>
        <v>54050958.119999997</v>
      </c>
      <c r="C38" s="58"/>
      <c r="D38" s="51">
        <f>D34+D36</f>
        <v>0</v>
      </c>
      <c r="E38" s="58"/>
      <c r="F38" s="51">
        <f>F34+F36</f>
        <v>23099301.857500002</v>
      </c>
      <c r="G38" s="58"/>
      <c r="H38" s="51">
        <f>H34+H36</f>
        <v>10359799.291843999</v>
      </c>
      <c r="I38" s="58"/>
      <c r="J38" s="51">
        <f>J34+J36</f>
        <v>4649559.2255389923</v>
      </c>
      <c r="K38" s="58"/>
      <c r="L38" s="51">
        <f>L34+L36</f>
        <v>2933733.9946345924</v>
      </c>
      <c r="M38" s="58"/>
      <c r="N38" s="51">
        <f>N34+N36</f>
        <v>0</v>
      </c>
      <c r="O38" s="58"/>
      <c r="P38" s="51">
        <f>P34+P36</f>
        <v>0</v>
      </c>
      <c r="Q38" s="58"/>
      <c r="R38" s="51">
        <f>R34+R36</f>
        <v>0</v>
      </c>
      <c r="S38" s="58"/>
      <c r="T38" s="51">
        <f>T34+T36</f>
        <v>41042394.369517595</v>
      </c>
      <c r="U38" s="58"/>
      <c r="V38" s="51">
        <f>V34+V36</f>
        <v>13008563.750482406</v>
      </c>
      <c r="W38" s="63"/>
    </row>
    <row r="39" spans="1:23">
      <c r="B39" s="49"/>
      <c r="C39" s="58"/>
      <c r="D39" s="49"/>
      <c r="E39" s="58"/>
      <c r="F39" s="49"/>
      <c r="G39" s="58"/>
      <c r="H39" s="49"/>
      <c r="I39" s="58"/>
      <c r="J39" s="49"/>
      <c r="K39" s="58"/>
      <c r="L39" s="49"/>
      <c r="M39" s="58"/>
      <c r="N39" s="49"/>
      <c r="O39" s="58"/>
      <c r="P39" s="49"/>
      <c r="Q39" s="58"/>
      <c r="R39" s="49"/>
      <c r="S39" s="58"/>
      <c r="T39" s="49"/>
      <c r="U39" s="58"/>
      <c r="V39" s="49"/>
      <c r="W39" s="63"/>
    </row>
    <row r="40" spans="1:23">
      <c r="A40" s="43" t="s">
        <v>535</v>
      </c>
      <c r="B40" s="49"/>
      <c r="C40" s="58"/>
      <c r="D40" s="49"/>
      <c r="E40" s="58"/>
      <c r="F40" s="49"/>
      <c r="G40" s="58"/>
      <c r="H40" s="49">
        <v>-1491132</v>
      </c>
      <c r="I40" s="58"/>
      <c r="J40" s="49"/>
      <c r="K40" s="58"/>
      <c r="L40" s="49">
        <v>351382.19999999995</v>
      </c>
      <c r="M40" s="58"/>
      <c r="N40" s="49"/>
      <c r="O40" s="58"/>
      <c r="P40" s="49"/>
      <c r="Q40" s="58"/>
      <c r="R40" s="49"/>
      <c r="S40" s="58"/>
      <c r="T40" s="49">
        <f>SUM(D40:R40)</f>
        <v>-1139749.8</v>
      </c>
      <c r="U40" s="58"/>
      <c r="V40" s="49">
        <f>+B40-T40</f>
        <v>1139749.8</v>
      </c>
      <c r="W40" s="63"/>
    </row>
    <row r="41" spans="1:23">
      <c r="A41" s="43" t="s">
        <v>536</v>
      </c>
      <c r="B41" s="49"/>
      <c r="C41" s="58"/>
      <c r="D41" s="49"/>
      <c r="E41" s="58"/>
      <c r="F41" s="49"/>
      <c r="G41" s="58"/>
      <c r="H41" s="49"/>
      <c r="I41" s="58"/>
      <c r="J41" s="49"/>
      <c r="K41" s="58"/>
      <c r="L41" s="49"/>
      <c r="M41" s="58"/>
      <c r="N41" s="49"/>
      <c r="O41" s="58"/>
      <c r="P41" s="49"/>
      <c r="Q41" s="58"/>
      <c r="R41" s="49"/>
      <c r="S41" s="58"/>
      <c r="T41" s="49">
        <f>SUM(D41:R41)</f>
        <v>0</v>
      </c>
      <c r="U41" s="58"/>
      <c r="V41" s="49">
        <f>+B41-T41</f>
        <v>0</v>
      </c>
      <c r="W41" s="63"/>
    </row>
    <row r="42" spans="1:23">
      <c r="B42" s="49"/>
      <c r="C42" s="58"/>
      <c r="D42" s="49"/>
      <c r="E42" s="58"/>
      <c r="F42" s="49"/>
      <c r="G42" s="58"/>
      <c r="H42" s="49"/>
      <c r="I42" s="58"/>
      <c r="J42" s="49"/>
      <c r="K42" s="58"/>
      <c r="L42" s="49">
        <f>-(-B42+D42+F42+H42+J42)*0.24522</f>
        <v>0</v>
      </c>
      <c r="M42" s="58"/>
      <c r="N42" s="49"/>
      <c r="O42" s="58"/>
      <c r="P42" s="49"/>
      <c r="Q42" s="58"/>
      <c r="R42" s="49"/>
      <c r="S42" s="58"/>
      <c r="T42" s="49">
        <f>SUM(D42:R42)</f>
        <v>0</v>
      </c>
      <c r="U42" s="58"/>
      <c r="V42" s="49">
        <f>+B42-T42</f>
        <v>0</v>
      </c>
      <c r="W42" s="63"/>
    </row>
    <row r="43" spans="1:23">
      <c r="B43" s="51"/>
      <c r="C43" s="58"/>
      <c r="D43" s="51"/>
      <c r="E43" s="58"/>
      <c r="F43" s="51"/>
      <c r="G43" s="58"/>
      <c r="H43" s="51"/>
      <c r="I43" s="58"/>
      <c r="J43" s="51"/>
      <c r="K43" s="58"/>
      <c r="L43" s="49">
        <f>-(-B43+D43+F43+H43+J43)*0.24522</f>
        <v>0</v>
      </c>
      <c r="M43" s="58"/>
      <c r="N43" s="51"/>
      <c r="O43" s="58"/>
      <c r="P43" s="51"/>
      <c r="Q43" s="58"/>
      <c r="R43" s="51"/>
      <c r="S43" s="58"/>
      <c r="T43" s="51">
        <f>SUM(D43:R43)</f>
        <v>0</v>
      </c>
      <c r="U43" s="58"/>
      <c r="V43" s="51">
        <f>+B43-T43</f>
        <v>0</v>
      </c>
      <c r="W43" s="63"/>
    </row>
    <row r="44" spans="1:23">
      <c r="A44" s="43" t="s">
        <v>252</v>
      </c>
      <c r="B44" s="53">
        <f>SUM(B40:B43)</f>
        <v>0</v>
      </c>
      <c r="C44" s="58"/>
      <c r="D44" s="53">
        <f>SUM(D40:D43)</f>
        <v>0</v>
      </c>
      <c r="E44" s="58"/>
      <c r="F44" s="53">
        <f>SUM(F40:F43)</f>
        <v>0</v>
      </c>
      <c r="G44" s="58"/>
      <c r="H44" s="53">
        <f>SUM(H40:H43)</f>
        <v>-1491132</v>
      </c>
      <c r="I44" s="58"/>
      <c r="J44" s="53">
        <f>SUM(J40:J43)</f>
        <v>0</v>
      </c>
      <c r="K44" s="58"/>
      <c r="L44" s="53">
        <f>SUM(L40:L43)</f>
        <v>351382.19999999995</v>
      </c>
      <c r="M44" s="58"/>
      <c r="N44" s="53">
        <f>SUM(N40:N43)</f>
        <v>0</v>
      </c>
      <c r="O44" s="58"/>
      <c r="P44" s="53">
        <f>SUM(P40:P43)</f>
        <v>0</v>
      </c>
      <c r="Q44" s="58"/>
      <c r="R44" s="53">
        <f>SUM(R40:R43)</f>
        <v>0</v>
      </c>
      <c r="S44" s="58"/>
      <c r="T44" s="53">
        <f>SUM(T40:T43)</f>
        <v>-1139749.8</v>
      </c>
      <c r="U44" s="58"/>
      <c r="V44" s="53">
        <f>SUM(V40:V43)</f>
        <v>1139749.8</v>
      </c>
      <c r="W44" s="63"/>
    </row>
    <row r="45" spans="1:23">
      <c r="B45" s="49"/>
      <c r="C45" s="58"/>
      <c r="D45" s="49"/>
      <c r="E45" s="58"/>
      <c r="F45" s="49"/>
      <c r="G45" s="58"/>
      <c r="H45" s="49"/>
      <c r="I45" s="58"/>
      <c r="J45" s="49"/>
      <c r="K45" s="58"/>
      <c r="L45" s="49"/>
      <c r="M45" s="58"/>
      <c r="N45" s="49"/>
      <c r="O45" s="58"/>
      <c r="P45" s="49"/>
      <c r="Q45" s="58"/>
      <c r="R45" s="49"/>
      <c r="S45" s="58"/>
      <c r="T45" s="49"/>
      <c r="U45" s="58"/>
      <c r="V45" s="49"/>
      <c r="W45" s="63"/>
    </row>
    <row r="46" spans="1:23">
      <c r="B46" s="49"/>
      <c r="C46" s="58"/>
      <c r="D46" s="49"/>
      <c r="E46" s="58"/>
      <c r="F46" s="49"/>
      <c r="G46" s="58"/>
      <c r="H46" s="49"/>
      <c r="I46" s="58"/>
      <c r="J46" s="49"/>
      <c r="K46" s="58"/>
      <c r="L46" s="49"/>
      <c r="M46" s="58"/>
      <c r="N46" s="49"/>
      <c r="O46" s="58"/>
      <c r="P46" s="49"/>
      <c r="Q46" s="58"/>
      <c r="R46" s="49"/>
      <c r="S46" s="58"/>
      <c r="T46" s="49"/>
      <c r="U46" s="58"/>
      <c r="V46" s="49"/>
      <c r="W46" s="63"/>
    </row>
    <row r="47" spans="1:23" ht="15.75" thickBot="1">
      <c r="A47" s="43" t="s">
        <v>253</v>
      </c>
      <c r="B47" s="55">
        <f t="shared" ref="B47:T47" si="4">+B38+B44</f>
        <v>54050958.119999997</v>
      </c>
      <c r="C47" s="58"/>
      <c r="D47" s="55">
        <f t="shared" si="4"/>
        <v>0</v>
      </c>
      <c r="E47" s="58"/>
      <c r="F47" s="55">
        <f t="shared" si="4"/>
        <v>23099301.857500002</v>
      </c>
      <c r="G47" s="58"/>
      <c r="H47" s="55">
        <f t="shared" si="4"/>
        <v>8868667.2918439992</v>
      </c>
      <c r="I47" s="58"/>
      <c r="J47" s="55">
        <f t="shared" si="4"/>
        <v>4649559.2255389923</v>
      </c>
      <c r="K47" s="58"/>
      <c r="L47" s="55">
        <f t="shared" si="4"/>
        <v>3285116.1946345922</v>
      </c>
      <c r="M47" s="58"/>
      <c r="N47" s="55">
        <f t="shared" si="4"/>
        <v>0</v>
      </c>
      <c r="O47" s="58"/>
      <c r="P47" s="55">
        <f t="shared" si="4"/>
        <v>0</v>
      </c>
      <c r="Q47" s="58"/>
      <c r="R47" s="55">
        <f t="shared" si="4"/>
        <v>0</v>
      </c>
      <c r="S47" s="58"/>
      <c r="T47" s="55">
        <f t="shared" si="4"/>
        <v>39902644.569517598</v>
      </c>
      <c r="U47" s="58"/>
      <c r="V47" s="55">
        <f>+V38+V44</f>
        <v>14148313.550482407</v>
      </c>
      <c r="W47" s="63"/>
    </row>
    <row r="48" spans="1:23" ht="15.75" thickTop="1">
      <c r="B48" s="49"/>
      <c r="C48" s="58"/>
      <c r="D48" s="49"/>
      <c r="E48" s="58"/>
      <c r="F48" s="49"/>
      <c r="G48" s="58"/>
      <c r="H48" s="49"/>
      <c r="I48" s="58"/>
      <c r="J48" s="49"/>
      <c r="K48" s="58"/>
      <c r="L48" s="49"/>
      <c r="M48" s="58"/>
      <c r="N48" s="49"/>
      <c r="O48" s="58"/>
      <c r="P48" s="49"/>
      <c r="Q48" s="58"/>
      <c r="R48" s="49"/>
      <c r="S48" s="58"/>
      <c r="T48" s="49"/>
      <c r="U48" s="58"/>
      <c r="V48" s="49"/>
      <c r="W48" s="63"/>
    </row>
    <row r="49" spans="2:23">
      <c r="B49" s="63"/>
      <c r="C49" s="64"/>
      <c r="D49" s="63"/>
      <c r="E49" s="64"/>
      <c r="F49" s="63"/>
      <c r="G49" s="64"/>
      <c r="H49" s="63"/>
      <c r="I49" s="64"/>
      <c r="J49" s="63"/>
      <c r="K49" s="64"/>
      <c r="L49" s="63"/>
      <c r="M49" s="64"/>
      <c r="N49" s="63"/>
      <c r="O49" s="64"/>
      <c r="P49" s="63"/>
      <c r="Q49" s="64"/>
      <c r="R49" s="63"/>
      <c r="S49" s="64"/>
      <c r="T49" s="63"/>
      <c r="U49" s="64"/>
      <c r="V49" s="63"/>
      <c r="W49" s="63"/>
    </row>
    <row r="50" spans="2:23">
      <c r="B50" s="63"/>
      <c r="C50" s="64"/>
      <c r="D50" s="63"/>
      <c r="E50" s="64"/>
      <c r="F50" s="63"/>
      <c r="G50" s="64"/>
      <c r="H50" s="63"/>
      <c r="I50" s="64"/>
      <c r="J50" s="63"/>
      <c r="K50" s="64"/>
      <c r="L50" s="63"/>
      <c r="M50" s="64"/>
      <c r="N50" s="63"/>
      <c r="O50" s="64"/>
      <c r="P50" s="63"/>
      <c r="Q50" s="64"/>
      <c r="R50" s="63"/>
      <c r="S50" s="64"/>
      <c r="T50" s="63"/>
      <c r="U50" s="64"/>
      <c r="V50" s="63"/>
      <c r="W50" s="63"/>
    </row>
  </sheetData>
  <pageMargins left="0.25" right="0.25" top="0.75" bottom="0.75" header="0.3" footer="0.3"/>
  <pageSetup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T71"/>
  <sheetViews>
    <sheetView topLeftCell="A52" zoomScaleNormal="100" zoomScaleSheetLayoutView="100" workbookViewId="0">
      <selection activeCell="G44" sqref="G44:H59"/>
    </sheetView>
  </sheetViews>
  <sheetFormatPr defaultColWidth="9.140625" defaultRowHeight="15"/>
  <cols>
    <col min="1" max="1" width="32.42578125" style="44" bestFit="1" customWidth="1"/>
    <col min="2" max="2" width="3.5703125" style="44" customWidth="1"/>
    <col min="3" max="3" width="3.85546875" style="44" customWidth="1"/>
    <col min="4" max="4" width="17.28515625" style="44" customWidth="1"/>
    <col min="5" max="5" width="13.85546875" style="44" customWidth="1"/>
    <col min="6" max="6" width="16.5703125" style="44" customWidth="1"/>
    <col min="7" max="7" width="14.5703125" style="44" bestFit="1" customWidth="1"/>
    <col min="8" max="8" width="12.5703125" style="44" customWidth="1"/>
    <col min="9" max="9" width="15.5703125" style="44" customWidth="1"/>
    <col min="10" max="10" width="11.140625" style="44" customWidth="1"/>
    <col min="11" max="11" width="10.7109375" style="44" customWidth="1"/>
    <col min="12" max="13" width="11.140625" style="44" customWidth="1"/>
    <col min="14" max="14" width="10.5703125" style="44" customWidth="1"/>
    <col min="15" max="15" width="11.5703125" style="44" customWidth="1"/>
    <col min="16" max="16" width="13" style="44" customWidth="1"/>
    <col min="17" max="18" width="9.140625" style="44"/>
    <col min="19" max="19" width="12.140625" style="44" bestFit="1" customWidth="1"/>
    <col min="20" max="20" width="14.28515625" style="44" customWidth="1"/>
    <col min="21" max="16384" width="9.140625" style="44"/>
  </cols>
  <sheetData>
    <row r="1" spans="1:19">
      <c r="A1" s="43" t="str">
        <f>'Report Summary'!A1</f>
        <v>FLORIDA PUBLIC UTILITIES COMPANY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100"/>
      <c r="P1" s="43" t="s">
        <v>283</v>
      </c>
    </row>
    <row r="2" spans="1:19">
      <c r="A2" s="43" t="str">
        <f>'Report Summary'!A2</f>
        <v>NATURAL GAS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>
      <c r="A3" s="43" t="s">
        <v>284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9">
      <c r="A4" s="47" t="str">
        <f>'Report Summary'!$A$4</f>
        <v>For the 12 Months Ending December 31, 2020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9">
      <c r="A5" s="43" t="s">
        <v>285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9">
      <c r="A6" s="43"/>
      <c r="B6" s="43"/>
      <c r="C6" s="43"/>
      <c r="D6" s="48"/>
      <c r="E6" s="48"/>
      <c r="F6" s="48"/>
      <c r="G6" s="48"/>
      <c r="H6" s="48"/>
      <c r="I6" s="48"/>
      <c r="J6" s="48"/>
      <c r="K6" s="106" t="s">
        <v>286</v>
      </c>
      <c r="L6" s="106"/>
      <c r="M6" s="106" t="s">
        <v>287</v>
      </c>
      <c r="N6" s="106"/>
      <c r="O6" s="106" t="s">
        <v>288</v>
      </c>
      <c r="P6" s="106"/>
      <c r="Q6" s="65"/>
      <c r="R6" s="65"/>
      <c r="S6" s="65"/>
    </row>
    <row r="7" spans="1:19">
      <c r="A7" s="43"/>
      <c r="B7" s="43"/>
      <c r="C7" s="43"/>
      <c r="D7" s="66"/>
      <c r="E7" s="67"/>
      <c r="F7" s="67"/>
      <c r="G7" s="67"/>
      <c r="H7" s="67"/>
      <c r="I7" s="67"/>
      <c r="J7" s="86"/>
      <c r="K7" s="66"/>
      <c r="L7" s="68"/>
      <c r="M7" s="66"/>
      <c r="N7" s="68"/>
      <c r="O7" s="67"/>
      <c r="P7" s="68"/>
      <c r="Q7" s="65"/>
      <c r="R7" s="65"/>
      <c r="S7" s="65"/>
    </row>
    <row r="8" spans="1:19">
      <c r="A8" s="43"/>
      <c r="B8" s="43"/>
      <c r="C8" s="43"/>
      <c r="D8" s="69"/>
      <c r="E8" s="57" t="s">
        <v>38</v>
      </c>
      <c r="F8" s="57"/>
      <c r="G8" s="57"/>
      <c r="H8" s="57"/>
      <c r="I8" s="57"/>
      <c r="J8" s="87"/>
      <c r="K8" s="69" t="s">
        <v>289</v>
      </c>
      <c r="L8" s="70" t="s">
        <v>290</v>
      </c>
      <c r="M8" s="69" t="s">
        <v>289</v>
      </c>
      <c r="N8" s="70" t="s">
        <v>290</v>
      </c>
      <c r="O8" s="57" t="s">
        <v>289</v>
      </c>
      <c r="P8" s="70" t="s">
        <v>290</v>
      </c>
      <c r="Q8" s="65"/>
      <c r="R8" s="65"/>
      <c r="S8" s="65"/>
    </row>
    <row r="9" spans="1:19">
      <c r="A9" s="43"/>
      <c r="B9" s="43"/>
      <c r="C9" s="43"/>
      <c r="D9" s="69"/>
      <c r="E9" s="57"/>
      <c r="F9" s="57" t="s">
        <v>295</v>
      </c>
      <c r="G9" s="57"/>
      <c r="H9" s="57"/>
      <c r="I9" s="57"/>
      <c r="J9" s="87" t="s">
        <v>291</v>
      </c>
      <c r="K9" s="69" t="s">
        <v>292</v>
      </c>
      <c r="L9" s="70" t="s">
        <v>293</v>
      </c>
      <c r="M9" s="69" t="s">
        <v>292</v>
      </c>
      <c r="N9" s="70" t="s">
        <v>293</v>
      </c>
      <c r="O9" s="57" t="s">
        <v>292</v>
      </c>
      <c r="P9" s="70" t="s">
        <v>293</v>
      </c>
      <c r="Q9" s="65"/>
      <c r="R9" s="65"/>
      <c r="S9" s="65"/>
    </row>
    <row r="10" spans="1:19">
      <c r="A10" s="71" t="s">
        <v>294</v>
      </c>
      <c r="B10" s="43"/>
      <c r="C10" s="43"/>
      <c r="D10" s="78" t="s">
        <v>37</v>
      </c>
      <c r="E10" s="60" t="s">
        <v>125</v>
      </c>
      <c r="F10" s="60" t="s">
        <v>467</v>
      </c>
      <c r="G10" s="60" t="s">
        <v>468</v>
      </c>
      <c r="H10" s="60" t="s">
        <v>466</v>
      </c>
      <c r="I10" s="60" t="s">
        <v>73</v>
      </c>
      <c r="J10" s="88" t="s">
        <v>296</v>
      </c>
      <c r="K10" s="78" t="s">
        <v>297</v>
      </c>
      <c r="L10" s="79" t="s">
        <v>298</v>
      </c>
      <c r="M10" s="78" t="s">
        <v>297</v>
      </c>
      <c r="N10" s="79" t="s">
        <v>298</v>
      </c>
      <c r="O10" s="60" t="s">
        <v>297</v>
      </c>
      <c r="P10" s="79" t="s">
        <v>298</v>
      </c>
      <c r="Q10" s="65"/>
      <c r="R10" s="65"/>
      <c r="S10" s="65"/>
    </row>
    <row r="11" spans="1:19">
      <c r="A11" s="43"/>
      <c r="B11" s="43"/>
      <c r="C11" s="43"/>
      <c r="D11" s="72"/>
      <c r="E11" s="56"/>
      <c r="F11" s="56"/>
      <c r="G11" s="56"/>
      <c r="H11" s="56"/>
      <c r="I11" s="56"/>
      <c r="J11" s="89"/>
      <c r="K11" s="72"/>
      <c r="L11" s="73"/>
      <c r="M11" s="72"/>
      <c r="N11" s="73"/>
      <c r="O11" s="56"/>
      <c r="P11" s="73"/>
    </row>
    <row r="12" spans="1:19">
      <c r="A12" s="43"/>
      <c r="B12" s="43"/>
      <c r="C12" s="43"/>
      <c r="D12" s="72"/>
      <c r="E12" s="56"/>
      <c r="F12" s="56"/>
      <c r="G12" s="56"/>
      <c r="H12" s="56"/>
      <c r="I12" s="56"/>
      <c r="J12" s="89"/>
      <c r="K12" s="72"/>
      <c r="L12" s="73"/>
      <c r="M12" s="72"/>
      <c r="N12" s="73"/>
      <c r="O12" s="56"/>
      <c r="P12" s="73"/>
    </row>
    <row r="13" spans="1:19">
      <c r="A13" s="43" t="s">
        <v>301</v>
      </c>
      <c r="B13" s="43"/>
      <c r="C13" s="43"/>
      <c r="D13" s="74">
        <v>101415776</v>
      </c>
      <c r="E13" s="62"/>
      <c r="F13" s="58">
        <f>D13+E13</f>
        <v>101415776</v>
      </c>
      <c r="G13" s="58">
        <v>1005691</v>
      </c>
      <c r="H13" s="58">
        <v>-2469682</v>
      </c>
      <c r="I13" s="58">
        <f>F13+G13+H13</f>
        <v>99951785</v>
      </c>
      <c r="J13" s="90">
        <f>ROUND(I13/$I$34,5)</f>
        <v>0.36853999999999998</v>
      </c>
      <c r="K13" s="84">
        <f>M13-0.01</f>
        <v>9.8500000000000004E-2</v>
      </c>
      <c r="L13" s="81">
        <f>ROUND($J13*K13,4)</f>
        <v>3.6299999999999999E-2</v>
      </c>
      <c r="M13" s="84">
        <v>0.1085</v>
      </c>
      <c r="N13" s="81">
        <f>ROUND($J13*M13,4)</f>
        <v>0.04</v>
      </c>
      <c r="O13" s="80">
        <f>M13+0.01</f>
        <v>0.11849999999999999</v>
      </c>
      <c r="P13" s="81">
        <f>ROUND($J13*O13,4)</f>
        <v>4.3700000000000003E-2</v>
      </c>
      <c r="S13" s="75"/>
    </row>
    <row r="14" spans="1:19">
      <c r="A14" s="43"/>
      <c r="B14" s="43"/>
      <c r="C14" s="43"/>
      <c r="D14" s="74"/>
      <c r="E14" s="58"/>
      <c r="F14" s="58"/>
      <c r="G14" s="58"/>
      <c r="H14" s="58"/>
      <c r="I14" s="58"/>
      <c r="J14" s="90"/>
      <c r="K14" s="84"/>
      <c r="L14" s="81"/>
      <c r="M14" s="84"/>
      <c r="N14" s="81"/>
      <c r="O14" s="80"/>
      <c r="P14" s="81"/>
      <c r="S14" s="43"/>
    </row>
    <row r="15" spans="1:19">
      <c r="A15" s="43" t="s">
        <v>537</v>
      </c>
      <c r="B15" s="43"/>
      <c r="C15" s="43"/>
      <c r="D15" s="74">
        <v>75910585.799015403</v>
      </c>
      <c r="E15" s="58"/>
      <c r="F15" s="58">
        <f>D15+E15</f>
        <v>75910585.799015403</v>
      </c>
      <c r="G15" s="58">
        <v>752769</v>
      </c>
      <c r="H15" s="58"/>
      <c r="I15" s="58">
        <f>F15+G15+H15</f>
        <v>76663354.799015403</v>
      </c>
      <c r="J15" s="90">
        <f>ROUND(I15/$I$34,5)</f>
        <v>0.28266999999999998</v>
      </c>
      <c r="K15" s="84">
        <v>3.6900000000000002E-2</v>
      </c>
      <c r="L15" s="81">
        <f>ROUND($J15*K15,4)</f>
        <v>1.04E-2</v>
      </c>
      <c r="M15" s="84">
        <f>+K15</f>
        <v>3.6900000000000002E-2</v>
      </c>
      <c r="N15" s="81">
        <f>ROUND($J15*M15,4)</f>
        <v>1.04E-2</v>
      </c>
      <c r="O15" s="80">
        <f>K15</f>
        <v>3.6900000000000002E-2</v>
      </c>
      <c r="P15" s="81">
        <f>ROUND($J15*O15,4)</f>
        <v>1.04E-2</v>
      </c>
      <c r="S15" s="75"/>
    </row>
    <row r="16" spans="1:19">
      <c r="A16" s="43"/>
      <c r="B16" s="43"/>
      <c r="C16" s="43"/>
      <c r="D16" s="74"/>
      <c r="E16" s="58"/>
      <c r="F16" s="58"/>
      <c r="G16" s="58"/>
      <c r="H16" s="58"/>
      <c r="I16" s="58"/>
      <c r="J16" s="90"/>
      <c r="K16" s="84"/>
      <c r="L16" s="81"/>
      <c r="M16" s="84"/>
      <c r="N16" s="81"/>
      <c r="O16" s="80"/>
      <c r="P16" s="81"/>
      <c r="S16" s="43"/>
    </row>
    <row r="17" spans="1:19">
      <c r="A17" s="43" t="s">
        <v>299</v>
      </c>
      <c r="B17" s="43"/>
      <c r="C17" s="43"/>
      <c r="D17" s="74">
        <v>38252388</v>
      </c>
      <c r="E17" s="58"/>
      <c r="F17" s="58">
        <f>D17+E17</f>
        <v>38252388</v>
      </c>
      <c r="G17" s="58">
        <v>379330</v>
      </c>
      <c r="H17" s="58"/>
      <c r="I17" s="58">
        <f>F17+G17+H17</f>
        <v>38631718</v>
      </c>
      <c r="J17" s="90">
        <f>ROUND(I17/$I$34,5)</f>
        <v>0.14244000000000001</v>
      </c>
      <c r="K17" s="84">
        <v>1.83E-2</v>
      </c>
      <c r="L17" s="81">
        <f>ROUND($J17*K17,4)</f>
        <v>2.5999999999999999E-3</v>
      </c>
      <c r="M17" s="84">
        <f>+K17</f>
        <v>1.83E-2</v>
      </c>
      <c r="N17" s="81">
        <f>ROUND($J17*M17,4)</f>
        <v>2.5999999999999999E-3</v>
      </c>
      <c r="O17" s="80">
        <f>M17</f>
        <v>1.83E-2</v>
      </c>
      <c r="P17" s="81">
        <f>ROUND($J17*O17,4)</f>
        <v>2.5999999999999999E-3</v>
      </c>
      <c r="S17" s="75"/>
    </row>
    <row r="18" spans="1:19">
      <c r="A18" s="43"/>
      <c r="B18" s="43"/>
      <c r="C18" s="43"/>
      <c r="D18" s="74"/>
      <c r="E18" s="58"/>
      <c r="F18" s="58"/>
      <c r="G18" s="58"/>
      <c r="H18" s="58"/>
      <c r="I18" s="58"/>
      <c r="J18" s="90"/>
      <c r="K18" s="84"/>
      <c r="L18" s="81"/>
      <c r="M18" s="84"/>
      <c r="N18" s="81"/>
      <c r="O18" s="80"/>
      <c r="P18" s="81"/>
      <c r="S18" s="43"/>
    </row>
    <row r="19" spans="1:19">
      <c r="A19" s="43" t="s">
        <v>538</v>
      </c>
      <c r="B19" s="43"/>
      <c r="C19" s="43"/>
      <c r="D19" s="74">
        <v>4759968.5271591209</v>
      </c>
      <c r="E19" s="58"/>
      <c r="F19" s="58">
        <f>D19+E19</f>
        <v>4759968.5271591209</v>
      </c>
      <c r="G19" s="58">
        <v>47202</v>
      </c>
      <c r="H19" s="58"/>
      <c r="I19" s="58">
        <f>F19+G19+H19</f>
        <v>4807170.5271591209</v>
      </c>
      <c r="J19" s="90">
        <f>ROUND(I19/$I$34,5)</f>
        <v>1.7729999999999999E-2</v>
      </c>
      <c r="K19" s="84">
        <v>0.1134272904470332</v>
      </c>
      <c r="L19" s="81">
        <f>ROUND($J19*K19,4)</f>
        <v>2E-3</v>
      </c>
      <c r="M19" s="84">
        <f>+K19</f>
        <v>0.1134272904470332</v>
      </c>
      <c r="N19" s="81">
        <f>ROUND($J19*M19,4)</f>
        <v>2E-3</v>
      </c>
      <c r="O19" s="80">
        <f>M19</f>
        <v>0.1134272904470332</v>
      </c>
      <c r="P19" s="81">
        <f>ROUND($J19*O19,4)</f>
        <v>2E-3</v>
      </c>
      <c r="S19" s="75"/>
    </row>
    <row r="20" spans="1:19" s="43" customFormat="1">
      <c r="D20" s="74"/>
      <c r="E20" s="58"/>
      <c r="F20" s="58"/>
      <c r="G20" s="58"/>
      <c r="H20" s="58"/>
      <c r="I20" s="58"/>
      <c r="J20" s="90"/>
      <c r="K20" s="84"/>
      <c r="L20" s="81"/>
      <c r="M20" s="84"/>
      <c r="N20" s="81"/>
      <c r="O20" s="80"/>
      <c r="P20" s="81"/>
    </row>
    <row r="21" spans="1:19" s="43" customFormat="1">
      <c r="A21" s="43" t="s">
        <v>542</v>
      </c>
      <c r="D21" s="74">
        <v>0</v>
      </c>
      <c r="E21" s="58"/>
      <c r="F21" s="58">
        <f>D21+E21</f>
        <v>0</v>
      </c>
      <c r="G21" s="58">
        <v>0</v>
      </c>
      <c r="H21" s="58"/>
      <c r="I21" s="58">
        <f>F21+G21+H21</f>
        <v>0</v>
      </c>
      <c r="J21" s="90">
        <f>ROUND(I21/$I$34,5)</f>
        <v>0</v>
      </c>
      <c r="K21" s="84">
        <v>0</v>
      </c>
      <c r="L21" s="81">
        <f>ROUND($J21*K21,4)</f>
        <v>0</v>
      </c>
      <c r="M21" s="84">
        <f>+K21</f>
        <v>0</v>
      </c>
      <c r="N21" s="81">
        <f>ROUND($J21*M21,4)</f>
        <v>0</v>
      </c>
      <c r="O21" s="80">
        <f>M21</f>
        <v>0</v>
      </c>
      <c r="P21" s="81">
        <f>ROUND($J21*O21,4)</f>
        <v>0</v>
      </c>
    </row>
    <row r="22" spans="1:19">
      <c r="A22" s="43"/>
      <c r="B22" s="43"/>
      <c r="C22" s="43"/>
      <c r="D22" s="74"/>
      <c r="E22" s="58"/>
      <c r="F22" s="58"/>
      <c r="G22" s="58"/>
      <c r="H22" s="58"/>
      <c r="I22" s="58"/>
      <c r="J22" s="90"/>
      <c r="K22" s="84"/>
      <c r="L22" s="81"/>
      <c r="M22" s="84"/>
      <c r="N22" s="81"/>
      <c r="O22" s="80"/>
      <c r="P22" s="81"/>
      <c r="S22" s="43"/>
    </row>
    <row r="23" spans="1:19">
      <c r="A23" s="43" t="s">
        <v>300</v>
      </c>
      <c r="B23" s="43"/>
      <c r="C23" s="43"/>
      <c r="D23" s="74">
        <v>8578228</v>
      </c>
      <c r="E23" s="58"/>
      <c r="F23" s="58">
        <f>D23+E23</f>
        <v>8578228</v>
      </c>
      <c r="G23" s="58"/>
      <c r="H23" s="58"/>
      <c r="I23" s="58">
        <f>F23+G23+H23</f>
        <v>8578228</v>
      </c>
      <c r="J23" s="90">
        <f>ROUND(I23/$I$34,5)</f>
        <v>3.1629999999999998E-2</v>
      </c>
      <c r="K23" s="84">
        <v>2.4374978142338952E-2</v>
      </c>
      <c r="L23" s="81">
        <f>ROUND($J23*K23,4)</f>
        <v>8.0000000000000004E-4</v>
      </c>
      <c r="M23" s="84">
        <f>+K23</f>
        <v>2.4374978142338952E-2</v>
      </c>
      <c r="N23" s="81">
        <f>ROUND($J23*M23,4)</f>
        <v>8.0000000000000004E-4</v>
      </c>
      <c r="O23" s="80">
        <f>+M23</f>
        <v>2.4374978142338952E-2</v>
      </c>
      <c r="P23" s="81">
        <f>ROUND($J23*O23,4)</f>
        <v>8.0000000000000004E-4</v>
      </c>
      <c r="S23" s="75"/>
    </row>
    <row r="24" spans="1:19">
      <c r="A24" s="43"/>
      <c r="B24" s="43"/>
      <c r="C24" s="43"/>
      <c r="D24" s="74"/>
      <c r="E24" s="58"/>
      <c r="F24" s="58"/>
      <c r="G24" s="58"/>
      <c r="H24" s="58"/>
      <c r="I24" s="58"/>
      <c r="J24" s="90"/>
      <c r="K24" s="84"/>
      <c r="L24" s="81"/>
      <c r="M24" s="84"/>
      <c r="N24" s="81"/>
      <c r="O24" s="80"/>
      <c r="P24" s="81"/>
      <c r="S24" s="43"/>
    </row>
    <row r="25" spans="1:19">
      <c r="A25" s="43" t="s">
        <v>464</v>
      </c>
      <c r="B25" s="43"/>
      <c r="C25" s="43"/>
      <c r="D25" s="74">
        <v>42574783.178699993</v>
      </c>
      <c r="E25" s="58"/>
      <c r="F25" s="58">
        <f>D25+E25</f>
        <v>42574783.178699993</v>
      </c>
      <c r="G25" s="58"/>
      <c r="H25" s="58"/>
      <c r="I25" s="58">
        <f>F25+G25+H25</f>
        <v>42574783.178699993</v>
      </c>
      <c r="J25" s="90">
        <f>ROUND(I25/$I$34,5)</f>
        <v>0.15698000000000001</v>
      </c>
      <c r="K25" s="84">
        <v>0</v>
      </c>
      <c r="L25" s="81">
        <f>ROUND($J25*K25,4)</f>
        <v>0</v>
      </c>
      <c r="M25" s="84">
        <f>+K25</f>
        <v>0</v>
      </c>
      <c r="N25" s="81">
        <f>ROUND($J25*M25,4)</f>
        <v>0</v>
      </c>
      <c r="O25" s="80">
        <f>M25</f>
        <v>0</v>
      </c>
      <c r="P25" s="81">
        <f>ROUND($J25*O25,4)</f>
        <v>0</v>
      </c>
      <c r="S25" s="75"/>
    </row>
    <row r="26" spans="1:19">
      <c r="A26" s="43"/>
      <c r="B26" s="43"/>
      <c r="C26" s="43"/>
      <c r="D26" s="74"/>
      <c r="E26" s="58"/>
      <c r="F26" s="58"/>
      <c r="G26" s="58"/>
      <c r="H26" s="58"/>
      <c r="I26" s="58"/>
      <c r="J26" s="90"/>
      <c r="K26" s="84"/>
      <c r="L26" s="81"/>
      <c r="M26" s="84"/>
      <c r="N26" s="81"/>
      <c r="O26" s="80"/>
      <c r="P26" s="81"/>
      <c r="S26" s="43"/>
    </row>
    <row r="27" spans="1:19">
      <c r="A27" s="43" t="s">
        <v>465</v>
      </c>
      <c r="B27" s="43"/>
      <c r="C27" s="43"/>
      <c r="D27" s="74">
        <v>0</v>
      </c>
      <c r="E27" s="58"/>
      <c r="F27" s="58">
        <f>D27+E27</f>
        <v>0</v>
      </c>
      <c r="G27" s="58"/>
      <c r="H27" s="58"/>
      <c r="I27" s="58">
        <f>F27+G27+H27</f>
        <v>0</v>
      </c>
      <c r="J27" s="90">
        <f>ROUND(I27/$I$34,5)</f>
        <v>0</v>
      </c>
      <c r="K27" s="84">
        <v>5.1299999999999998E-2</v>
      </c>
      <c r="L27" s="81">
        <f>ROUND($J27*K27,4)</f>
        <v>0</v>
      </c>
      <c r="M27" s="84">
        <f>SUM(N13:N19)</f>
        <v>5.5E-2</v>
      </c>
      <c r="N27" s="81">
        <f>ROUND($J27*M27,4)</f>
        <v>0</v>
      </c>
      <c r="O27" s="80">
        <f>SUM(P13:P19)</f>
        <v>5.8700000000000002E-2</v>
      </c>
      <c r="P27" s="81">
        <f>ROUND($J27*O27,4)</f>
        <v>0</v>
      </c>
      <c r="S27" s="75"/>
    </row>
    <row r="28" spans="1:19">
      <c r="A28" s="43"/>
      <c r="B28" s="43"/>
      <c r="C28" s="43"/>
      <c r="D28" s="74"/>
      <c r="E28" s="58"/>
      <c r="F28" s="58"/>
      <c r="G28" s="58"/>
      <c r="H28" s="58"/>
      <c r="I28" s="58"/>
      <c r="J28" s="90"/>
      <c r="K28" s="84"/>
      <c r="L28" s="81"/>
      <c r="M28" s="84"/>
      <c r="N28" s="81"/>
      <c r="O28" s="80"/>
      <c r="P28" s="81"/>
      <c r="S28" s="75"/>
    </row>
    <row r="29" spans="1:19">
      <c r="A29" s="43"/>
      <c r="B29" s="43"/>
      <c r="C29" s="43"/>
      <c r="D29" s="74"/>
      <c r="E29" s="58"/>
      <c r="F29" s="58"/>
      <c r="G29" s="58"/>
      <c r="H29" s="58"/>
      <c r="I29" s="58"/>
      <c r="J29" s="90"/>
      <c r="K29" s="84"/>
      <c r="L29" s="81"/>
      <c r="M29" s="84"/>
      <c r="N29" s="81"/>
      <c r="O29" s="80"/>
      <c r="P29" s="81"/>
      <c r="S29" s="43"/>
    </row>
    <row r="30" spans="1:19">
      <c r="A30" s="43"/>
      <c r="B30" s="43"/>
      <c r="C30" s="43"/>
      <c r="D30" s="74"/>
      <c r="E30" s="58"/>
      <c r="F30" s="58"/>
      <c r="G30" s="58"/>
      <c r="H30" s="58"/>
      <c r="I30" s="58"/>
      <c r="J30" s="90"/>
      <c r="K30" s="84"/>
      <c r="L30" s="81"/>
      <c r="M30" s="84"/>
      <c r="N30" s="81"/>
      <c r="O30" s="80"/>
      <c r="P30" s="81"/>
      <c r="S30" s="75"/>
    </row>
    <row r="31" spans="1:19">
      <c r="A31" s="43"/>
      <c r="B31" s="43"/>
      <c r="C31" s="43"/>
      <c r="D31" s="74"/>
      <c r="E31" s="58"/>
      <c r="F31" s="58"/>
      <c r="G31" s="58"/>
      <c r="H31" s="58"/>
      <c r="I31" s="58"/>
      <c r="J31" s="90"/>
      <c r="K31" s="84"/>
      <c r="L31" s="81"/>
      <c r="M31" s="84"/>
      <c r="N31" s="81"/>
      <c r="O31" s="80"/>
      <c r="P31" s="81"/>
      <c r="S31" s="43"/>
    </row>
    <row r="32" spans="1:19">
      <c r="A32" s="43"/>
      <c r="B32" s="43"/>
      <c r="C32" s="43"/>
      <c r="D32" s="76"/>
      <c r="E32" s="51"/>
      <c r="F32" s="51"/>
      <c r="G32" s="51"/>
      <c r="H32" s="51"/>
      <c r="I32" s="51"/>
      <c r="J32" s="91"/>
      <c r="K32" s="85"/>
      <c r="L32" s="82"/>
      <c r="M32" s="85"/>
      <c r="N32" s="82"/>
      <c r="O32" s="52"/>
      <c r="P32" s="82"/>
      <c r="S32" s="43"/>
    </row>
    <row r="33" spans="1:20">
      <c r="A33" s="43"/>
      <c r="B33" s="43"/>
      <c r="C33" s="43"/>
      <c r="D33" s="74"/>
      <c r="E33" s="58"/>
      <c r="F33" s="58"/>
      <c r="G33" s="58"/>
      <c r="H33" s="58"/>
      <c r="I33" s="58"/>
      <c r="J33" s="90"/>
      <c r="K33" s="84"/>
      <c r="L33" s="81"/>
      <c r="M33" s="84"/>
      <c r="N33" s="81"/>
      <c r="O33" s="80"/>
      <c r="P33" s="81"/>
      <c r="S33" s="43"/>
    </row>
    <row r="34" spans="1:20" ht="15.75" thickBot="1">
      <c r="A34" s="43" t="s">
        <v>302</v>
      </c>
      <c r="B34" s="43"/>
      <c r="C34" s="43"/>
      <c r="D34" s="76">
        <f>SUM(D12:D32)</f>
        <v>271491729.50487453</v>
      </c>
      <c r="E34" s="51">
        <f>SUM(E13:E32)</f>
        <v>0</v>
      </c>
      <c r="F34" s="51">
        <f>SUM(F13:F32)</f>
        <v>271491729.50487453</v>
      </c>
      <c r="G34" s="51">
        <f>SUM(G13:G32)</f>
        <v>2184992</v>
      </c>
      <c r="H34" s="51">
        <f>SUM(H12:H32)</f>
        <v>-2469682</v>
      </c>
      <c r="I34" s="51">
        <f>SUM(I12:I32)</f>
        <v>271207039.50487453</v>
      </c>
      <c r="J34" s="91">
        <f>SUM(J13:J32)</f>
        <v>0.99999000000000005</v>
      </c>
      <c r="K34" s="85"/>
      <c r="L34" s="82">
        <f>SUM(L13:L32)</f>
        <v>5.21E-2</v>
      </c>
      <c r="M34" s="85"/>
      <c r="N34" s="82">
        <f>SUM(N13:N32)</f>
        <v>5.5800000000000002E-2</v>
      </c>
      <c r="O34" s="52"/>
      <c r="P34" s="82">
        <f>SUM(P13:P32)</f>
        <v>5.9500000000000004E-2</v>
      </c>
      <c r="S34" s="43"/>
      <c r="T34" s="83">
        <f>'Avg ROR'!P18+'Avg ROR'!P20+'Avg ROR'!P21+'Avg ROR'!P23+'Avg ROR'!P25</f>
        <v>2189988.5737999943</v>
      </c>
    </row>
    <row r="35" spans="1:20" ht="15.75" thickTop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S35" s="43"/>
    </row>
    <row r="36" spans="1:20">
      <c r="A36" s="43"/>
      <c r="B36" s="43"/>
      <c r="C36" s="43"/>
      <c r="D36" s="43"/>
      <c r="E36" s="43"/>
      <c r="F36" s="43"/>
      <c r="G36" s="43"/>
      <c r="H36" s="43"/>
      <c r="I36" s="102"/>
      <c r="J36" s="43"/>
      <c r="K36" s="43"/>
      <c r="L36" s="43"/>
      <c r="M36" s="43"/>
      <c r="N36" s="43"/>
      <c r="O36" s="43"/>
      <c r="P36" s="43"/>
      <c r="S36" s="43"/>
    </row>
    <row r="37" spans="1:20">
      <c r="A37" s="43"/>
      <c r="B37" s="43"/>
      <c r="C37" s="43"/>
      <c r="D37" s="48"/>
      <c r="E37" s="48"/>
      <c r="F37" s="48"/>
      <c r="G37" s="48"/>
      <c r="H37" s="48"/>
      <c r="I37" s="48"/>
      <c r="J37" s="48"/>
      <c r="K37" s="107" t="s">
        <v>286</v>
      </c>
      <c r="L37" s="107"/>
      <c r="M37" s="107" t="s">
        <v>287</v>
      </c>
      <c r="N37" s="107"/>
      <c r="O37" s="107" t="s">
        <v>288</v>
      </c>
      <c r="P37" s="107"/>
      <c r="S37" s="43"/>
    </row>
    <row r="38" spans="1:20">
      <c r="A38" s="43"/>
      <c r="B38" s="43"/>
      <c r="C38" s="43"/>
      <c r="D38" s="66"/>
      <c r="E38" s="67"/>
      <c r="F38" s="67"/>
      <c r="G38" s="67"/>
      <c r="H38" s="67"/>
      <c r="I38" s="67"/>
      <c r="J38" s="86"/>
      <c r="K38" s="67"/>
      <c r="L38" s="68"/>
      <c r="M38" s="66"/>
      <c r="N38" s="68"/>
      <c r="O38" s="67"/>
      <c r="P38" s="68"/>
      <c r="S38" s="43"/>
    </row>
    <row r="39" spans="1:20">
      <c r="A39" s="43"/>
      <c r="B39" s="43"/>
      <c r="C39" s="43"/>
      <c r="D39" s="69"/>
      <c r="E39" s="57" t="s">
        <v>38</v>
      </c>
      <c r="F39" s="57"/>
      <c r="G39" s="57"/>
      <c r="H39" s="57"/>
      <c r="I39" s="57"/>
      <c r="J39" s="87"/>
      <c r="K39" s="57" t="s">
        <v>289</v>
      </c>
      <c r="L39" s="70" t="s">
        <v>290</v>
      </c>
      <c r="M39" s="69" t="s">
        <v>289</v>
      </c>
      <c r="N39" s="70" t="s">
        <v>290</v>
      </c>
      <c r="O39" s="57" t="s">
        <v>289</v>
      </c>
      <c r="P39" s="70" t="s">
        <v>290</v>
      </c>
      <c r="S39" s="43"/>
    </row>
    <row r="40" spans="1:20">
      <c r="A40" s="43"/>
      <c r="B40" s="43"/>
      <c r="C40" s="43"/>
      <c r="D40" s="69"/>
      <c r="E40" s="57"/>
      <c r="F40" s="57" t="s">
        <v>295</v>
      </c>
      <c r="G40" s="57"/>
      <c r="H40" s="57"/>
      <c r="I40" s="57"/>
      <c r="J40" s="87" t="s">
        <v>291</v>
      </c>
      <c r="K40" s="57" t="s">
        <v>292</v>
      </c>
      <c r="L40" s="70" t="s">
        <v>293</v>
      </c>
      <c r="M40" s="69" t="s">
        <v>292</v>
      </c>
      <c r="N40" s="70" t="s">
        <v>293</v>
      </c>
      <c r="O40" s="57" t="s">
        <v>292</v>
      </c>
      <c r="P40" s="70" t="s">
        <v>293</v>
      </c>
      <c r="S40" s="43"/>
    </row>
    <row r="41" spans="1:20">
      <c r="A41" s="71" t="s">
        <v>303</v>
      </c>
      <c r="B41" s="43"/>
      <c r="C41" s="43"/>
      <c r="D41" s="78" t="s">
        <v>37</v>
      </c>
      <c r="E41" s="60" t="s">
        <v>125</v>
      </c>
      <c r="F41" s="60" t="s">
        <v>467</v>
      </c>
      <c r="G41" s="60" t="s">
        <v>468</v>
      </c>
      <c r="H41" s="60" t="s">
        <v>466</v>
      </c>
      <c r="I41" s="60" t="s">
        <v>73</v>
      </c>
      <c r="J41" s="88" t="s">
        <v>296</v>
      </c>
      <c r="K41" s="60" t="s">
        <v>297</v>
      </c>
      <c r="L41" s="79" t="s">
        <v>298</v>
      </c>
      <c r="M41" s="78" t="s">
        <v>297</v>
      </c>
      <c r="N41" s="79" t="s">
        <v>298</v>
      </c>
      <c r="O41" s="60" t="s">
        <v>297</v>
      </c>
      <c r="P41" s="79" t="s">
        <v>298</v>
      </c>
      <c r="S41" s="43"/>
    </row>
    <row r="42" spans="1:20">
      <c r="A42" s="43"/>
      <c r="B42" s="43"/>
      <c r="C42" s="43"/>
      <c r="D42" s="72"/>
      <c r="E42" s="56"/>
      <c r="F42" s="56"/>
      <c r="G42" s="56"/>
      <c r="H42" s="56"/>
      <c r="I42" s="56"/>
      <c r="J42" s="89"/>
      <c r="K42" s="56"/>
      <c r="L42" s="73"/>
      <c r="M42" s="72"/>
      <c r="N42" s="73"/>
      <c r="O42" s="56"/>
      <c r="P42" s="73"/>
      <c r="S42" s="43"/>
    </row>
    <row r="43" spans="1:20">
      <c r="A43" s="43"/>
      <c r="B43" s="43"/>
      <c r="C43" s="43"/>
      <c r="D43" s="72"/>
      <c r="E43" s="56"/>
      <c r="F43" s="56"/>
      <c r="G43" s="56"/>
      <c r="H43" s="56"/>
      <c r="I43" s="56"/>
      <c r="J43" s="89"/>
      <c r="K43" s="56"/>
      <c r="L43" s="73"/>
      <c r="M43" s="72"/>
      <c r="N43" s="73"/>
      <c r="O43" s="56"/>
      <c r="P43" s="73"/>
      <c r="S43" s="43"/>
    </row>
    <row r="44" spans="1:20">
      <c r="A44" s="43" t="s">
        <v>301</v>
      </c>
      <c r="B44" s="43"/>
      <c r="C44" s="43"/>
      <c r="D44" s="74">
        <v>118153598</v>
      </c>
      <c r="E44" s="58"/>
      <c r="F44" s="58">
        <f>D44+E44</f>
        <v>118153598</v>
      </c>
      <c r="G44" s="58">
        <v>1128364.6000000001</v>
      </c>
      <c r="H44" s="58">
        <v>-2469682</v>
      </c>
      <c r="I44" s="58">
        <f>F44+G44+H44</f>
        <v>116812280.59999999</v>
      </c>
      <c r="J44" s="90">
        <f>ROUND(I44/$I$65,5)</f>
        <v>0.40559000000000001</v>
      </c>
      <c r="K44" s="80">
        <f>M44-0.01</f>
        <v>9.8500000000000004E-2</v>
      </c>
      <c r="L44" s="81">
        <f>ROUND($J44*K44,4)</f>
        <v>0.04</v>
      </c>
      <c r="M44" s="84">
        <v>0.1085</v>
      </c>
      <c r="N44" s="81">
        <f>ROUND($J44*M44,4)</f>
        <v>4.3999999999999997E-2</v>
      </c>
      <c r="O44" s="80">
        <f>M44+0.01</f>
        <v>0.11849999999999999</v>
      </c>
      <c r="P44" s="81">
        <f>ROUND($J44*O44,4)</f>
        <v>4.8099999999999997E-2</v>
      </c>
      <c r="Q44" s="77"/>
      <c r="S44" s="75"/>
    </row>
    <row r="45" spans="1:20">
      <c r="A45" s="43"/>
      <c r="B45" s="43"/>
      <c r="C45" s="43"/>
      <c r="D45" s="74"/>
      <c r="E45" s="58"/>
      <c r="F45" s="58"/>
      <c r="G45" s="58"/>
      <c r="H45" s="58"/>
      <c r="I45" s="58"/>
      <c r="J45" s="90"/>
      <c r="K45" s="80"/>
      <c r="L45" s="81"/>
      <c r="M45" s="84"/>
      <c r="N45" s="81"/>
      <c r="O45" s="80"/>
      <c r="P45" s="81"/>
      <c r="Q45" s="77"/>
      <c r="S45" s="43"/>
    </row>
    <row r="46" spans="1:20">
      <c r="A46" s="43" t="s">
        <v>537</v>
      </c>
      <c r="B46" s="43"/>
      <c r="C46" s="43"/>
      <c r="D46" s="74">
        <v>87997590.650401086</v>
      </c>
      <c r="E46" s="58"/>
      <c r="F46" s="58">
        <f>D46+E46</f>
        <v>87997590.650401086</v>
      </c>
      <c r="G46" s="58">
        <v>840375.5</v>
      </c>
      <c r="H46" s="58"/>
      <c r="I46" s="58">
        <f>F46+G46+H46</f>
        <v>88837966.150401086</v>
      </c>
      <c r="J46" s="90">
        <f>ROUND(I46/$I$65,5)</f>
        <v>0.30846000000000001</v>
      </c>
      <c r="K46" s="80">
        <v>3.4253076133737043E-2</v>
      </c>
      <c r="L46" s="81">
        <f>ROUND($J46*K46,4)</f>
        <v>1.06E-2</v>
      </c>
      <c r="M46" s="84">
        <f>+K46</f>
        <v>3.4253076133737043E-2</v>
      </c>
      <c r="N46" s="81">
        <f>ROUND($J46*M46,4)</f>
        <v>1.06E-2</v>
      </c>
      <c r="O46" s="80">
        <f>K46</f>
        <v>3.4253076133737043E-2</v>
      </c>
      <c r="P46" s="81">
        <f>ROUND($J46*O46,4)</f>
        <v>1.06E-2</v>
      </c>
      <c r="Q46" s="77"/>
      <c r="S46" s="75"/>
    </row>
    <row r="47" spans="1:20">
      <c r="A47" s="43"/>
      <c r="B47" s="43"/>
      <c r="C47" s="43"/>
      <c r="D47" s="74"/>
      <c r="E47" s="58"/>
      <c r="F47" s="58"/>
      <c r="G47" s="58"/>
      <c r="H47" s="58"/>
      <c r="I47" s="58"/>
      <c r="J47" s="90"/>
      <c r="K47" s="80"/>
      <c r="L47" s="81"/>
      <c r="M47" s="84"/>
      <c r="N47" s="81"/>
      <c r="O47" s="80"/>
      <c r="P47" s="81"/>
      <c r="Q47" s="77"/>
      <c r="S47" s="43"/>
    </row>
    <row r="48" spans="1:20">
      <c r="A48" s="43" t="s">
        <v>299</v>
      </c>
      <c r="B48" s="43"/>
      <c r="C48" s="43"/>
      <c r="D48" s="74">
        <v>29577444</v>
      </c>
      <c r="E48" s="58"/>
      <c r="F48" s="58">
        <f>D48+E48</f>
        <v>29577444</v>
      </c>
      <c r="G48" s="58">
        <v>282464</v>
      </c>
      <c r="H48" s="58"/>
      <c r="I48" s="58">
        <f>F48+G48+H48</f>
        <v>29859908</v>
      </c>
      <c r="J48" s="90">
        <f>ROUND(I48/$I$65,5)</f>
        <v>0.10367999999999999</v>
      </c>
      <c r="K48" s="80">
        <v>2.4299999999999999E-2</v>
      </c>
      <c r="L48" s="81">
        <f>ROUND($J48*K48,4)</f>
        <v>2.5000000000000001E-3</v>
      </c>
      <c r="M48" s="84">
        <f>+K48</f>
        <v>2.4299999999999999E-2</v>
      </c>
      <c r="N48" s="81">
        <f>ROUND($J48*M48,4)</f>
        <v>2.5000000000000001E-3</v>
      </c>
      <c r="O48" s="80">
        <f>M48</f>
        <v>2.4299999999999999E-2</v>
      </c>
      <c r="P48" s="81">
        <f>ROUND($J48*O48,4)</f>
        <v>2.5000000000000001E-3</v>
      </c>
      <c r="Q48" s="77"/>
      <c r="S48" s="75"/>
    </row>
    <row r="49" spans="1:19">
      <c r="A49" s="43"/>
      <c r="B49" s="43"/>
      <c r="C49" s="43"/>
      <c r="D49" s="74"/>
      <c r="E49" s="58"/>
      <c r="F49" s="58"/>
      <c r="G49" s="58"/>
      <c r="H49" s="58"/>
      <c r="I49" s="58"/>
      <c r="J49" s="90"/>
      <c r="K49" s="80"/>
      <c r="L49" s="81"/>
      <c r="M49" s="84"/>
      <c r="N49" s="81"/>
      <c r="O49" s="80"/>
      <c r="P49" s="81"/>
      <c r="Q49" s="77"/>
      <c r="S49" s="43"/>
    </row>
    <row r="50" spans="1:19">
      <c r="A50" s="43" t="str">
        <f>+A19</f>
        <v>LONG TERM DEBT - FC</v>
      </c>
      <c r="B50" s="43"/>
      <c r="C50" s="43"/>
      <c r="D50" s="74">
        <v>0</v>
      </c>
      <c r="E50" s="58"/>
      <c r="F50" s="58">
        <f>D50+E50</f>
        <v>0</v>
      </c>
      <c r="G50" s="58">
        <v>0</v>
      </c>
      <c r="H50" s="58"/>
      <c r="I50" s="58">
        <f>F50+G50+H50</f>
        <v>0</v>
      </c>
      <c r="J50" s="90">
        <f>ROUND(I50/$I$65,5)</f>
        <v>0</v>
      </c>
      <c r="K50" s="80">
        <v>0</v>
      </c>
      <c r="L50" s="81">
        <f>ROUND($J50*K50,4)</f>
        <v>0</v>
      </c>
      <c r="M50" s="84">
        <f>+K50</f>
        <v>0</v>
      </c>
      <c r="N50" s="81">
        <f>ROUND($J50*M50,4)</f>
        <v>0</v>
      </c>
      <c r="O50" s="80">
        <f>M50</f>
        <v>0</v>
      </c>
      <c r="P50" s="81">
        <f>ROUND($J50*O50,4)</f>
        <v>0</v>
      </c>
      <c r="Q50" s="77"/>
      <c r="S50" s="75"/>
    </row>
    <row r="51" spans="1:19" s="43" customFormat="1">
      <c r="D51" s="74"/>
      <c r="E51" s="58"/>
      <c r="F51" s="58"/>
      <c r="G51" s="58"/>
      <c r="H51" s="58"/>
      <c r="I51" s="58"/>
      <c r="J51" s="90"/>
      <c r="K51" s="80"/>
      <c r="L51" s="81"/>
      <c r="M51" s="84"/>
      <c r="N51" s="81"/>
      <c r="O51" s="80"/>
      <c r="P51" s="81"/>
    </row>
    <row r="52" spans="1:19" s="43" customFormat="1">
      <c r="A52" s="43" t="str">
        <f>+A21</f>
        <v>SHORT TERM DEBT - REFINANCED LTD</v>
      </c>
      <c r="D52" s="74">
        <v>0</v>
      </c>
      <c r="E52" s="58"/>
      <c r="F52" s="58">
        <f>D52+E52</f>
        <v>0</v>
      </c>
      <c r="G52" s="58">
        <v>0</v>
      </c>
      <c r="H52" s="58"/>
      <c r="I52" s="58">
        <f>F52+G52+H52</f>
        <v>0</v>
      </c>
      <c r="J52" s="90">
        <f>ROUND(I52/$I$65,5)</f>
        <v>0</v>
      </c>
      <c r="K52" s="80">
        <v>0</v>
      </c>
      <c r="L52" s="81">
        <f>ROUND($J52*K52,4)</f>
        <v>0</v>
      </c>
      <c r="M52" s="84">
        <f>+K52</f>
        <v>0</v>
      </c>
      <c r="N52" s="81">
        <f>ROUND($J52*M52,4)</f>
        <v>0</v>
      </c>
      <c r="O52" s="80">
        <f>M52</f>
        <v>0</v>
      </c>
      <c r="P52" s="81">
        <f>ROUND($J52*O52,4)</f>
        <v>0</v>
      </c>
    </row>
    <row r="53" spans="1:19">
      <c r="A53" s="43"/>
      <c r="B53" s="43"/>
      <c r="C53" s="43"/>
      <c r="D53" s="74"/>
      <c r="E53" s="58"/>
      <c r="F53" s="58"/>
      <c r="G53" s="58"/>
      <c r="H53" s="58"/>
      <c r="I53" s="58"/>
      <c r="J53" s="90"/>
      <c r="K53" s="80"/>
      <c r="L53" s="81"/>
      <c r="M53" s="84"/>
      <c r="N53" s="81"/>
      <c r="O53" s="80"/>
      <c r="P53" s="81"/>
      <c r="Q53" s="77"/>
      <c r="S53" s="43"/>
    </row>
    <row r="54" spans="1:19">
      <c r="A54" s="43" t="s">
        <v>300</v>
      </c>
      <c r="B54" s="43"/>
      <c r="C54" s="43"/>
      <c r="D54" s="74">
        <v>8608570</v>
      </c>
      <c r="E54" s="58"/>
      <c r="F54" s="58">
        <f>D54+E54</f>
        <v>8608570</v>
      </c>
      <c r="G54" s="58"/>
      <c r="H54" s="58"/>
      <c r="I54" s="58">
        <f>F54+G54+H54</f>
        <v>8608570</v>
      </c>
      <c r="J54" s="90">
        <f>ROUND(I54/$I$65,5)</f>
        <v>2.989E-2</v>
      </c>
      <c r="K54" s="80">
        <v>2.4289065431308567E-2</v>
      </c>
      <c r="L54" s="81">
        <f>ROUND($J54*K54,4)</f>
        <v>6.9999999999999999E-4</v>
      </c>
      <c r="M54" s="84">
        <f>+K54</f>
        <v>2.4289065431308567E-2</v>
      </c>
      <c r="N54" s="81">
        <f>ROUND($J54*M54,4)</f>
        <v>6.9999999999999999E-4</v>
      </c>
      <c r="O54" s="80">
        <f>+M54</f>
        <v>2.4289065431308567E-2</v>
      </c>
      <c r="P54" s="81">
        <f>ROUND($J54*O54,4)</f>
        <v>6.9999999999999999E-4</v>
      </c>
      <c r="Q54" s="77"/>
      <c r="S54" s="43"/>
    </row>
    <row r="55" spans="1:19">
      <c r="A55" s="43"/>
      <c r="B55" s="43"/>
      <c r="C55" s="43"/>
      <c r="D55" s="74"/>
      <c r="E55" s="58"/>
      <c r="F55" s="58"/>
      <c r="G55" s="58"/>
      <c r="H55" s="58"/>
      <c r="I55" s="58"/>
      <c r="J55" s="90"/>
      <c r="K55" s="80"/>
      <c r="L55" s="81"/>
      <c r="M55" s="84"/>
      <c r="N55" s="81"/>
      <c r="O55" s="80"/>
      <c r="P55" s="81"/>
      <c r="Q55" s="77"/>
      <c r="S55" s="43"/>
    </row>
    <row r="56" spans="1:19">
      <c r="A56" s="43" t="s">
        <v>464</v>
      </c>
      <c r="B56" s="43"/>
      <c r="C56" s="43"/>
      <c r="D56" s="74">
        <v>43888608.541599996</v>
      </c>
      <c r="E56" s="58"/>
      <c r="F56" s="58">
        <f>D56+E56</f>
        <v>43888608.541599996</v>
      </c>
      <c r="G56" s="58"/>
      <c r="H56" s="58"/>
      <c r="I56" s="58">
        <f>F56+G56+H56</f>
        <v>43888608.541599996</v>
      </c>
      <c r="J56" s="90">
        <f>ROUND(I56/$I$65,5)</f>
        <v>0.15239</v>
      </c>
      <c r="K56" s="80">
        <v>0</v>
      </c>
      <c r="L56" s="81">
        <f>ROUND($J56*K56,4)</f>
        <v>0</v>
      </c>
      <c r="M56" s="84">
        <f>+K56</f>
        <v>0</v>
      </c>
      <c r="N56" s="81">
        <f>ROUND($J56*M56,4)</f>
        <v>0</v>
      </c>
      <c r="O56" s="80">
        <f>M56</f>
        <v>0</v>
      </c>
      <c r="P56" s="81">
        <f>ROUND($J56*O56,4)</f>
        <v>0</v>
      </c>
      <c r="Q56" s="77"/>
      <c r="S56" s="43"/>
    </row>
    <row r="57" spans="1:19">
      <c r="A57" s="43"/>
      <c r="B57" s="43"/>
      <c r="C57" s="43"/>
      <c r="D57" s="74"/>
      <c r="E57" s="58"/>
      <c r="F57" s="58"/>
      <c r="G57" s="58"/>
      <c r="H57" s="58"/>
      <c r="I57" s="58"/>
      <c r="J57" s="90"/>
      <c r="K57" s="80"/>
      <c r="L57" s="81"/>
      <c r="M57" s="84"/>
      <c r="N57" s="81"/>
      <c r="O57" s="80"/>
      <c r="P57" s="81"/>
      <c r="Q57" s="77"/>
      <c r="S57" s="43"/>
    </row>
    <row r="58" spans="1:19">
      <c r="A58" s="43" t="s">
        <v>465</v>
      </c>
      <c r="B58" s="43"/>
      <c r="C58" s="43"/>
      <c r="D58" s="74">
        <v>0</v>
      </c>
      <c r="E58" s="58"/>
      <c r="F58" s="58">
        <f>D58+E58</f>
        <v>0</v>
      </c>
      <c r="G58" s="58"/>
      <c r="H58" s="58"/>
      <c r="I58" s="58">
        <f>F58+G58+H58</f>
        <v>0</v>
      </c>
      <c r="J58" s="90">
        <f>ROUND(I58/$I$65,5)</f>
        <v>0</v>
      </c>
      <c r="K58" s="80">
        <f>SUM(L44:L50)</f>
        <v>5.3100000000000001E-2</v>
      </c>
      <c r="L58" s="81">
        <f>ROUND($J58*K58,4)</f>
        <v>0</v>
      </c>
      <c r="M58" s="84">
        <f>SUM(N44:N50)</f>
        <v>5.7099999999999998E-2</v>
      </c>
      <c r="N58" s="81">
        <f>ROUND($J58*M58,4)</f>
        <v>0</v>
      </c>
      <c r="O58" s="80">
        <f>SUM(P44:P50)</f>
        <v>6.1199999999999997E-2</v>
      </c>
      <c r="P58" s="81">
        <f>ROUND($J58*O58,4)</f>
        <v>0</v>
      </c>
      <c r="Q58" s="77"/>
      <c r="S58" s="43"/>
    </row>
    <row r="59" spans="1:19">
      <c r="A59" s="43"/>
      <c r="B59" s="43"/>
      <c r="C59" s="43"/>
      <c r="D59" s="74"/>
      <c r="E59" s="58"/>
      <c r="F59" s="58"/>
      <c r="G59" s="58"/>
      <c r="H59" s="58"/>
      <c r="I59" s="58"/>
      <c r="J59" s="90"/>
      <c r="K59" s="80"/>
      <c r="L59" s="81"/>
      <c r="M59" s="84"/>
      <c r="N59" s="81"/>
      <c r="O59" s="80"/>
      <c r="P59" s="81"/>
      <c r="Q59" s="77"/>
      <c r="S59" s="43"/>
    </row>
    <row r="60" spans="1:19">
      <c r="A60" s="43"/>
      <c r="B60" s="43"/>
      <c r="C60" s="43"/>
      <c r="D60" s="74"/>
      <c r="E60" s="58"/>
      <c r="F60" s="58"/>
      <c r="G60" s="58"/>
      <c r="H60" s="58"/>
      <c r="I60" s="58"/>
      <c r="J60" s="90"/>
      <c r="K60" s="80"/>
      <c r="L60" s="81"/>
      <c r="M60" s="84"/>
      <c r="N60" s="81"/>
      <c r="O60" s="80"/>
      <c r="P60" s="81"/>
      <c r="Q60" s="77"/>
      <c r="S60" s="43"/>
    </row>
    <row r="61" spans="1:19">
      <c r="A61" s="43"/>
      <c r="B61" s="43"/>
      <c r="C61" s="43"/>
      <c r="D61" s="74"/>
      <c r="E61" s="58"/>
      <c r="F61" s="58"/>
      <c r="G61" s="58"/>
      <c r="H61" s="58"/>
      <c r="I61" s="58"/>
      <c r="J61" s="90"/>
      <c r="K61" s="80"/>
      <c r="L61" s="81"/>
      <c r="M61" s="84"/>
      <c r="N61" s="81"/>
      <c r="O61" s="80"/>
      <c r="P61" s="81"/>
      <c r="Q61" s="77"/>
      <c r="S61" s="43"/>
    </row>
    <row r="62" spans="1:19">
      <c r="A62" s="43"/>
      <c r="B62" s="43"/>
      <c r="C62" s="43"/>
      <c r="D62" s="74"/>
      <c r="E62" s="58"/>
      <c r="F62" s="58"/>
      <c r="G62" s="58"/>
      <c r="H62" s="58"/>
      <c r="I62" s="58"/>
      <c r="J62" s="90"/>
      <c r="K62" s="80"/>
      <c r="L62" s="81"/>
      <c r="M62" s="84"/>
      <c r="N62" s="81"/>
      <c r="O62" s="80"/>
      <c r="P62" s="81"/>
      <c r="Q62" s="77"/>
      <c r="S62" s="43"/>
    </row>
    <row r="63" spans="1:19">
      <c r="A63" s="43"/>
      <c r="B63" s="43"/>
      <c r="C63" s="43"/>
      <c r="D63" s="76"/>
      <c r="E63" s="51"/>
      <c r="F63" s="51"/>
      <c r="G63" s="51"/>
      <c r="H63" s="51"/>
      <c r="I63" s="51"/>
      <c r="J63" s="91"/>
      <c r="K63" s="52"/>
      <c r="L63" s="82"/>
      <c r="M63" s="85"/>
      <c r="N63" s="82"/>
      <c r="O63" s="52"/>
      <c r="P63" s="82"/>
      <c r="Q63" s="77"/>
      <c r="S63" s="43"/>
    </row>
    <row r="64" spans="1:19">
      <c r="A64" s="43"/>
      <c r="B64" s="43"/>
      <c r="C64" s="43"/>
      <c r="D64" s="74"/>
      <c r="E64" s="58"/>
      <c r="F64" s="58"/>
      <c r="G64" s="58"/>
      <c r="H64" s="58"/>
      <c r="I64" s="58"/>
      <c r="J64" s="90"/>
      <c r="K64" s="80"/>
      <c r="L64" s="81"/>
      <c r="M64" s="84"/>
      <c r="N64" s="81"/>
      <c r="O64" s="80"/>
      <c r="P64" s="81"/>
      <c r="S64" s="43"/>
    </row>
    <row r="65" spans="1:20" ht="15.75" thickBot="1">
      <c r="A65" s="43" t="s">
        <v>75</v>
      </c>
      <c r="B65" s="43"/>
      <c r="C65" s="43"/>
      <c r="D65" s="76">
        <f t="shared" ref="D65:J65" si="0">SUM(D44:D63)</f>
        <v>288225811.1920011</v>
      </c>
      <c r="E65" s="51">
        <f t="shared" si="0"/>
        <v>0</v>
      </c>
      <c r="F65" s="51">
        <f t="shared" si="0"/>
        <v>288225811.1920011</v>
      </c>
      <c r="G65" s="51">
        <f t="shared" si="0"/>
        <v>2251204.1</v>
      </c>
      <c r="H65" s="51">
        <f t="shared" si="0"/>
        <v>-2469682</v>
      </c>
      <c r="I65" s="51">
        <f t="shared" si="0"/>
        <v>288007333.29200107</v>
      </c>
      <c r="J65" s="91">
        <f t="shared" si="0"/>
        <v>1.0000100000000001</v>
      </c>
      <c r="K65" s="52"/>
      <c r="L65" s="82">
        <f>SUM(L44:L63)</f>
        <v>5.3800000000000001E-2</v>
      </c>
      <c r="M65" s="85"/>
      <c r="N65" s="82">
        <f>SUM(N44:N63)</f>
        <v>5.7799999999999997E-2</v>
      </c>
      <c r="O65" s="52"/>
      <c r="P65" s="82">
        <f>SUM(P44:P63)</f>
        <v>6.1899999999999997E-2</v>
      </c>
      <c r="T65" s="45"/>
    </row>
    <row r="66" spans="1:20" ht="15.75" thickTop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</row>
    <row r="67" spans="1:20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</row>
    <row r="68" spans="1:20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</row>
    <row r="69" spans="1:20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0" spans="1:20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</row>
    <row r="71" spans="1:20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</row>
  </sheetData>
  <mergeCells count="6">
    <mergeCell ref="K6:L6"/>
    <mergeCell ref="M6:N6"/>
    <mergeCell ref="O6:P6"/>
    <mergeCell ref="K37:L37"/>
    <mergeCell ref="M37:N37"/>
    <mergeCell ref="O37:P37"/>
  </mergeCells>
  <phoneticPr fontId="0" type="noConversion"/>
  <printOptions horizontalCentered="1"/>
  <pageMargins left="0.25" right="0.25" top="0.75" bottom="0.75" header="0.3" footer="0.3"/>
  <pageSetup scale="5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C000"/>
  </sheetPr>
  <dimension ref="A3:H58"/>
  <sheetViews>
    <sheetView zoomScaleNormal="100" zoomScaleSheetLayoutView="100" workbookViewId="0">
      <selection activeCell="B4" sqref="B4"/>
    </sheetView>
  </sheetViews>
  <sheetFormatPr defaultColWidth="9.140625" defaultRowHeight="11.25"/>
  <cols>
    <col min="1" max="1" width="9.140625" style="4"/>
    <col min="2" max="2" width="21.140625" style="4" customWidth="1"/>
    <col min="3" max="3" width="15.85546875" style="4" customWidth="1"/>
    <col min="4" max="4" width="13.85546875" style="4" customWidth="1"/>
    <col min="5" max="5" width="15.42578125" style="4" customWidth="1"/>
    <col min="6" max="6" width="13.85546875" style="4" customWidth="1"/>
    <col min="7" max="7" width="15.42578125" style="4" customWidth="1"/>
    <col min="8" max="8" width="14.42578125" style="4" customWidth="1"/>
    <col min="9" max="16384" width="9.140625" style="4"/>
  </cols>
  <sheetData>
    <row r="3" spans="1:7" ht="12.75">
      <c r="D3" s="103" t="str">
        <f>'Report Summary'!A1</f>
        <v>FLORIDA PUBLIC UTILITIES COMPANY</v>
      </c>
      <c r="E3" s="103"/>
    </row>
    <row r="4" spans="1:7" ht="12.75">
      <c r="D4" s="103" t="str">
        <f>'Report Summary'!A2</f>
        <v>NATURAL GAS</v>
      </c>
      <c r="E4" s="103"/>
    </row>
    <row r="5" spans="1:7" ht="12.75">
      <c r="D5" s="103" t="s">
        <v>472</v>
      </c>
      <c r="E5" s="103"/>
    </row>
    <row r="7" spans="1:7">
      <c r="C7" s="21" t="s">
        <v>95</v>
      </c>
      <c r="D7" s="21"/>
      <c r="E7" s="21"/>
      <c r="F7" s="21"/>
      <c r="G7" s="21"/>
    </row>
    <row r="8" spans="1:7">
      <c r="C8" s="21" t="s">
        <v>221</v>
      </c>
      <c r="D8" s="21" t="s">
        <v>96</v>
      </c>
      <c r="E8" s="21" t="s">
        <v>97</v>
      </c>
      <c r="F8" s="21" t="s">
        <v>98</v>
      </c>
      <c r="G8" s="21" t="s">
        <v>99</v>
      </c>
    </row>
    <row r="9" spans="1:7">
      <c r="C9" s="5" t="str">
        <f>'Report Summary'!$A$4</f>
        <v>For the 12 Months Ending December 31, 2020</v>
      </c>
      <c r="D9" s="21" t="s">
        <v>100</v>
      </c>
      <c r="E9" s="21" t="s">
        <v>101</v>
      </c>
      <c r="F9" s="21" t="s">
        <v>102</v>
      </c>
      <c r="G9" s="21" t="s">
        <v>103</v>
      </c>
    </row>
    <row r="12" spans="1:7">
      <c r="A12" s="4" t="s">
        <v>104</v>
      </c>
      <c r="C12" s="37" t="e">
        <f>+#REF!</f>
        <v>#REF!</v>
      </c>
      <c r="D12" s="9">
        <f>+'Avg ROR'!B19+'Avg ROR'!B22</f>
        <v>-2469682</v>
      </c>
      <c r="E12" s="9">
        <f>'Avg ROR'!B21</f>
        <v>-4169116.6181999994</v>
      </c>
      <c r="F12" s="9">
        <v>0</v>
      </c>
      <c r="G12" s="9" t="e">
        <f>SUM(C12:F12)</f>
        <v>#REF!</v>
      </c>
    </row>
    <row r="13" spans="1:7">
      <c r="C13" s="9"/>
      <c r="D13" s="9"/>
      <c r="E13" s="9"/>
      <c r="F13" s="9"/>
      <c r="G13" s="9"/>
    </row>
    <row r="14" spans="1:7">
      <c r="C14" s="9"/>
      <c r="D14" s="9"/>
      <c r="E14" s="9"/>
      <c r="F14" s="9"/>
      <c r="G14" s="9"/>
    </row>
    <row r="15" spans="1:7">
      <c r="A15" s="4" t="s">
        <v>105</v>
      </c>
      <c r="C15" s="19" t="e">
        <f>+#REF!</f>
        <v>#REF!</v>
      </c>
      <c r="D15" s="19">
        <v>0</v>
      </c>
      <c r="E15" s="19">
        <f>'Avg ROR'!D26</f>
        <v>1361117.8619999937</v>
      </c>
      <c r="F15" s="19">
        <v>0</v>
      </c>
      <c r="G15" s="19" t="e">
        <f>SUM(C15:F15)</f>
        <v>#REF!</v>
      </c>
    </row>
    <row r="16" spans="1:7">
      <c r="C16" s="9"/>
      <c r="D16" s="9"/>
      <c r="E16" s="9"/>
      <c r="F16" s="9"/>
      <c r="G16" s="9"/>
    </row>
    <row r="17" spans="1:7">
      <c r="A17" s="4" t="s">
        <v>106</v>
      </c>
      <c r="C17" s="9" t="e">
        <f>SUM(C12:C15)</f>
        <v>#REF!</v>
      </c>
      <c r="D17" s="9">
        <f>SUM(D12:D15)</f>
        <v>-2469682</v>
      </c>
      <c r="E17" s="9">
        <f>SUM(E12:E15)</f>
        <v>-2807998.7562000058</v>
      </c>
      <c r="F17" s="9">
        <f>SUM(F12:F15)</f>
        <v>0</v>
      </c>
      <c r="G17" s="9" t="e">
        <f>SUM(C17:F17)</f>
        <v>#REF!</v>
      </c>
    </row>
    <row r="18" spans="1:7">
      <c r="C18" s="9"/>
      <c r="D18" s="9"/>
      <c r="E18" s="9"/>
      <c r="F18" s="9"/>
      <c r="G18" s="9"/>
    </row>
    <row r="19" spans="1:7">
      <c r="A19" s="4" t="s">
        <v>166</v>
      </c>
      <c r="C19" s="19" t="e">
        <f>+#REF!</f>
        <v>#REF!</v>
      </c>
      <c r="D19" s="19"/>
      <c r="E19" s="19"/>
      <c r="F19" s="19"/>
      <c r="G19" s="19" t="e">
        <f>SUM(C19:F19)</f>
        <v>#REF!</v>
      </c>
    </row>
    <row r="20" spans="1:7">
      <c r="C20" s="9"/>
      <c r="D20" s="9"/>
      <c r="E20" s="9"/>
      <c r="F20" s="9"/>
      <c r="G20" s="9"/>
    </row>
    <row r="21" spans="1:7">
      <c r="A21" s="4" t="s">
        <v>107</v>
      </c>
      <c r="C21" s="19" t="e">
        <f>SUM(C17:C19)</f>
        <v>#REF!</v>
      </c>
      <c r="D21" s="19">
        <f>SUM(D17:D19)</f>
        <v>-2469682</v>
      </c>
      <c r="E21" s="19">
        <f>SUM(E17:E19)</f>
        <v>-2807998.7562000058</v>
      </c>
      <c r="F21" s="19">
        <f>SUM(F17:F19)</f>
        <v>0</v>
      </c>
      <c r="G21" s="19" t="e">
        <f>SUM(G17:G19)</f>
        <v>#REF!</v>
      </c>
    </row>
    <row r="22" spans="1:7">
      <c r="C22" s="9"/>
      <c r="D22" s="9"/>
      <c r="E22" s="9"/>
      <c r="F22" s="9"/>
      <c r="G22" s="9"/>
    </row>
    <row r="23" spans="1:7">
      <c r="C23" s="9"/>
      <c r="D23" s="9"/>
      <c r="E23" s="9"/>
      <c r="F23" s="9"/>
      <c r="G23" s="9"/>
    </row>
    <row r="24" spans="1:7">
      <c r="A24" s="4" t="s">
        <v>108</v>
      </c>
      <c r="C24" s="9"/>
      <c r="D24" s="9"/>
      <c r="E24" s="9"/>
      <c r="F24" s="9"/>
      <c r="G24" s="9"/>
    </row>
    <row r="25" spans="1:7">
      <c r="C25" s="9">
        <v>0</v>
      </c>
      <c r="D25" s="9">
        <v>0</v>
      </c>
      <c r="E25" s="9"/>
      <c r="F25" s="9"/>
      <c r="G25" s="9">
        <f>SUM(C25:F25)</f>
        <v>0</v>
      </c>
    </row>
    <row r="26" spans="1:7">
      <c r="C26" s="9"/>
      <c r="D26" s="9"/>
      <c r="E26" s="9"/>
      <c r="F26" s="9"/>
      <c r="G26" s="9"/>
    </row>
    <row r="27" spans="1:7">
      <c r="C27" s="19"/>
      <c r="D27" s="19"/>
      <c r="E27" s="19"/>
      <c r="F27" s="19"/>
      <c r="G27" s="19"/>
    </row>
    <row r="28" spans="1:7">
      <c r="C28" s="9"/>
      <c r="D28" s="9"/>
      <c r="E28" s="9"/>
      <c r="F28" s="9"/>
      <c r="G28" s="9"/>
    </row>
    <row r="29" spans="1:7">
      <c r="A29" s="4" t="s">
        <v>109</v>
      </c>
      <c r="C29" s="19">
        <f>SUM(C25:C27)</f>
        <v>0</v>
      </c>
      <c r="D29" s="19">
        <f>SUM(D25:D27)</f>
        <v>0</v>
      </c>
      <c r="E29" s="19">
        <f>SUM(E25:E27)</f>
        <v>0</v>
      </c>
      <c r="F29" s="19">
        <f>SUM(F25:F27)</f>
        <v>0</v>
      </c>
      <c r="G29" s="19">
        <f>SUM(G25:G27)</f>
        <v>0</v>
      </c>
    </row>
    <row r="30" spans="1:7">
      <c r="C30" s="9"/>
      <c r="D30" s="9"/>
      <c r="E30" s="9"/>
      <c r="F30" s="9"/>
      <c r="G30" s="9"/>
    </row>
    <row r="31" spans="1:7">
      <c r="C31" s="9"/>
      <c r="D31" s="9"/>
      <c r="E31" s="9"/>
      <c r="F31" s="9"/>
      <c r="G31" s="9"/>
    </row>
    <row r="32" spans="1:7">
      <c r="A32" s="4" t="s">
        <v>110</v>
      </c>
      <c r="C32" s="9"/>
      <c r="D32" s="9"/>
      <c r="E32" s="9"/>
      <c r="F32" s="9"/>
      <c r="G32" s="9"/>
    </row>
    <row r="33" spans="1:8">
      <c r="C33" s="9"/>
      <c r="D33" s="9"/>
      <c r="E33" s="9"/>
      <c r="F33" s="9"/>
      <c r="G33" s="9">
        <f>SUM(C33:F33)</f>
        <v>0</v>
      </c>
    </row>
    <row r="34" spans="1:8">
      <c r="C34" s="9"/>
      <c r="D34" s="9"/>
      <c r="E34" s="9"/>
      <c r="F34" s="9"/>
      <c r="G34" s="9"/>
    </row>
    <row r="35" spans="1:8">
      <c r="A35" s="4" t="s">
        <v>67</v>
      </c>
      <c r="C35" s="9">
        <v>0</v>
      </c>
      <c r="D35" s="9"/>
      <c r="E35" s="9"/>
      <c r="F35" s="9"/>
      <c r="G35" s="9">
        <f>SUM(C35:F35)</f>
        <v>0</v>
      </c>
    </row>
    <row r="36" spans="1:8">
      <c r="C36" s="9"/>
      <c r="D36" s="9"/>
      <c r="E36" s="9"/>
      <c r="F36" s="9"/>
      <c r="G36" s="9"/>
    </row>
    <row r="37" spans="1:8">
      <c r="C37" s="9"/>
      <c r="D37" s="9"/>
      <c r="E37" s="9"/>
      <c r="F37" s="9"/>
      <c r="G37" s="9">
        <f>SUM(C37:F37)</f>
        <v>0</v>
      </c>
    </row>
    <row r="38" spans="1:8">
      <c r="C38" s="9"/>
      <c r="D38" s="9"/>
      <c r="E38" s="9"/>
      <c r="F38" s="9"/>
      <c r="G38" s="9"/>
    </row>
    <row r="39" spans="1:8">
      <c r="A39" s="4" t="s">
        <v>111</v>
      </c>
      <c r="C39" s="11">
        <f>SUM(C33:C37)</f>
        <v>0</v>
      </c>
      <c r="D39" s="11">
        <f>SUM(D33:D37)</f>
        <v>0</v>
      </c>
      <c r="E39" s="11">
        <f>SUM(E33:E37)</f>
        <v>0</v>
      </c>
      <c r="F39" s="11">
        <f>SUM(F33:F37)</f>
        <v>0</v>
      </c>
      <c r="G39" s="11">
        <f>SUM(C39:F39)</f>
        <v>0</v>
      </c>
    </row>
    <row r="40" spans="1:8">
      <c r="C40" s="9"/>
      <c r="D40" s="9"/>
      <c r="E40" s="9"/>
      <c r="F40" s="9"/>
      <c r="G40" s="9"/>
    </row>
    <row r="41" spans="1:8">
      <c r="C41" s="9"/>
      <c r="D41" s="9"/>
      <c r="E41" s="9"/>
      <c r="F41" s="9"/>
      <c r="G41" s="9"/>
    </row>
    <row r="42" spans="1:8">
      <c r="A42" s="4" t="s">
        <v>112</v>
      </c>
      <c r="C42" s="19" t="e">
        <f>+C21+C29+C39</f>
        <v>#REF!</v>
      </c>
      <c r="D42" s="19">
        <f>+D21+D29+D39</f>
        <v>-2469682</v>
      </c>
      <c r="E42" s="19">
        <f>+E21+E29+E39</f>
        <v>-2807998.7562000058</v>
      </c>
      <c r="F42" s="19">
        <f>+F21+F29+F39</f>
        <v>0</v>
      </c>
      <c r="G42" s="19" t="e">
        <f>+G21+G29+G39</f>
        <v>#REF!</v>
      </c>
    </row>
    <row r="43" spans="1:8">
      <c r="C43" s="9"/>
      <c r="D43" s="9"/>
      <c r="E43" s="9"/>
      <c r="F43" s="9"/>
      <c r="G43" s="9"/>
    </row>
    <row r="44" spans="1:8">
      <c r="C44" s="9"/>
      <c r="D44" s="9"/>
      <c r="E44" s="9"/>
      <c r="F44" s="9"/>
      <c r="G44" s="9"/>
    </row>
    <row r="45" spans="1:8">
      <c r="A45" s="4" t="s">
        <v>113</v>
      </c>
      <c r="C45" s="9" t="e">
        <f>+#REF!</f>
        <v>#REF!</v>
      </c>
      <c r="D45" s="9"/>
      <c r="E45" s="9"/>
      <c r="F45" s="9">
        <f>+'Avg ROR'!N26</f>
        <v>6017987.3300000001</v>
      </c>
      <c r="G45" s="9" t="e">
        <f>SUM(C45:F45)</f>
        <v>#REF!</v>
      </c>
    </row>
    <row r="46" spans="1:8">
      <c r="C46" s="9"/>
      <c r="D46" s="9"/>
      <c r="E46" s="9"/>
      <c r="F46" s="9"/>
      <c r="G46" s="9"/>
    </row>
    <row r="47" spans="1:8">
      <c r="C47" s="9"/>
      <c r="D47" s="9"/>
      <c r="E47" s="9"/>
      <c r="F47" s="9"/>
      <c r="G47" s="9"/>
    </row>
    <row r="48" spans="1:8" ht="12" thickBot="1">
      <c r="A48" s="4" t="s">
        <v>114</v>
      </c>
      <c r="C48" s="13" t="e">
        <f>+C42+C45</f>
        <v>#REF!</v>
      </c>
      <c r="D48" s="13">
        <f>+D42+D45</f>
        <v>-2469682</v>
      </c>
      <c r="E48" s="13">
        <f>+E42+E45</f>
        <v>-2807998.7562000058</v>
      </c>
      <c r="F48" s="13">
        <f>+F42+F45</f>
        <v>6017987.3300000001</v>
      </c>
      <c r="G48" s="13" t="e">
        <f>+G42+G45</f>
        <v>#REF!</v>
      </c>
      <c r="H48" s="9"/>
    </row>
    <row r="49" spans="1:8" ht="12" thickTop="1"/>
    <row r="52" spans="1:8">
      <c r="A52" s="4" t="s">
        <v>115</v>
      </c>
      <c r="G52" s="38">
        <f>+'Capital Structure'!N34</f>
        <v>5.5800000000000002E-2</v>
      </c>
    </row>
    <row r="55" spans="1:8" ht="13.5" thickBot="1">
      <c r="A55" s="4" t="s">
        <v>116</v>
      </c>
      <c r="G55" s="39" t="e">
        <f>+G48*G52</f>
        <v>#REF!</v>
      </c>
      <c r="H55"/>
    </row>
    <row r="56" spans="1:8" ht="13.5" thickTop="1">
      <c r="H56"/>
    </row>
    <row r="57" spans="1:8" ht="12.75">
      <c r="G57"/>
    </row>
    <row r="58" spans="1:8" ht="12.75">
      <c r="G58"/>
    </row>
  </sheetData>
  <mergeCells count="3">
    <mergeCell ref="D3:E3"/>
    <mergeCell ref="D4:E4"/>
    <mergeCell ref="D5:E5"/>
  </mergeCells>
  <phoneticPr fontId="0" type="noConversion"/>
  <pageMargins left="0.75" right="0.75" top="1" bottom="1" header="0.5" footer="0.5"/>
  <pageSetup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0000"/>
  </sheetPr>
  <dimension ref="A1:P47"/>
  <sheetViews>
    <sheetView view="pageBreakPreview" topLeftCell="A4" zoomScaleNormal="100" zoomScaleSheetLayoutView="100" workbookViewId="0">
      <selection activeCell="C7" sqref="C7"/>
    </sheetView>
  </sheetViews>
  <sheetFormatPr defaultColWidth="9.140625" defaultRowHeight="11.25"/>
  <cols>
    <col min="1" max="1" width="9.140625" style="4"/>
    <col min="2" max="2" width="9.42578125" style="4" bestFit="1" customWidth="1"/>
    <col min="3" max="3" width="12.140625" style="4" customWidth="1"/>
    <col min="4" max="4" width="11.7109375" style="4" customWidth="1"/>
    <col min="5" max="5" width="10.5703125" style="4" customWidth="1"/>
    <col min="6" max="7" width="9.140625" style="4"/>
    <col min="8" max="8" width="10.42578125" style="4" customWidth="1"/>
    <col min="9" max="9" width="10.85546875" style="4" customWidth="1"/>
    <col min="10" max="16384" width="9.140625" style="4"/>
  </cols>
  <sheetData>
    <row r="1" spans="1:16" ht="12.75" customHeight="1">
      <c r="C1" s="103" t="s">
        <v>469</v>
      </c>
      <c r="D1" s="103"/>
    </row>
    <row r="2" spans="1:16" ht="12.75" customHeight="1">
      <c r="C2" s="103" t="s">
        <v>470</v>
      </c>
      <c r="D2" s="103"/>
    </row>
    <row r="3" spans="1:16" ht="12.75" customHeight="1">
      <c r="C3" s="103" t="s">
        <v>488</v>
      </c>
      <c r="D3" s="103"/>
    </row>
    <row r="4" spans="1:16" ht="12.75" customHeight="1">
      <c r="C4" s="103" t="e">
        <f>+#REF!</f>
        <v>#REF!</v>
      </c>
      <c r="D4" s="103"/>
    </row>
    <row r="6" spans="1:16">
      <c r="C6" s="6">
        <v>40359</v>
      </c>
      <c r="D6" s="6">
        <f t="shared" ref="D6:L6" si="0">+C6+28</f>
        <v>40387</v>
      </c>
      <c r="E6" s="6">
        <f t="shared" si="0"/>
        <v>40415</v>
      </c>
      <c r="F6" s="6">
        <f t="shared" si="0"/>
        <v>40443</v>
      </c>
      <c r="G6" s="6">
        <f t="shared" si="0"/>
        <v>40471</v>
      </c>
      <c r="H6" s="6">
        <f t="shared" si="0"/>
        <v>40499</v>
      </c>
      <c r="I6" s="6">
        <f t="shared" si="0"/>
        <v>40527</v>
      </c>
      <c r="J6" s="6">
        <f t="shared" si="0"/>
        <v>40555</v>
      </c>
      <c r="K6" s="6">
        <f t="shared" si="0"/>
        <v>40583</v>
      </c>
      <c r="L6" s="6">
        <f t="shared" si="0"/>
        <v>40611</v>
      </c>
      <c r="M6" s="6">
        <f>+L6+28</f>
        <v>40639</v>
      </c>
      <c r="N6" s="6">
        <f>+M6+28</f>
        <v>40667</v>
      </c>
      <c r="O6" s="6">
        <f>+N6+28</f>
        <v>40695</v>
      </c>
      <c r="P6" s="6" t="s">
        <v>241</v>
      </c>
    </row>
    <row r="7" spans="1:16" ht="12.75">
      <c r="A7" s="33"/>
      <c r="B7" s="34"/>
      <c r="C7" s="34"/>
      <c r="D7"/>
      <c r="E7"/>
      <c r="F7"/>
      <c r="G7"/>
      <c r="H7"/>
      <c r="I7"/>
      <c r="J7"/>
      <c r="K7"/>
      <c r="L7"/>
      <c r="M7"/>
      <c r="N7"/>
      <c r="O7"/>
      <c r="P7"/>
    </row>
    <row r="8" spans="1:16" ht="12.75">
      <c r="A8" s="4" t="s">
        <v>490</v>
      </c>
      <c r="C8"/>
      <c r="D8"/>
      <c r="E8"/>
      <c r="F8"/>
      <c r="G8"/>
      <c r="H8"/>
      <c r="I8"/>
      <c r="J8"/>
      <c r="K8"/>
      <c r="L8"/>
      <c r="M8"/>
      <c r="N8"/>
      <c r="O8"/>
      <c r="P8">
        <f>SUM(C8:O8)</f>
        <v>0</v>
      </c>
    </row>
    <row r="9" spans="1:16" ht="12.75">
      <c r="D9"/>
      <c r="E9"/>
      <c r="F9"/>
      <c r="G9"/>
      <c r="H9"/>
      <c r="I9"/>
      <c r="J9"/>
      <c r="K9"/>
      <c r="L9"/>
      <c r="M9"/>
      <c r="N9" t="s">
        <v>487</v>
      </c>
      <c r="O9"/>
      <c r="P9">
        <f>P8/13</f>
        <v>0</v>
      </c>
    </row>
    <row r="10" spans="1:16" ht="12.75"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1:16" ht="12.75">
      <c r="A11" s="4" t="s">
        <v>489</v>
      </c>
      <c r="B11" s="10"/>
      <c r="C11" s="14"/>
      <c r="D11"/>
      <c r="E11"/>
      <c r="F11"/>
      <c r="G11"/>
      <c r="H11"/>
      <c r="I11"/>
      <c r="J11"/>
      <c r="M11"/>
      <c r="P11" s="9">
        <f>SUM(D11:O11)</f>
        <v>0</v>
      </c>
    </row>
    <row r="12" spans="1:16">
      <c r="A12" s="10"/>
      <c r="B12" s="10"/>
      <c r="C12" s="10"/>
      <c r="D12" s="10"/>
      <c r="E12" s="31"/>
      <c r="F12" s="10"/>
      <c r="G12" s="10"/>
      <c r="H12" s="10"/>
      <c r="I12" s="10"/>
      <c r="J12" s="10"/>
      <c r="K12" s="10"/>
    </row>
    <row r="13" spans="1:16" ht="12.75">
      <c r="A13" s="10"/>
      <c r="B13" s="10"/>
      <c r="C13" s="10"/>
      <c r="D13" s="10"/>
      <c r="E13"/>
      <c r="F13" s="10"/>
      <c r="G13" s="10"/>
      <c r="H13" s="10"/>
    </row>
    <row r="14" spans="1:16" ht="12.75">
      <c r="A14" s="10"/>
      <c r="B14" s="10"/>
      <c r="C14" s="10"/>
      <c r="D14" s="10"/>
      <c r="E14"/>
      <c r="F14" s="10"/>
      <c r="G14" s="10"/>
      <c r="H14" s="10"/>
    </row>
    <row r="15" spans="1:16" ht="12.75">
      <c r="A15" s="10"/>
      <c r="B15" s="10"/>
      <c r="C15" s="10"/>
      <c r="D15" s="10"/>
      <c r="E15"/>
      <c r="F15" s="10"/>
      <c r="G15" s="10"/>
      <c r="H15" s="10"/>
    </row>
    <row r="16" spans="1:16" ht="12.75">
      <c r="A16" s="10"/>
      <c r="B16" s="10"/>
      <c r="C16" s="10"/>
      <c r="D16" s="10"/>
      <c r="E16"/>
      <c r="F16" s="10"/>
      <c r="G16" s="10"/>
      <c r="H16" s="10"/>
    </row>
    <row r="17" spans="1:8" ht="12.75">
      <c r="A17" s="10"/>
      <c r="B17" s="10"/>
      <c r="C17" s="10"/>
      <c r="D17" s="10"/>
      <c r="E17"/>
      <c r="F17" s="10"/>
      <c r="G17" s="10"/>
      <c r="H17" s="10"/>
    </row>
    <row r="18" spans="1:8" ht="12.75">
      <c r="A18" s="10"/>
      <c r="B18" s="10"/>
      <c r="C18" s="10"/>
      <c r="D18" s="10"/>
      <c r="E18"/>
      <c r="F18" s="10"/>
      <c r="G18" s="10"/>
      <c r="H18" s="18"/>
    </row>
    <row r="19" spans="1:8" ht="12.75">
      <c r="A19" s="10"/>
      <c r="B19" s="10"/>
      <c r="C19" s="10"/>
      <c r="D19" s="10"/>
      <c r="E19"/>
      <c r="F19" s="10"/>
      <c r="G19" s="10"/>
      <c r="H19"/>
    </row>
    <row r="20" spans="1:8" ht="12.75">
      <c r="A20" s="10"/>
      <c r="B20" s="10"/>
      <c r="C20" s="10"/>
      <c r="D20" s="10"/>
      <c r="E20"/>
      <c r="F20" s="10"/>
      <c r="G20" s="10"/>
      <c r="H20"/>
    </row>
    <row r="21" spans="1:8" ht="12.75">
      <c r="A21" s="10"/>
      <c r="B21" s="10"/>
      <c r="C21" s="10"/>
      <c r="D21" s="10"/>
      <c r="E21"/>
      <c r="F21" s="10"/>
      <c r="G21" s="10"/>
      <c r="H21"/>
    </row>
    <row r="22" spans="1:8" ht="12.75">
      <c r="A22" s="10"/>
      <c r="B22" s="10"/>
      <c r="C22" s="41"/>
      <c r="D22" s="10"/>
      <c r="E22"/>
      <c r="F22" s="10"/>
      <c r="G22" s="10"/>
      <c r="H22"/>
    </row>
    <row r="23" spans="1:8" ht="12.75">
      <c r="A23" s="10"/>
      <c r="B23" s="10"/>
      <c r="C23" s="10"/>
      <c r="D23" s="10"/>
      <c r="E23" s="10"/>
      <c r="F23" s="10"/>
      <c r="G23" s="10"/>
      <c r="H23"/>
    </row>
    <row r="24" spans="1:8" ht="12.75">
      <c r="A24" s="10"/>
      <c r="B24" s="10"/>
      <c r="C24" s="18"/>
      <c r="D24" s="10"/>
      <c r="E24"/>
      <c r="F24" s="10"/>
      <c r="G24" s="10"/>
      <c r="H24"/>
    </row>
    <row r="25" spans="1:8" ht="12.75">
      <c r="A25" s="10"/>
      <c r="B25" s="10"/>
      <c r="C25" s="10"/>
      <c r="D25" s="10"/>
      <c r="E25" s="10"/>
      <c r="F25" s="10"/>
      <c r="G25" s="10"/>
      <c r="H25"/>
    </row>
    <row r="26" spans="1:8">
      <c r="A26" s="10"/>
      <c r="B26" s="10"/>
      <c r="C26" s="10"/>
      <c r="D26" s="10"/>
      <c r="E26" s="10"/>
      <c r="F26" s="10"/>
      <c r="G26" s="10"/>
      <c r="H26" s="10"/>
    </row>
    <row r="27" spans="1:8">
      <c r="A27" s="10"/>
      <c r="B27" s="10"/>
      <c r="C27" s="18"/>
      <c r="D27" s="10"/>
      <c r="E27" s="14"/>
      <c r="F27" s="10"/>
      <c r="G27" s="10"/>
      <c r="H27" s="10"/>
    </row>
    <row r="28" spans="1:8">
      <c r="A28" s="10"/>
      <c r="B28" s="10"/>
      <c r="C28" s="10"/>
      <c r="D28" s="10"/>
      <c r="E28" s="10"/>
      <c r="F28" s="10"/>
      <c r="G28" s="10"/>
      <c r="H28" s="10"/>
    </row>
    <row r="29" spans="1:8">
      <c r="A29" s="10"/>
      <c r="B29" s="10"/>
      <c r="C29" s="10"/>
      <c r="D29" s="26"/>
      <c r="E29" s="10"/>
      <c r="F29" s="10"/>
      <c r="G29" s="10"/>
      <c r="H29" s="10"/>
    </row>
    <row r="30" spans="1:8">
      <c r="A30" s="10"/>
      <c r="B30" s="10"/>
      <c r="C30" s="10"/>
      <c r="D30" s="10"/>
      <c r="E30" s="10"/>
      <c r="F30" s="10"/>
      <c r="G30" s="10"/>
      <c r="H30" s="10"/>
    </row>
    <row r="31" spans="1:8">
      <c r="A31" s="10"/>
      <c r="B31" s="10"/>
      <c r="C31" s="10"/>
      <c r="D31" s="10"/>
      <c r="E31" s="10"/>
      <c r="F31" s="10"/>
      <c r="G31" s="10"/>
      <c r="H31" s="10"/>
    </row>
    <row r="32" spans="1:8">
      <c r="A32" s="10"/>
      <c r="B32" s="10"/>
      <c r="C32" s="10"/>
      <c r="D32" s="10"/>
      <c r="E32" s="10"/>
      <c r="F32" s="10"/>
      <c r="G32" s="10"/>
      <c r="H32" s="10"/>
    </row>
    <row r="33" spans="1:8">
      <c r="A33" s="10"/>
      <c r="B33" s="10"/>
      <c r="C33" s="10"/>
      <c r="D33" s="10"/>
      <c r="E33" s="10"/>
      <c r="F33" s="10"/>
      <c r="G33" s="10"/>
      <c r="H33" s="10"/>
    </row>
    <row r="34" spans="1:8">
      <c r="A34" s="10"/>
      <c r="B34" s="10"/>
      <c r="C34" s="10"/>
      <c r="D34" s="10"/>
      <c r="E34" s="10"/>
      <c r="F34" s="10"/>
      <c r="G34" s="10"/>
      <c r="H34" s="10"/>
    </row>
    <row r="35" spans="1:8" ht="12.75">
      <c r="A35" s="10"/>
      <c r="B35" s="10"/>
      <c r="C35" s="10"/>
      <c r="D35" s="18"/>
      <c r="E35"/>
      <c r="F35" s="10"/>
      <c r="G35" s="10"/>
      <c r="H35" s="10"/>
    </row>
    <row r="36" spans="1:8">
      <c r="A36" s="10"/>
      <c r="B36" s="10"/>
      <c r="C36" s="10"/>
      <c r="D36" s="10"/>
      <c r="E36" s="10"/>
      <c r="F36" s="10"/>
      <c r="G36" s="10"/>
      <c r="H36" s="10"/>
    </row>
    <row r="37" spans="1:8">
      <c r="A37" s="10"/>
      <c r="B37" s="10"/>
      <c r="C37" s="10"/>
      <c r="D37" s="10"/>
      <c r="E37" s="10"/>
      <c r="F37" s="10"/>
      <c r="G37" s="10"/>
      <c r="H37" s="10"/>
    </row>
    <row r="38" spans="1:8">
      <c r="A38" s="10"/>
      <c r="B38" s="10"/>
      <c r="C38" s="10"/>
      <c r="D38" s="10"/>
      <c r="E38" s="10"/>
      <c r="F38" s="10"/>
      <c r="G38" s="10"/>
      <c r="H38" s="10"/>
    </row>
    <row r="39" spans="1:8">
      <c r="A39" s="10"/>
      <c r="B39" s="10"/>
      <c r="C39" s="10"/>
      <c r="D39" s="10"/>
      <c r="E39" s="10"/>
      <c r="F39" s="10"/>
      <c r="G39" s="10"/>
      <c r="H39" s="10"/>
    </row>
    <row r="40" spans="1:8">
      <c r="A40" s="10"/>
      <c r="B40" s="10"/>
      <c r="C40" s="10"/>
      <c r="D40" s="10"/>
      <c r="E40" s="10"/>
      <c r="F40" s="10"/>
      <c r="G40" s="10"/>
      <c r="H40" s="10"/>
    </row>
    <row r="41" spans="1:8">
      <c r="A41" s="10"/>
      <c r="B41" s="10"/>
      <c r="C41" s="10"/>
      <c r="D41" s="10"/>
      <c r="E41" s="10"/>
      <c r="F41" s="10"/>
      <c r="G41" s="10"/>
      <c r="H41" s="10"/>
    </row>
    <row r="42" spans="1:8">
      <c r="A42" s="10"/>
      <c r="B42" s="10"/>
      <c r="C42" s="10"/>
      <c r="D42" s="10"/>
      <c r="E42" s="10"/>
      <c r="F42" s="10"/>
      <c r="G42" s="10"/>
      <c r="H42" s="10"/>
    </row>
    <row r="43" spans="1:8">
      <c r="A43" s="10"/>
      <c r="B43" s="10"/>
      <c r="C43" s="10"/>
      <c r="D43" s="10"/>
      <c r="E43" s="10"/>
      <c r="F43" s="10"/>
      <c r="G43" s="10"/>
      <c r="H43" s="10"/>
    </row>
    <row r="44" spans="1:8">
      <c r="A44" s="10"/>
      <c r="B44" s="10"/>
      <c r="C44" s="10"/>
      <c r="D44" s="10"/>
      <c r="E44" s="10"/>
      <c r="F44" s="10"/>
      <c r="G44" s="10"/>
      <c r="H44" s="10"/>
    </row>
    <row r="45" spans="1:8">
      <c r="A45" s="10"/>
      <c r="B45" s="10"/>
      <c r="C45" s="10"/>
      <c r="D45" s="10"/>
      <c r="E45" s="10"/>
      <c r="F45" s="10"/>
      <c r="G45" s="10"/>
      <c r="H45" s="10"/>
    </row>
    <row r="46" spans="1:8">
      <c r="A46" s="10"/>
      <c r="B46" s="10"/>
      <c r="C46" s="10"/>
      <c r="D46" s="10"/>
      <c r="E46" s="10"/>
      <c r="F46" s="10"/>
      <c r="G46" s="10"/>
      <c r="H46" s="10"/>
    </row>
    <row r="47" spans="1:8">
      <c r="A47" s="10"/>
      <c r="B47" s="10"/>
      <c r="C47" s="10"/>
      <c r="D47" s="10"/>
      <c r="E47" s="10"/>
      <c r="F47" s="10"/>
      <c r="G47" s="10"/>
      <c r="H47" s="10"/>
    </row>
  </sheetData>
  <mergeCells count="4">
    <mergeCell ref="C1:D1"/>
    <mergeCell ref="C2:D2"/>
    <mergeCell ref="C3:D3"/>
    <mergeCell ref="C4:D4"/>
  </mergeCells>
  <phoneticPr fontId="0" type="noConversion"/>
  <pageMargins left="0.75" right="0.75" top="1" bottom="1" header="0.5" footer="0.5"/>
  <pageSetup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0000"/>
  </sheetPr>
  <dimension ref="A1:M37"/>
  <sheetViews>
    <sheetView view="pageBreakPreview" zoomScaleNormal="100" zoomScaleSheetLayoutView="100" workbookViewId="0">
      <selection activeCell="G12" sqref="G12"/>
    </sheetView>
  </sheetViews>
  <sheetFormatPr defaultColWidth="9.140625" defaultRowHeight="11.25"/>
  <cols>
    <col min="1" max="1" width="20.5703125" style="4" customWidth="1"/>
    <col min="2" max="2" width="6.85546875" style="4" customWidth="1"/>
    <col min="3" max="3" width="12" style="4" customWidth="1"/>
    <col min="4" max="4" width="7.28515625" style="4" customWidth="1"/>
    <col min="5" max="5" width="12.85546875" style="4" customWidth="1"/>
    <col min="6" max="6" width="11.42578125" style="4" bestFit="1" customWidth="1"/>
    <col min="7" max="7" width="11.5703125" style="4" customWidth="1"/>
    <col min="8" max="8" width="12.42578125" style="4" customWidth="1"/>
    <col min="9" max="16384" width="9.140625" style="4"/>
  </cols>
  <sheetData>
    <row r="1" spans="1:13" ht="12.75" customHeight="1">
      <c r="D1" s="103" t="s">
        <v>469</v>
      </c>
      <c r="E1" s="103"/>
      <c r="F1" s="103"/>
    </row>
    <row r="2" spans="1:13" ht="12.75" customHeight="1">
      <c r="D2" s="103" t="s">
        <v>118</v>
      </c>
      <c r="E2" s="103"/>
      <c r="F2" s="103"/>
    </row>
    <row r="3" spans="1:13" ht="12.75" customHeight="1">
      <c r="D3" s="103" t="e">
        <f>+#REF!</f>
        <v>#REF!</v>
      </c>
      <c r="E3" s="103"/>
      <c r="F3" s="103"/>
    </row>
    <row r="4" spans="1:13">
      <c r="K4" s="28"/>
    </row>
    <row r="6" spans="1:13" ht="12.75">
      <c r="E6" t="s">
        <v>68</v>
      </c>
      <c r="F6" t="s">
        <v>528</v>
      </c>
      <c r="G6" t="s">
        <v>69</v>
      </c>
      <c r="H6" t="s">
        <v>119</v>
      </c>
      <c r="I6" s="21"/>
    </row>
    <row r="7" spans="1:13" ht="12.75">
      <c r="A7" s="40"/>
      <c r="E7" t="s">
        <v>70</v>
      </c>
      <c r="F7" t="s">
        <v>71</v>
      </c>
      <c r="G7" t="s">
        <v>271</v>
      </c>
      <c r="H7" t="s">
        <v>72</v>
      </c>
      <c r="I7" s="21"/>
      <c r="M7" s="30"/>
    </row>
    <row r="8" spans="1:13">
      <c r="M8" s="30"/>
    </row>
    <row r="9" spans="1:13">
      <c r="M9" s="30"/>
    </row>
    <row r="10" spans="1:13">
      <c r="C10" s="27"/>
      <c r="F10" s="20"/>
      <c r="G10" s="20"/>
      <c r="H10" s="20"/>
      <c r="M10" s="30"/>
    </row>
    <row r="11" spans="1:13" ht="12.75">
      <c r="B11">
        <v>40451</v>
      </c>
      <c r="E11" s="4">
        <v>30</v>
      </c>
      <c r="F11">
        <v>102536296.5</v>
      </c>
      <c r="G11"/>
      <c r="H11" s="20"/>
      <c r="M11" s="30"/>
    </row>
    <row r="12" spans="1:13" ht="12.75">
      <c r="B12" s="23">
        <f>+B11+28</f>
        <v>40479</v>
      </c>
      <c r="E12" s="4">
        <v>31</v>
      </c>
      <c r="F12">
        <v>99822994.370000005</v>
      </c>
      <c r="G12">
        <v>610068.1</v>
      </c>
      <c r="H12" s="20">
        <f t="shared" ref="H12:H24" si="0">G12/E12*365/F12</f>
        <v>7.1957968526493263E-2</v>
      </c>
      <c r="M12" s="30"/>
    </row>
    <row r="13" spans="1:13" ht="12.75">
      <c r="B13" s="23">
        <f>+B12+28</f>
        <v>40507</v>
      </c>
      <c r="E13" s="4">
        <v>30</v>
      </c>
      <c r="F13">
        <v>99737562.120000005</v>
      </c>
      <c r="G13">
        <v>610083.06000000006</v>
      </c>
      <c r="H13" s="20">
        <f t="shared" si="0"/>
        <v>7.4422084039605374E-2</v>
      </c>
      <c r="M13" s="30"/>
    </row>
    <row r="14" spans="1:13" ht="12.75">
      <c r="B14" s="23">
        <f t="shared" ref="B14:B23" si="1">+B13+28</f>
        <v>40535</v>
      </c>
      <c r="E14" s="4">
        <v>31</v>
      </c>
      <c r="F14">
        <v>96744072.719999999</v>
      </c>
      <c r="G14">
        <v>580704.29</v>
      </c>
      <c r="H14" s="20">
        <f t="shared" si="0"/>
        <v>7.0674352573800878E-2</v>
      </c>
      <c r="M14" s="30"/>
    </row>
    <row r="15" spans="1:13" ht="12.75">
      <c r="B15" s="23">
        <f t="shared" si="1"/>
        <v>40563</v>
      </c>
      <c r="E15" s="4">
        <v>31</v>
      </c>
      <c r="F15">
        <v>96721397.5</v>
      </c>
      <c r="G15">
        <v>530471.27</v>
      </c>
      <c r="H15" s="20">
        <f t="shared" si="0"/>
        <v>6.4575901158155924E-2</v>
      </c>
      <c r="M15" s="30"/>
    </row>
    <row r="16" spans="1:13" ht="12.75">
      <c r="B16" s="23">
        <f t="shared" si="1"/>
        <v>40591</v>
      </c>
      <c r="E16" s="4">
        <v>28</v>
      </c>
      <c r="F16">
        <v>96726605.540000007</v>
      </c>
      <c r="G16">
        <v>530416.27</v>
      </c>
      <c r="H16" s="20">
        <f t="shared" si="0"/>
        <v>7.1483485951080394E-2</v>
      </c>
      <c r="M16" s="30"/>
    </row>
    <row r="17" spans="1:13" ht="12.75">
      <c r="B17" s="23">
        <f t="shared" si="1"/>
        <v>40619</v>
      </c>
      <c r="E17" s="4">
        <v>31</v>
      </c>
      <c r="F17">
        <v>96721892.629999995</v>
      </c>
      <c r="G17">
        <v>666013.12</v>
      </c>
      <c r="H17" s="20">
        <f t="shared" si="0"/>
        <v>8.1075412891712786E-2</v>
      </c>
    </row>
    <row r="18" spans="1:13" ht="12.75">
      <c r="B18" s="23">
        <f t="shared" si="1"/>
        <v>40647</v>
      </c>
      <c r="E18" s="4">
        <v>30</v>
      </c>
      <c r="F18">
        <v>95302965.299999997</v>
      </c>
      <c r="G18">
        <v>567654.24</v>
      </c>
      <c r="H18" s="20">
        <f t="shared" si="0"/>
        <v>7.2468468302738107E-2</v>
      </c>
    </row>
    <row r="19" spans="1:13" ht="12.75">
      <c r="B19" s="23">
        <f t="shared" si="1"/>
        <v>40675</v>
      </c>
      <c r="E19" s="4">
        <v>31</v>
      </c>
      <c r="F19">
        <v>95314006.069999993</v>
      </c>
      <c r="G19">
        <v>563773.43000000005</v>
      </c>
      <c r="H19" s="20">
        <f t="shared" si="0"/>
        <v>6.9643253451995679E-2</v>
      </c>
    </row>
    <row r="20" spans="1:13" ht="12.75">
      <c r="B20" s="23">
        <f t="shared" si="1"/>
        <v>40703</v>
      </c>
      <c r="E20" s="4">
        <v>30</v>
      </c>
      <c r="F20">
        <v>124295082.68000001</v>
      </c>
      <c r="G20">
        <v>595733.56000000006</v>
      </c>
      <c r="H20" s="20">
        <f t="shared" si="0"/>
        <v>5.8313583211710915E-2</v>
      </c>
    </row>
    <row r="21" spans="1:13" ht="12.75">
      <c r="B21" s="23">
        <f t="shared" si="1"/>
        <v>40731</v>
      </c>
      <c r="E21" s="4">
        <v>31</v>
      </c>
      <c r="F21">
        <v>124276150</v>
      </c>
      <c r="G21">
        <v>701026</v>
      </c>
      <c r="H21" s="20">
        <f t="shared" si="0"/>
        <v>6.6416732465976888E-2</v>
      </c>
    </row>
    <row r="22" spans="1:13" ht="12.75">
      <c r="B22" s="23">
        <f t="shared" si="1"/>
        <v>40759</v>
      </c>
      <c r="E22" s="4">
        <v>31</v>
      </c>
      <c r="F22">
        <v>124279210</v>
      </c>
      <c r="G22">
        <v>700971</v>
      </c>
      <c r="H22" s="20">
        <f t="shared" si="0"/>
        <v>6.6409886462960713E-2</v>
      </c>
      <c r="M22" s="30"/>
    </row>
    <row r="23" spans="1:13" ht="12.75">
      <c r="B23" s="23">
        <f t="shared" si="1"/>
        <v>40787</v>
      </c>
      <c r="E23" s="4">
        <v>30</v>
      </c>
      <c r="F23">
        <v>124292506</v>
      </c>
      <c r="G23">
        <v>700963</v>
      </c>
      <c r="H23" s="20">
        <f t="shared" si="0"/>
        <v>6.861542534725841E-2</v>
      </c>
    </row>
    <row r="24" spans="1:13">
      <c r="A24" s="10"/>
      <c r="B24" s="4" t="s">
        <v>241</v>
      </c>
      <c r="E24" s="24">
        <f>SUM(E12:E23)</f>
        <v>365</v>
      </c>
      <c r="F24" s="25">
        <f>AVERAGE(F11:F23)</f>
        <v>105905441.64846155</v>
      </c>
      <c r="G24" s="25">
        <f>SUM(G12:G23)</f>
        <v>7357877.3399999999</v>
      </c>
      <c r="H24" s="35">
        <f t="shared" si="0"/>
        <v>6.9475913847972567E-2</v>
      </c>
    </row>
    <row r="25" spans="1:13">
      <c r="A25" s="10"/>
      <c r="F25" s="22"/>
      <c r="G25" s="22"/>
    </row>
    <row r="26" spans="1:13">
      <c r="A26" s="4" t="s">
        <v>529</v>
      </c>
    </row>
    <row r="27" spans="1:13" ht="13.5" thickBot="1">
      <c r="A27" s="10"/>
      <c r="B27" s="10"/>
      <c r="C27" s="37"/>
      <c r="D27" s="10"/>
      <c r="E27"/>
      <c r="F27" s="25">
        <f>F24</f>
        <v>105905441.64846155</v>
      </c>
      <c r="G27" s="25">
        <f>+G24</f>
        <v>7357877.3399999999</v>
      </c>
      <c r="H27">
        <f>+H24</f>
        <v>6.9475913847972567E-2</v>
      </c>
    </row>
    <row r="28" spans="1:13" ht="12" thickTop="1">
      <c r="M28" s="30"/>
    </row>
    <row r="29" spans="1:13">
      <c r="H29" s="4" t="s">
        <v>332</v>
      </c>
    </row>
    <row r="35" spans="1:1">
      <c r="A35" s="4" t="s">
        <v>74</v>
      </c>
    </row>
    <row r="37" spans="1:1">
      <c r="A37" s="15" t="s">
        <v>484</v>
      </c>
    </row>
  </sheetData>
  <mergeCells count="3">
    <mergeCell ref="D1:F1"/>
    <mergeCell ref="D2:F2"/>
    <mergeCell ref="D3:F3"/>
  </mergeCells>
  <phoneticPr fontId="0" type="noConversion"/>
  <pageMargins left="0.75" right="0.75" top="1" bottom="1" header="0.5" footer="0.5"/>
  <pageSetup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0000"/>
  </sheetPr>
  <dimension ref="A1:Y220"/>
  <sheetViews>
    <sheetView view="pageBreakPreview" topLeftCell="A7" zoomScale="60" zoomScaleNormal="75" workbookViewId="0">
      <pane xSplit="1" ySplit="2" topLeftCell="B159" activePane="bottomRight" state="frozen"/>
      <selection activeCell="A7" sqref="A7"/>
      <selection pane="topRight" activeCell="B7" sqref="B7"/>
      <selection pane="bottomLeft" activeCell="A9" sqref="A9"/>
      <selection pane="bottomRight" activeCell="E229" sqref="E229"/>
    </sheetView>
  </sheetViews>
  <sheetFormatPr defaultColWidth="13" defaultRowHeight="12.75"/>
  <cols>
    <col min="1" max="1" width="31.42578125" customWidth="1"/>
    <col min="2" max="2" width="13" customWidth="1"/>
    <col min="3" max="8" width="16" customWidth="1"/>
    <col min="9" max="15" width="17.42578125" customWidth="1"/>
    <col min="16" max="16" width="15.140625" customWidth="1"/>
    <col min="17" max="17" width="13.85546875" bestFit="1" customWidth="1"/>
    <col min="18" max="18" width="20.28515625" customWidth="1"/>
    <col min="19" max="19" width="19.7109375" customWidth="1"/>
    <col min="20" max="20" width="20.42578125" customWidth="1"/>
    <col min="21" max="21" width="18.7109375" customWidth="1"/>
    <col min="22" max="22" width="4.42578125" customWidth="1"/>
    <col min="23" max="23" width="19.28515625" customWidth="1"/>
    <col min="24" max="24" width="3.28515625" customWidth="1"/>
    <col min="25" max="25" width="18.85546875" customWidth="1"/>
  </cols>
  <sheetData>
    <row r="1" spans="1:16">
      <c r="A1" t="s">
        <v>334</v>
      </c>
    </row>
    <row r="2" spans="1:16">
      <c r="A2" t="s">
        <v>335</v>
      </c>
    </row>
    <row r="3" spans="1:16">
      <c r="A3" t="s">
        <v>507</v>
      </c>
    </row>
    <row r="4" spans="1:16">
      <c r="A4" t="s">
        <v>336</v>
      </c>
    </row>
    <row r="5" spans="1:16">
      <c r="A5" t="s">
        <v>337</v>
      </c>
      <c r="B5" t="s">
        <v>338</v>
      </c>
      <c r="C5" t="s">
        <v>339</v>
      </c>
      <c r="D5" t="s">
        <v>339</v>
      </c>
      <c r="E5" t="s">
        <v>339</v>
      </c>
      <c r="F5" t="s">
        <v>339</v>
      </c>
      <c r="G5" t="s">
        <v>339</v>
      </c>
      <c r="H5" t="s">
        <v>339</v>
      </c>
      <c r="I5" t="s">
        <v>340</v>
      </c>
      <c r="J5" t="s">
        <v>340</v>
      </c>
      <c r="K5" t="s">
        <v>340</v>
      </c>
      <c r="L5" t="s">
        <v>340</v>
      </c>
      <c r="M5" t="s">
        <v>340</v>
      </c>
      <c r="N5" t="s">
        <v>340</v>
      </c>
      <c r="O5" t="s">
        <v>340</v>
      </c>
      <c r="P5" t="s">
        <v>340</v>
      </c>
    </row>
    <row r="6" spans="1:16">
      <c r="A6" t="s">
        <v>337</v>
      </c>
      <c r="B6" t="s">
        <v>338</v>
      </c>
      <c r="C6" t="s">
        <v>339</v>
      </c>
      <c r="D6" t="s">
        <v>339</v>
      </c>
      <c r="E6" t="s">
        <v>339</v>
      </c>
      <c r="F6" t="s">
        <v>339</v>
      </c>
      <c r="G6" t="s">
        <v>339</v>
      </c>
      <c r="H6" t="s">
        <v>339</v>
      </c>
      <c r="I6" t="s">
        <v>340</v>
      </c>
      <c r="J6" t="s">
        <v>340</v>
      </c>
      <c r="K6" t="s">
        <v>340</v>
      </c>
      <c r="L6" t="s">
        <v>340</v>
      </c>
      <c r="M6" t="s">
        <v>340</v>
      </c>
      <c r="N6" t="s">
        <v>340</v>
      </c>
      <c r="O6" t="s">
        <v>340</v>
      </c>
      <c r="P6" t="s">
        <v>341</v>
      </c>
    </row>
    <row r="7" spans="1:16">
      <c r="A7" t="s">
        <v>342</v>
      </c>
      <c r="B7" t="s">
        <v>343</v>
      </c>
      <c r="C7" t="s">
        <v>498</v>
      </c>
      <c r="D7" t="s">
        <v>504</v>
      </c>
      <c r="E7" t="s">
        <v>505</v>
      </c>
      <c r="F7" t="s">
        <v>506</v>
      </c>
      <c r="G7" t="s">
        <v>513</v>
      </c>
      <c r="H7" t="s">
        <v>514</v>
      </c>
      <c r="I7" t="s">
        <v>515</v>
      </c>
      <c r="J7" t="s">
        <v>525</v>
      </c>
      <c r="K7" t="s">
        <v>526</v>
      </c>
      <c r="L7" t="s">
        <v>527</v>
      </c>
      <c r="M7" t="s">
        <v>530</v>
      </c>
      <c r="N7" t="s">
        <v>531</v>
      </c>
      <c r="O7" t="s">
        <v>532</v>
      </c>
      <c r="P7" t="s">
        <v>344</v>
      </c>
    </row>
    <row r="8" spans="1:16">
      <c r="A8" t="s">
        <v>345</v>
      </c>
      <c r="B8" t="s">
        <v>346</v>
      </c>
      <c r="C8" t="s">
        <v>348</v>
      </c>
      <c r="D8" t="s">
        <v>349</v>
      </c>
      <c r="E8" t="s">
        <v>349</v>
      </c>
      <c r="F8" t="s">
        <v>350</v>
      </c>
      <c r="G8" t="s">
        <v>350</v>
      </c>
      <c r="H8" t="s">
        <v>351</v>
      </c>
      <c r="I8" t="s">
        <v>351</v>
      </c>
      <c r="J8" t="s">
        <v>351</v>
      </c>
      <c r="K8" t="s">
        <v>351</v>
      </c>
      <c r="L8" t="s">
        <v>352</v>
      </c>
      <c r="M8" t="s">
        <v>351</v>
      </c>
      <c r="N8" t="s">
        <v>351</v>
      </c>
      <c r="O8" t="s">
        <v>352</v>
      </c>
      <c r="P8" t="s">
        <v>350</v>
      </c>
    </row>
    <row r="9" spans="1:16">
      <c r="A9" t="s">
        <v>353</v>
      </c>
      <c r="B9" t="s">
        <v>354</v>
      </c>
      <c r="C9" t="s">
        <v>339</v>
      </c>
      <c r="D9" t="s">
        <v>339</v>
      </c>
      <c r="E9" t="s">
        <v>339</v>
      </c>
      <c r="F9" t="s">
        <v>340</v>
      </c>
      <c r="G9" t="s">
        <v>340</v>
      </c>
      <c r="H9" t="s">
        <v>340</v>
      </c>
      <c r="I9" t="s">
        <v>340</v>
      </c>
      <c r="J9" t="s">
        <v>340</v>
      </c>
      <c r="K9" t="s">
        <v>340</v>
      </c>
      <c r="L9" t="s">
        <v>340</v>
      </c>
      <c r="M9" t="s">
        <v>340</v>
      </c>
      <c r="N9" t="s">
        <v>340</v>
      </c>
      <c r="O9" t="s">
        <v>340</v>
      </c>
      <c r="P9" t="s">
        <v>340</v>
      </c>
    </row>
    <row r="10" spans="1:16">
      <c r="A10" t="s">
        <v>355</v>
      </c>
      <c r="B10" t="s">
        <v>338</v>
      </c>
      <c r="C10" t="s">
        <v>339</v>
      </c>
      <c r="D10" t="s">
        <v>339</v>
      </c>
      <c r="E10" t="s">
        <v>339</v>
      </c>
      <c r="F10" t="s">
        <v>340</v>
      </c>
      <c r="G10" t="s">
        <v>340</v>
      </c>
      <c r="H10" t="s">
        <v>340</v>
      </c>
      <c r="I10" t="s">
        <v>340</v>
      </c>
      <c r="J10" t="s">
        <v>340</v>
      </c>
      <c r="K10" t="s">
        <v>340</v>
      </c>
      <c r="L10" t="s">
        <v>340</v>
      </c>
      <c r="M10" t="s">
        <v>340</v>
      </c>
      <c r="N10" t="s">
        <v>340</v>
      </c>
      <c r="O10" t="s">
        <v>340</v>
      </c>
      <c r="P10" t="s">
        <v>340</v>
      </c>
    </row>
    <row r="11" spans="1:16">
      <c r="A11" t="s">
        <v>356</v>
      </c>
      <c r="B11" t="s">
        <v>357</v>
      </c>
      <c r="C11" t="s">
        <v>339</v>
      </c>
      <c r="D11" t="s">
        <v>339</v>
      </c>
      <c r="E11" t="s">
        <v>339</v>
      </c>
      <c r="F11" t="s">
        <v>340</v>
      </c>
      <c r="G11" t="s">
        <v>340</v>
      </c>
      <c r="H11" t="s">
        <v>340</v>
      </c>
      <c r="I11" t="s">
        <v>340</v>
      </c>
      <c r="J11" t="s">
        <v>340</v>
      </c>
      <c r="K11" t="s">
        <v>340</v>
      </c>
      <c r="L11" t="s">
        <v>340</v>
      </c>
      <c r="M11" t="s">
        <v>340</v>
      </c>
      <c r="N11" t="s">
        <v>340</v>
      </c>
      <c r="O11" t="s">
        <v>340</v>
      </c>
      <c r="P11" t="s">
        <v>358</v>
      </c>
    </row>
    <row r="12" spans="1:16">
      <c r="A12" t="s">
        <v>459</v>
      </c>
      <c r="B12" t="s">
        <v>338</v>
      </c>
      <c r="C12">
        <v>0.36</v>
      </c>
      <c r="D12">
        <v>0.36</v>
      </c>
      <c r="E12">
        <v>0.36</v>
      </c>
      <c r="F12">
        <v>0.36</v>
      </c>
      <c r="G12">
        <v>0.36</v>
      </c>
      <c r="H12">
        <v>0.36</v>
      </c>
      <c r="I12">
        <v>0.36</v>
      </c>
      <c r="J12">
        <v>0.36</v>
      </c>
      <c r="K12">
        <v>0.36</v>
      </c>
      <c r="L12">
        <v>0.36</v>
      </c>
      <c r="M12">
        <v>0.36</v>
      </c>
      <c r="N12">
        <v>0.36</v>
      </c>
      <c r="O12">
        <v>0.36</v>
      </c>
      <c r="P12">
        <v>0.17</v>
      </c>
    </row>
    <row r="13" spans="1:16">
      <c r="A13" t="s">
        <v>460</v>
      </c>
      <c r="B13" t="s">
        <v>338</v>
      </c>
      <c r="C13">
        <v>0.64</v>
      </c>
      <c r="D13">
        <v>0.64</v>
      </c>
      <c r="E13">
        <v>0.64</v>
      </c>
      <c r="F13">
        <v>0.64</v>
      </c>
      <c r="G13">
        <v>0.64</v>
      </c>
      <c r="H13">
        <v>0.64</v>
      </c>
      <c r="I13">
        <v>0.64</v>
      </c>
      <c r="J13">
        <v>0.64</v>
      </c>
      <c r="K13">
        <v>0.64</v>
      </c>
      <c r="L13">
        <v>0.64</v>
      </c>
      <c r="M13">
        <v>0.64</v>
      </c>
      <c r="N13">
        <v>0.64</v>
      </c>
      <c r="O13">
        <v>0.64</v>
      </c>
      <c r="P13">
        <v>0.19</v>
      </c>
    </row>
    <row r="14" spans="1:16">
      <c r="B14" t="s">
        <v>338</v>
      </c>
      <c r="P14">
        <v>0.44</v>
      </c>
    </row>
    <row r="15" spans="1:16">
      <c r="B15" t="s">
        <v>338</v>
      </c>
      <c r="P15">
        <v>0.2</v>
      </c>
    </row>
    <row r="16" spans="1:16">
      <c r="A16" t="s">
        <v>337</v>
      </c>
      <c r="B16" t="s">
        <v>338</v>
      </c>
      <c r="C16" t="s">
        <v>347</v>
      </c>
      <c r="D16" t="s">
        <v>347</v>
      </c>
      <c r="E16" t="s">
        <v>347</v>
      </c>
      <c r="F16" t="s">
        <v>363</v>
      </c>
      <c r="G16" t="s">
        <v>363</v>
      </c>
      <c r="H16" t="s">
        <v>363</v>
      </c>
      <c r="I16" t="s">
        <v>363</v>
      </c>
      <c r="J16" t="s">
        <v>363</v>
      </c>
      <c r="K16" t="s">
        <v>363</v>
      </c>
      <c r="L16" t="s">
        <v>363</v>
      </c>
      <c r="M16" t="s">
        <v>363</v>
      </c>
      <c r="N16" t="s">
        <v>363</v>
      </c>
      <c r="O16" t="s">
        <v>363</v>
      </c>
      <c r="P16" t="s">
        <v>363</v>
      </c>
    </row>
    <row r="17" spans="1:16">
      <c r="A17" t="s">
        <v>364</v>
      </c>
      <c r="B17" t="s">
        <v>365</v>
      </c>
      <c r="C17" t="s">
        <v>339</v>
      </c>
      <c r="D17" t="s">
        <v>339</v>
      </c>
      <c r="E17" t="s">
        <v>339</v>
      </c>
      <c r="F17" t="s">
        <v>340</v>
      </c>
      <c r="G17" t="s">
        <v>340</v>
      </c>
      <c r="H17" t="s">
        <v>340</v>
      </c>
      <c r="I17" t="s">
        <v>340</v>
      </c>
      <c r="J17" t="s">
        <v>340</v>
      </c>
      <c r="K17" t="s">
        <v>340</v>
      </c>
      <c r="L17" t="s">
        <v>340</v>
      </c>
      <c r="M17" t="s">
        <v>340</v>
      </c>
      <c r="N17" t="s">
        <v>340</v>
      </c>
      <c r="O17" t="s">
        <v>340</v>
      </c>
      <c r="P17" t="s">
        <v>358</v>
      </c>
    </row>
    <row r="18" spans="1:16">
      <c r="A18" t="s">
        <v>366</v>
      </c>
      <c r="B18" t="s">
        <v>338</v>
      </c>
      <c r="C18">
        <v>0.83</v>
      </c>
      <c r="D18">
        <v>0.83</v>
      </c>
      <c r="E18">
        <v>0.83</v>
      </c>
      <c r="F18">
        <v>0.83</v>
      </c>
      <c r="G18">
        <v>0.83</v>
      </c>
      <c r="H18">
        <v>0.83</v>
      </c>
      <c r="I18">
        <v>0.83</v>
      </c>
      <c r="J18">
        <v>0.83</v>
      </c>
      <c r="K18">
        <v>0.83</v>
      </c>
      <c r="L18">
        <v>0.83</v>
      </c>
      <c r="M18">
        <v>0.83</v>
      </c>
      <c r="N18">
        <v>0.83</v>
      </c>
      <c r="O18">
        <v>0.83</v>
      </c>
      <c r="P18">
        <v>0.83</v>
      </c>
    </row>
    <row r="19" spans="1:16">
      <c r="A19" t="s">
        <v>367</v>
      </c>
      <c r="B19" t="s">
        <v>338</v>
      </c>
      <c r="C19">
        <v>0.17</v>
      </c>
      <c r="D19">
        <v>0.17</v>
      </c>
      <c r="E19">
        <v>0.17</v>
      </c>
      <c r="F19">
        <v>0.17</v>
      </c>
      <c r="G19">
        <v>0.17</v>
      </c>
      <c r="H19">
        <v>0.17</v>
      </c>
      <c r="I19">
        <v>0.17</v>
      </c>
      <c r="J19">
        <v>0.17</v>
      </c>
      <c r="K19">
        <v>0.17</v>
      </c>
      <c r="L19">
        <v>0.17</v>
      </c>
      <c r="M19">
        <v>0.17</v>
      </c>
      <c r="N19">
        <v>0.17</v>
      </c>
      <c r="O19">
        <v>0.17</v>
      </c>
      <c r="P19">
        <v>0.17</v>
      </c>
    </row>
    <row r="20" spans="1:16">
      <c r="A20" t="s">
        <v>337</v>
      </c>
      <c r="B20" t="s">
        <v>338</v>
      </c>
      <c r="C20" t="s">
        <v>347</v>
      </c>
      <c r="D20" t="s">
        <v>347</v>
      </c>
      <c r="E20" t="s">
        <v>347</v>
      </c>
      <c r="F20" t="s">
        <v>368</v>
      </c>
      <c r="G20" t="s">
        <v>368</v>
      </c>
      <c r="H20" t="s">
        <v>368</v>
      </c>
      <c r="I20" t="s">
        <v>368</v>
      </c>
      <c r="J20" t="s">
        <v>368</v>
      </c>
      <c r="K20" t="s">
        <v>368</v>
      </c>
      <c r="L20" t="s">
        <v>368</v>
      </c>
      <c r="M20" t="s">
        <v>368</v>
      </c>
      <c r="N20" t="s">
        <v>368</v>
      </c>
      <c r="O20" t="s">
        <v>368</v>
      </c>
      <c r="P20">
        <v>0</v>
      </c>
    </row>
    <row r="21" spans="1:16">
      <c r="A21" t="s">
        <v>364</v>
      </c>
      <c r="B21" t="s">
        <v>369</v>
      </c>
      <c r="C21" t="s">
        <v>339</v>
      </c>
      <c r="D21" t="s">
        <v>339</v>
      </c>
      <c r="E21" t="s">
        <v>339</v>
      </c>
      <c r="F21" t="s">
        <v>340</v>
      </c>
      <c r="G21" t="s">
        <v>340</v>
      </c>
      <c r="H21" t="s">
        <v>340</v>
      </c>
      <c r="I21" t="s">
        <v>340</v>
      </c>
      <c r="J21" t="s">
        <v>340</v>
      </c>
      <c r="K21" t="s">
        <v>340</v>
      </c>
      <c r="L21" t="s">
        <v>340</v>
      </c>
      <c r="M21" t="s">
        <v>340</v>
      </c>
      <c r="N21" t="s">
        <v>340</v>
      </c>
      <c r="O21" t="s">
        <v>340</v>
      </c>
      <c r="P21" t="s">
        <v>358</v>
      </c>
    </row>
    <row r="22" spans="1:16">
      <c r="A22" t="s">
        <v>366</v>
      </c>
      <c r="B22" t="s">
        <v>338</v>
      </c>
      <c r="C22">
        <v>0.83</v>
      </c>
      <c r="D22">
        <v>0.83</v>
      </c>
      <c r="E22">
        <v>0.83</v>
      </c>
      <c r="F22">
        <v>0.83</v>
      </c>
      <c r="G22">
        <v>0.83</v>
      </c>
      <c r="H22">
        <v>0.83</v>
      </c>
      <c r="I22">
        <v>0.83</v>
      </c>
      <c r="J22">
        <v>0.83</v>
      </c>
      <c r="K22">
        <v>0.83</v>
      </c>
      <c r="L22">
        <v>0.83</v>
      </c>
      <c r="M22">
        <v>0.83</v>
      </c>
      <c r="N22">
        <v>0.83</v>
      </c>
      <c r="O22">
        <v>0.83</v>
      </c>
      <c r="P22">
        <v>0.83</v>
      </c>
    </row>
    <row r="23" spans="1:16">
      <c r="A23" t="s">
        <v>367</v>
      </c>
      <c r="B23" t="s">
        <v>338</v>
      </c>
      <c r="C23">
        <v>0.17</v>
      </c>
      <c r="D23">
        <v>0.17</v>
      </c>
      <c r="E23">
        <v>0.17</v>
      </c>
      <c r="F23">
        <v>0.17</v>
      </c>
      <c r="G23">
        <v>0.17</v>
      </c>
      <c r="H23">
        <v>0.17</v>
      </c>
      <c r="I23">
        <v>0.17</v>
      </c>
      <c r="J23">
        <v>0.17</v>
      </c>
      <c r="K23">
        <v>0.17</v>
      </c>
      <c r="L23">
        <v>0.17</v>
      </c>
      <c r="M23">
        <v>0.17</v>
      </c>
      <c r="N23">
        <v>0.17</v>
      </c>
      <c r="O23">
        <v>0.17</v>
      </c>
      <c r="P23">
        <v>0.17</v>
      </c>
    </row>
    <row r="24" spans="1:16">
      <c r="A24" t="s">
        <v>337</v>
      </c>
      <c r="B24" t="s">
        <v>338</v>
      </c>
      <c r="C24" t="s">
        <v>347</v>
      </c>
      <c r="D24" t="s">
        <v>347</v>
      </c>
      <c r="E24" t="s">
        <v>347</v>
      </c>
      <c r="F24" t="s">
        <v>368</v>
      </c>
      <c r="G24" t="s">
        <v>368</v>
      </c>
      <c r="H24" t="s">
        <v>368</v>
      </c>
      <c r="I24" t="s">
        <v>368</v>
      </c>
      <c r="J24" t="s">
        <v>368</v>
      </c>
      <c r="K24" t="s">
        <v>368</v>
      </c>
      <c r="L24" t="s">
        <v>368</v>
      </c>
      <c r="M24" t="s">
        <v>368</v>
      </c>
      <c r="N24" t="s">
        <v>368</v>
      </c>
      <c r="O24" t="s">
        <v>368</v>
      </c>
      <c r="P24">
        <v>0</v>
      </c>
    </row>
    <row r="25" spans="1:16">
      <c r="A25" t="s">
        <v>364</v>
      </c>
      <c r="B25" t="s">
        <v>370</v>
      </c>
      <c r="C25" t="s">
        <v>339</v>
      </c>
      <c r="D25" t="s">
        <v>339</v>
      </c>
      <c r="E25" t="s">
        <v>339</v>
      </c>
      <c r="F25" t="s">
        <v>340</v>
      </c>
      <c r="G25" t="s">
        <v>340</v>
      </c>
      <c r="H25" t="s">
        <v>340</v>
      </c>
      <c r="I25" t="s">
        <v>340</v>
      </c>
      <c r="J25" t="s">
        <v>340</v>
      </c>
      <c r="K25" t="s">
        <v>340</v>
      </c>
      <c r="L25" t="s">
        <v>340</v>
      </c>
      <c r="M25" t="s">
        <v>340</v>
      </c>
      <c r="N25" t="s">
        <v>340</v>
      </c>
      <c r="O25" t="s">
        <v>340</v>
      </c>
      <c r="P25" t="s">
        <v>358</v>
      </c>
    </row>
    <row r="26" spans="1:16">
      <c r="A26" t="s">
        <v>359</v>
      </c>
      <c r="B26" t="s">
        <v>338</v>
      </c>
      <c r="C26">
        <v>0.49</v>
      </c>
      <c r="D26">
        <v>0.49</v>
      </c>
      <c r="E26">
        <v>0.49</v>
      </c>
      <c r="F26">
        <v>0.49</v>
      </c>
      <c r="G26">
        <v>0.49</v>
      </c>
      <c r="H26">
        <v>0.49</v>
      </c>
      <c r="I26">
        <v>0.49</v>
      </c>
      <c r="J26">
        <v>0.49</v>
      </c>
      <c r="K26">
        <v>0.49</v>
      </c>
      <c r="L26">
        <v>0.49</v>
      </c>
      <c r="M26">
        <v>0.49</v>
      </c>
      <c r="N26">
        <v>0.49</v>
      </c>
      <c r="O26">
        <v>0.49</v>
      </c>
      <c r="P26">
        <v>0.49</v>
      </c>
    </row>
    <row r="27" spans="1:16">
      <c r="A27" t="s">
        <v>360</v>
      </c>
      <c r="B27" t="s">
        <v>338</v>
      </c>
      <c r="C27">
        <v>0.51</v>
      </c>
      <c r="D27">
        <v>0.51</v>
      </c>
      <c r="E27">
        <v>0.51</v>
      </c>
      <c r="F27">
        <v>0.51</v>
      </c>
      <c r="G27">
        <v>0.51</v>
      </c>
      <c r="H27">
        <v>0.51</v>
      </c>
      <c r="I27">
        <v>0.51</v>
      </c>
      <c r="J27">
        <v>0.51</v>
      </c>
      <c r="K27">
        <v>0.51</v>
      </c>
      <c r="L27">
        <v>0.51</v>
      </c>
      <c r="M27">
        <v>0.51</v>
      </c>
      <c r="N27">
        <v>0.51</v>
      </c>
      <c r="O27">
        <v>0.51</v>
      </c>
      <c r="P27">
        <v>0.51</v>
      </c>
    </row>
    <row r="28" spans="1:16">
      <c r="A28" t="s">
        <v>337</v>
      </c>
      <c r="B28" t="s">
        <v>338</v>
      </c>
      <c r="C28" t="s">
        <v>347</v>
      </c>
      <c r="D28" t="s">
        <v>347</v>
      </c>
      <c r="E28" t="s">
        <v>347</v>
      </c>
      <c r="F28" t="s">
        <v>368</v>
      </c>
      <c r="G28" t="s">
        <v>368</v>
      </c>
      <c r="H28" t="s">
        <v>368</v>
      </c>
      <c r="I28" t="s">
        <v>368</v>
      </c>
      <c r="J28" t="s">
        <v>368</v>
      </c>
      <c r="K28" t="s">
        <v>368</v>
      </c>
      <c r="L28" t="s">
        <v>368</v>
      </c>
      <c r="M28" t="s">
        <v>368</v>
      </c>
      <c r="N28" t="s">
        <v>368</v>
      </c>
      <c r="O28" t="s">
        <v>368</v>
      </c>
      <c r="P28">
        <v>0</v>
      </c>
    </row>
    <row r="29" spans="1:16">
      <c r="A29" t="s">
        <v>364</v>
      </c>
      <c r="B29" t="s">
        <v>371</v>
      </c>
      <c r="C29" t="s">
        <v>339</v>
      </c>
      <c r="D29" t="s">
        <v>339</v>
      </c>
      <c r="E29" t="s">
        <v>339</v>
      </c>
      <c r="F29" t="s">
        <v>340</v>
      </c>
      <c r="G29" t="s">
        <v>340</v>
      </c>
      <c r="H29" t="s">
        <v>340</v>
      </c>
      <c r="I29" t="s">
        <v>340</v>
      </c>
      <c r="J29" t="s">
        <v>340</v>
      </c>
      <c r="K29" t="s">
        <v>340</v>
      </c>
      <c r="L29" t="s">
        <v>340</v>
      </c>
      <c r="M29" t="s">
        <v>340</v>
      </c>
      <c r="N29" t="s">
        <v>340</v>
      </c>
      <c r="O29" t="s">
        <v>340</v>
      </c>
      <c r="P29" t="s">
        <v>358</v>
      </c>
    </row>
    <row r="30" spans="1:16">
      <c r="A30" t="s">
        <v>361</v>
      </c>
      <c r="B30" t="s">
        <v>338</v>
      </c>
      <c r="C30">
        <v>0.68</v>
      </c>
      <c r="D30">
        <v>0.68</v>
      </c>
      <c r="E30">
        <v>0.68</v>
      </c>
      <c r="F30">
        <v>0.68</v>
      </c>
      <c r="G30">
        <v>0.68</v>
      </c>
      <c r="H30">
        <v>0.68</v>
      </c>
      <c r="I30">
        <v>0.68</v>
      </c>
      <c r="J30">
        <v>0.68</v>
      </c>
      <c r="K30">
        <v>0.68</v>
      </c>
      <c r="L30">
        <v>0.68</v>
      </c>
      <c r="M30">
        <v>0.68</v>
      </c>
      <c r="N30">
        <v>0.68</v>
      </c>
      <c r="O30">
        <v>0.68</v>
      </c>
      <c r="P30">
        <v>0.68</v>
      </c>
    </row>
    <row r="31" spans="1:16">
      <c r="A31" t="s">
        <v>362</v>
      </c>
      <c r="B31" t="s">
        <v>338</v>
      </c>
      <c r="C31">
        <v>0.32</v>
      </c>
      <c r="D31">
        <v>0.32</v>
      </c>
      <c r="E31">
        <v>0.32</v>
      </c>
      <c r="F31">
        <v>0.32</v>
      </c>
      <c r="G31">
        <v>0.32</v>
      </c>
      <c r="H31">
        <v>0.32</v>
      </c>
      <c r="I31">
        <v>0.32</v>
      </c>
      <c r="J31">
        <v>0.32</v>
      </c>
      <c r="K31">
        <v>0.32</v>
      </c>
      <c r="L31">
        <v>0.32</v>
      </c>
      <c r="M31">
        <v>0.32</v>
      </c>
      <c r="N31">
        <v>0.32</v>
      </c>
      <c r="O31">
        <v>0.32</v>
      </c>
      <c r="P31">
        <v>0.32</v>
      </c>
    </row>
    <row r="32" spans="1:16">
      <c r="A32" t="s">
        <v>337</v>
      </c>
      <c r="B32" t="s">
        <v>338</v>
      </c>
      <c r="C32" t="s">
        <v>347</v>
      </c>
      <c r="D32" t="s">
        <v>347</v>
      </c>
      <c r="E32" t="s">
        <v>347</v>
      </c>
      <c r="F32" t="s">
        <v>368</v>
      </c>
      <c r="G32" t="s">
        <v>368</v>
      </c>
      <c r="H32" t="s">
        <v>368</v>
      </c>
      <c r="I32" t="s">
        <v>368</v>
      </c>
      <c r="J32" t="s">
        <v>368</v>
      </c>
      <c r="K32" t="s">
        <v>368</v>
      </c>
      <c r="L32" t="s">
        <v>368</v>
      </c>
      <c r="M32" t="s">
        <v>368</v>
      </c>
      <c r="N32" t="s">
        <v>368</v>
      </c>
      <c r="O32" t="s">
        <v>368</v>
      </c>
      <c r="P32">
        <v>0</v>
      </c>
    </row>
    <row r="33" spans="1:16">
      <c r="A33" t="s">
        <v>364</v>
      </c>
      <c r="B33" t="s">
        <v>372</v>
      </c>
      <c r="C33" t="s">
        <v>339</v>
      </c>
      <c r="D33" t="s">
        <v>339</v>
      </c>
      <c r="E33" t="s">
        <v>339</v>
      </c>
      <c r="F33" t="s">
        <v>340</v>
      </c>
      <c r="G33" t="s">
        <v>340</v>
      </c>
      <c r="H33" t="s">
        <v>340</v>
      </c>
      <c r="I33" t="s">
        <v>340</v>
      </c>
      <c r="J33" t="s">
        <v>340</v>
      </c>
      <c r="K33" t="s">
        <v>340</v>
      </c>
      <c r="L33" t="s">
        <v>340</v>
      </c>
      <c r="M33" t="s">
        <v>340</v>
      </c>
      <c r="N33" t="s">
        <v>340</v>
      </c>
      <c r="O33" t="s">
        <v>340</v>
      </c>
      <c r="P33" t="s">
        <v>358</v>
      </c>
    </row>
    <row r="34" spans="1:16">
      <c r="A34" t="s">
        <v>459</v>
      </c>
      <c r="B34" t="s">
        <v>338</v>
      </c>
      <c r="C34">
        <v>0.37</v>
      </c>
      <c r="D34">
        <v>0.37</v>
      </c>
      <c r="E34">
        <v>0.37</v>
      </c>
      <c r="F34">
        <v>0.37</v>
      </c>
      <c r="G34">
        <v>0.37</v>
      </c>
      <c r="H34">
        <v>0.37</v>
      </c>
      <c r="I34">
        <v>0.37</v>
      </c>
      <c r="J34">
        <v>0.37</v>
      </c>
      <c r="K34">
        <v>0.37</v>
      </c>
      <c r="L34">
        <v>0.37</v>
      </c>
      <c r="M34">
        <v>0.37</v>
      </c>
      <c r="N34">
        <v>0.37</v>
      </c>
      <c r="O34">
        <v>0.37</v>
      </c>
      <c r="P34">
        <v>0.18</v>
      </c>
    </row>
    <row r="35" spans="1:16">
      <c r="A35" t="s">
        <v>460</v>
      </c>
      <c r="B35" t="s">
        <v>338</v>
      </c>
      <c r="C35">
        <v>0.63</v>
      </c>
      <c r="D35">
        <v>0.63</v>
      </c>
      <c r="E35">
        <v>0.63</v>
      </c>
      <c r="F35">
        <v>0.63</v>
      </c>
      <c r="G35">
        <v>0.63</v>
      </c>
      <c r="H35">
        <v>0.63</v>
      </c>
      <c r="I35">
        <v>0.63</v>
      </c>
      <c r="J35">
        <v>0.63</v>
      </c>
      <c r="K35">
        <v>0.63</v>
      </c>
      <c r="L35">
        <v>0.63</v>
      </c>
      <c r="M35">
        <v>0.63</v>
      </c>
      <c r="N35">
        <v>0.63</v>
      </c>
      <c r="O35">
        <v>0.63</v>
      </c>
      <c r="P35">
        <v>0.19</v>
      </c>
    </row>
    <row r="36" spans="1:16">
      <c r="B36" t="s">
        <v>338</v>
      </c>
      <c r="P36">
        <v>0.42</v>
      </c>
    </row>
    <row r="37" spans="1:16">
      <c r="B37" t="s">
        <v>338</v>
      </c>
      <c r="P37">
        <v>0.21</v>
      </c>
    </row>
    <row r="38" spans="1:16">
      <c r="A38" t="s">
        <v>337</v>
      </c>
      <c r="B38" t="s">
        <v>338</v>
      </c>
      <c r="C38" t="s">
        <v>347</v>
      </c>
      <c r="D38" t="s">
        <v>347</v>
      </c>
      <c r="E38" t="s">
        <v>347</v>
      </c>
      <c r="F38" t="s">
        <v>368</v>
      </c>
      <c r="G38" t="s">
        <v>368</v>
      </c>
      <c r="H38" t="s">
        <v>368</v>
      </c>
      <c r="I38" t="s">
        <v>368</v>
      </c>
      <c r="J38" t="s">
        <v>368</v>
      </c>
      <c r="K38" t="s">
        <v>368</v>
      </c>
      <c r="L38" t="s">
        <v>368</v>
      </c>
      <c r="M38" t="s">
        <v>368</v>
      </c>
      <c r="N38" t="s">
        <v>368</v>
      </c>
      <c r="O38" t="s">
        <v>368</v>
      </c>
      <c r="P38">
        <v>0</v>
      </c>
    </row>
    <row r="39" spans="1:16">
      <c r="A39" t="s">
        <v>364</v>
      </c>
      <c r="B39" t="s">
        <v>372</v>
      </c>
      <c r="C39" t="s">
        <v>339</v>
      </c>
      <c r="D39" t="s">
        <v>339</v>
      </c>
      <c r="E39" t="s">
        <v>339</v>
      </c>
      <c r="F39" t="s">
        <v>340</v>
      </c>
      <c r="G39" t="s">
        <v>340</v>
      </c>
      <c r="H39" t="s">
        <v>340</v>
      </c>
      <c r="I39" t="s">
        <v>340</v>
      </c>
      <c r="J39" t="s">
        <v>340</v>
      </c>
      <c r="K39" t="s">
        <v>340</v>
      </c>
      <c r="L39" t="s">
        <v>340</v>
      </c>
      <c r="M39" t="s">
        <v>340</v>
      </c>
      <c r="N39" t="s">
        <v>340</v>
      </c>
      <c r="O39" t="s">
        <v>340</v>
      </c>
      <c r="P39" t="s">
        <v>340</v>
      </c>
    </row>
    <row r="40" spans="1:16">
      <c r="A40" t="s">
        <v>459</v>
      </c>
      <c r="B40" t="s">
        <v>338</v>
      </c>
      <c r="C40">
        <v>0.31</v>
      </c>
      <c r="D40">
        <v>0.31</v>
      </c>
      <c r="E40">
        <v>0.31</v>
      </c>
      <c r="F40">
        <v>0.31</v>
      </c>
      <c r="G40">
        <v>0.31</v>
      </c>
      <c r="H40">
        <v>0.31</v>
      </c>
      <c r="I40">
        <v>0.31</v>
      </c>
      <c r="J40">
        <v>0.31</v>
      </c>
      <c r="K40">
        <v>0.31</v>
      </c>
      <c r="L40">
        <v>0.31</v>
      </c>
      <c r="M40">
        <v>0.31</v>
      </c>
      <c r="N40">
        <v>0.31</v>
      </c>
      <c r="O40">
        <v>0.31</v>
      </c>
      <c r="P40">
        <v>0.15</v>
      </c>
    </row>
    <row r="41" spans="1:16">
      <c r="A41" t="s">
        <v>460</v>
      </c>
      <c r="B41" t="s">
        <v>338</v>
      </c>
      <c r="C41">
        <v>0.54</v>
      </c>
      <c r="D41">
        <v>0.54</v>
      </c>
      <c r="E41">
        <v>0.54</v>
      </c>
      <c r="F41">
        <v>0.54</v>
      </c>
      <c r="G41">
        <v>0.54</v>
      </c>
      <c r="H41">
        <v>0.54</v>
      </c>
      <c r="I41">
        <v>0.54</v>
      </c>
      <c r="J41">
        <v>0.54</v>
      </c>
      <c r="K41">
        <v>0.54</v>
      </c>
      <c r="L41">
        <v>0.54</v>
      </c>
      <c r="M41">
        <v>0.54</v>
      </c>
      <c r="N41">
        <v>0.54</v>
      </c>
      <c r="O41">
        <v>0.54</v>
      </c>
      <c r="P41">
        <v>0.16</v>
      </c>
    </row>
    <row r="42" spans="1:16">
      <c r="A42" t="s">
        <v>499</v>
      </c>
      <c r="B42" t="s">
        <v>338</v>
      </c>
      <c r="C42">
        <v>0.15</v>
      </c>
      <c r="D42">
        <v>0.15</v>
      </c>
      <c r="E42">
        <v>0.15</v>
      </c>
      <c r="F42">
        <v>0.15</v>
      </c>
      <c r="G42">
        <v>0.15</v>
      </c>
      <c r="H42">
        <v>0.15</v>
      </c>
      <c r="I42">
        <v>0.15</v>
      </c>
      <c r="J42">
        <v>0.15</v>
      </c>
      <c r="K42">
        <v>0.15</v>
      </c>
      <c r="L42">
        <v>0.15</v>
      </c>
      <c r="M42">
        <v>0.15</v>
      </c>
      <c r="N42">
        <v>0.15</v>
      </c>
      <c r="O42">
        <v>0.15</v>
      </c>
      <c r="P42">
        <v>0.36</v>
      </c>
    </row>
    <row r="43" spans="1:16">
      <c r="B43" t="s">
        <v>338</v>
      </c>
      <c r="P43">
        <v>0.18</v>
      </c>
    </row>
    <row r="44" spans="1:16">
      <c r="B44" t="s">
        <v>338</v>
      </c>
      <c r="P44">
        <v>0.15</v>
      </c>
    </row>
    <row r="45" spans="1:16">
      <c r="A45" t="s">
        <v>337</v>
      </c>
      <c r="B45" t="s">
        <v>338</v>
      </c>
      <c r="C45" t="s">
        <v>347</v>
      </c>
      <c r="D45" t="s">
        <v>347</v>
      </c>
      <c r="E45" t="s">
        <v>347</v>
      </c>
      <c r="F45" t="s">
        <v>368</v>
      </c>
      <c r="G45" t="s">
        <v>368</v>
      </c>
      <c r="H45" t="s">
        <v>368</v>
      </c>
      <c r="I45" t="s">
        <v>368</v>
      </c>
      <c r="J45" t="s">
        <v>368</v>
      </c>
      <c r="K45" t="s">
        <v>368</v>
      </c>
      <c r="L45" t="s">
        <v>368</v>
      </c>
      <c r="M45" t="s">
        <v>368</v>
      </c>
      <c r="N45" t="s">
        <v>368</v>
      </c>
      <c r="O45" t="s">
        <v>368</v>
      </c>
      <c r="P45">
        <v>1</v>
      </c>
    </row>
    <row r="46" spans="1:16">
      <c r="A46" t="s">
        <v>373</v>
      </c>
      <c r="B46" t="s">
        <v>374</v>
      </c>
      <c r="C46" t="s">
        <v>339</v>
      </c>
      <c r="D46" t="s">
        <v>339</v>
      </c>
      <c r="E46" t="s">
        <v>339</v>
      </c>
      <c r="F46" t="s">
        <v>340</v>
      </c>
      <c r="G46" t="s">
        <v>340</v>
      </c>
      <c r="H46" t="s">
        <v>340</v>
      </c>
      <c r="I46" t="s">
        <v>340</v>
      </c>
      <c r="J46" t="s">
        <v>340</v>
      </c>
      <c r="K46" t="s">
        <v>340</v>
      </c>
      <c r="L46" t="s">
        <v>340</v>
      </c>
      <c r="M46" t="s">
        <v>340</v>
      </c>
      <c r="N46" t="s">
        <v>340</v>
      </c>
      <c r="O46" t="s">
        <v>340</v>
      </c>
      <c r="P46" t="s">
        <v>340</v>
      </c>
    </row>
    <row r="47" spans="1:16">
      <c r="A47" t="s">
        <v>459</v>
      </c>
      <c r="B47" t="s">
        <v>338</v>
      </c>
      <c r="C47">
        <v>0.28999999999999998</v>
      </c>
      <c r="D47">
        <v>0.28999999999999998</v>
      </c>
      <c r="E47">
        <v>0.28999999999999998</v>
      </c>
      <c r="F47">
        <v>0.28999999999999998</v>
      </c>
      <c r="G47">
        <v>0.28999999999999998</v>
      </c>
      <c r="H47">
        <v>0.28999999999999998</v>
      </c>
      <c r="I47">
        <v>0.28999999999999998</v>
      </c>
      <c r="J47">
        <v>0.28999999999999998</v>
      </c>
      <c r="K47">
        <v>0.28999999999999998</v>
      </c>
      <c r="L47">
        <v>0.28999999999999998</v>
      </c>
      <c r="M47">
        <v>0.28999999999999998</v>
      </c>
      <c r="N47">
        <v>0.28999999999999998</v>
      </c>
      <c r="O47">
        <v>0.28999999999999998</v>
      </c>
      <c r="P47">
        <v>0.14000000000000001</v>
      </c>
    </row>
    <row r="48" spans="1:16">
      <c r="A48" t="s">
        <v>460</v>
      </c>
      <c r="B48" t="s">
        <v>338</v>
      </c>
      <c r="C48">
        <v>0.52</v>
      </c>
      <c r="D48">
        <v>0.52</v>
      </c>
      <c r="E48">
        <v>0.52</v>
      </c>
      <c r="F48">
        <v>0.52</v>
      </c>
      <c r="G48">
        <v>0.52</v>
      </c>
      <c r="H48">
        <v>0.52</v>
      </c>
      <c r="I48">
        <v>0.52</v>
      </c>
      <c r="J48">
        <v>0.52</v>
      </c>
      <c r="K48">
        <v>0.52</v>
      </c>
      <c r="L48">
        <v>0.52</v>
      </c>
      <c r="M48">
        <v>0.52</v>
      </c>
      <c r="N48">
        <v>0.52</v>
      </c>
      <c r="O48">
        <v>0.52</v>
      </c>
      <c r="P48">
        <v>0.15</v>
      </c>
    </row>
    <row r="49" spans="1:16">
      <c r="A49" t="s">
        <v>499</v>
      </c>
      <c r="B49" t="s">
        <v>338</v>
      </c>
      <c r="C49">
        <v>0.19</v>
      </c>
      <c r="D49">
        <v>0.19</v>
      </c>
      <c r="E49">
        <v>0.19</v>
      </c>
      <c r="F49">
        <v>0.19</v>
      </c>
      <c r="G49">
        <v>0.19</v>
      </c>
      <c r="H49">
        <v>0.19</v>
      </c>
      <c r="I49">
        <v>0.19</v>
      </c>
      <c r="J49">
        <v>0.19</v>
      </c>
      <c r="K49">
        <v>0.19</v>
      </c>
      <c r="L49">
        <v>0.19</v>
      </c>
      <c r="M49">
        <v>0.19</v>
      </c>
      <c r="N49">
        <v>0.19</v>
      </c>
      <c r="O49">
        <v>0.19</v>
      </c>
      <c r="P49">
        <v>0.36</v>
      </c>
    </row>
    <row r="50" spans="1:16">
      <c r="B50" t="s">
        <v>338</v>
      </c>
      <c r="P50">
        <v>0.16</v>
      </c>
    </row>
    <row r="51" spans="1:16">
      <c r="B51" t="s">
        <v>338</v>
      </c>
      <c r="P51">
        <v>0.19</v>
      </c>
    </row>
    <row r="52" spans="1:16">
      <c r="A52" t="s">
        <v>337</v>
      </c>
      <c r="B52" t="s">
        <v>338</v>
      </c>
      <c r="C52" t="s">
        <v>347</v>
      </c>
      <c r="D52" t="s">
        <v>347</v>
      </c>
      <c r="E52" t="s">
        <v>347</v>
      </c>
      <c r="F52" t="s">
        <v>368</v>
      </c>
      <c r="G52" t="s">
        <v>368</v>
      </c>
      <c r="H52" t="s">
        <v>368</v>
      </c>
      <c r="I52" t="s">
        <v>368</v>
      </c>
      <c r="J52" t="s">
        <v>368</v>
      </c>
      <c r="K52" t="s">
        <v>368</v>
      </c>
      <c r="L52" t="s">
        <v>368</v>
      </c>
      <c r="M52" t="s">
        <v>368</v>
      </c>
      <c r="N52" t="s">
        <v>368</v>
      </c>
      <c r="O52" t="s">
        <v>368</v>
      </c>
      <c r="P52">
        <v>1</v>
      </c>
    </row>
    <row r="53" spans="1:16">
      <c r="A53" t="s">
        <v>375</v>
      </c>
      <c r="B53" t="s">
        <v>376</v>
      </c>
      <c r="C53" t="s">
        <v>339</v>
      </c>
      <c r="D53" t="s">
        <v>339</v>
      </c>
      <c r="E53" t="s">
        <v>339</v>
      </c>
      <c r="F53" t="s">
        <v>340</v>
      </c>
      <c r="G53" t="s">
        <v>340</v>
      </c>
      <c r="H53" t="s">
        <v>340</v>
      </c>
      <c r="I53" t="s">
        <v>340</v>
      </c>
      <c r="J53" t="s">
        <v>340</v>
      </c>
      <c r="K53" t="s">
        <v>340</v>
      </c>
      <c r="L53" t="s">
        <v>340</v>
      </c>
      <c r="M53" t="s">
        <v>340</v>
      </c>
      <c r="N53" t="s">
        <v>340</v>
      </c>
      <c r="O53" t="s">
        <v>340</v>
      </c>
      <c r="P53" t="s">
        <v>340</v>
      </c>
    </row>
    <row r="54" spans="1:16">
      <c r="A54" t="s">
        <v>459</v>
      </c>
      <c r="B54" t="s">
        <v>338</v>
      </c>
      <c r="C54">
        <v>0.24</v>
      </c>
      <c r="D54">
        <v>0.24</v>
      </c>
      <c r="E54">
        <v>0.24</v>
      </c>
      <c r="F54">
        <v>0.24</v>
      </c>
      <c r="G54">
        <v>0.24</v>
      </c>
      <c r="H54">
        <v>0.24</v>
      </c>
      <c r="I54">
        <v>0.24</v>
      </c>
      <c r="J54">
        <v>0.24</v>
      </c>
      <c r="K54">
        <v>0.24</v>
      </c>
      <c r="L54">
        <v>0.24</v>
      </c>
      <c r="M54">
        <v>0.24</v>
      </c>
      <c r="N54">
        <v>0.24</v>
      </c>
      <c r="O54">
        <v>0.24</v>
      </c>
      <c r="P54">
        <v>0.16</v>
      </c>
    </row>
    <row r="55" spans="1:16">
      <c r="A55" t="s">
        <v>460</v>
      </c>
      <c r="B55" t="s">
        <v>338</v>
      </c>
      <c r="C55">
        <v>0.52</v>
      </c>
      <c r="D55">
        <v>0.52</v>
      </c>
      <c r="E55">
        <v>0.52</v>
      </c>
      <c r="F55">
        <v>0.52</v>
      </c>
      <c r="G55">
        <v>0.52</v>
      </c>
      <c r="H55">
        <v>0.52</v>
      </c>
      <c r="I55">
        <v>0.52</v>
      </c>
      <c r="J55">
        <v>0.52</v>
      </c>
      <c r="K55">
        <v>0.52</v>
      </c>
      <c r="L55">
        <v>0.52</v>
      </c>
      <c r="M55">
        <v>0.52</v>
      </c>
      <c r="N55">
        <v>0.52</v>
      </c>
      <c r="O55">
        <v>0.52</v>
      </c>
      <c r="P55">
        <v>0.22</v>
      </c>
    </row>
    <row r="56" spans="1:16">
      <c r="A56" t="s">
        <v>499</v>
      </c>
      <c r="B56" t="s">
        <v>338</v>
      </c>
      <c r="C56">
        <v>0.24</v>
      </c>
      <c r="D56">
        <v>0.24</v>
      </c>
      <c r="E56">
        <v>0.24</v>
      </c>
      <c r="F56">
        <v>0.24</v>
      </c>
      <c r="G56">
        <v>0.24</v>
      </c>
      <c r="H56">
        <v>0.24</v>
      </c>
      <c r="I56">
        <v>0.24</v>
      </c>
      <c r="J56">
        <v>0.24</v>
      </c>
      <c r="K56">
        <v>0.24</v>
      </c>
      <c r="L56">
        <v>0.24</v>
      </c>
      <c r="M56">
        <v>0.24</v>
      </c>
      <c r="N56">
        <v>0.24</v>
      </c>
      <c r="O56">
        <v>0.24</v>
      </c>
      <c r="P56">
        <v>0.37</v>
      </c>
    </row>
    <row r="57" spans="1:16">
      <c r="B57" t="s">
        <v>338</v>
      </c>
      <c r="P57">
        <v>0.16</v>
      </c>
    </row>
    <row r="58" spans="1:16">
      <c r="B58" t="s">
        <v>338</v>
      </c>
      <c r="P58">
        <v>0.09</v>
      </c>
    </row>
    <row r="59" spans="1:16">
      <c r="A59" t="s">
        <v>337</v>
      </c>
      <c r="B59" t="s">
        <v>338</v>
      </c>
      <c r="C59" t="s">
        <v>347</v>
      </c>
      <c r="D59" t="s">
        <v>347</v>
      </c>
      <c r="E59" t="s">
        <v>347</v>
      </c>
      <c r="F59" t="s">
        <v>368</v>
      </c>
      <c r="G59" t="s">
        <v>368</v>
      </c>
      <c r="H59" t="s">
        <v>368</v>
      </c>
      <c r="I59" t="s">
        <v>368</v>
      </c>
      <c r="J59" t="s">
        <v>368</v>
      </c>
      <c r="K59" t="s">
        <v>368</v>
      </c>
      <c r="L59" t="s">
        <v>368</v>
      </c>
      <c r="M59" t="s">
        <v>368</v>
      </c>
      <c r="N59" t="s">
        <v>368</v>
      </c>
      <c r="O59" t="s">
        <v>368</v>
      </c>
      <c r="P59">
        <v>1</v>
      </c>
    </row>
    <row r="60" spans="1:16">
      <c r="A60" t="s">
        <v>377</v>
      </c>
      <c r="B60" t="s">
        <v>378</v>
      </c>
      <c r="C60" t="s">
        <v>339</v>
      </c>
      <c r="D60" t="s">
        <v>339</v>
      </c>
      <c r="E60" t="s">
        <v>339</v>
      </c>
      <c r="F60" t="s">
        <v>339</v>
      </c>
      <c r="G60" t="s">
        <v>339</v>
      </c>
      <c r="H60" t="s">
        <v>339</v>
      </c>
      <c r="I60" t="s">
        <v>339</v>
      </c>
      <c r="J60" t="s">
        <v>339</v>
      </c>
      <c r="K60" t="s">
        <v>339</v>
      </c>
      <c r="L60" t="s">
        <v>339</v>
      </c>
      <c r="M60" t="s">
        <v>339</v>
      </c>
      <c r="N60" t="s">
        <v>339</v>
      </c>
      <c r="O60" t="s">
        <v>339</v>
      </c>
      <c r="P60" t="s">
        <v>340</v>
      </c>
    </row>
    <row r="61" spans="1:16">
      <c r="A61" t="s">
        <v>459</v>
      </c>
      <c r="B61" t="s">
        <v>338</v>
      </c>
      <c r="C61">
        <v>0.36</v>
      </c>
      <c r="D61">
        <v>0.36</v>
      </c>
      <c r="E61">
        <v>0.36</v>
      </c>
      <c r="F61">
        <v>0.36</v>
      </c>
      <c r="G61">
        <v>0.36</v>
      </c>
      <c r="H61">
        <v>0.36</v>
      </c>
      <c r="I61">
        <v>0.36</v>
      </c>
      <c r="J61">
        <v>0.36</v>
      </c>
      <c r="K61">
        <v>0.36</v>
      </c>
      <c r="L61">
        <v>0.36</v>
      </c>
      <c r="M61">
        <v>0.36</v>
      </c>
      <c r="N61">
        <v>0.36</v>
      </c>
      <c r="O61">
        <v>0.36</v>
      </c>
      <c r="P61">
        <v>0.16</v>
      </c>
    </row>
    <row r="62" spans="1:16">
      <c r="A62" t="s">
        <v>460</v>
      </c>
      <c r="B62" t="s">
        <v>338</v>
      </c>
      <c r="C62">
        <v>0.64</v>
      </c>
      <c r="D62">
        <v>0.64</v>
      </c>
      <c r="E62">
        <v>0.64</v>
      </c>
      <c r="F62">
        <v>0.64</v>
      </c>
      <c r="G62">
        <v>0.64</v>
      </c>
      <c r="H62">
        <v>0.64</v>
      </c>
      <c r="I62">
        <v>0.64</v>
      </c>
      <c r="J62">
        <v>0.64</v>
      </c>
      <c r="K62">
        <v>0.64</v>
      </c>
      <c r="L62">
        <v>0.64</v>
      </c>
      <c r="M62">
        <v>0.64</v>
      </c>
      <c r="N62">
        <v>0.64</v>
      </c>
      <c r="O62">
        <v>0.64</v>
      </c>
      <c r="P62">
        <v>0.2</v>
      </c>
    </row>
    <row r="63" spans="1:16">
      <c r="B63" t="s">
        <v>338</v>
      </c>
      <c r="P63">
        <v>0.41</v>
      </c>
    </row>
    <row r="64" spans="1:16">
      <c r="B64" t="s">
        <v>338</v>
      </c>
      <c r="P64">
        <v>0.23</v>
      </c>
    </row>
    <row r="65" spans="1:25">
      <c r="B65" t="s">
        <v>338</v>
      </c>
      <c r="P65">
        <v>0</v>
      </c>
    </row>
    <row r="66" spans="1:25">
      <c r="A66" t="s">
        <v>337</v>
      </c>
      <c r="B66" t="s">
        <v>338</v>
      </c>
      <c r="C66" t="s">
        <v>347</v>
      </c>
      <c r="D66" t="s">
        <v>347</v>
      </c>
      <c r="E66" t="s">
        <v>347</v>
      </c>
      <c r="F66" t="s">
        <v>363</v>
      </c>
      <c r="G66" t="s">
        <v>363</v>
      </c>
      <c r="H66" t="s">
        <v>363</v>
      </c>
      <c r="I66" t="s">
        <v>363</v>
      </c>
      <c r="J66" t="s">
        <v>363</v>
      </c>
      <c r="K66" t="s">
        <v>363</v>
      </c>
      <c r="L66" t="s">
        <v>363</v>
      </c>
      <c r="M66" t="s">
        <v>363</v>
      </c>
      <c r="N66" t="s">
        <v>363</v>
      </c>
      <c r="O66" t="s">
        <v>363</v>
      </c>
      <c r="P66">
        <v>1</v>
      </c>
    </row>
    <row r="67" spans="1:25">
      <c r="A67" t="s">
        <v>337</v>
      </c>
      <c r="B67" t="s">
        <v>338</v>
      </c>
      <c r="C67" t="s">
        <v>339</v>
      </c>
      <c r="D67" t="s">
        <v>339</v>
      </c>
      <c r="E67" t="s">
        <v>339</v>
      </c>
      <c r="F67" t="s">
        <v>340</v>
      </c>
      <c r="G67" t="s">
        <v>340</v>
      </c>
      <c r="H67" t="s">
        <v>340</v>
      </c>
      <c r="I67" t="s">
        <v>340</v>
      </c>
      <c r="J67" t="s">
        <v>340</v>
      </c>
      <c r="K67" t="s">
        <v>340</v>
      </c>
      <c r="L67" t="s">
        <v>340</v>
      </c>
      <c r="M67" t="s">
        <v>340</v>
      </c>
      <c r="N67" t="s">
        <v>340</v>
      </c>
      <c r="O67" t="s">
        <v>340</v>
      </c>
      <c r="P67" t="s">
        <v>340</v>
      </c>
    </row>
    <row r="68" spans="1:25">
      <c r="A68" t="s">
        <v>337</v>
      </c>
      <c r="B68" t="s">
        <v>338</v>
      </c>
      <c r="C68" t="s">
        <v>339</v>
      </c>
      <c r="D68" t="s">
        <v>339</v>
      </c>
      <c r="E68" t="s">
        <v>339</v>
      </c>
      <c r="F68" t="s">
        <v>340</v>
      </c>
      <c r="G68" t="s">
        <v>340</v>
      </c>
      <c r="H68" t="s">
        <v>340</v>
      </c>
      <c r="I68" t="s">
        <v>340</v>
      </c>
      <c r="J68" t="s">
        <v>340</v>
      </c>
      <c r="K68" t="s">
        <v>340</v>
      </c>
      <c r="L68" t="s">
        <v>340</v>
      </c>
      <c r="M68" t="s">
        <v>340</v>
      </c>
      <c r="N68" t="s">
        <v>340</v>
      </c>
      <c r="O68" t="s">
        <v>340</v>
      </c>
      <c r="P68" t="s">
        <v>340</v>
      </c>
      <c r="R68" t="s">
        <v>386</v>
      </c>
      <c r="S68" t="s">
        <v>387</v>
      </c>
      <c r="T68" t="s">
        <v>388</v>
      </c>
      <c r="U68" t="s">
        <v>389</v>
      </c>
      <c r="W68" t="s">
        <v>6</v>
      </c>
      <c r="Y68" t="s">
        <v>390</v>
      </c>
    </row>
    <row r="69" spans="1:25">
      <c r="A69" t="s">
        <v>391</v>
      </c>
      <c r="B69" t="s">
        <v>372</v>
      </c>
      <c r="C69">
        <v>747276</v>
      </c>
      <c r="D69">
        <v>1938571</v>
      </c>
      <c r="E69">
        <v>1826170</v>
      </c>
      <c r="F69">
        <v>1480494</v>
      </c>
      <c r="G69">
        <v>1298419</v>
      </c>
      <c r="H69">
        <v>1758355</v>
      </c>
      <c r="I69">
        <v>1274242</v>
      </c>
      <c r="J69">
        <v>1697362</v>
      </c>
      <c r="K69">
        <v>2357869</v>
      </c>
      <c r="L69">
        <v>1311250</v>
      </c>
      <c r="M69">
        <v>863552</v>
      </c>
      <c r="N69">
        <v>3593546</v>
      </c>
      <c r="O69">
        <v>1716455</v>
      </c>
      <c r="P69">
        <f>SUM(C69:O69)/13</f>
        <v>1681812.3846153845</v>
      </c>
    </row>
    <row r="70" spans="1:25">
      <c r="A70" t="str">
        <f>$A$40</f>
        <v>Electric</v>
      </c>
      <c r="B70">
        <f>$C$40</f>
        <v>0.31</v>
      </c>
      <c r="C70">
        <f t="shared" ref="C70:J72" si="0">ROUND(C$69*$B70,0)</f>
        <v>231656</v>
      </c>
      <c r="D70">
        <f t="shared" si="0"/>
        <v>600957</v>
      </c>
      <c r="E70">
        <f t="shared" si="0"/>
        <v>566113</v>
      </c>
      <c r="F70">
        <f t="shared" si="0"/>
        <v>458953</v>
      </c>
      <c r="G70">
        <f t="shared" si="0"/>
        <v>402510</v>
      </c>
      <c r="H70">
        <f t="shared" si="0"/>
        <v>545090</v>
      </c>
      <c r="I70">
        <f t="shared" si="0"/>
        <v>395015</v>
      </c>
      <c r="J70">
        <f t="shared" si="0"/>
        <v>526182</v>
      </c>
      <c r="K70">
        <f t="shared" ref="K70:N72" si="1">ROUND(K$69*$B70,0)</f>
        <v>730939</v>
      </c>
      <c r="L70">
        <f t="shared" si="1"/>
        <v>406488</v>
      </c>
      <c r="M70">
        <f t="shared" si="1"/>
        <v>267701</v>
      </c>
      <c r="N70">
        <f t="shared" si="1"/>
        <v>1113999</v>
      </c>
      <c r="O70">
        <f>ROUND(O69*B70,0)</f>
        <v>532101</v>
      </c>
      <c r="P70">
        <f>SUM(C70:O70)/13</f>
        <v>521361.84615384613</v>
      </c>
      <c r="Q70" t="s">
        <v>392</v>
      </c>
      <c r="R70">
        <f>+P70</f>
        <v>521361.84615384613</v>
      </c>
    </row>
    <row r="71" spans="1:25">
      <c r="A71" t="str">
        <f>$A$41</f>
        <v>Natural Gas</v>
      </c>
      <c r="B71">
        <f>$C$41</f>
        <v>0.54</v>
      </c>
      <c r="C71">
        <f t="shared" si="0"/>
        <v>403529</v>
      </c>
      <c r="D71">
        <f t="shared" si="0"/>
        <v>1046828</v>
      </c>
      <c r="E71">
        <f t="shared" si="0"/>
        <v>986132</v>
      </c>
      <c r="F71">
        <f t="shared" si="0"/>
        <v>799467</v>
      </c>
      <c r="G71">
        <f t="shared" si="0"/>
        <v>701146</v>
      </c>
      <c r="H71">
        <f t="shared" si="0"/>
        <v>949512</v>
      </c>
      <c r="I71">
        <f t="shared" si="0"/>
        <v>688091</v>
      </c>
      <c r="J71">
        <f t="shared" si="0"/>
        <v>916575</v>
      </c>
      <c r="K71">
        <f t="shared" si="1"/>
        <v>1273249</v>
      </c>
      <c r="L71">
        <f t="shared" si="1"/>
        <v>708075</v>
      </c>
      <c r="M71">
        <f t="shared" si="1"/>
        <v>466318</v>
      </c>
      <c r="N71">
        <f t="shared" si="1"/>
        <v>1940515</v>
      </c>
      <c r="O71">
        <f>ROUND(O69*B71,0)</f>
        <v>926886</v>
      </c>
      <c r="P71">
        <f>SUM(C71:O71)/13</f>
        <v>908178.69230769225</v>
      </c>
      <c r="Q71" t="s">
        <v>392</v>
      </c>
      <c r="S71">
        <f>+P71</f>
        <v>908178.69230769225</v>
      </c>
    </row>
    <row r="72" spans="1:25">
      <c r="A72" t="str">
        <f>$A$42</f>
        <v xml:space="preserve">Non-Utility </v>
      </c>
      <c r="B72">
        <f>$C$42</f>
        <v>0.15</v>
      </c>
      <c r="C72">
        <f t="shared" si="0"/>
        <v>112091</v>
      </c>
      <c r="D72">
        <f t="shared" si="0"/>
        <v>290786</v>
      </c>
      <c r="E72">
        <f t="shared" si="0"/>
        <v>273926</v>
      </c>
      <c r="F72">
        <f t="shared" si="0"/>
        <v>222074</v>
      </c>
      <c r="G72">
        <f t="shared" si="0"/>
        <v>194763</v>
      </c>
      <c r="H72">
        <f t="shared" si="0"/>
        <v>263753</v>
      </c>
      <c r="I72">
        <f t="shared" si="0"/>
        <v>191136</v>
      </c>
      <c r="J72">
        <f t="shared" si="0"/>
        <v>254604</v>
      </c>
      <c r="K72">
        <f t="shared" si="1"/>
        <v>353680</v>
      </c>
      <c r="L72">
        <f t="shared" si="1"/>
        <v>196688</v>
      </c>
      <c r="M72">
        <f t="shared" si="1"/>
        <v>129533</v>
      </c>
      <c r="N72">
        <f t="shared" si="1"/>
        <v>539032</v>
      </c>
      <c r="O72">
        <f>ROUND(O69*B72,0)</f>
        <v>257468</v>
      </c>
      <c r="P72">
        <f>SUM(C72:O72)/13</f>
        <v>252271.84615384616</v>
      </c>
      <c r="Q72" t="s">
        <v>392</v>
      </c>
      <c r="T72">
        <f>+P72</f>
        <v>252271.84615384616</v>
      </c>
    </row>
    <row r="73" spans="1:25">
      <c r="Q73" t="s">
        <v>392</v>
      </c>
      <c r="U73">
        <f>+P73</f>
        <v>0</v>
      </c>
    </row>
    <row r="74" spans="1:25">
      <c r="W74">
        <f>+P74</f>
        <v>0</v>
      </c>
    </row>
    <row r="75" spans="1:25">
      <c r="A75" t="s">
        <v>393</v>
      </c>
      <c r="B75" t="s">
        <v>372</v>
      </c>
      <c r="C75">
        <v>41875.000000000015</v>
      </c>
      <c r="D75">
        <v>147654</v>
      </c>
      <c r="E75">
        <v>151125</v>
      </c>
      <c r="F75">
        <v>154214</v>
      </c>
      <c r="G75">
        <v>159726</v>
      </c>
      <c r="H75">
        <v>158508</v>
      </c>
      <c r="I75">
        <v>151282</v>
      </c>
      <c r="J75">
        <v>136467</v>
      </c>
      <c r="K75">
        <v>114392</v>
      </c>
      <c r="L75">
        <v>138383</v>
      </c>
      <c r="M75">
        <v>111840</v>
      </c>
      <c r="N75">
        <v>94522</v>
      </c>
      <c r="O75">
        <v>100592</v>
      </c>
      <c r="P75">
        <f t="shared" ref="P75:P83" si="2">SUM(C75:O75)/13</f>
        <v>127736.92307692308</v>
      </c>
    </row>
    <row r="76" spans="1:25">
      <c r="A76" t="str">
        <f>$A$40</f>
        <v>Electric</v>
      </c>
      <c r="B76">
        <f>$C$40</f>
        <v>0.31</v>
      </c>
      <c r="C76">
        <f>ROUND(C$75*$B76,0)</f>
        <v>12981</v>
      </c>
      <c r="D76">
        <f t="shared" ref="D76:L76" si="3">ROUND(D$75*$B76,0)</f>
        <v>45773</v>
      </c>
      <c r="E76">
        <f t="shared" si="3"/>
        <v>46849</v>
      </c>
      <c r="F76">
        <f t="shared" si="3"/>
        <v>47806</v>
      </c>
      <c r="G76">
        <f t="shared" si="3"/>
        <v>49515</v>
      </c>
      <c r="H76">
        <f t="shared" si="3"/>
        <v>49137</v>
      </c>
      <c r="I76">
        <f t="shared" si="3"/>
        <v>46897</v>
      </c>
      <c r="J76">
        <f t="shared" si="3"/>
        <v>42305</v>
      </c>
      <c r="K76">
        <f t="shared" si="3"/>
        <v>35462</v>
      </c>
      <c r="L76">
        <f t="shared" si="3"/>
        <v>42899</v>
      </c>
      <c r="M76">
        <f t="shared" ref="M76:O78" si="4">ROUND(M$75*$B76,0)</f>
        <v>34670</v>
      </c>
      <c r="N76">
        <f t="shared" si="4"/>
        <v>29302</v>
      </c>
      <c r="O76">
        <f t="shared" si="4"/>
        <v>31184</v>
      </c>
      <c r="P76">
        <f t="shared" si="2"/>
        <v>39598.461538461539</v>
      </c>
      <c r="Q76" t="s">
        <v>394</v>
      </c>
      <c r="R76">
        <f>+P76</f>
        <v>39598.461538461539</v>
      </c>
    </row>
    <row r="77" spans="1:25">
      <c r="A77" t="str">
        <f>$A$41</f>
        <v>Natural Gas</v>
      </c>
      <c r="B77">
        <f>$C$41</f>
        <v>0.54</v>
      </c>
      <c r="C77">
        <f t="shared" ref="C77:L78" si="5">ROUND(C$75*$B77,0)</f>
        <v>22613</v>
      </c>
      <c r="D77">
        <f t="shared" si="5"/>
        <v>79733</v>
      </c>
      <c r="E77">
        <f t="shared" si="5"/>
        <v>81608</v>
      </c>
      <c r="F77">
        <f t="shared" si="5"/>
        <v>83276</v>
      </c>
      <c r="G77">
        <f t="shared" si="5"/>
        <v>86252</v>
      </c>
      <c r="H77">
        <f t="shared" si="5"/>
        <v>85594</v>
      </c>
      <c r="I77">
        <f t="shared" si="5"/>
        <v>81692</v>
      </c>
      <c r="J77">
        <f t="shared" si="5"/>
        <v>73692</v>
      </c>
      <c r="K77">
        <f t="shared" si="5"/>
        <v>61772</v>
      </c>
      <c r="L77">
        <f t="shared" si="5"/>
        <v>74727</v>
      </c>
      <c r="M77">
        <f t="shared" si="4"/>
        <v>60394</v>
      </c>
      <c r="N77">
        <f t="shared" si="4"/>
        <v>51042</v>
      </c>
      <c r="O77">
        <f t="shared" si="4"/>
        <v>54320</v>
      </c>
      <c r="P77">
        <f t="shared" si="2"/>
        <v>68978.076923076922</v>
      </c>
      <c r="Q77" t="s">
        <v>394</v>
      </c>
      <c r="S77">
        <f>+P77</f>
        <v>68978.076923076922</v>
      </c>
    </row>
    <row r="78" spans="1:25">
      <c r="A78" t="str">
        <f>$A$42</f>
        <v xml:space="preserve">Non-Utility </v>
      </c>
      <c r="B78">
        <f>$C$42</f>
        <v>0.15</v>
      </c>
      <c r="C78">
        <f t="shared" si="5"/>
        <v>6281</v>
      </c>
      <c r="D78">
        <f t="shared" si="5"/>
        <v>22148</v>
      </c>
      <c r="E78">
        <f t="shared" si="5"/>
        <v>22669</v>
      </c>
      <c r="F78">
        <f t="shared" si="5"/>
        <v>23132</v>
      </c>
      <c r="G78">
        <f t="shared" si="5"/>
        <v>23959</v>
      </c>
      <c r="H78">
        <f t="shared" si="5"/>
        <v>23776</v>
      </c>
      <c r="I78">
        <f t="shared" si="5"/>
        <v>22692</v>
      </c>
      <c r="J78">
        <f t="shared" si="5"/>
        <v>20470</v>
      </c>
      <c r="K78">
        <f t="shared" si="5"/>
        <v>17159</v>
      </c>
      <c r="L78">
        <f t="shared" si="5"/>
        <v>20757</v>
      </c>
      <c r="M78">
        <f t="shared" si="4"/>
        <v>16776</v>
      </c>
      <c r="N78">
        <f t="shared" si="4"/>
        <v>14178</v>
      </c>
      <c r="O78">
        <f t="shared" si="4"/>
        <v>15089</v>
      </c>
      <c r="P78">
        <f t="shared" si="2"/>
        <v>19160.461538461539</v>
      </c>
      <c r="Q78" t="s">
        <v>394</v>
      </c>
      <c r="T78">
        <f>+P78</f>
        <v>19160.461538461539</v>
      </c>
    </row>
    <row r="79" spans="1:25">
      <c r="Q79" t="s">
        <v>394</v>
      </c>
      <c r="U79">
        <f>+P79</f>
        <v>0</v>
      </c>
    </row>
    <row r="80" spans="1:25">
      <c r="Q80" t="s">
        <v>394</v>
      </c>
      <c r="W80">
        <f>+P80</f>
        <v>0</v>
      </c>
    </row>
    <row r="81" spans="1:23">
      <c r="A81" t="s">
        <v>397</v>
      </c>
      <c r="B81" t="s">
        <v>357</v>
      </c>
      <c r="C81">
        <v>8276002</v>
      </c>
      <c r="D81">
        <v>8211935</v>
      </c>
      <c r="E81">
        <v>8147869</v>
      </c>
      <c r="F81">
        <v>8083802</v>
      </c>
      <c r="G81">
        <v>8019736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f>SUM(C81:O81)/13</f>
        <v>3133795.6923076925</v>
      </c>
    </row>
    <row r="82" spans="1:23">
      <c r="A82" t="str">
        <f>$A$12</f>
        <v>Electric</v>
      </c>
      <c r="B82">
        <f>$C$12</f>
        <v>0.36</v>
      </c>
      <c r="C82">
        <f>ROUND(C$81*$B82,0)</f>
        <v>2979361</v>
      </c>
      <c r="D82">
        <f t="shared" ref="D82:L82" si="6">ROUND(D$81*$B82,0)</f>
        <v>2956297</v>
      </c>
      <c r="E82">
        <f t="shared" si="6"/>
        <v>2933233</v>
      </c>
      <c r="F82">
        <f t="shared" si="6"/>
        <v>2910169</v>
      </c>
      <c r="G82">
        <f t="shared" si="6"/>
        <v>2887105</v>
      </c>
      <c r="H82">
        <f t="shared" si="6"/>
        <v>0</v>
      </c>
      <c r="I82">
        <f t="shared" si="6"/>
        <v>0</v>
      </c>
      <c r="J82">
        <f t="shared" si="6"/>
        <v>0</v>
      </c>
      <c r="K82">
        <f t="shared" si="6"/>
        <v>0</v>
      </c>
      <c r="L82">
        <f t="shared" si="6"/>
        <v>0</v>
      </c>
      <c r="M82">
        <f t="shared" ref="M82:O83" si="7">ROUND(M$81*$B82,0)</f>
        <v>0</v>
      </c>
      <c r="N82">
        <f t="shared" si="7"/>
        <v>0</v>
      </c>
      <c r="O82">
        <f t="shared" si="7"/>
        <v>0</v>
      </c>
      <c r="P82">
        <f t="shared" si="2"/>
        <v>1128166.5384615385</v>
      </c>
      <c r="Q82" t="s">
        <v>396</v>
      </c>
      <c r="R82">
        <f>+P82</f>
        <v>1128166.5384615385</v>
      </c>
    </row>
    <row r="83" spans="1:23">
      <c r="A83" t="str">
        <f>A13</f>
        <v>Natural Gas</v>
      </c>
      <c r="B83">
        <f>$C$13</f>
        <v>0.64</v>
      </c>
      <c r="C83">
        <f t="shared" ref="C83:L83" si="8">ROUND(C$81*$B83,0)</f>
        <v>5296641</v>
      </c>
      <c r="D83">
        <f t="shared" si="8"/>
        <v>5255638</v>
      </c>
      <c r="E83">
        <f t="shared" si="8"/>
        <v>5214636</v>
      </c>
      <c r="F83">
        <f t="shared" si="8"/>
        <v>5173633</v>
      </c>
      <c r="G83">
        <f t="shared" si="8"/>
        <v>5132631</v>
      </c>
      <c r="H83">
        <f t="shared" si="8"/>
        <v>0</v>
      </c>
      <c r="I83">
        <f t="shared" si="8"/>
        <v>0</v>
      </c>
      <c r="J83">
        <f t="shared" si="8"/>
        <v>0</v>
      </c>
      <c r="K83">
        <f t="shared" si="8"/>
        <v>0</v>
      </c>
      <c r="L83">
        <f t="shared" si="8"/>
        <v>0</v>
      </c>
      <c r="M83">
        <f t="shared" si="7"/>
        <v>0</v>
      </c>
      <c r="N83">
        <f t="shared" si="7"/>
        <v>0</v>
      </c>
      <c r="O83">
        <f t="shared" si="7"/>
        <v>0</v>
      </c>
      <c r="P83">
        <f t="shared" si="2"/>
        <v>2005629.1538461538</v>
      </c>
      <c r="Q83" t="s">
        <v>396</v>
      </c>
      <c r="S83">
        <f>+P83</f>
        <v>2005629.1538461538</v>
      </c>
    </row>
    <row r="84" spans="1:23">
      <c r="Q84" t="s">
        <v>396</v>
      </c>
      <c r="T84">
        <f>+P84</f>
        <v>0</v>
      </c>
    </row>
    <row r="85" spans="1:23">
      <c r="Q85" t="s">
        <v>396</v>
      </c>
      <c r="U85">
        <f>+P85</f>
        <v>0</v>
      </c>
    </row>
    <row r="88" spans="1:23">
      <c r="A88" t="s">
        <v>337</v>
      </c>
      <c r="B88" t="s">
        <v>338</v>
      </c>
      <c r="C88" t="s">
        <v>384</v>
      </c>
      <c r="D88" t="s">
        <v>384</v>
      </c>
      <c r="E88" t="s">
        <v>384</v>
      </c>
      <c r="F88" t="s">
        <v>398</v>
      </c>
      <c r="G88" t="s">
        <v>398</v>
      </c>
      <c r="H88" t="s">
        <v>398</v>
      </c>
      <c r="I88" t="s">
        <v>398</v>
      </c>
      <c r="J88" t="s">
        <v>398</v>
      </c>
      <c r="K88" t="s">
        <v>398</v>
      </c>
      <c r="L88" t="s">
        <v>398</v>
      </c>
      <c r="M88" t="s">
        <v>398</v>
      </c>
      <c r="N88" t="s">
        <v>398</v>
      </c>
      <c r="O88" t="s">
        <v>398</v>
      </c>
      <c r="P88" t="s">
        <v>385</v>
      </c>
    </row>
    <row r="89" spans="1:23">
      <c r="A89" t="s">
        <v>337</v>
      </c>
      <c r="B89" t="s">
        <v>338</v>
      </c>
      <c r="C89" t="s">
        <v>339</v>
      </c>
      <c r="M89" t="s">
        <v>340</v>
      </c>
      <c r="N89" t="s">
        <v>340</v>
      </c>
      <c r="O89" t="s">
        <v>340</v>
      </c>
      <c r="P89" t="s">
        <v>340</v>
      </c>
    </row>
    <row r="90" spans="1:23">
      <c r="A90" t="s">
        <v>399</v>
      </c>
      <c r="B90" t="str">
        <f>B46</f>
        <v xml:space="preserve"> P/R    </v>
      </c>
      <c r="C90">
        <v>12502807</v>
      </c>
      <c r="D90">
        <v>12246100</v>
      </c>
      <c r="E90">
        <v>12224119</v>
      </c>
      <c r="F90">
        <v>12643471</v>
      </c>
      <c r="G90">
        <v>12347129</v>
      </c>
      <c r="H90">
        <v>12342963</v>
      </c>
      <c r="I90">
        <v>12338796</v>
      </c>
      <c r="J90">
        <v>12042454</v>
      </c>
      <c r="K90">
        <v>12038288</v>
      </c>
      <c r="L90">
        <v>11860675</v>
      </c>
      <c r="M90">
        <v>11564333</v>
      </c>
      <c r="N90">
        <v>11560167</v>
      </c>
      <c r="O90">
        <v>20381963</v>
      </c>
      <c r="P90">
        <f>SUM(C90:O90)/13</f>
        <v>12776405</v>
      </c>
    </row>
    <row r="91" spans="1:23">
      <c r="A91" t="str">
        <f>$A$47</f>
        <v>Electric</v>
      </c>
      <c r="B91">
        <f>$C$47</f>
        <v>0.28999999999999998</v>
      </c>
      <c r="C91">
        <f>ROUND(C$90*$B91,0)</f>
        <v>3625814</v>
      </c>
      <c r="D91">
        <f t="shared" ref="D91:L91" si="9">ROUND(D$90*$B91,0)</f>
        <v>3551369</v>
      </c>
      <c r="E91">
        <f t="shared" si="9"/>
        <v>3544995</v>
      </c>
      <c r="F91">
        <f t="shared" si="9"/>
        <v>3666607</v>
      </c>
      <c r="G91">
        <f t="shared" si="9"/>
        <v>3580667</v>
      </c>
      <c r="H91">
        <f t="shared" si="9"/>
        <v>3579459</v>
      </c>
      <c r="I91">
        <f t="shared" si="9"/>
        <v>3578251</v>
      </c>
      <c r="J91">
        <f t="shared" si="9"/>
        <v>3492312</v>
      </c>
      <c r="K91">
        <f t="shared" si="9"/>
        <v>3491104</v>
      </c>
      <c r="L91">
        <f t="shared" si="9"/>
        <v>3439596</v>
      </c>
      <c r="M91">
        <f t="shared" ref="M91:O93" si="10">ROUND(M$90*$B91,0)</f>
        <v>3353657</v>
      </c>
      <c r="N91">
        <f t="shared" si="10"/>
        <v>3352448</v>
      </c>
      <c r="O91">
        <f t="shared" si="10"/>
        <v>5910769</v>
      </c>
      <c r="P91">
        <f>SUM(C91:O91)/13</f>
        <v>3705157.5384615385</v>
      </c>
      <c r="Q91" t="s">
        <v>427</v>
      </c>
      <c r="R91">
        <f>-P91</f>
        <v>-3705157.5384615385</v>
      </c>
    </row>
    <row r="92" spans="1:23">
      <c r="A92" t="str">
        <f>$A$48</f>
        <v>Natural Gas</v>
      </c>
      <c r="B92">
        <f>$C$48</f>
        <v>0.52</v>
      </c>
      <c r="C92">
        <f t="shared" ref="C92:L93" si="11">ROUND(C$90*$B92,0)</f>
        <v>6501460</v>
      </c>
      <c r="D92">
        <f t="shared" si="11"/>
        <v>6367972</v>
      </c>
      <c r="E92">
        <f t="shared" si="11"/>
        <v>6356542</v>
      </c>
      <c r="F92">
        <f t="shared" si="11"/>
        <v>6574605</v>
      </c>
      <c r="G92">
        <f t="shared" si="11"/>
        <v>6420507</v>
      </c>
      <c r="H92">
        <f t="shared" si="11"/>
        <v>6418341</v>
      </c>
      <c r="I92">
        <f t="shared" si="11"/>
        <v>6416174</v>
      </c>
      <c r="J92">
        <f t="shared" si="11"/>
        <v>6262076</v>
      </c>
      <c r="K92">
        <f t="shared" si="11"/>
        <v>6259910</v>
      </c>
      <c r="L92">
        <f t="shared" si="11"/>
        <v>6167551</v>
      </c>
      <c r="M92">
        <f t="shared" si="10"/>
        <v>6013453</v>
      </c>
      <c r="N92">
        <f t="shared" si="10"/>
        <v>6011287</v>
      </c>
      <c r="O92">
        <f t="shared" si="10"/>
        <v>10598621</v>
      </c>
      <c r="P92">
        <f>SUM(C92:O92)/13</f>
        <v>6643730.692307692</v>
      </c>
      <c r="Q92" t="s">
        <v>427</v>
      </c>
      <c r="S92">
        <f>-P92</f>
        <v>-6643730.692307692</v>
      </c>
    </row>
    <row r="93" spans="1:23">
      <c r="A93" t="str">
        <f>$A$49</f>
        <v xml:space="preserve">Non-Utility </v>
      </c>
      <c r="B93">
        <f>$C$49</f>
        <v>0.19</v>
      </c>
      <c r="C93">
        <f t="shared" si="11"/>
        <v>2375533</v>
      </c>
      <c r="D93">
        <f t="shared" si="11"/>
        <v>2326759</v>
      </c>
      <c r="E93">
        <f t="shared" si="11"/>
        <v>2322583</v>
      </c>
      <c r="F93">
        <f t="shared" si="11"/>
        <v>2402259</v>
      </c>
      <c r="G93">
        <f t="shared" si="11"/>
        <v>2345955</v>
      </c>
      <c r="H93">
        <f t="shared" si="11"/>
        <v>2345163</v>
      </c>
      <c r="I93">
        <f t="shared" si="11"/>
        <v>2344371</v>
      </c>
      <c r="J93">
        <f t="shared" si="11"/>
        <v>2288066</v>
      </c>
      <c r="K93">
        <f t="shared" si="11"/>
        <v>2287275</v>
      </c>
      <c r="L93">
        <f t="shared" si="11"/>
        <v>2253528</v>
      </c>
      <c r="M93">
        <f t="shared" si="10"/>
        <v>2197223</v>
      </c>
      <c r="N93">
        <f t="shared" si="10"/>
        <v>2196432</v>
      </c>
      <c r="O93">
        <f t="shared" si="10"/>
        <v>3872573</v>
      </c>
      <c r="P93">
        <f>SUM(C93:O93)/13</f>
        <v>2427516.923076923</v>
      </c>
      <c r="Q93" t="s">
        <v>427</v>
      </c>
      <c r="T93">
        <f>-P93</f>
        <v>-2427516.923076923</v>
      </c>
    </row>
    <row r="94" spans="1:23">
      <c r="Q94" t="s">
        <v>427</v>
      </c>
      <c r="U94">
        <f>-P94</f>
        <v>0</v>
      </c>
    </row>
    <row r="95" spans="1:23">
      <c r="Q95" t="s">
        <v>427</v>
      </c>
      <c r="W95">
        <f>-P95</f>
        <v>0</v>
      </c>
    </row>
    <row r="96" spans="1:23">
      <c r="A96" t="s">
        <v>401</v>
      </c>
      <c r="B96" t="s">
        <v>372</v>
      </c>
      <c r="C96">
        <v>2874099</v>
      </c>
      <c r="D96">
        <v>2903558</v>
      </c>
      <c r="E96">
        <v>2928410</v>
      </c>
      <c r="F96">
        <v>2530934</v>
      </c>
      <c r="G96">
        <v>2570866</v>
      </c>
      <c r="H96">
        <v>2603612</v>
      </c>
      <c r="I96">
        <v>2589245</v>
      </c>
      <c r="J96">
        <v>2613999</v>
      </c>
      <c r="K96">
        <v>2643453</v>
      </c>
      <c r="L96">
        <v>2677766</v>
      </c>
      <c r="M96">
        <v>2728400</v>
      </c>
      <c r="N96">
        <v>2601671</v>
      </c>
      <c r="O96">
        <v>3831501</v>
      </c>
      <c r="P96">
        <f>SUM(C96:O96)/13</f>
        <v>2776731.846153846</v>
      </c>
    </row>
    <row r="97" spans="1:23">
      <c r="A97" t="str">
        <f>$A$40</f>
        <v>Electric</v>
      </c>
      <c r="B97">
        <f>$C$40</f>
        <v>0.31</v>
      </c>
      <c r="C97">
        <f>ROUND(C$96*$B97,0)</f>
        <v>890971</v>
      </c>
      <c r="D97">
        <f t="shared" ref="D97:L97" si="12">ROUND(D$96*$B97,0)</f>
        <v>900103</v>
      </c>
      <c r="E97">
        <f t="shared" si="12"/>
        <v>907807</v>
      </c>
      <c r="F97">
        <f t="shared" si="12"/>
        <v>784590</v>
      </c>
      <c r="G97">
        <f t="shared" si="12"/>
        <v>796968</v>
      </c>
      <c r="H97">
        <f t="shared" si="12"/>
        <v>807120</v>
      </c>
      <c r="I97">
        <f t="shared" si="12"/>
        <v>802666</v>
      </c>
      <c r="J97">
        <f t="shared" si="12"/>
        <v>810340</v>
      </c>
      <c r="K97">
        <f t="shared" si="12"/>
        <v>819470</v>
      </c>
      <c r="L97">
        <f t="shared" si="12"/>
        <v>830107</v>
      </c>
      <c r="M97">
        <f t="shared" ref="M97:O99" si="13">ROUND(M$96*$B97,0)</f>
        <v>845804</v>
      </c>
      <c r="N97">
        <f t="shared" si="13"/>
        <v>806518</v>
      </c>
      <c r="O97">
        <f t="shared" si="13"/>
        <v>1187765</v>
      </c>
      <c r="P97">
        <f>SUM(C97:O97)/13</f>
        <v>860786.84615384613</v>
      </c>
      <c r="Q97" t="s">
        <v>427</v>
      </c>
      <c r="R97">
        <f>-P97</f>
        <v>-860786.84615384613</v>
      </c>
    </row>
    <row r="98" spans="1:23">
      <c r="A98" t="str">
        <f>$A$41</f>
        <v>Natural Gas</v>
      </c>
      <c r="B98">
        <f>$C$41</f>
        <v>0.54</v>
      </c>
      <c r="C98">
        <f t="shared" ref="C98:L99" si="14">ROUND(C$96*$B98,0)</f>
        <v>1552013</v>
      </c>
      <c r="D98">
        <f t="shared" si="14"/>
        <v>1567921</v>
      </c>
      <c r="E98">
        <f t="shared" si="14"/>
        <v>1581341</v>
      </c>
      <c r="F98">
        <f t="shared" si="14"/>
        <v>1366704</v>
      </c>
      <c r="G98">
        <f t="shared" si="14"/>
        <v>1388268</v>
      </c>
      <c r="H98">
        <f t="shared" si="14"/>
        <v>1405950</v>
      </c>
      <c r="I98">
        <f t="shared" si="14"/>
        <v>1398192</v>
      </c>
      <c r="J98">
        <f t="shared" si="14"/>
        <v>1411559</v>
      </c>
      <c r="K98">
        <f t="shared" si="14"/>
        <v>1427465</v>
      </c>
      <c r="L98">
        <f t="shared" si="14"/>
        <v>1445994</v>
      </c>
      <c r="M98">
        <f t="shared" si="13"/>
        <v>1473336</v>
      </c>
      <c r="N98">
        <f t="shared" si="13"/>
        <v>1404902</v>
      </c>
      <c r="O98">
        <f t="shared" si="13"/>
        <v>2069011</v>
      </c>
      <c r="P98">
        <f>SUM(C98:O98)/13</f>
        <v>1499435.076923077</v>
      </c>
      <c r="Q98" t="s">
        <v>427</v>
      </c>
      <c r="S98">
        <f>-P98</f>
        <v>-1499435.076923077</v>
      </c>
    </row>
    <row r="99" spans="1:23">
      <c r="A99" t="str">
        <f>$A$42</f>
        <v xml:space="preserve">Non-Utility </v>
      </c>
      <c r="B99">
        <f>$C$42</f>
        <v>0.15</v>
      </c>
      <c r="C99">
        <f t="shared" si="14"/>
        <v>431115</v>
      </c>
      <c r="D99">
        <f t="shared" si="14"/>
        <v>435534</v>
      </c>
      <c r="E99">
        <f t="shared" si="14"/>
        <v>439262</v>
      </c>
      <c r="F99">
        <f t="shared" si="14"/>
        <v>379640</v>
      </c>
      <c r="G99">
        <f t="shared" si="14"/>
        <v>385630</v>
      </c>
      <c r="H99">
        <f t="shared" si="14"/>
        <v>390542</v>
      </c>
      <c r="I99">
        <f t="shared" si="14"/>
        <v>388387</v>
      </c>
      <c r="J99">
        <f t="shared" si="14"/>
        <v>392100</v>
      </c>
      <c r="K99">
        <f t="shared" si="14"/>
        <v>396518</v>
      </c>
      <c r="L99">
        <f t="shared" si="14"/>
        <v>401665</v>
      </c>
      <c r="M99">
        <f t="shared" si="13"/>
        <v>409260</v>
      </c>
      <c r="N99">
        <f t="shared" si="13"/>
        <v>390251</v>
      </c>
      <c r="O99">
        <f t="shared" si="13"/>
        <v>574725</v>
      </c>
      <c r="P99">
        <f>SUM(C99:O99)/13</f>
        <v>416509.92307692306</v>
      </c>
      <c r="Q99" t="s">
        <v>427</v>
      </c>
      <c r="T99">
        <f>-P99</f>
        <v>-416509.92307692306</v>
      </c>
    </row>
    <row r="100" spans="1:23">
      <c r="Q100" t="s">
        <v>427</v>
      </c>
      <c r="U100">
        <f>-P100</f>
        <v>0</v>
      </c>
    </row>
    <row r="101" spans="1:23">
      <c r="Q101" t="s">
        <v>427</v>
      </c>
      <c r="W101">
        <f>-P101</f>
        <v>0</v>
      </c>
    </row>
    <row r="102" spans="1:23">
      <c r="A102" t="s">
        <v>402</v>
      </c>
      <c r="B102" t="str">
        <f>B90</f>
        <v xml:space="preserve"> P/R    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f>SUM(C102:O102)/13</f>
        <v>0</v>
      </c>
    </row>
    <row r="103" spans="1:23">
      <c r="A103" t="str">
        <f>$A$47</f>
        <v>Electric</v>
      </c>
      <c r="B103">
        <f>$C$47</f>
        <v>0.28999999999999998</v>
      </c>
      <c r="C103">
        <f t="shared" ref="C103:O103" si="15">ROUND(C$102*$B103,0)</f>
        <v>0</v>
      </c>
      <c r="D103">
        <f t="shared" si="15"/>
        <v>0</v>
      </c>
      <c r="E103">
        <f>ROUND(E$102*$B103,0)</f>
        <v>0</v>
      </c>
      <c r="F103">
        <f t="shared" si="15"/>
        <v>0</v>
      </c>
      <c r="G103">
        <f t="shared" si="15"/>
        <v>0</v>
      </c>
      <c r="H103">
        <f t="shared" si="15"/>
        <v>0</v>
      </c>
      <c r="I103">
        <f t="shared" si="15"/>
        <v>0</v>
      </c>
      <c r="J103">
        <f t="shared" si="15"/>
        <v>0</v>
      </c>
      <c r="K103">
        <f t="shared" si="15"/>
        <v>0</v>
      </c>
      <c r="L103">
        <f t="shared" si="15"/>
        <v>0</v>
      </c>
      <c r="M103">
        <f t="shared" si="15"/>
        <v>0</v>
      </c>
      <c r="N103">
        <f t="shared" si="15"/>
        <v>0</v>
      </c>
      <c r="O103">
        <f t="shared" si="15"/>
        <v>0</v>
      </c>
      <c r="P103">
        <f>SUM(C103:O103)/13</f>
        <v>0</v>
      </c>
      <c r="Q103" t="s">
        <v>427</v>
      </c>
      <c r="R103">
        <f>-P103</f>
        <v>0</v>
      </c>
    </row>
    <row r="104" spans="1:23">
      <c r="A104" t="str">
        <f>$A$48</f>
        <v>Natural Gas</v>
      </c>
      <c r="B104">
        <f>$C$48</f>
        <v>0.52</v>
      </c>
      <c r="C104">
        <f t="shared" ref="C104:O105" si="16">ROUND(C$102*$B104,0)</f>
        <v>0</v>
      </c>
      <c r="D104">
        <f t="shared" si="16"/>
        <v>0</v>
      </c>
      <c r="E104">
        <f t="shared" si="16"/>
        <v>0</v>
      </c>
      <c r="F104">
        <f t="shared" si="16"/>
        <v>0</v>
      </c>
      <c r="G104">
        <f t="shared" si="16"/>
        <v>0</v>
      </c>
      <c r="H104">
        <f t="shared" si="16"/>
        <v>0</v>
      </c>
      <c r="I104">
        <f t="shared" si="16"/>
        <v>0</v>
      </c>
      <c r="J104">
        <f t="shared" si="16"/>
        <v>0</v>
      </c>
      <c r="K104">
        <f t="shared" si="16"/>
        <v>0</v>
      </c>
      <c r="L104">
        <f t="shared" si="16"/>
        <v>0</v>
      </c>
      <c r="M104">
        <f t="shared" si="16"/>
        <v>0</v>
      </c>
      <c r="N104">
        <f t="shared" si="16"/>
        <v>0</v>
      </c>
      <c r="O104">
        <f t="shared" si="16"/>
        <v>0</v>
      </c>
      <c r="P104">
        <f>SUM(C104:O104)/13</f>
        <v>0</v>
      </c>
      <c r="Q104" t="s">
        <v>427</v>
      </c>
      <c r="S104">
        <f>-P104</f>
        <v>0</v>
      </c>
    </row>
    <row r="105" spans="1:23">
      <c r="A105" t="str">
        <f>$A$49</f>
        <v xml:space="preserve">Non-Utility </v>
      </c>
      <c r="B105">
        <f>$C$49</f>
        <v>0.19</v>
      </c>
      <c r="C105">
        <f t="shared" si="16"/>
        <v>0</v>
      </c>
      <c r="D105">
        <f t="shared" si="16"/>
        <v>0</v>
      </c>
      <c r="E105">
        <f t="shared" si="16"/>
        <v>0</v>
      </c>
      <c r="F105">
        <f t="shared" si="16"/>
        <v>0</v>
      </c>
      <c r="G105">
        <f t="shared" si="16"/>
        <v>0</v>
      </c>
      <c r="H105">
        <f t="shared" si="16"/>
        <v>0</v>
      </c>
      <c r="I105">
        <f t="shared" si="16"/>
        <v>0</v>
      </c>
      <c r="J105">
        <f t="shared" si="16"/>
        <v>0</v>
      </c>
      <c r="K105">
        <f t="shared" si="16"/>
        <v>0</v>
      </c>
      <c r="L105">
        <f t="shared" si="16"/>
        <v>0</v>
      </c>
      <c r="M105">
        <f t="shared" si="16"/>
        <v>0</v>
      </c>
      <c r="N105">
        <f t="shared" si="16"/>
        <v>0</v>
      </c>
      <c r="O105">
        <f t="shared" si="16"/>
        <v>0</v>
      </c>
      <c r="P105">
        <f>SUM(C105:O105)/13</f>
        <v>0</v>
      </c>
      <c r="Q105" t="s">
        <v>427</v>
      </c>
      <c r="T105">
        <f>-P105</f>
        <v>0</v>
      </c>
    </row>
    <row r="106" spans="1:23">
      <c r="Q106" t="s">
        <v>427</v>
      </c>
      <c r="U106">
        <f>-P106</f>
        <v>0</v>
      </c>
    </row>
    <row r="107" spans="1:23">
      <c r="Q107" t="s">
        <v>427</v>
      </c>
      <c r="W107">
        <f>-P107</f>
        <v>0</v>
      </c>
    </row>
    <row r="108" spans="1:23">
      <c r="A108" t="s">
        <v>403</v>
      </c>
      <c r="B108" t="s">
        <v>404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f t="shared" ref="P108:P117" si="17">SUM(C108:O108)/13</f>
        <v>0</v>
      </c>
    </row>
    <row r="109" spans="1:23">
      <c r="A109" t="s">
        <v>379</v>
      </c>
      <c r="B109" t="s">
        <v>405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f t="shared" si="17"/>
        <v>0</v>
      </c>
      <c r="Q109" t="s">
        <v>428</v>
      </c>
      <c r="T109">
        <f>-P109</f>
        <v>0</v>
      </c>
    </row>
    <row r="110" spans="1:23">
      <c r="A110" t="s">
        <v>380</v>
      </c>
      <c r="B110" t="s">
        <v>338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f t="shared" si="17"/>
        <v>0</v>
      </c>
      <c r="Q110" t="s">
        <v>428</v>
      </c>
      <c r="U110">
        <f>-P110</f>
        <v>0</v>
      </c>
    </row>
    <row r="111" spans="1:23">
      <c r="A111" t="s">
        <v>381</v>
      </c>
      <c r="B111" t="s">
        <v>406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f t="shared" si="17"/>
        <v>0</v>
      </c>
      <c r="Q111" t="s">
        <v>428</v>
      </c>
      <c r="R111">
        <f>-P111</f>
        <v>0</v>
      </c>
    </row>
    <row r="112" spans="1:23">
      <c r="A112" t="s">
        <v>382</v>
      </c>
      <c r="B112" t="s">
        <v>338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f t="shared" si="17"/>
        <v>0</v>
      </c>
      <c r="Q112" t="s">
        <v>428</v>
      </c>
      <c r="S112">
        <f>-P112</f>
        <v>0</v>
      </c>
    </row>
    <row r="114" spans="1:23">
      <c r="A114" t="s">
        <v>512</v>
      </c>
      <c r="B114" t="s">
        <v>372</v>
      </c>
      <c r="C114">
        <v>234307</v>
      </c>
      <c r="D114">
        <v>234307</v>
      </c>
      <c r="E114">
        <v>234050</v>
      </c>
      <c r="F114">
        <v>234050</v>
      </c>
      <c r="G114">
        <v>234104</v>
      </c>
      <c r="H114">
        <v>233372</v>
      </c>
      <c r="I114">
        <v>233100</v>
      </c>
      <c r="J114">
        <v>233100</v>
      </c>
      <c r="K114">
        <v>229946</v>
      </c>
      <c r="L114">
        <v>236019</v>
      </c>
      <c r="M114">
        <v>218375</v>
      </c>
      <c r="N114">
        <v>214927</v>
      </c>
      <c r="O114">
        <v>203935</v>
      </c>
      <c r="P114">
        <f t="shared" si="17"/>
        <v>228737.84615384616</v>
      </c>
    </row>
    <row r="115" spans="1:23">
      <c r="A115" t="str">
        <f>$A$40</f>
        <v>Electric</v>
      </c>
      <c r="B115">
        <f>$C$40</f>
        <v>0.31</v>
      </c>
      <c r="C115">
        <f>ROUND(C$114*$B115,0)</f>
        <v>72635</v>
      </c>
      <c r="D115">
        <f t="shared" ref="D115:L115" si="18">ROUND(D$114*$B115,0)</f>
        <v>72635</v>
      </c>
      <c r="E115">
        <f t="shared" si="18"/>
        <v>72556</v>
      </c>
      <c r="F115">
        <f t="shared" si="18"/>
        <v>72556</v>
      </c>
      <c r="G115">
        <f t="shared" si="18"/>
        <v>72572</v>
      </c>
      <c r="H115">
        <f t="shared" si="18"/>
        <v>72345</v>
      </c>
      <c r="I115">
        <f t="shared" si="18"/>
        <v>72261</v>
      </c>
      <c r="J115">
        <f t="shared" si="18"/>
        <v>72261</v>
      </c>
      <c r="K115">
        <f t="shared" si="18"/>
        <v>71283</v>
      </c>
      <c r="L115">
        <f t="shared" si="18"/>
        <v>73166</v>
      </c>
      <c r="M115">
        <f t="shared" ref="M115:O117" si="19">ROUND(M$114*$B115,0)</f>
        <v>67696</v>
      </c>
      <c r="N115">
        <f t="shared" si="19"/>
        <v>66627</v>
      </c>
      <c r="O115">
        <f t="shared" si="19"/>
        <v>63220</v>
      </c>
      <c r="P115">
        <f t="shared" si="17"/>
        <v>70908.692307692312</v>
      </c>
      <c r="Q115" t="s">
        <v>428</v>
      </c>
      <c r="R115">
        <f>-P115</f>
        <v>-70908.692307692312</v>
      </c>
    </row>
    <row r="116" spans="1:23">
      <c r="A116" t="str">
        <f>$A$41</f>
        <v>Natural Gas</v>
      </c>
      <c r="B116">
        <f>$C$41</f>
        <v>0.54</v>
      </c>
      <c r="C116">
        <f t="shared" ref="C116:L117" si="20">ROUND(C$114*$B116,0)</f>
        <v>126526</v>
      </c>
      <c r="D116">
        <f t="shared" si="20"/>
        <v>126526</v>
      </c>
      <c r="E116">
        <f t="shared" si="20"/>
        <v>126387</v>
      </c>
      <c r="F116">
        <f t="shared" si="20"/>
        <v>126387</v>
      </c>
      <c r="G116">
        <f t="shared" si="20"/>
        <v>126416</v>
      </c>
      <c r="H116">
        <f t="shared" si="20"/>
        <v>126021</v>
      </c>
      <c r="I116">
        <f t="shared" si="20"/>
        <v>125874</v>
      </c>
      <c r="J116">
        <f t="shared" si="20"/>
        <v>125874</v>
      </c>
      <c r="K116">
        <f t="shared" si="20"/>
        <v>124171</v>
      </c>
      <c r="L116">
        <f t="shared" si="20"/>
        <v>127450</v>
      </c>
      <c r="M116">
        <f t="shared" si="19"/>
        <v>117923</v>
      </c>
      <c r="N116">
        <f t="shared" si="19"/>
        <v>116061</v>
      </c>
      <c r="O116">
        <f t="shared" si="19"/>
        <v>110125</v>
      </c>
      <c r="P116">
        <f t="shared" si="17"/>
        <v>123518.53846153847</v>
      </c>
      <c r="Q116" t="s">
        <v>428</v>
      </c>
      <c r="S116">
        <f>-P116</f>
        <v>-123518.53846153847</v>
      </c>
    </row>
    <row r="117" spans="1:23">
      <c r="A117" t="str">
        <f>$A$42</f>
        <v xml:space="preserve">Non-Utility </v>
      </c>
      <c r="B117">
        <f>$C$42</f>
        <v>0.15</v>
      </c>
      <c r="C117">
        <f t="shared" si="20"/>
        <v>35146</v>
      </c>
      <c r="D117">
        <f t="shared" si="20"/>
        <v>35146</v>
      </c>
      <c r="E117">
        <f t="shared" si="20"/>
        <v>35108</v>
      </c>
      <c r="F117">
        <f t="shared" si="20"/>
        <v>35108</v>
      </c>
      <c r="G117">
        <f t="shared" si="20"/>
        <v>35116</v>
      </c>
      <c r="H117">
        <f t="shared" si="20"/>
        <v>35006</v>
      </c>
      <c r="I117">
        <f t="shared" si="20"/>
        <v>34965</v>
      </c>
      <c r="J117">
        <f t="shared" si="20"/>
        <v>34965</v>
      </c>
      <c r="K117">
        <f t="shared" si="20"/>
        <v>34492</v>
      </c>
      <c r="L117">
        <f t="shared" si="20"/>
        <v>35403</v>
      </c>
      <c r="M117">
        <f t="shared" si="19"/>
        <v>32756</v>
      </c>
      <c r="N117">
        <f t="shared" si="19"/>
        <v>32239</v>
      </c>
      <c r="O117">
        <f t="shared" si="19"/>
        <v>30590</v>
      </c>
      <c r="P117">
        <f t="shared" si="17"/>
        <v>34310.769230769234</v>
      </c>
      <c r="Q117" t="s">
        <v>428</v>
      </c>
      <c r="T117">
        <f>-P117</f>
        <v>-34310.769230769234</v>
      </c>
    </row>
    <row r="118" spans="1:23">
      <c r="Q118" t="s">
        <v>428</v>
      </c>
      <c r="U118">
        <f>-P118</f>
        <v>0</v>
      </c>
    </row>
    <row r="119" spans="1:23">
      <c r="Q119" t="s">
        <v>428</v>
      </c>
      <c r="W119">
        <f>-P119</f>
        <v>0</v>
      </c>
    </row>
    <row r="120" spans="1:23">
      <c r="A120" t="s">
        <v>407</v>
      </c>
      <c r="B120" t="s">
        <v>408</v>
      </c>
      <c r="C120">
        <v>3736702</v>
      </c>
      <c r="D120">
        <v>835967</v>
      </c>
      <c r="E120">
        <v>4834187</v>
      </c>
      <c r="F120">
        <v>1813642</v>
      </c>
      <c r="G120">
        <v>3024514</v>
      </c>
      <c r="H120">
        <v>4654457</v>
      </c>
      <c r="I120">
        <v>4612148</v>
      </c>
      <c r="J120">
        <v>4283238</v>
      </c>
      <c r="K120">
        <v>2008836</v>
      </c>
      <c r="L120">
        <v>1245678</v>
      </c>
      <c r="M120">
        <v>4707302</v>
      </c>
      <c r="N120">
        <v>3731513</v>
      </c>
      <c r="O120">
        <v>2345894</v>
      </c>
      <c r="P120">
        <f>SUM(C120:O120)/13</f>
        <v>3218006</v>
      </c>
    </row>
    <row r="121" spans="1:23">
      <c r="A121" t="str">
        <f>$A$40</f>
        <v>Electric</v>
      </c>
      <c r="B121">
        <v>0.31</v>
      </c>
      <c r="C121">
        <f>ROUND(C$120*$B121,0)</f>
        <v>1158378</v>
      </c>
      <c r="D121">
        <f t="shared" ref="D121:L121" si="21">ROUND(D$120*$B121,0)</f>
        <v>259150</v>
      </c>
      <c r="E121">
        <f t="shared" si="21"/>
        <v>1498598</v>
      </c>
      <c r="F121">
        <f t="shared" si="21"/>
        <v>562229</v>
      </c>
      <c r="G121">
        <f t="shared" si="21"/>
        <v>937599</v>
      </c>
      <c r="H121">
        <f t="shared" si="21"/>
        <v>1442882</v>
      </c>
      <c r="I121">
        <f t="shared" si="21"/>
        <v>1429766</v>
      </c>
      <c r="J121">
        <f t="shared" si="21"/>
        <v>1327804</v>
      </c>
      <c r="K121">
        <f t="shared" si="21"/>
        <v>622739</v>
      </c>
      <c r="L121">
        <f t="shared" si="21"/>
        <v>386160</v>
      </c>
      <c r="M121">
        <f t="shared" ref="M121:O123" si="22">ROUND(M$120*$B121,0)</f>
        <v>1459264</v>
      </c>
      <c r="N121">
        <f t="shared" si="22"/>
        <v>1156769</v>
      </c>
      <c r="O121">
        <f t="shared" si="22"/>
        <v>727227</v>
      </c>
      <c r="P121">
        <f>SUM(C121:O121)/13</f>
        <v>997581.92307692312</v>
      </c>
      <c r="Q121" t="s">
        <v>429</v>
      </c>
      <c r="R121">
        <f>-P121</f>
        <v>-997581.92307692312</v>
      </c>
    </row>
    <row r="122" spans="1:23">
      <c r="A122" t="str">
        <f>$A$41</f>
        <v>Natural Gas</v>
      </c>
      <c r="B122">
        <v>0.54</v>
      </c>
      <c r="C122">
        <f t="shared" ref="C122:L123" si="23">ROUND(C$120*$B122,0)</f>
        <v>2017819</v>
      </c>
      <c r="D122">
        <f t="shared" si="23"/>
        <v>451422</v>
      </c>
      <c r="E122">
        <f t="shared" si="23"/>
        <v>2610461</v>
      </c>
      <c r="F122">
        <f t="shared" si="23"/>
        <v>979367</v>
      </c>
      <c r="G122">
        <f t="shared" si="23"/>
        <v>1633238</v>
      </c>
      <c r="H122">
        <f t="shared" si="23"/>
        <v>2513407</v>
      </c>
      <c r="I122">
        <f t="shared" si="23"/>
        <v>2490560</v>
      </c>
      <c r="J122">
        <f t="shared" si="23"/>
        <v>2312949</v>
      </c>
      <c r="K122">
        <f t="shared" si="23"/>
        <v>1084771</v>
      </c>
      <c r="L122">
        <f t="shared" si="23"/>
        <v>672666</v>
      </c>
      <c r="M122">
        <f t="shared" si="22"/>
        <v>2541943</v>
      </c>
      <c r="N122">
        <f t="shared" si="22"/>
        <v>2015017</v>
      </c>
      <c r="O122">
        <f t="shared" si="22"/>
        <v>1266783</v>
      </c>
      <c r="P122">
        <f>SUM(C122:O122)/13</f>
        <v>1737723.3076923077</v>
      </c>
      <c r="Q122" t="s">
        <v>429</v>
      </c>
      <c r="S122">
        <f>-P122</f>
        <v>-1737723.3076923077</v>
      </c>
    </row>
    <row r="123" spans="1:23">
      <c r="A123" t="str">
        <f>$A$42</f>
        <v xml:space="preserve">Non-Utility </v>
      </c>
      <c r="B123">
        <v>0.15</v>
      </c>
      <c r="C123">
        <f t="shared" si="23"/>
        <v>560505</v>
      </c>
      <c r="D123">
        <f t="shared" si="23"/>
        <v>125395</v>
      </c>
      <c r="E123">
        <f t="shared" si="23"/>
        <v>725128</v>
      </c>
      <c r="F123">
        <f t="shared" si="23"/>
        <v>272046</v>
      </c>
      <c r="G123">
        <f t="shared" si="23"/>
        <v>453677</v>
      </c>
      <c r="H123">
        <f t="shared" si="23"/>
        <v>698169</v>
      </c>
      <c r="I123">
        <f t="shared" si="23"/>
        <v>691822</v>
      </c>
      <c r="J123">
        <f t="shared" si="23"/>
        <v>642486</v>
      </c>
      <c r="K123">
        <f t="shared" si="23"/>
        <v>301325</v>
      </c>
      <c r="L123">
        <f t="shared" si="23"/>
        <v>186852</v>
      </c>
      <c r="M123">
        <f t="shared" si="22"/>
        <v>706095</v>
      </c>
      <c r="N123">
        <f t="shared" si="22"/>
        <v>559727</v>
      </c>
      <c r="O123">
        <f t="shared" si="22"/>
        <v>351884</v>
      </c>
      <c r="P123">
        <f>SUM(C123:O123)/13</f>
        <v>482700.84615384613</v>
      </c>
      <c r="Q123" t="s">
        <v>429</v>
      </c>
      <c r="T123">
        <f>-P123</f>
        <v>-482700.84615384613</v>
      </c>
    </row>
    <row r="124" spans="1:23">
      <c r="Q124" t="s">
        <v>429</v>
      </c>
      <c r="U124">
        <f>-P124</f>
        <v>0</v>
      </c>
    </row>
    <row r="125" spans="1:23">
      <c r="Q125" t="s">
        <v>429</v>
      </c>
      <c r="W125">
        <f>-P125</f>
        <v>0</v>
      </c>
    </row>
    <row r="126" spans="1:23">
      <c r="A126" t="s">
        <v>337</v>
      </c>
      <c r="B126" t="s">
        <v>338</v>
      </c>
      <c r="C126" t="s">
        <v>339</v>
      </c>
      <c r="D126" t="s">
        <v>339</v>
      </c>
      <c r="E126" t="s">
        <v>339</v>
      </c>
      <c r="F126" t="s">
        <v>340</v>
      </c>
      <c r="G126" t="s">
        <v>340</v>
      </c>
      <c r="M126" t="s">
        <v>340</v>
      </c>
      <c r="N126" t="s">
        <v>340</v>
      </c>
      <c r="O126" t="s">
        <v>340</v>
      </c>
      <c r="P126" t="s">
        <v>340</v>
      </c>
    </row>
    <row r="127" spans="1:23">
      <c r="A127" t="s">
        <v>409</v>
      </c>
      <c r="B127" t="s">
        <v>395</v>
      </c>
      <c r="C127">
        <v>38991</v>
      </c>
      <c r="D127">
        <v>35554</v>
      </c>
      <c r="E127">
        <v>215832</v>
      </c>
      <c r="F127">
        <v>81906</v>
      </c>
      <c r="G127">
        <v>14863</v>
      </c>
      <c r="H127">
        <v>-106147</v>
      </c>
      <c r="I127">
        <v>24450</v>
      </c>
      <c r="J127">
        <v>118379</v>
      </c>
      <c r="K127">
        <v>-4606</v>
      </c>
      <c r="L127">
        <v>26219</v>
      </c>
      <c r="M127">
        <v>83</v>
      </c>
      <c r="N127">
        <v>5102</v>
      </c>
      <c r="O127">
        <v>135432</v>
      </c>
      <c r="P127">
        <f>SUM(C127:O127)/13</f>
        <v>45081.384615384617</v>
      </c>
    </row>
    <row r="128" spans="1:23">
      <c r="A128" t="str">
        <f>$A$47</f>
        <v>Electric</v>
      </c>
      <c r="B128">
        <f>$C$47</f>
        <v>0.28999999999999998</v>
      </c>
      <c r="C128">
        <f>ROUND(C$127*$B128,0)</f>
        <v>11307</v>
      </c>
      <c r="D128">
        <f t="shared" ref="D128:L128" si="24">ROUND(D$127*$B128,0)</f>
        <v>10311</v>
      </c>
      <c r="E128">
        <f t="shared" si="24"/>
        <v>62591</v>
      </c>
      <c r="F128">
        <f t="shared" si="24"/>
        <v>23753</v>
      </c>
      <c r="G128">
        <f t="shared" si="24"/>
        <v>4310</v>
      </c>
      <c r="H128">
        <f t="shared" si="24"/>
        <v>-30783</v>
      </c>
      <c r="I128">
        <f t="shared" si="24"/>
        <v>7091</v>
      </c>
      <c r="J128">
        <f t="shared" si="24"/>
        <v>34330</v>
      </c>
      <c r="K128">
        <f t="shared" si="24"/>
        <v>-1336</v>
      </c>
      <c r="L128">
        <f t="shared" si="24"/>
        <v>7604</v>
      </c>
      <c r="M128">
        <f t="shared" ref="M128:O130" si="25">ROUND(M$127*$B128,0)</f>
        <v>24</v>
      </c>
      <c r="N128">
        <f t="shared" si="25"/>
        <v>1480</v>
      </c>
      <c r="O128">
        <f t="shared" si="25"/>
        <v>39275</v>
      </c>
      <c r="P128">
        <f>SUM(C128:O128)/13</f>
        <v>13073.615384615385</v>
      </c>
      <c r="Q128" t="s">
        <v>429</v>
      </c>
      <c r="R128">
        <f>-P128</f>
        <v>-13073.615384615385</v>
      </c>
    </row>
    <row r="129" spans="1:23">
      <c r="A129" t="str">
        <f>$A$48</f>
        <v>Natural Gas</v>
      </c>
      <c r="B129">
        <f>$C$48</f>
        <v>0.52</v>
      </c>
      <c r="C129">
        <f t="shared" ref="C129:L130" si="26">ROUND(C$127*$B129,0)</f>
        <v>20275</v>
      </c>
      <c r="D129">
        <f t="shared" si="26"/>
        <v>18488</v>
      </c>
      <c r="E129">
        <f t="shared" si="26"/>
        <v>112233</v>
      </c>
      <c r="F129">
        <f t="shared" si="26"/>
        <v>42591</v>
      </c>
      <c r="G129">
        <f t="shared" si="26"/>
        <v>7729</v>
      </c>
      <c r="H129">
        <f t="shared" si="26"/>
        <v>-55196</v>
      </c>
      <c r="I129">
        <f t="shared" si="26"/>
        <v>12714</v>
      </c>
      <c r="J129">
        <f t="shared" si="26"/>
        <v>61557</v>
      </c>
      <c r="K129">
        <f t="shared" si="26"/>
        <v>-2395</v>
      </c>
      <c r="L129">
        <f t="shared" si="26"/>
        <v>13634</v>
      </c>
      <c r="M129">
        <f t="shared" si="25"/>
        <v>43</v>
      </c>
      <c r="N129">
        <f t="shared" si="25"/>
        <v>2653</v>
      </c>
      <c r="O129">
        <f t="shared" si="25"/>
        <v>70425</v>
      </c>
      <c r="P129">
        <f>SUM(C129:O129)/13</f>
        <v>23442.384615384617</v>
      </c>
      <c r="Q129" t="s">
        <v>429</v>
      </c>
      <c r="S129">
        <f>-P129</f>
        <v>-23442.384615384617</v>
      </c>
    </row>
    <row r="130" spans="1:23">
      <c r="A130" t="str">
        <f>$A$49</f>
        <v xml:space="preserve">Non-Utility </v>
      </c>
      <c r="B130">
        <f>$C$49</f>
        <v>0.19</v>
      </c>
      <c r="C130">
        <f t="shared" si="26"/>
        <v>7408</v>
      </c>
      <c r="D130">
        <f t="shared" si="26"/>
        <v>6755</v>
      </c>
      <c r="E130">
        <f t="shared" si="26"/>
        <v>41008</v>
      </c>
      <c r="F130">
        <f t="shared" si="26"/>
        <v>15562</v>
      </c>
      <c r="G130">
        <f t="shared" si="26"/>
        <v>2824</v>
      </c>
      <c r="H130">
        <f t="shared" si="26"/>
        <v>-20168</v>
      </c>
      <c r="I130">
        <f t="shared" si="26"/>
        <v>4646</v>
      </c>
      <c r="J130">
        <f t="shared" si="26"/>
        <v>22492</v>
      </c>
      <c r="K130">
        <f t="shared" si="26"/>
        <v>-875</v>
      </c>
      <c r="L130">
        <f t="shared" si="26"/>
        <v>4982</v>
      </c>
      <c r="M130">
        <f t="shared" si="25"/>
        <v>16</v>
      </c>
      <c r="N130">
        <f t="shared" si="25"/>
        <v>969</v>
      </c>
      <c r="O130">
        <f t="shared" si="25"/>
        <v>25732</v>
      </c>
      <c r="P130">
        <f>SUM(C130:O130)/13</f>
        <v>8565.461538461539</v>
      </c>
      <c r="Q130" t="s">
        <v>429</v>
      </c>
      <c r="T130">
        <f>-P130</f>
        <v>-8565.461538461539</v>
      </c>
    </row>
    <row r="131" spans="1:23">
      <c r="Q131" t="s">
        <v>429</v>
      </c>
      <c r="U131">
        <f>-P131</f>
        <v>0</v>
      </c>
    </row>
    <row r="132" spans="1:23">
      <c r="Q132" t="s">
        <v>429</v>
      </c>
      <c r="W132">
        <f>-P132</f>
        <v>0</v>
      </c>
    </row>
    <row r="133" spans="1:23">
      <c r="A133" t="s">
        <v>509</v>
      </c>
      <c r="B133" t="str">
        <f>B114</f>
        <v>BASE REV</v>
      </c>
      <c r="C133">
        <v>780</v>
      </c>
      <c r="D133">
        <v>1</v>
      </c>
      <c r="E133">
        <v>1</v>
      </c>
      <c r="F133">
        <v>-1</v>
      </c>
      <c r="G133">
        <v>-3</v>
      </c>
      <c r="H133">
        <v>-4</v>
      </c>
      <c r="I133">
        <v>-4</v>
      </c>
      <c r="J133">
        <v>-4</v>
      </c>
      <c r="K133">
        <v>-4</v>
      </c>
      <c r="L133">
        <v>-4</v>
      </c>
      <c r="M133">
        <v>0</v>
      </c>
      <c r="N133">
        <v>12169</v>
      </c>
      <c r="O133">
        <v>0</v>
      </c>
      <c r="P133">
        <f>SUM(C133:O133)/13</f>
        <v>994.38461538461536</v>
      </c>
    </row>
    <row r="134" spans="1:23">
      <c r="A134" t="str">
        <f>$A$40</f>
        <v>Electric</v>
      </c>
      <c r="B134">
        <f>$C$40</f>
        <v>0.31</v>
      </c>
      <c r="C134">
        <f>ROUND(C$133*$B134,0)</f>
        <v>242</v>
      </c>
      <c r="D134">
        <f t="shared" ref="D134:O134" si="27">ROUND(D$133*$B134,0)</f>
        <v>0</v>
      </c>
      <c r="E134">
        <f t="shared" si="27"/>
        <v>0</v>
      </c>
      <c r="F134">
        <f t="shared" si="27"/>
        <v>0</v>
      </c>
      <c r="G134">
        <f t="shared" si="27"/>
        <v>-1</v>
      </c>
      <c r="H134">
        <f t="shared" si="27"/>
        <v>-1</v>
      </c>
      <c r="I134">
        <f t="shared" si="27"/>
        <v>-1</v>
      </c>
      <c r="J134">
        <f t="shared" si="27"/>
        <v>-1</v>
      </c>
      <c r="K134">
        <f t="shared" si="27"/>
        <v>-1</v>
      </c>
      <c r="L134">
        <f t="shared" si="27"/>
        <v>-1</v>
      </c>
      <c r="M134">
        <f t="shared" si="27"/>
        <v>0</v>
      </c>
      <c r="N134">
        <f t="shared" si="27"/>
        <v>3772</v>
      </c>
      <c r="O134">
        <f t="shared" si="27"/>
        <v>0</v>
      </c>
      <c r="P134">
        <f>SUM(C134:O134)/13</f>
        <v>308.30769230769232</v>
      </c>
      <c r="Q134" t="s">
        <v>429</v>
      </c>
      <c r="R134">
        <f>-P134</f>
        <v>-308.30769230769232</v>
      </c>
    </row>
    <row r="135" spans="1:23">
      <c r="A135" t="str">
        <f>$A$41</f>
        <v>Natural Gas</v>
      </c>
      <c r="B135">
        <f>$C$41</f>
        <v>0.54</v>
      </c>
      <c r="C135">
        <f t="shared" ref="C135:O136" si="28">ROUND(C$133*$B135,0)</f>
        <v>421</v>
      </c>
      <c r="D135">
        <f t="shared" si="28"/>
        <v>1</v>
      </c>
      <c r="E135">
        <f t="shared" si="28"/>
        <v>1</v>
      </c>
      <c r="F135">
        <f t="shared" si="28"/>
        <v>-1</v>
      </c>
      <c r="G135">
        <f t="shared" si="28"/>
        <v>-2</v>
      </c>
      <c r="H135">
        <f t="shared" si="28"/>
        <v>-2</v>
      </c>
      <c r="I135">
        <f t="shared" si="28"/>
        <v>-2</v>
      </c>
      <c r="J135">
        <f t="shared" si="28"/>
        <v>-2</v>
      </c>
      <c r="K135">
        <f t="shared" si="28"/>
        <v>-2</v>
      </c>
      <c r="L135">
        <f t="shared" si="28"/>
        <v>-2</v>
      </c>
      <c r="M135">
        <f t="shared" si="28"/>
        <v>0</v>
      </c>
      <c r="N135">
        <f t="shared" si="28"/>
        <v>6571</v>
      </c>
      <c r="O135">
        <f t="shared" si="28"/>
        <v>0</v>
      </c>
      <c r="P135">
        <f>SUM(C135:O135)/13</f>
        <v>537</v>
      </c>
      <c r="Q135" t="s">
        <v>429</v>
      </c>
      <c r="S135">
        <f>-P135</f>
        <v>-537</v>
      </c>
    </row>
    <row r="136" spans="1:23">
      <c r="A136" t="str">
        <f>$A$42</f>
        <v xml:space="preserve">Non-Utility </v>
      </c>
      <c r="B136">
        <f>$C$42</f>
        <v>0.15</v>
      </c>
      <c r="C136">
        <f t="shared" si="28"/>
        <v>117</v>
      </c>
      <c r="D136">
        <f t="shared" si="28"/>
        <v>0</v>
      </c>
      <c r="E136">
        <f t="shared" si="28"/>
        <v>0</v>
      </c>
      <c r="F136">
        <f t="shared" si="28"/>
        <v>0</v>
      </c>
      <c r="G136">
        <f t="shared" si="28"/>
        <v>0</v>
      </c>
      <c r="H136">
        <f t="shared" si="28"/>
        <v>-1</v>
      </c>
      <c r="I136">
        <f t="shared" si="28"/>
        <v>-1</v>
      </c>
      <c r="J136">
        <f t="shared" si="28"/>
        <v>-1</v>
      </c>
      <c r="K136">
        <f t="shared" si="28"/>
        <v>-1</v>
      </c>
      <c r="L136">
        <f t="shared" si="28"/>
        <v>-1</v>
      </c>
      <c r="M136">
        <f t="shared" si="28"/>
        <v>0</v>
      </c>
      <c r="N136">
        <f t="shared" si="28"/>
        <v>1825</v>
      </c>
      <c r="O136">
        <f t="shared" si="28"/>
        <v>0</v>
      </c>
      <c r="P136">
        <f>SUM(C136:O136)/13</f>
        <v>149</v>
      </c>
      <c r="Q136" t="s">
        <v>429</v>
      </c>
      <c r="T136">
        <f>-P136</f>
        <v>-149</v>
      </c>
    </row>
    <row r="137" spans="1:23">
      <c r="Q137" t="s">
        <v>429</v>
      </c>
      <c r="U137">
        <f>-P137</f>
        <v>0</v>
      </c>
    </row>
    <row r="138" spans="1:23">
      <c r="Q138" t="s">
        <v>429</v>
      </c>
      <c r="W138">
        <f>-P138</f>
        <v>0</v>
      </c>
    </row>
    <row r="139" spans="1:23">
      <c r="A139" t="s">
        <v>410</v>
      </c>
      <c r="B139" t="s">
        <v>411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f t="shared" ref="P139:P144" si="29">SUM(C139:O139)/13</f>
        <v>0</v>
      </c>
    </row>
    <row r="140" spans="1:23">
      <c r="A140" t="s">
        <v>381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f t="shared" si="29"/>
        <v>0</v>
      </c>
      <c r="Q140" t="s">
        <v>430</v>
      </c>
      <c r="R140">
        <f>-P140</f>
        <v>0</v>
      </c>
    </row>
    <row r="141" spans="1:23">
      <c r="A141" t="s">
        <v>382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f t="shared" si="29"/>
        <v>0</v>
      </c>
      <c r="Q141" t="s">
        <v>430</v>
      </c>
      <c r="S141">
        <f>-P141</f>
        <v>0</v>
      </c>
    </row>
    <row r="142" spans="1:23">
      <c r="A142" t="s">
        <v>379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f t="shared" si="29"/>
        <v>0</v>
      </c>
      <c r="Q142" t="s">
        <v>430</v>
      </c>
      <c r="T142">
        <f>-P142</f>
        <v>0</v>
      </c>
    </row>
    <row r="143" spans="1:23">
      <c r="A143" t="s">
        <v>380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f t="shared" si="29"/>
        <v>0</v>
      </c>
      <c r="Q143" t="s">
        <v>430</v>
      </c>
      <c r="U143">
        <f>-P143</f>
        <v>0</v>
      </c>
    </row>
    <row r="144" spans="1:23">
      <c r="A144" t="s">
        <v>383</v>
      </c>
      <c r="B144" t="s">
        <v>338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f t="shared" si="29"/>
        <v>0</v>
      </c>
      <c r="W144">
        <f>-P144</f>
        <v>0</v>
      </c>
    </row>
    <row r="146" spans="1:21">
      <c r="A146" t="s">
        <v>412</v>
      </c>
      <c r="B146" t="s">
        <v>372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f>SUM(C146:O146)/13</f>
        <v>0</v>
      </c>
    </row>
    <row r="147" spans="1:21">
      <c r="A147" t="str">
        <f>$A$34</f>
        <v>Electric</v>
      </c>
      <c r="B147">
        <f>$C$34</f>
        <v>0.37</v>
      </c>
      <c r="C147">
        <f>ROUND(C$146*$B147,0)</f>
        <v>0</v>
      </c>
      <c r="D147">
        <f t="shared" ref="D147:J148" si="30">ROUND(D$146*$B147,0)</f>
        <v>0</v>
      </c>
      <c r="E147">
        <f t="shared" si="30"/>
        <v>0</v>
      </c>
      <c r="F147">
        <f t="shared" si="30"/>
        <v>0</v>
      </c>
      <c r="G147">
        <f t="shared" si="30"/>
        <v>0</v>
      </c>
      <c r="H147">
        <f t="shared" si="30"/>
        <v>0</v>
      </c>
      <c r="I147">
        <f t="shared" si="30"/>
        <v>0</v>
      </c>
      <c r="J147">
        <f t="shared" si="30"/>
        <v>0</v>
      </c>
      <c r="K147">
        <f t="shared" ref="K147:O148" si="31">ROUND(K$146*$B147,0)</f>
        <v>0</v>
      </c>
      <c r="L147">
        <f t="shared" si="31"/>
        <v>0</v>
      </c>
      <c r="M147">
        <f t="shared" si="31"/>
        <v>0</v>
      </c>
      <c r="N147">
        <f t="shared" si="31"/>
        <v>0</v>
      </c>
      <c r="O147">
        <f t="shared" si="31"/>
        <v>0</v>
      </c>
      <c r="P147">
        <f>SUM(C147:O147)/13</f>
        <v>0</v>
      </c>
      <c r="Q147" t="s">
        <v>430</v>
      </c>
      <c r="R147">
        <f>-P147</f>
        <v>0</v>
      </c>
    </row>
    <row r="148" spans="1:21">
      <c r="A148" t="str">
        <f>$A$35</f>
        <v>Natural Gas</v>
      </c>
      <c r="B148">
        <f>$C$35</f>
        <v>0.63</v>
      </c>
      <c r="C148">
        <f>ROUND(C$146*$B148,0)</f>
        <v>0</v>
      </c>
      <c r="D148">
        <f t="shared" si="30"/>
        <v>0</v>
      </c>
      <c r="E148">
        <f t="shared" si="30"/>
        <v>0</v>
      </c>
      <c r="F148">
        <f t="shared" si="30"/>
        <v>0</v>
      </c>
      <c r="G148">
        <f t="shared" si="30"/>
        <v>0</v>
      </c>
      <c r="H148">
        <f t="shared" si="30"/>
        <v>0</v>
      </c>
      <c r="I148">
        <f t="shared" si="30"/>
        <v>0</v>
      </c>
      <c r="J148">
        <f t="shared" si="30"/>
        <v>0</v>
      </c>
      <c r="K148">
        <f t="shared" si="31"/>
        <v>0</v>
      </c>
      <c r="L148">
        <f t="shared" si="31"/>
        <v>0</v>
      </c>
      <c r="M148">
        <f t="shared" si="31"/>
        <v>0</v>
      </c>
      <c r="N148">
        <f t="shared" si="31"/>
        <v>0</v>
      </c>
      <c r="O148">
        <f t="shared" si="31"/>
        <v>0</v>
      </c>
      <c r="P148">
        <f>SUM(C148:O148)/13</f>
        <v>0</v>
      </c>
      <c r="Q148" t="s">
        <v>430</v>
      </c>
      <c r="S148">
        <f>-P148</f>
        <v>0</v>
      </c>
    </row>
    <row r="149" spans="1:21">
      <c r="Q149" t="s">
        <v>430</v>
      </c>
      <c r="T149">
        <f>-P149</f>
        <v>0</v>
      </c>
    </row>
    <row r="150" spans="1:21">
      <c r="Q150" t="s">
        <v>430</v>
      </c>
      <c r="U150">
        <f>-P150</f>
        <v>0</v>
      </c>
    </row>
    <row r="151" spans="1:21">
      <c r="A151" t="s">
        <v>413</v>
      </c>
      <c r="B151" t="s">
        <v>414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f>SUM(C151:O151)/13</f>
        <v>0</v>
      </c>
    </row>
    <row r="152" spans="1:21">
      <c r="A152" t="str">
        <f>$A$34</f>
        <v>Electric</v>
      </c>
      <c r="B152">
        <f>$C$34</f>
        <v>0.37</v>
      </c>
      <c r="C152">
        <f>ROUND(C$151*$B152,0)</f>
        <v>0</v>
      </c>
      <c r="D152">
        <f t="shared" ref="D152:O153" si="32">ROUND(D$151*$B152,0)</f>
        <v>0</v>
      </c>
      <c r="E152">
        <f t="shared" si="32"/>
        <v>0</v>
      </c>
      <c r="F152">
        <f t="shared" si="32"/>
        <v>0</v>
      </c>
      <c r="G152">
        <f t="shared" si="32"/>
        <v>0</v>
      </c>
      <c r="H152">
        <f t="shared" si="32"/>
        <v>0</v>
      </c>
      <c r="I152">
        <f t="shared" si="32"/>
        <v>0</v>
      </c>
      <c r="J152">
        <f t="shared" si="32"/>
        <v>0</v>
      </c>
      <c r="K152">
        <f t="shared" si="32"/>
        <v>0</v>
      </c>
      <c r="L152">
        <f t="shared" si="32"/>
        <v>0</v>
      </c>
      <c r="M152">
        <f t="shared" si="32"/>
        <v>0</v>
      </c>
      <c r="N152">
        <f t="shared" si="32"/>
        <v>0</v>
      </c>
      <c r="O152">
        <f t="shared" si="32"/>
        <v>0</v>
      </c>
      <c r="P152">
        <f>SUM(C152:O152)/13</f>
        <v>0</v>
      </c>
      <c r="Q152" t="s">
        <v>430</v>
      </c>
      <c r="R152">
        <f>-P152</f>
        <v>0</v>
      </c>
    </row>
    <row r="153" spans="1:21">
      <c r="A153" t="str">
        <f>$A$35</f>
        <v>Natural Gas</v>
      </c>
      <c r="B153">
        <f>$C$35</f>
        <v>0.63</v>
      </c>
      <c r="C153">
        <f>ROUND(C$151*$B153,0)</f>
        <v>0</v>
      </c>
      <c r="D153">
        <f t="shared" si="32"/>
        <v>0</v>
      </c>
      <c r="E153">
        <f t="shared" si="32"/>
        <v>0</v>
      </c>
      <c r="F153">
        <f t="shared" si="32"/>
        <v>0</v>
      </c>
      <c r="G153">
        <f t="shared" si="32"/>
        <v>0</v>
      </c>
      <c r="H153">
        <f t="shared" si="32"/>
        <v>0</v>
      </c>
      <c r="I153">
        <f t="shared" si="32"/>
        <v>0</v>
      </c>
      <c r="J153">
        <f t="shared" si="32"/>
        <v>0</v>
      </c>
      <c r="K153">
        <f t="shared" si="32"/>
        <v>0</v>
      </c>
      <c r="L153">
        <f t="shared" si="32"/>
        <v>0</v>
      </c>
      <c r="M153">
        <f t="shared" si="32"/>
        <v>0</v>
      </c>
      <c r="N153">
        <f t="shared" si="32"/>
        <v>0</v>
      </c>
      <c r="O153">
        <f t="shared" si="32"/>
        <v>0</v>
      </c>
      <c r="P153">
        <f>SUM(C153:O153)/13</f>
        <v>0</v>
      </c>
      <c r="Q153" t="s">
        <v>430</v>
      </c>
      <c r="S153">
        <f>-P153</f>
        <v>0</v>
      </c>
    </row>
    <row r="154" spans="1:21">
      <c r="Q154" t="s">
        <v>430</v>
      </c>
      <c r="T154">
        <f>-P154</f>
        <v>0</v>
      </c>
    </row>
    <row r="155" spans="1:21">
      <c r="Q155" t="s">
        <v>430</v>
      </c>
      <c r="U155">
        <f>-P155</f>
        <v>0</v>
      </c>
    </row>
    <row r="156" spans="1:21">
      <c r="A156" t="s">
        <v>415</v>
      </c>
      <c r="B156" t="s">
        <v>400</v>
      </c>
      <c r="C156">
        <v>-1399</v>
      </c>
      <c r="D156">
        <v>8275</v>
      </c>
      <c r="E156">
        <v>14120</v>
      </c>
      <c r="F156">
        <v>15545</v>
      </c>
      <c r="G156">
        <v>-2330</v>
      </c>
      <c r="H156">
        <v>-1432</v>
      </c>
      <c r="I156">
        <v>-1168</v>
      </c>
      <c r="J156">
        <v>-1721</v>
      </c>
      <c r="K156">
        <v>-1721</v>
      </c>
      <c r="L156">
        <v>-1721</v>
      </c>
      <c r="M156">
        <v>0</v>
      </c>
      <c r="N156">
        <v>-12579</v>
      </c>
      <c r="O156">
        <v>6993</v>
      </c>
      <c r="P156">
        <f>SUM(C156:O156)/13</f>
        <v>1604.7692307692307</v>
      </c>
    </row>
    <row r="157" spans="1:21">
      <c r="A157" t="str">
        <f>$A$47</f>
        <v>Electric</v>
      </c>
      <c r="B157">
        <f>$C$47</f>
        <v>0.28999999999999998</v>
      </c>
      <c r="C157">
        <f>ROUND(C$156*$B157,0)</f>
        <v>-406</v>
      </c>
      <c r="D157">
        <f t="shared" ref="D157:O157" si="33">ROUND(D$156*$B157,0)</f>
        <v>2400</v>
      </c>
      <c r="E157">
        <f t="shared" si="33"/>
        <v>4095</v>
      </c>
      <c r="F157">
        <f t="shared" si="33"/>
        <v>4508</v>
      </c>
      <c r="G157">
        <f t="shared" si="33"/>
        <v>-676</v>
      </c>
      <c r="H157">
        <f t="shared" si="33"/>
        <v>-415</v>
      </c>
      <c r="I157">
        <f t="shared" si="33"/>
        <v>-339</v>
      </c>
      <c r="J157">
        <f t="shared" si="33"/>
        <v>-499</v>
      </c>
      <c r="K157">
        <f t="shared" si="33"/>
        <v>-499</v>
      </c>
      <c r="L157">
        <f t="shared" si="33"/>
        <v>-499</v>
      </c>
      <c r="M157">
        <f t="shared" si="33"/>
        <v>0</v>
      </c>
      <c r="N157">
        <f t="shared" si="33"/>
        <v>-3648</v>
      </c>
      <c r="O157">
        <f t="shared" si="33"/>
        <v>2028</v>
      </c>
      <c r="P157">
        <f>SUM(C157:O157)/13</f>
        <v>465.38461538461536</v>
      </c>
      <c r="Q157" t="s">
        <v>430</v>
      </c>
      <c r="R157">
        <f>-P157</f>
        <v>-465.38461538461536</v>
      </c>
    </row>
    <row r="158" spans="1:21">
      <c r="A158" t="str">
        <f>$A$48</f>
        <v>Natural Gas</v>
      </c>
      <c r="B158">
        <f>$C$48</f>
        <v>0.52</v>
      </c>
      <c r="C158">
        <f t="shared" ref="C158:O159" si="34">ROUND(C$156*$B158,0)</f>
        <v>-727</v>
      </c>
      <c r="D158">
        <f t="shared" si="34"/>
        <v>4303</v>
      </c>
      <c r="E158">
        <f t="shared" si="34"/>
        <v>7342</v>
      </c>
      <c r="F158">
        <f t="shared" si="34"/>
        <v>8083</v>
      </c>
      <c r="G158">
        <f t="shared" si="34"/>
        <v>-1212</v>
      </c>
      <c r="H158">
        <f t="shared" si="34"/>
        <v>-745</v>
      </c>
      <c r="I158">
        <f t="shared" si="34"/>
        <v>-607</v>
      </c>
      <c r="J158">
        <f t="shared" si="34"/>
        <v>-895</v>
      </c>
      <c r="K158">
        <f t="shared" si="34"/>
        <v>-895</v>
      </c>
      <c r="L158">
        <f t="shared" si="34"/>
        <v>-895</v>
      </c>
      <c r="M158">
        <f t="shared" si="34"/>
        <v>0</v>
      </c>
      <c r="N158">
        <f t="shared" si="34"/>
        <v>-6541</v>
      </c>
      <c r="O158">
        <f t="shared" si="34"/>
        <v>3636</v>
      </c>
      <c r="P158">
        <f>SUM(C158:O158)/13</f>
        <v>834.38461538461536</v>
      </c>
      <c r="Q158" t="s">
        <v>430</v>
      </c>
      <c r="S158">
        <f>-P158</f>
        <v>-834.38461538461536</v>
      </c>
    </row>
    <row r="159" spans="1:21">
      <c r="A159" t="str">
        <f>$A$49</f>
        <v xml:space="preserve">Non-Utility </v>
      </c>
      <c r="B159">
        <f>$C$49</f>
        <v>0.19</v>
      </c>
      <c r="C159">
        <f t="shared" si="34"/>
        <v>-266</v>
      </c>
      <c r="D159">
        <f t="shared" si="34"/>
        <v>1572</v>
      </c>
      <c r="E159">
        <f t="shared" si="34"/>
        <v>2683</v>
      </c>
      <c r="F159">
        <f t="shared" si="34"/>
        <v>2954</v>
      </c>
      <c r="G159">
        <f t="shared" si="34"/>
        <v>-443</v>
      </c>
      <c r="H159">
        <f t="shared" si="34"/>
        <v>-272</v>
      </c>
      <c r="I159">
        <f t="shared" si="34"/>
        <v>-222</v>
      </c>
      <c r="J159">
        <f t="shared" si="34"/>
        <v>-327</v>
      </c>
      <c r="K159">
        <f t="shared" si="34"/>
        <v>-327</v>
      </c>
      <c r="L159">
        <f t="shared" si="34"/>
        <v>-327</v>
      </c>
      <c r="M159">
        <f t="shared" si="34"/>
        <v>0</v>
      </c>
      <c r="N159">
        <f t="shared" si="34"/>
        <v>-2390</v>
      </c>
      <c r="O159">
        <f t="shared" si="34"/>
        <v>1329</v>
      </c>
      <c r="P159">
        <f>SUM(C159:O159)/13</f>
        <v>304.92307692307691</v>
      </c>
      <c r="Q159" t="s">
        <v>430</v>
      </c>
      <c r="T159">
        <f>-P159</f>
        <v>-304.92307692307691</v>
      </c>
    </row>
    <row r="160" spans="1:21">
      <c r="U160">
        <f>-P160</f>
        <v>0</v>
      </c>
    </row>
    <row r="161" spans="1:23">
      <c r="W161">
        <f>-P161</f>
        <v>0</v>
      </c>
    </row>
    <row r="162" spans="1:23">
      <c r="A162" t="s">
        <v>416</v>
      </c>
      <c r="B162" t="s">
        <v>400</v>
      </c>
      <c r="C162">
        <v>569</v>
      </c>
      <c r="D162">
        <v>18993</v>
      </c>
      <c r="E162">
        <v>30095</v>
      </c>
      <c r="F162">
        <v>33504</v>
      </c>
      <c r="G162">
        <v>-52281</v>
      </c>
      <c r="H162">
        <v>-51780</v>
      </c>
      <c r="I162">
        <v>-50450</v>
      </c>
      <c r="J162">
        <v>-53232</v>
      </c>
      <c r="K162">
        <v>-53232</v>
      </c>
      <c r="L162">
        <v>-53232</v>
      </c>
      <c r="M162">
        <v>-53232</v>
      </c>
      <c r="N162">
        <v>726</v>
      </c>
      <c r="O162">
        <v>0</v>
      </c>
      <c r="P162">
        <f>SUM(C162:O162)/13</f>
        <v>-21811.692307692309</v>
      </c>
    </row>
    <row r="163" spans="1:23">
      <c r="A163" t="str">
        <f>$A$47</f>
        <v>Electric</v>
      </c>
      <c r="B163">
        <f>$C$47</f>
        <v>0.28999999999999998</v>
      </c>
      <c r="C163">
        <f>ROUND(C$162*$B163,0)</f>
        <v>165</v>
      </c>
      <c r="D163">
        <f t="shared" ref="D163:O163" si="35">ROUND(D$162*$B163,0)</f>
        <v>5508</v>
      </c>
      <c r="E163">
        <f t="shared" si="35"/>
        <v>8728</v>
      </c>
      <c r="F163">
        <f t="shared" si="35"/>
        <v>9716</v>
      </c>
      <c r="G163">
        <f t="shared" si="35"/>
        <v>-15161</v>
      </c>
      <c r="H163">
        <f t="shared" si="35"/>
        <v>-15016</v>
      </c>
      <c r="I163">
        <f t="shared" si="35"/>
        <v>-14631</v>
      </c>
      <c r="J163">
        <f t="shared" si="35"/>
        <v>-15437</v>
      </c>
      <c r="K163">
        <f t="shared" si="35"/>
        <v>-15437</v>
      </c>
      <c r="L163">
        <f t="shared" si="35"/>
        <v>-15437</v>
      </c>
      <c r="M163">
        <f t="shared" si="35"/>
        <v>-15437</v>
      </c>
      <c r="N163">
        <f t="shared" si="35"/>
        <v>211</v>
      </c>
      <c r="O163">
        <f t="shared" si="35"/>
        <v>0</v>
      </c>
      <c r="P163">
        <f>SUM(C163:O163)/13</f>
        <v>-6325.2307692307695</v>
      </c>
      <c r="Q163" t="s">
        <v>430</v>
      </c>
      <c r="R163">
        <f>-P163</f>
        <v>6325.2307692307695</v>
      </c>
    </row>
    <row r="164" spans="1:23">
      <c r="A164" t="str">
        <f>$A$48</f>
        <v>Natural Gas</v>
      </c>
      <c r="B164">
        <f>$C$48</f>
        <v>0.52</v>
      </c>
      <c r="C164">
        <f t="shared" ref="C164:O165" si="36">ROUND(C$162*$B164,0)</f>
        <v>296</v>
      </c>
      <c r="D164">
        <f t="shared" si="36"/>
        <v>9876</v>
      </c>
      <c r="E164">
        <f t="shared" si="36"/>
        <v>15649</v>
      </c>
      <c r="F164">
        <f t="shared" si="36"/>
        <v>17422</v>
      </c>
      <c r="G164">
        <f t="shared" si="36"/>
        <v>-27186</v>
      </c>
      <c r="H164">
        <f t="shared" si="36"/>
        <v>-26926</v>
      </c>
      <c r="I164">
        <f t="shared" si="36"/>
        <v>-26234</v>
      </c>
      <c r="J164">
        <f t="shared" si="36"/>
        <v>-27681</v>
      </c>
      <c r="K164">
        <f t="shared" si="36"/>
        <v>-27681</v>
      </c>
      <c r="L164">
        <f t="shared" si="36"/>
        <v>-27681</v>
      </c>
      <c r="M164">
        <f t="shared" si="36"/>
        <v>-27681</v>
      </c>
      <c r="N164">
        <f t="shared" si="36"/>
        <v>378</v>
      </c>
      <c r="O164">
        <f t="shared" si="36"/>
        <v>0</v>
      </c>
      <c r="P164">
        <f>SUM(C164:O164)/13</f>
        <v>-11342.23076923077</v>
      </c>
      <c r="Q164" t="s">
        <v>430</v>
      </c>
      <c r="S164">
        <f>-P164</f>
        <v>11342.23076923077</v>
      </c>
    </row>
    <row r="165" spans="1:23">
      <c r="A165" t="str">
        <f>$A$49</f>
        <v xml:space="preserve">Non-Utility </v>
      </c>
      <c r="B165">
        <f>$C$49</f>
        <v>0.19</v>
      </c>
      <c r="C165">
        <f t="shared" si="36"/>
        <v>108</v>
      </c>
      <c r="D165">
        <f t="shared" si="36"/>
        <v>3609</v>
      </c>
      <c r="E165">
        <f t="shared" si="36"/>
        <v>5718</v>
      </c>
      <c r="F165">
        <f t="shared" si="36"/>
        <v>6366</v>
      </c>
      <c r="G165">
        <f t="shared" si="36"/>
        <v>-9933</v>
      </c>
      <c r="H165">
        <f t="shared" si="36"/>
        <v>-9838</v>
      </c>
      <c r="I165">
        <f t="shared" si="36"/>
        <v>-9586</v>
      </c>
      <c r="J165">
        <f t="shared" si="36"/>
        <v>-10114</v>
      </c>
      <c r="K165">
        <f t="shared" si="36"/>
        <v>-10114</v>
      </c>
      <c r="L165">
        <f t="shared" si="36"/>
        <v>-10114</v>
      </c>
      <c r="M165">
        <f t="shared" si="36"/>
        <v>-10114</v>
      </c>
      <c r="N165">
        <f t="shared" si="36"/>
        <v>138</v>
      </c>
      <c r="O165">
        <f t="shared" si="36"/>
        <v>0</v>
      </c>
      <c r="P165">
        <f>SUM(C165:O165)/13</f>
        <v>-4144.1538461538457</v>
      </c>
      <c r="Q165" t="s">
        <v>430</v>
      </c>
      <c r="T165">
        <f>-P165</f>
        <v>4144.1538461538457</v>
      </c>
    </row>
    <row r="166" spans="1:23">
      <c r="U166">
        <f>-P166</f>
        <v>0</v>
      </c>
    </row>
    <row r="167" spans="1:23">
      <c r="W167">
        <f>-P167</f>
        <v>0</v>
      </c>
    </row>
    <row r="168" spans="1:23">
      <c r="A168" t="s">
        <v>417</v>
      </c>
      <c r="B168" t="s">
        <v>400</v>
      </c>
      <c r="C168">
        <v>-11569</v>
      </c>
      <c r="D168">
        <v>16161</v>
      </c>
      <c r="E168">
        <v>41562</v>
      </c>
      <c r="F168">
        <v>71387</v>
      </c>
      <c r="G168">
        <v>-11569</v>
      </c>
      <c r="H168">
        <v>-11569</v>
      </c>
      <c r="I168">
        <v>-11569</v>
      </c>
      <c r="J168">
        <v>-11569</v>
      </c>
      <c r="K168">
        <v>-11569</v>
      </c>
      <c r="L168">
        <v>-11569</v>
      </c>
      <c r="M168">
        <v>0</v>
      </c>
      <c r="N168">
        <v>0</v>
      </c>
      <c r="O168">
        <v>1005</v>
      </c>
      <c r="P168">
        <f>SUM(C168:O168)/13</f>
        <v>3779.3846153846152</v>
      </c>
    </row>
    <row r="169" spans="1:23">
      <c r="A169" t="str">
        <f>$A$47</f>
        <v>Electric</v>
      </c>
      <c r="B169">
        <f>$C$47</f>
        <v>0.28999999999999998</v>
      </c>
      <c r="C169">
        <f>ROUND(C$168*$B169,0)</f>
        <v>-3355</v>
      </c>
      <c r="D169">
        <f t="shared" ref="D169:O169" si="37">ROUND(D$168*$B169,0)</f>
        <v>4687</v>
      </c>
      <c r="E169">
        <f t="shared" si="37"/>
        <v>12053</v>
      </c>
      <c r="F169">
        <f t="shared" si="37"/>
        <v>20702</v>
      </c>
      <c r="G169">
        <f t="shared" si="37"/>
        <v>-3355</v>
      </c>
      <c r="H169">
        <f t="shared" si="37"/>
        <v>-3355</v>
      </c>
      <c r="I169">
        <f t="shared" si="37"/>
        <v>-3355</v>
      </c>
      <c r="J169">
        <f t="shared" si="37"/>
        <v>-3355</v>
      </c>
      <c r="K169">
        <f t="shared" si="37"/>
        <v>-3355</v>
      </c>
      <c r="L169">
        <f t="shared" si="37"/>
        <v>-3355</v>
      </c>
      <c r="M169">
        <f t="shared" si="37"/>
        <v>0</v>
      </c>
      <c r="N169">
        <f t="shared" si="37"/>
        <v>0</v>
      </c>
      <c r="O169">
        <f t="shared" si="37"/>
        <v>291</v>
      </c>
      <c r="P169">
        <f>SUM(C169:O169)/13</f>
        <v>1096</v>
      </c>
      <c r="Q169" t="s">
        <v>430</v>
      </c>
      <c r="R169">
        <f>-P169</f>
        <v>-1096</v>
      </c>
    </row>
    <row r="170" spans="1:23">
      <c r="A170" t="str">
        <f>$A$48</f>
        <v>Natural Gas</v>
      </c>
      <c r="B170">
        <f>$C$48</f>
        <v>0.52</v>
      </c>
      <c r="C170">
        <f t="shared" ref="C170:O171" si="38">ROUND(C$168*$B170,0)</f>
        <v>-6016</v>
      </c>
      <c r="D170">
        <f t="shared" si="38"/>
        <v>8404</v>
      </c>
      <c r="E170">
        <f t="shared" si="38"/>
        <v>21612</v>
      </c>
      <c r="F170">
        <f t="shared" si="38"/>
        <v>37121</v>
      </c>
      <c r="G170">
        <f t="shared" si="38"/>
        <v>-6016</v>
      </c>
      <c r="H170">
        <f t="shared" si="38"/>
        <v>-6016</v>
      </c>
      <c r="I170">
        <f t="shared" si="38"/>
        <v>-6016</v>
      </c>
      <c r="J170">
        <f t="shared" si="38"/>
        <v>-6016</v>
      </c>
      <c r="K170">
        <f t="shared" si="38"/>
        <v>-6016</v>
      </c>
      <c r="L170">
        <f t="shared" si="38"/>
        <v>-6016</v>
      </c>
      <c r="M170">
        <f t="shared" si="38"/>
        <v>0</v>
      </c>
      <c r="N170">
        <f t="shared" si="38"/>
        <v>0</v>
      </c>
      <c r="O170">
        <f t="shared" si="38"/>
        <v>523</v>
      </c>
      <c r="P170">
        <f>SUM(C170:O170)/13</f>
        <v>1965.2307692307693</v>
      </c>
      <c r="Q170" t="s">
        <v>430</v>
      </c>
      <c r="S170">
        <f>-P170</f>
        <v>-1965.2307692307693</v>
      </c>
    </row>
    <row r="171" spans="1:23">
      <c r="A171" t="str">
        <f>$A$49</f>
        <v xml:space="preserve">Non-Utility </v>
      </c>
      <c r="B171">
        <f>$C$49</f>
        <v>0.19</v>
      </c>
      <c r="C171">
        <f t="shared" si="38"/>
        <v>-2198</v>
      </c>
      <c r="D171">
        <f t="shared" si="38"/>
        <v>3071</v>
      </c>
      <c r="E171">
        <f t="shared" si="38"/>
        <v>7897</v>
      </c>
      <c r="F171">
        <f t="shared" si="38"/>
        <v>13564</v>
      </c>
      <c r="G171">
        <f t="shared" si="38"/>
        <v>-2198</v>
      </c>
      <c r="H171">
        <f t="shared" si="38"/>
        <v>-2198</v>
      </c>
      <c r="I171">
        <f t="shared" si="38"/>
        <v>-2198</v>
      </c>
      <c r="J171">
        <f t="shared" si="38"/>
        <v>-2198</v>
      </c>
      <c r="K171">
        <f t="shared" si="38"/>
        <v>-2198</v>
      </c>
      <c r="L171">
        <f t="shared" si="38"/>
        <v>-2198</v>
      </c>
      <c r="M171">
        <f t="shared" si="38"/>
        <v>0</v>
      </c>
      <c r="N171">
        <f t="shared" si="38"/>
        <v>0</v>
      </c>
      <c r="O171">
        <f t="shared" si="38"/>
        <v>191</v>
      </c>
      <c r="P171">
        <f>SUM(C171:O171)/13</f>
        <v>718.23076923076928</v>
      </c>
      <c r="Q171" t="s">
        <v>430</v>
      </c>
      <c r="T171">
        <f>-P171</f>
        <v>-718.23076923076928</v>
      </c>
    </row>
    <row r="172" spans="1:23">
      <c r="U172">
        <f>-P172</f>
        <v>0</v>
      </c>
    </row>
    <row r="173" spans="1:23">
      <c r="W173">
        <f>-P173</f>
        <v>0</v>
      </c>
    </row>
    <row r="174" spans="1:23">
      <c r="A174" t="s">
        <v>418</v>
      </c>
      <c r="B174" t="s">
        <v>414</v>
      </c>
      <c r="C174">
        <v>-465760</v>
      </c>
      <c r="D174">
        <v>-467604</v>
      </c>
      <c r="E174">
        <v>-467464</v>
      </c>
      <c r="F174">
        <v>-465758</v>
      </c>
      <c r="G174">
        <v>-464236</v>
      </c>
      <c r="H174">
        <v>-464792</v>
      </c>
      <c r="I174">
        <v>-465758</v>
      </c>
      <c r="J174">
        <v>-462881</v>
      </c>
      <c r="K174">
        <v>-465758</v>
      </c>
      <c r="L174">
        <v>-465758</v>
      </c>
      <c r="M174">
        <v>-465758</v>
      </c>
      <c r="N174">
        <v>-465758</v>
      </c>
      <c r="O174">
        <v>-538782</v>
      </c>
      <c r="P174">
        <f>SUM(C174:O174)/13</f>
        <v>-471235.92307692306</v>
      </c>
    </row>
    <row r="175" spans="1:23">
      <c r="A175" t="str">
        <f>$A$40</f>
        <v>Electric</v>
      </c>
      <c r="B175">
        <f>$C$40</f>
        <v>0.31</v>
      </c>
      <c r="C175">
        <f>ROUND(C$174*$B175,0)</f>
        <v>-144386</v>
      </c>
      <c r="D175">
        <f t="shared" ref="D175:O175" si="39">ROUND(D$174*$B175,0)</f>
        <v>-144957</v>
      </c>
      <c r="E175">
        <f t="shared" si="39"/>
        <v>-144914</v>
      </c>
      <c r="F175">
        <f t="shared" si="39"/>
        <v>-144385</v>
      </c>
      <c r="G175">
        <f t="shared" si="39"/>
        <v>-143913</v>
      </c>
      <c r="H175">
        <f t="shared" si="39"/>
        <v>-144086</v>
      </c>
      <c r="I175">
        <f t="shared" si="39"/>
        <v>-144385</v>
      </c>
      <c r="J175">
        <f t="shared" si="39"/>
        <v>-143493</v>
      </c>
      <c r="K175">
        <f t="shared" si="39"/>
        <v>-144385</v>
      </c>
      <c r="L175">
        <f t="shared" si="39"/>
        <v>-144385</v>
      </c>
      <c r="M175">
        <f t="shared" si="39"/>
        <v>-144385</v>
      </c>
      <c r="N175">
        <f t="shared" si="39"/>
        <v>-144385</v>
      </c>
      <c r="O175">
        <f t="shared" si="39"/>
        <v>-167022</v>
      </c>
      <c r="P175">
        <f>SUM(C175:O175)/13</f>
        <v>-146083.15384615384</v>
      </c>
      <c r="Q175" t="s">
        <v>430</v>
      </c>
      <c r="R175">
        <f>-P175</f>
        <v>146083.15384615384</v>
      </c>
    </row>
    <row r="176" spans="1:23">
      <c r="A176" t="str">
        <f>$A$41</f>
        <v>Natural Gas</v>
      </c>
      <c r="B176">
        <f>$C$41</f>
        <v>0.54</v>
      </c>
      <c r="C176">
        <f t="shared" ref="C176:O177" si="40">ROUND(C$174*$B176,0)</f>
        <v>-251510</v>
      </c>
      <c r="D176">
        <f t="shared" si="40"/>
        <v>-252506</v>
      </c>
      <c r="E176">
        <f t="shared" si="40"/>
        <v>-252431</v>
      </c>
      <c r="F176">
        <f t="shared" si="40"/>
        <v>-251509</v>
      </c>
      <c r="G176">
        <f t="shared" si="40"/>
        <v>-250687</v>
      </c>
      <c r="H176">
        <f t="shared" si="40"/>
        <v>-250988</v>
      </c>
      <c r="I176">
        <f t="shared" si="40"/>
        <v>-251509</v>
      </c>
      <c r="J176">
        <f t="shared" si="40"/>
        <v>-249956</v>
      </c>
      <c r="K176">
        <f t="shared" si="40"/>
        <v>-251509</v>
      </c>
      <c r="L176">
        <f t="shared" si="40"/>
        <v>-251509</v>
      </c>
      <c r="M176">
        <f t="shared" si="40"/>
        <v>-251509</v>
      </c>
      <c r="N176">
        <f t="shared" si="40"/>
        <v>-251509</v>
      </c>
      <c r="O176">
        <f t="shared" si="40"/>
        <v>-290942</v>
      </c>
      <c r="P176">
        <f>SUM(C176:O176)/13</f>
        <v>-254467.23076923078</v>
      </c>
      <c r="Q176" t="s">
        <v>430</v>
      </c>
      <c r="S176">
        <f>-P176</f>
        <v>254467.23076923078</v>
      </c>
    </row>
    <row r="177" spans="1:23">
      <c r="A177" t="str">
        <f>$A$42</f>
        <v xml:space="preserve">Non-Utility </v>
      </c>
      <c r="B177">
        <f>$C$42</f>
        <v>0.15</v>
      </c>
      <c r="C177">
        <f t="shared" si="40"/>
        <v>-69864</v>
      </c>
      <c r="D177">
        <f t="shared" si="40"/>
        <v>-70141</v>
      </c>
      <c r="E177">
        <f t="shared" si="40"/>
        <v>-70120</v>
      </c>
      <c r="F177">
        <f t="shared" si="40"/>
        <v>-69864</v>
      </c>
      <c r="G177">
        <f t="shared" si="40"/>
        <v>-69635</v>
      </c>
      <c r="H177">
        <f t="shared" si="40"/>
        <v>-69719</v>
      </c>
      <c r="I177">
        <f t="shared" si="40"/>
        <v>-69864</v>
      </c>
      <c r="J177">
        <f t="shared" si="40"/>
        <v>-69432</v>
      </c>
      <c r="K177">
        <f t="shared" si="40"/>
        <v>-69864</v>
      </c>
      <c r="L177">
        <f t="shared" si="40"/>
        <v>-69864</v>
      </c>
      <c r="M177">
        <f t="shared" si="40"/>
        <v>-69864</v>
      </c>
      <c r="N177">
        <f t="shared" si="40"/>
        <v>-69864</v>
      </c>
      <c r="O177">
        <f t="shared" si="40"/>
        <v>-80817</v>
      </c>
      <c r="P177">
        <f>SUM(C177:O177)/13</f>
        <v>-70685.538461538468</v>
      </c>
      <c r="Q177" t="s">
        <v>430</v>
      </c>
      <c r="T177">
        <f>-P177</f>
        <v>70685.538461538468</v>
      </c>
    </row>
    <row r="178" spans="1:23">
      <c r="U178">
        <f>-P178</f>
        <v>0</v>
      </c>
    </row>
    <row r="179" spans="1:23">
      <c r="W179">
        <f>-P179</f>
        <v>0</v>
      </c>
    </row>
    <row r="180" spans="1:23">
      <c r="A180" t="s">
        <v>419</v>
      </c>
      <c r="B180" t="s">
        <v>372</v>
      </c>
      <c r="C180">
        <v>-525068</v>
      </c>
      <c r="D180">
        <v>-525375</v>
      </c>
      <c r="E180">
        <v>-525351</v>
      </c>
      <c r="F180">
        <v>-945249</v>
      </c>
      <c r="G180">
        <v>-1393574</v>
      </c>
      <c r="H180">
        <v>-1363588</v>
      </c>
      <c r="I180">
        <v>-1563437</v>
      </c>
      <c r="J180">
        <v>-1563090</v>
      </c>
      <c r="K180">
        <v>-1563070</v>
      </c>
      <c r="L180">
        <v>-1569999</v>
      </c>
      <c r="M180">
        <v>-1570055</v>
      </c>
      <c r="N180">
        <v>-1817434</v>
      </c>
      <c r="O180">
        <v>-1890032</v>
      </c>
      <c r="P180">
        <f>SUM(C180:O180)/13</f>
        <v>-1293486.3076923077</v>
      </c>
    </row>
    <row r="181" spans="1:23">
      <c r="A181" t="str">
        <f>$A$40</f>
        <v>Electric</v>
      </c>
      <c r="B181">
        <f>$C$40</f>
        <v>0.31</v>
      </c>
      <c r="C181">
        <f>ROUND(C$180*$B181,0)</f>
        <v>-162771</v>
      </c>
      <c r="D181">
        <f t="shared" ref="D181:O181" si="41">ROUND(D$180*$B181,0)</f>
        <v>-162866</v>
      </c>
      <c r="E181">
        <f t="shared" si="41"/>
        <v>-162859</v>
      </c>
      <c r="F181">
        <f t="shared" si="41"/>
        <v>-293027</v>
      </c>
      <c r="G181">
        <f t="shared" si="41"/>
        <v>-432008</v>
      </c>
      <c r="H181">
        <f t="shared" si="41"/>
        <v>-422712</v>
      </c>
      <c r="I181">
        <f t="shared" si="41"/>
        <v>-484665</v>
      </c>
      <c r="J181">
        <f t="shared" si="41"/>
        <v>-484558</v>
      </c>
      <c r="K181">
        <f t="shared" si="41"/>
        <v>-484552</v>
      </c>
      <c r="L181">
        <f t="shared" si="41"/>
        <v>-486700</v>
      </c>
      <c r="M181">
        <f t="shared" si="41"/>
        <v>-486717</v>
      </c>
      <c r="N181">
        <f t="shared" si="41"/>
        <v>-563405</v>
      </c>
      <c r="O181">
        <f t="shared" si="41"/>
        <v>-585910</v>
      </c>
      <c r="P181">
        <f>SUM(C181:O181)/13</f>
        <v>-400980.76923076925</v>
      </c>
      <c r="Q181" t="s">
        <v>430</v>
      </c>
      <c r="R181">
        <f>-P181</f>
        <v>400980.76923076925</v>
      </c>
    </row>
    <row r="182" spans="1:23">
      <c r="A182" t="str">
        <f>$A$41</f>
        <v>Natural Gas</v>
      </c>
      <c r="B182">
        <f>$C$41</f>
        <v>0.54</v>
      </c>
      <c r="C182">
        <f t="shared" ref="C182:O183" si="42">ROUND(C$180*$B182,0)</f>
        <v>-283537</v>
      </c>
      <c r="D182">
        <f t="shared" si="42"/>
        <v>-283703</v>
      </c>
      <c r="E182">
        <f t="shared" si="42"/>
        <v>-283690</v>
      </c>
      <c r="F182">
        <f t="shared" si="42"/>
        <v>-510434</v>
      </c>
      <c r="G182">
        <f t="shared" si="42"/>
        <v>-752530</v>
      </c>
      <c r="H182">
        <f t="shared" si="42"/>
        <v>-736338</v>
      </c>
      <c r="I182">
        <f t="shared" si="42"/>
        <v>-844256</v>
      </c>
      <c r="J182">
        <f t="shared" si="42"/>
        <v>-844069</v>
      </c>
      <c r="K182">
        <f t="shared" si="42"/>
        <v>-844058</v>
      </c>
      <c r="L182">
        <f t="shared" si="42"/>
        <v>-847799</v>
      </c>
      <c r="M182">
        <f t="shared" si="42"/>
        <v>-847830</v>
      </c>
      <c r="N182">
        <f t="shared" si="42"/>
        <v>-981414</v>
      </c>
      <c r="O182">
        <f t="shared" si="42"/>
        <v>-1020617</v>
      </c>
      <c r="P182">
        <f>SUM(C182:O182)/13</f>
        <v>-698482.69230769225</v>
      </c>
      <c r="Q182" t="s">
        <v>430</v>
      </c>
      <c r="S182">
        <f>-P182</f>
        <v>698482.69230769225</v>
      </c>
    </row>
    <row r="183" spans="1:23">
      <c r="A183" t="str">
        <f>$A$42</f>
        <v xml:space="preserve">Non-Utility </v>
      </c>
      <c r="B183">
        <f>$C$42</f>
        <v>0.15</v>
      </c>
      <c r="C183">
        <f t="shared" si="42"/>
        <v>-78760</v>
      </c>
      <c r="D183">
        <f t="shared" si="42"/>
        <v>-78806</v>
      </c>
      <c r="E183">
        <f t="shared" si="42"/>
        <v>-78803</v>
      </c>
      <c r="F183">
        <f t="shared" si="42"/>
        <v>-141787</v>
      </c>
      <c r="G183">
        <f t="shared" si="42"/>
        <v>-209036</v>
      </c>
      <c r="H183">
        <f t="shared" si="42"/>
        <v>-204538</v>
      </c>
      <c r="I183">
        <f t="shared" si="42"/>
        <v>-234516</v>
      </c>
      <c r="J183">
        <f t="shared" si="42"/>
        <v>-234464</v>
      </c>
      <c r="K183">
        <f t="shared" si="42"/>
        <v>-234461</v>
      </c>
      <c r="L183">
        <f t="shared" si="42"/>
        <v>-235500</v>
      </c>
      <c r="M183">
        <f t="shared" si="42"/>
        <v>-235508</v>
      </c>
      <c r="N183">
        <f t="shared" si="42"/>
        <v>-272615</v>
      </c>
      <c r="O183">
        <f t="shared" si="42"/>
        <v>-283505</v>
      </c>
      <c r="P183">
        <f>SUM(C183:O183)/13</f>
        <v>-194023</v>
      </c>
      <c r="Q183" t="s">
        <v>430</v>
      </c>
      <c r="T183">
        <f>-P183</f>
        <v>194023</v>
      </c>
    </row>
    <row r="184" spans="1:23">
      <c r="U184">
        <f>-P184</f>
        <v>0</v>
      </c>
    </row>
    <row r="185" spans="1:23">
      <c r="W185">
        <f>-P185</f>
        <v>0</v>
      </c>
    </row>
    <row r="186" spans="1:23">
      <c r="A186" t="s">
        <v>420</v>
      </c>
      <c r="B186" t="s">
        <v>421</v>
      </c>
      <c r="C186">
        <v>243404</v>
      </c>
      <c r="D186">
        <v>383945</v>
      </c>
      <c r="E186">
        <v>524485</v>
      </c>
      <c r="F186">
        <v>699311</v>
      </c>
      <c r="G186">
        <v>302667</v>
      </c>
      <c r="H186">
        <v>80007</v>
      </c>
      <c r="I186">
        <v>220547</v>
      </c>
      <c r="J186">
        <v>361088</v>
      </c>
      <c r="K186">
        <v>501628</v>
      </c>
      <c r="L186">
        <v>642168</v>
      </c>
      <c r="M186">
        <v>302667</v>
      </c>
      <c r="N186">
        <v>443207</v>
      </c>
      <c r="O186">
        <v>220547</v>
      </c>
      <c r="P186">
        <f>SUM(C186:O186)/13</f>
        <v>378897.76923076925</v>
      </c>
    </row>
    <row r="187" spans="1:23">
      <c r="A187" t="s">
        <v>459</v>
      </c>
      <c r="B187">
        <f>$C$54</f>
        <v>0.24</v>
      </c>
      <c r="C187">
        <f>C$186*$B187</f>
        <v>58416.959999999999</v>
      </c>
      <c r="D187">
        <f t="shared" ref="D187:O187" si="43">D$186*$B187</f>
        <v>92146.8</v>
      </c>
      <c r="E187">
        <f t="shared" si="43"/>
        <v>125876.4</v>
      </c>
      <c r="F187">
        <f t="shared" si="43"/>
        <v>167834.63999999998</v>
      </c>
      <c r="G187">
        <f t="shared" si="43"/>
        <v>72640.08</v>
      </c>
      <c r="H187">
        <f t="shared" si="43"/>
        <v>19201.68</v>
      </c>
      <c r="I187">
        <f t="shared" si="43"/>
        <v>52931.28</v>
      </c>
      <c r="J187">
        <f t="shared" si="43"/>
        <v>86661.119999999995</v>
      </c>
      <c r="K187">
        <f t="shared" si="43"/>
        <v>120390.72</v>
      </c>
      <c r="L187">
        <f t="shared" si="43"/>
        <v>154120.32000000001</v>
      </c>
      <c r="M187">
        <f t="shared" si="43"/>
        <v>72640.08</v>
      </c>
      <c r="N187">
        <f t="shared" si="43"/>
        <v>106369.68</v>
      </c>
      <c r="O187">
        <f t="shared" si="43"/>
        <v>52931.28</v>
      </c>
      <c r="P187">
        <f>SUM(C187:O187)/13</f>
        <v>90935.464615384612</v>
      </c>
      <c r="Q187" t="s">
        <v>431</v>
      </c>
      <c r="R187">
        <f>-P187</f>
        <v>-90935.464615384612</v>
      </c>
    </row>
    <row r="188" spans="1:23">
      <c r="A188" t="s">
        <v>460</v>
      </c>
      <c r="B188">
        <f>$C$55</f>
        <v>0.52</v>
      </c>
      <c r="C188">
        <f t="shared" ref="C188:O189" si="44">C$186*$B188</f>
        <v>126570.08</v>
      </c>
      <c r="D188">
        <f t="shared" si="44"/>
        <v>199651.4</v>
      </c>
      <c r="E188">
        <f t="shared" si="44"/>
        <v>272732.2</v>
      </c>
      <c r="F188">
        <f t="shared" si="44"/>
        <v>363641.72000000003</v>
      </c>
      <c r="G188">
        <f t="shared" si="44"/>
        <v>157386.84</v>
      </c>
      <c r="H188">
        <f t="shared" si="44"/>
        <v>41603.64</v>
      </c>
      <c r="I188">
        <f t="shared" si="44"/>
        <v>114684.44</v>
      </c>
      <c r="J188">
        <f t="shared" si="44"/>
        <v>187765.76000000001</v>
      </c>
      <c r="K188">
        <f t="shared" si="44"/>
        <v>260846.56</v>
      </c>
      <c r="L188">
        <f t="shared" si="44"/>
        <v>333927.36</v>
      </c>
      <c r="M188">
        <f t="shared" si="44"/>
        <v>157386.84</v>
      </c>
      <c r="N188">
        <f t="shared" si="44"/>
        <v>230467.64</v>
      </c>
      <c r="O188">
        <f t="shared" si="44"/>
        <v>114684.44</v>
      </c>
      <c r="P188">
        <f>SUM(C188:O188)/13</f>
        <v>197026.84</v>
      </c>
      <c r="Q188" t="s">
        <v>431</v>
      </c>
      <c r="S188">
        <f>-P188</f>
        <v>-197026.84</v>
      </c>
    </row>
    <row r="189" spans="1:23">
      <c r="A189" t="s">
        <v>499</v>
      </c>
      <c r="B189">
        <f>$C$56</f>
        <v>0.24</v>
      </c>
      <c r="C189">
        <f t="shared" si="44"/>
        <v>58416.959999999999</v>
      </c>
      <c r="D189">
        <f t="shared" si="44"/>
        <v>92146.8</v>
      </c>
      <c r="E189">
        <f t="shared" si="44"/>
        <v>125876.4</v>
      </c>
      <c r="F189">
        <f t="shared" si="44"/>
        <v>167834.63999999998</v>
      </c>
      <c r="G189">
        <f t="shared" si="44"/>
        <v>72640.08</v>
      </c>
      <c r="H189">
        <f t="shared" si="44"/>
        <v>19201.68</v>
      </c>
      <c r="I189">
        <f t="shared" si="44"/>
        <v>52931.28</v>
      </c>
      <c r="J189">
        <f t="shared" si="44"/>
        <v>86661.119999999995</v>
      </c>
      <c r="K189">
        <f t="shared" si="44"/>
        <v>120390.72</v>
      </c>
      <c r="L189">
        <f t="shared" si="44"/>
        <v>154120.32000000001</v>
      </c>
      <c r="M189">
        <f t="shared" si="44"/>
        <v>72640.08</v>
      </c>
      <c r="N189">
        <f t="shared" si="44"/>
        <v>106369.68</v>
      </c>
      <c r="O189">
        <f t="shared" si="44"/>
        <v>52931.28</v>
      </c>
      <c r="P189">
        <f>SUM(C189:O189)/13</f>
        <v>90935.464615384612</v>
      </c>
      <c r="Q189" t="s">
        <v>431</v>
      </c>
      <c r="T189">
        <f>-P189</f>
        <v>-90935.464615384612</v>
      </c>
    </row>
    <row r="190" spans="1:23">
      <c r="U190">
        <f>-P190</f>
        <v>0</v>
      </c>
    </row>
    <row r="191" spans="1:23">
      <c r="W191">
        <f>-P191</f>
        <v>0</v>
      </c>
    </row>
    <row r="192" spans="1:23">
      <c r="A192" t="s">
        <v>422</v>
      </c>
      <c r="B192" t="s">
        <v>495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f>SUM(C192:O192)/13</f>
        <v>0</v>
      </c>
    </row>
    <row r="193" spans="1:23">
      <c r="A193" t="s">
        <v>459</v>
      </c>
      <c r="B193">
        <f>$C$12</f>
        <v>0.36</v>
      </c>
      <c r="C193">
        <f>ROUND(C$192*$B193,0)</f>
        <v>0</v>
      </c>
      <c r="D193">
        <f t="shared" ref="D193:O194" si="45">ROUND(D$192*$B193,0)</f>
        <v>0</v>
      </c>
      <c r="E193">
        <f t="shared" si="45"/>
        <v>0</v>
      </c>
      <c r="F193">
        <f t="shared" si="45"/>
        <v>0</v>
      </c>
      <c r="G193">
        <f t="shared" si="45"/>
        <v>0</v>
      </c>
      <c r="H193">
        <f t="shared" si="45"/>
        <v>0</v>
      </c>
      <c r="I193">
        <f t="shared" si="45"/>
        <v>0</v>
      </c>
      <c r="J193">
        <f t="shared" si="45"/>
        <v>0</v>
      </c>
      <c r="K193">
        <f t="shared" si="45"/>
        <v>0</v>
      </c>
      <c r="L193">
        <f t="shared" si="45"/>
        <v>0</v>
      </c>
      <c r="M193">
        <f t="shared" si="45"/>
        <v>0</v>
      </c>
      <c r="N193">
        <f t="shared" si="45"/>
        <v>0</v>
      </c>
      <c r="O193">
        <f t="shared" si="45"/>
        <v>0</v>
      </c>
      <c r="P193">
        <f>SUM(C193:O193)/13</f>
        <v>0</v>
      </c>
      <c r="Q193" t="s">
        <v>433</v>
      </c>
      <c r="R193">
        <f>-P193</f>
        <v>0</v>
      </c>
    </row>
    <row r="194" spans="1:23">
      <c r="A194" t="s">
        <v>460</v>
      </c>
      <c r="B194">
        <f>$C$13</f>
        <v>0.64</v>
      </c>
      <c r="C194">
        <f t="shared" ref="C194:L194" si="46">ROUND(C$192*$B194,0)</f>
        <v>0</v>
      </c>
      <c r="D194">
        <f t="shared" si="46"/>
        <v>0</v>
      </c>
      <c r="E194">
        <f t="shared" si="46"/>
        <v>0</v>
      </c>
      <c r="F194">
        <f t="shared" si="46"/>
        <v>0</v>
      </c>
      <c r="G194">
        <f t="shared" si="46"/>
        <v>0</v>
      </c>
      <c r="H194">
        <f t="shared" si="46"/>
        <v>0</v>
      </c>
      <c r="I194">
        <f t="shared" si="46"/>
        <v>0</v>
      </c>
      <c r="J194">
        <f t="shared" si="46"/>
        <v>0</v>
      </c>
      <c r="K194">
        <f t="shared" si="46"/>
        <v>0</v>
      </c>
      <c r="L194">
        <f t="shared" si="46"/>
        <v>0</v>
      </c>
      <c r="M194">
        <f t="shared" si="45"/>
        <v>0</v>
      </c>
      <c r="N194">
        <f t="shared" si="45"/>
        <v>0</v>
      </c>
      <c r="O194">
        <f t="shared" si="45"/>
        <v>0</v>
      </c>
      <c r="P194">
        <f>SUM(C194:O194)/13</f>
        <v>0</v>
      </c>
      <c r="Q194" t="s">
        <v>433</v>
      </c>
      <c r="S194">
        <f>-P194</f>
        <v>0</v>
      </c>
    </row>
    <row r="195" spans="1:23">
      <c r="T195">
        <f>-P195</f>
        <v>0</v>
      </c>
    </row>
    <row r="196" spans="1:23">
      <c r="U196">
        <f>-P196</f>
        <v>0</v>
      </c>
    </row>
    <row r="197" spans="1:23">
      <c r="W197">
        <f>-P197</f>
        <v>0</v>
      </c>
    </row>
    <row r="198" spans="1:23">
      <c r="A198" t="s">
        <v>423</v>
      </c>
      <c r="B198" t="s">
        <v>424</v>
      </c>
      <c r="C198">
        <v>2275490</v>
      </c>
      <c r="D198">
        <v>2301361</v>
      </c>
      <c r="E198">
        <v>2281152</v>
      </c>
      <c r="F198">
        <v>2429635</v>
      </c>
      <c r="G198">
        <v>2436472</v>
      </c>
      <c r="H198">
        <v>3052649</v>
      </c>
      <c r="I198">
        <v>1938910</v>
      </c>
      <c r="J198">
        <v>2043887</v>
      </c>
      <c r="K198">
        <v>2217985</v>
      </c>
      <c r="L198">
        <v>2383752</v>
      </c>
      <c r="M198">
        <v>2499716</v>
      </c>
      <c r="N198">
        <v>2693994</v>
      </c>
      <c r="O198">
        <v>2368327</v>
      </c>
      <c r="P198">
        <f>SUM(C198:O198)/13</f>
        <v>2378717.6923076925</v>
      </c>
    </row>
    <row r="199" spans="1:23">
      <c r="A199" t="str">
        <f>$A$47</f>
        <v>Electric</v>
      </c>
      <c r="B199">
        <f>$C$47</f>
        <v>0.28999999999999998</v>
      </c>
      <c r="C199">
        <f>ROUND(C$198*$B199,0)</f>
        <v>659892</v>
      </c>
      <c r="D199">
        <f t="shared" ref="D199:L199" si="47">ROUND(D$198*$B199,0)</f>
        <v>667395</v>
      </c>
      <c r="E199">
        <f t="shared" si="47"/>
        <v>661534</v>
      </c>
      <c r="F199">
        <f t="shared" si="47"/>
        <v>704594</v>
      </c>
      <c r="G199">
        <f t="shared" si="47"/>
        <v>706577</v>
      </c>
      <c r="H199">
        <f t="shared" si="47"/>
        <v>885268</v>
      </c>
      <c r="I199">
        <f t="shared" si="47"/>
        <v>562284</v>
      </c>
      <c r="J199">
        <f t="shared" si="47"/>
        <v>592727</v>
      </c>
      <c r="K199">
        <f t="shared" si="47"/>
        <v>643216</v>
      </c>
      <c r="L199">
        <f t="shared" si="47"/>
        <v>691288</v>
      </c>
      <c r="M199">
        <f t="shared" ref="M199:O201" si="48">ROUND(M$198*$B199,0)</f>
        <v>724918</v>
      </c>
      <c r="N199">
        <f t="shared" si="48"/>
        <v>781258</v>
      </c>
      <c r="O199">
        <f t="shared" si="48"/>
        <v>686815</v>
      </c>
      <c r="P199">
        <f>SUM(C199:O199)/13</f>
        <v>689828.15384615387</v>
      </c>
      <c r="Q199" t="s">
        <v>432</v>
      </c>
      <c r="R199">
        <f>-P199</f>
        <v>-689828.15384615387</v>
      </c>
    </row>
    <row r="200" spans="1:23">
      <c r="A200" t="str">
        <f>$A$48</f>
        <v>Natural Gas</v>
      </c>
      <c r="B200">
        <f>$C$48</f>
        <v>0.52</v>
      </c>
      <c r="C200">
        <f t="shared" ref="C200:L201" si="49">ROUND(C$198*$B200,0)</f>
        <v>1183255</v>
      </c>
      <c r="D200">
        <f t="shared" si="49"/>
        <v>1196708</v>
      </c>
      <c r="E200">
        <f t="shared" si="49"/>
        <v>1186199</v>
      </c>
      <c r="F200">
        <f t="shared" si="49"/>
        <v>1263410</v>
      </c>
      <c r="G200">
        <f t="shared" si="49"/>
        <v>1266965</v>
      </c>
      <c r="H200">
        <f t="shared" si="49"/>
        <v>1587377</v>
      </c>
      <c r="I200">
        <f t="shared" si="49"/>
        <v>1008233</v>
      </c>
      <c r="J200">
        <f t="shared" si="49"/>
        <v>1062821</v>
      </c>
      <c r="K200">
        <f t="shared" si="49"/>
        <v>1153352</v>
      </c>
      <c r="L200">
        <f t="shared" si="49"/>
        <v>1239551</v>
      </c>
      <c r="M200">
        <f t="shared" si="48"/>
        <v>1299852</v>
      </c>
      <c r="N200">
        <f t="shared" si="48"/>
        <v>1400877</v>
      </c>
      <c r="O200">
        <f t="shared" si="48"/>
        <v>1231530</v>
      </c>
      <c r="P200">
        <f>SUM(C200:O200)/13</f>
        <v>1236933.076923077</v>
      </c>
      <c r="Q200" t="s">
        <v>432</v>
      </c>
      <c r="S200">
        <f>-P200</f>
        <v>-1236933.076923077</v>
      </c>
    </row>
    <row r="201" spans="1:23">
      <c r="A201" t="str">
        <f>$A$49</f>
        <v xml:space="preserve">Non-Utility </v>
      </c>
      <c r="B201">
        <f>$C$49</f>
        <v>0.19</v>
      </c>
      <c r="C201">
        <f t="shared" si="49"/>
        <v>432343</v>
      </c>
      <c r="D201">
        <f t="shared" si="49"/>
        <v>437259</v>
      </c>
      <c r="E201">
        <f t="shared" si="49"/>
        <v>433419</v>
      </c>
      <c r="F201">
        <f t="shared" si="49"/>
        <v>461631</v>
      </c>
      <c r="G201">
        <f t="shared" si="49"/>
        <v>462930</v>
      </c>
      <c r="H201">
        <f t="shared" si="49"/>
        <v>580003</v>
      </c>
      <c r="I201">
        <f t="shared" si="49"/>
        <v>368393</v>
      </c>
      <c r="J201">
        <f t="shared" si="49"/>
        <v>388339</v>
      </c>
      <c r="K201">
        <f t="shared" si="49"/>
        <v>421417</v>
      </c>
      <c r="L201">
        <f t="shared" si="49"/>
        <v>452913</v>
      </c>
      <c r="M201">
        <f t="shared" si="48"/>
        <v>474946</v>
      </c>
      <c r="N201">
        <f t="shared" si="48"/>
        <v>511859</v>
      </c>
      <c r="O201">
        <f t="shared" si="48"/>
        <v>449982</v>
      </c>
      <c r="P201">
        <f>SUM(C201:O201)/13</f>
        <v>451956.46153846156</v>
      </c>
      <c r="Q201" t="s">
        <v>432</v>
      </c>
      <c r="T201">
        <f>-P201</f>
        <v>-451956.46153846156</v>
      </c>
    </row>
    <row r="202" spans="1:23">
      <c r="Q202" t="s">
        <v>432</v>
      </c>
      <c r="U202">
        <f>-P202</f>
        <v>0</v>
      </c>
    </row>
    <row r="203" spans="1:23">
      <c r="Q203" t="s">
        <v>432</v>
      </c>
      <c r="W203">
        <f>-P203</f>
        <v>0</v>
      </c>
    </row>
    <row r="204" spans="1:23">
      <c r="A204" t="s">
        <v>425</v>
      </c>
      <c r="B204" t="s">
        <v>372</v>
      </c>
      <c r="C204">
        <v>0</v>
      </c>
      <c r="D204">
        <v>34442</v>
      </c>
      <c r="E204">
        <v>26851</v>
      </c>
      <c r="F204">
        <v>18456</v>
      </c>
      <c r="G204">
        <v>28873</v>
      </c>
      <c r="H204">
        <v>39289</v>
      </c>
      <c r="I204">
        <v>49706</v>
      </c>
      <c r="J204">
        <v>60123</v>
      </c>
      <c r="K204">
        <v>69689</v>
      </c>
      <c r="L204">
        <v>46669</v>
      </c>
      <c r="M204">
        <v>57085</v>
      </c>
      <c r="N204">
        <v>67502</v>
      </c>
      <c r="O204">
        <v>77919</v>
      </c>
      <c r="P204">
        <f>SUM(C204:O204)/13</f>
        <v>44354.153846153844</v>
      </c>
    </row>
    <row r="205" spans="1:23">
      <c r="A205" t="str">
        <f>$A$47</f>
        <v>Electric</v>
      </c>
      <c r="B205">
        <f>$C$40</f>
        <v>0.31</v>
      </c>
      <c r="C205">
        <f>ROUND(C$204*$B205,0)</f>
        <v>0</v>
      </c>
      <c r="D205">
        <f t="shared" ref="D205:L207" si="50">ROUND(D$204*$B205,0)</f>
        <v>10677</v>
      </c>
      <c r="E205">
        <f t="shared" si="50"/>
        <v>8324</v>
      </c>
      <c r="F205">
        <f t="shared" si="50"/>
        <v>5721</v>
      </c>
      <c r="G205">
        <f t="shared" si="50"/>
        <v>8951</v>
      </c>
      <c r="H205">
        <f t="shared" si="50"/>
        <v>12180</v>
      </c>
      <c r="I205">
        <f t="shared" si="50"/>
        <v>15409</v>
      </c>
      <c r="J205">
        <f t="shared" si="50"/>
        <v>18638</v>
      </c>
      <c r="K205">
        <f t="shared" si="50"/>
        <v>21604</v>
      </c>
      <c r="L205">
        <f t="shared" si="50"/>
        <v>14467</v>
      </c>
      <c r="M205">
        <f t="shared" ref="M205:O207" si="51">ROUND(M$204*$B205,0)</f>
        <v>17696</v>
      </c>
      <c r="N205">
        <f t="shared" si="51"/>
        <v>20926</v>
      </c>
      <c r="O205">
        <f t="shared" si="51"/>
        <v>24155</v>
      </c>
      <c r="P205">
        <f>SUM(C205:O205)/13</f>
        <v>13749.846153846154</v>
      </c>
      <c r="Q205" t="s">
        <v>432</v>
      </c>
      <c r="R205">
        <f>-P205</f>
        <v>-13749.846153846154</v>
      </c>
    </row>
    <row r="206" spans="1:23">
      <c r="A206" t="str">
        <f>$A$48</f>
        <v>Natural Gas</v>
      </c>
      <c r="B206">
        <f>$C$41</f>
        <v>0.54</v>
      </c>
      <c r="C206">
        <f>ROUND(C$204*$B206,0)</f>
        <v>0</v>
      </c>
      <c r="D206">
        <f t="shared" si="50"/>
        <v>18599</v>
      </c>
      <c r="E206">
        <f t="shared" si="50"/>
        <v>14500</v>
      </c>
      <c r="F206">
        <f t="shared" si="50"/>
        <v>9966</v>
      </c>
      <c r="G206">
        <f t="shared" si="50"/>
        <v>15591</v>
      </c>
      <c r="H206">
        <f t="shared" si="50"/>
        <v>21216</v>
      </c>
      <c r="I206">
        <f t="shared" si="50"/>
        <v>26841</v>
      </c>
      <c r="J206">
        <f t="shared" si="50"/>
        <v>32466</v>
      </c>
      <c r="K206">
        <f t="shared" si="50"/>
        <v>37632</v>
      </c>
      <c r="L206">
        <f t="shared" si="50"/>
        <v>25201</v>
      </c>
      <c r="M206">
        <f t="shared" si="51"/>
        <v>30826</v>
      </c>
      <c r="N206">
        <f t="shared" si="51"/>
        <v>36451</v>
      </c>
      <c r="O206">
        <f t="shared" si="51"/>
        <v>42076</v>
      </c>
      <c r="P206">
        <f>SUM(C206:O206)/13</f>
        <v>23951.153846153848</v>
      </c>
      <c r="Q206" t="s">
        <v>432</v>
      </c>
      <c r="S206">
        <f>-P206</f>
        <v>-23951.153846153848</v>
      </c>
    </row>
    <row r="207" spans="1:23">
      <c r="A207" t="str">
        <f>$A$49</f>
        <v xml:space="preserve">Non-Utility </v>
      </c>
      <c r="B207">
        <f>$C$42</f>
        <v>0.15</v>
      </c>
      <c r="C207">
        <f>ROUND(C$204*$B207,0)</f>
        <v>0</v>
      </c>
      <c r="D207">
        <f t="shared" si="50"/>
        <v>5166</v>
      </c>
      <c r="E207">
        <f t="shared" si="50"/>
        <v>4028</v>
      </c>
      <c r="F207">
        <f t="shared" si="50"/>
        <v>2768</v>
      </c>
      <c r="G207">
        <f t="shared" si="50"/>
        <v>4331</v>
      </c>
      <c r="H207">
        <f t="shared" si="50"/>
        <v>5893</v>
      </c>
      <c r="I207">
        <f t="shared" si="50"/>
        <v>7456</v>
      </c>
      <c r="J207">
        <f t="shared" si="50"/>
        <v>9018</v>
      </c>
      <c r="K207">
        <f t="shared" si="50"/>
        <v>10453</v>
      </c>
      <c r="L207">
        <f t="shared" si="50"/>
        <v>7000</v>
      </c>
      <c r="M207">
        <f t="shared" si="51"/>
        <v>8563</v>
      </c>
      <c r="N207">
        <f t="shared" si="51"/>
        <v>10125</v>
      </c>
      <c r="O207">
        <f t="shared" si="51"/>
        <v>11688</v>
      </c>
      <c r="P207">
        <f>SUM(C207:O207)/13</f>
        <v>6653</v>
      </c>
      <c r="Q207" t="s">
        <v>432</v>
      </c>
      <c r="T207">
        <f>-P207</f>
        <v>-6653</v>
      </c>
    </row>
    <row r="208" spans="1:23">
      <c r="Q208" t="s">
        <v>432</v>
      </c>
      <c r="U208">
        <f>-P208</f>
        <v>0</v>
      </c>
    </row>
    <row r="209" spans="1:23">
      <c r="Q209" t="s">
        <v>432</v>
      </c>
      <c r="W209">
        <f>-P209</f>
        <v>0</v>
      </c>
    </row>
    <row r="210" spans="1:23">
      <c r="A210" t="s">
        <v>426</v>
      </c>
      <c r="B210" t="s">
        <v>500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f>SUM(C210:O210)/13</f>
        <v>0</v>
      </c>
      <c r="Q210" t="s">
        <v>434</v>
      </c>
      <c r="T210">
        <f>-P210</f>
        <v>0</v>
      </c>
    </row>
    <row r="212" spans="1:23">
      <c r="A212" t="s">
        <v>510</v>
      </c>
      <c r="B212" t="str">
        <f>B53</f>
        <v xml:space="preserve"> PLT    </v>
      </c>
      <c r="C212">
        <v>-1260585</v>
      </c>
      <c r="D212">
        <v>-1260585</v>
      </c>
      <c r="E212">
        <v>-1260585</v>
      </c>
      <c r="F212">
        <v>-1317654</v>
      </c>
      <c r="G212">
        <v>-1317654</v>
      </c>
      <c r="H212">
        <v>-1317654</v>
      </c>
      <c r="I212">
        <v>-1292273</v>
      </c>
      <c r="J212">
        <v>-1048697</v>
      </c>
      <c r="K212">
        <v>-1289166</v>
      </c>
      <c r="L212">
        <v>-1283534</v>
      </c>
      <c r="M212">
        <v>-1283871</v>
      </c>
      <c r="N212">
        <v>-1283874</v>
      </c>
      <c r="O212">
        <v>-1949240</v>
      </c>
      <c r="P212">
        <f>SUM(C212:O212)/13</f>
        <v>-1320413.2307692308</v>
      </c>
    </row>
    <row r="213" spans="1:23">
      <c r="A213" t="str">
        <f>A54</f>
        <v>Electric</v>
      </c>
      <c r="B213">
        <f>C54</f>
        <v>0.24</v>
      </c>
      <c r="C213">
        <f>ROUND(C$212*$B213,0)</f>
        <v>-302540</v>
      </c>
      <c r="D213">
        <f t="shared" ref="D213:O213" si="52">ROUND(D$212*$B213,0)</f>
        <v>-302540</v>
      </c>
      <c r="E213">
        <f t="shared" si="52"/>
        <v>-302540</v>
      </c>
      <c r="F213">
        <f t="shared" si="52"/>
        <v>-316237</v>
      </c>
      <c r="G213">
        <f t="shared" si="52"/>
        <v>-316237</v>
      </c>
      <c r="H213">
        <f t="shared" si="52"/>
        <v>-316237</v>
      </c>
      <c r="I213">
        <f t="shared" si="52"/>
        <v>-310146</v>
      </c>
      <c r="J213">
        <f t="shared" si="52"/>
        <v>-251687</v>
      </c>
      <c r="K213">
        <f t="shared" si="52"/>
        <v>-309400</v>
      </c>
      <c r="L213">
        <f t="shared" si="52"/>
        <v>-308048</v>
      </c>
      <c r="M213">
        <f t="shared" si="52"/>
        <v>-308129</v>
      </c>
      <c r="N213">
        <f t="shared" si="52"/>
        <v>-308130</v>
      </c>
      <c r="O213">
        <f t="shared" si="52"/>
        <v>-467818</v>
      </c>
      <c r="P213">
        <f>SUM(C213:O213)/13</f>
        <v>-316899.15384615387</v>
      </c>
    </row>
    <row r="214" spans="1:23">
      <c r="A214" t="str">
        <f>A55</f>
        <v>Natural Gas</v>
      </c>
      <c r="B214">
        <f>C55</f>
        <v>0.52</v>
      </c>
      <c r="C214">
        <f t="shared" ref="C214:O215" si="53">ROUND(C$212*$B214,0)</f>
        <v>-655504</v>
      </c>
      <c r="D214">
        <f t="shared" si="53"/>
        <v>-655504</v>
      </c>
      <c r="E214">
        <f t="shared" si="53"/>
        <v>-655504</v>
      </c>
      <c r="F214">
        <f t="shared" si="53"/>
        <v>-685180</v>
      </c>
      <c r="G214">
        <f t="shared" si="53"/>
        <v>-685180</v>
      </c>
      <c r="H214">
        <f t="shared" si="53"/>
        <v>-685180</v>
      </c>
      <c r="I214">
        <f t="shared" si="53"/>
        <v>-671982</v>
      </c>
      <c r="J214">
        <f t="shared" si="53"/>
        <v>-545322</v>
      </c>
      <c r="K214">
        <f t="shared" si="53"/>
        <v>-670366</v>
      </c>
      <c r="L214">
        <f t="shared" si="53"/>
        <v>-667438</v>
      </c>
      <c r="M214">
        <f t="shared" si="53"/>
        <v>-667613</v>
      </c>
      <c r="N214">
        <f t="shared" si="53"/>
        <v>-667614</v>
      </c>
      <c r="O214">
        <f t="shared" si="53"/>
        <v>-1013605</v>
      </c>
      <c r="P214">
        <f>SUM(C214:O214)/13</f>
        <v>-686614.76923076925</v>
      </c>
    </row>
    <row r="215" spans="1:23">
      <c r="A215" t="str">
        <f>A56</f>
        <v xml:space="preserve">Non-Utility </v>
      </c>
      <c r="B215">
        <f>C56</f>
        <v>0.24</v>
      </c>
      <c r="C215">
        <f t="shared" si="53"/>
        <v>-302540</v>
      </c>
      <c r="D215">
        <f t="shared" si="53"/>
        <v>-302540</v>
      </c>
      <c r="E215">
        <f t="shared" si="53"/>
        <v>-302540</v>
      </c>
      <c r="F215">
        <f t="shared" si="53"/>
        <v>-316237</v>
      </c>
      <c r="G215">
        <f t="shared" si="53"/>
        <v>-316237</v>
      </c>
      <c r="H215">
        <f t="shared" si="53"/>
        <v>-316237</v>
      </c>
      <c r="I215">
        <f t="shared" si="53"/>
        <v>-310146</v>
      </c>
      <c r="J215">
        <f t="shared" si="53"/>
        <v>-251687</v>
      </c>
      <c r="K215">
        <f t="shared" si="53"/>
        <v>-309400</v>
      </c>
      <c r="L215">
        <f t="shared" si="53"/>
        <v>-308048</v>
      </c>
      <c r="M215">
        <f t="shared" si="53"/>
        <v>-308129</v>
      </c>
      <c r="N215">
        <f t="shared" si="53"/>
        <v>-308130</v>
      </c>
      <c r="O215">
        <f t="shared" si="53"/>
        <v>-467818</v>
      </c>
      <c r="P215">
        <f>SUM(C215:O215)/13</f>
        <v>-316899.15384615387</v>
      </c>
    </row>
    <row r="217" spans="1:23">
      <c r="A217" t="s">
        <v>511</v>
      </c>
      <c r="B217" t="s">
        <v>372</v>
      </c>
      <c r="C217">
        <v>13476</v>
      </c>
      <c r="D217">
        <v>14269</v>
      </c>
      <c r="E217">
        <v>13896</v>
      </c>
      <c r="F217">
        <v>13862</v>
      </c>
      <c r="G217">
        <v>13718</v>
      </c>
      <c r="H217">
        <v>23570</v>
      </c>
      <c r="I217">
        <v>14612</v>
      </c>
      <c r="J217">
        <v>14556</v>
      </c>
      <c r="K217">
        <v>14672</v>
      </c>
      <c r="L217">
        <v>31820</v>
      </c>
      <c r="M217">
        <v>29209</v>
      </c>
      <c r="N217">
        <v>14567</v>
      </c>
      <c r="O217">
        <v>-82752</v>
      </c>
      <c r="P217">
        <f>SUM(C217:O217)/13</f>
        <v>9959.6153846153848</v>
      </c>
    </row>
    <row r="218" spans="1:23">
      <c r="A218" t="str">
        <f>$A$47</f>
        <v>Electric</v>
      </c>
      <c r="B218">
        <f>$C$40</f>
        <v>0.31</v>
      </c>
      <c r="C218">
        <f>ROUND(C$217*$B218,0)</f>
        <v>4178</v>
      </c>
      <c r="D218">
        <f t="shared" ref="D218:O218" si="54">ROUND(D$217*$B218,0)</f>
        <v>4423</v>
      </c>
      <c r="E218">
        <f t="shared" si="54"/>
        <v>4308</v>
      </c>
      <c r="F218">
        <f t="shared" si="54"/>
        <v>4297</v>
      </c>
      <c r="G218">
        <f t="shared" si="54"/>
        <v>4253</v>
      </c>
      <c r="H218">
        <f t="shared" si="54"/>
        <v>7307</v>
      </c>
      <c r="I218">
        <f t="shared" si="54"/>
        <v>4530</v>
      </c>
      <c r="J218">
        <f t="shared" si="54"/>
        <v>4512</v>
      </c>
      <c r="K218">
        <f t="shared" si="54"/>
        <v>4548</v>
      </c>
      <c r="L218">
        <f t="shared" si="54"/>
        <v>9864</v>
      </c>
      <c r="M218">
        <f t="shared" si="54"/>
        <v>9055</v>
      </c>
      <c r="N218">
        <f t="shared" si="54"/>
        <v>4516</v>
      </c>
      <c r="O218">
        <f t="shared" si="54"/>
        <v>-25653</v>
      </c>
      <c r="P218">
        <f>SUM(C218:O218)/13</f>
        <v>3087.5384615384614</v>
      </c>
    </row>
    <row r="219" spans="1:23">
      <c r="A219" t="str">
        <f>$A$48</f>
        <v>Natural Gas</v>
      </c>
      <c r="B219">
        <f>$C$41</f>
        <v>0.54</v>
      </c>
      <c r="C219">
        <f t="shared" ref="C219:O220" si="55">ROUND(C$217*$B219,0)</f>
        <v>7277</v>
      </c>
      <c r="D219">
        <f t="shared" si="55"/>
        <v>7705</v>
      </c>
      <c r="E219">
        <f t="shared" si="55"/>
        <v>7504</v>
      </c>
      <c r="F219">
        <f t="shared" si="55"/>
        <v>7485</v>
      </c>
      <c r="G219">
        <f t="shared" si="55"/>
        <v>7408</v>
      </c>
      <c r="H219">
        <f t="shared" si="55"/>
        <v>12728</v>
      </c>
      <c r="I219">
        <f t="shared" si="55"/>
        <v>7890</v>
      </c>
      <c r="J219">
        <f t="shared" si="55"/>
        <v>7860</v>
      </c>
      <c r="K219">
        <f t="shared" si="55"/>
        <v>7923</v>
      </c>
      <c r="L219">
        <f t="shared" si="55"/>
        <v>17183</v>
      </c>
      <c r="M219">
        <f t="shared" si="55"/>
        <v>15773</v>
      </c>
      <c r="N219">
        <f t="shared" si="55"/>
        <v>7866</v>
      </c>
      <c r="O219">
        <f t="shared" si="55"/>
        <v>-44686</v>
      </c>
      <c r="P219">
        <f>SUM(C219:O219)/13</f>
        <v>5378.1538461538457</v>
      </c>
    </row>
    <row r="220" spans="1:23">
      <c r="A220" t="str">
        <f>$A$49</f>
        <v xml:space="preserve">Non-Utility </v>
      </c>
      <c r="B220">
        <f>$C$42</f>
        <v>0.15</v>
      </c>
      <c r="C220">
        <f t="shared" si="55"/>
        <v>2021</v>
      </c>
      <c r="D220">
        <f t="shared" si="55"/>
        <v>2140</v>
      </c>
      <c r="E220">
        <f t="shared" si="55"/>
        <v>2084</v>
      </c>
      <c r="F220">
        <f t="shared" si="55"/>
        <v>2079</v>
      </c>
      <c r="G220">
        <f t="shared" si="55"/>
        <v>2058</v>
      </c>
      <c r="H220">
        <f t="shared" si="55"/>
        <v>3536</v>
      </c>
      <c r="I220">
        <f t="shared" si="55"/>
        <v>2192</v>
      </c>
      <c r="J220">
        <f t="shared" si="55"/>
        <v>2183</v>
      </c>
      <c r="K220">
        <f t="shared" si="55"/>
        <v>2201</v>
      </c>
      <c r="L220">
        <f t="shared" si="55"/>
        <v>4773</v>
      </c>
      <c r="M220">
        <f t="shared" si="55"/>
        <v>4381</v>
      </c>
      <c r="N220">
        <f t="shared" si="55"/>
        <v>2185</v>
      </c>
      <c r="O220">
        <f t="shared" si="55"/>
        <v>-12413</v>
      </c>
      <c r="P220">
        <f>SUM(C220:O220)/13</f>
        <v>1493.8461538461538</v>
      </c>
    </row>
  </sheetData>
  <printOptions headings="1"/>
  <pageMargins left="0.17" right="0.17" top="0.27" bottom="0.31" header="0.26" footer="0.3"/>
  <pageSetup scale="46" fitToHeight="4" orientation="landscape" r:id="rId1"/>
  <headerFooter alignWithMargins="0"/>
  <rowBreaks count="4" manualBreakCount="4">
    <brk id="61" max="16" man="1"/>
    <brk id="86" max="16" man="1"/>
    <brk id="123" max="16" man="1"/>
    <brk id="186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0000"/>
    <pageSetUpPr fitToPage="1"/>
  </sheetPr>
  <dimension ref="A1:S144"/>
  <sheetViews>
    <sheetView view="pageBreakPreview" topLeftCell="D1" zoomScaleNormal="100" zoomScaleSheetLayoutView="100" workbookViewId="0">
      <selection activeCell="P4" sqref="P4"/>
    </sheetView>
  </sheetViews>
  <sheetFormatPr defaultColWidth="9.140625" defaultRowHeight="11.25"/>
  <cols>
    <col min="1" max="1" width="9.140625" style="4"/>
    <col min="2" max="2" width="41" style="4" customWidth="1"/>
    <col min="3" max="3" width="13.5703125" style="4" bestFit="1" customWidth="1"/>
    <col min="4" max="7" width="12.28515625" style="4" bestFit="1" customWidth="1"/>
    <col min="8" max="9" width="12.28515625" style="4" customWidth="1"/>
    <col min="10" max="15" width="12.28515625" style="4" bestFit="1" customWidth="1"/>
    <col min="16" max="16" width="12.5703125" style="4" customWidth="1"/>
    <col min="17" max="17" width="10.42578125" style="4" bestFit="1" customWidth="1"/>
    <col min="18" max="16384" width="9.140625" style="4"/>
  </cols>
  <sheetData>
    <row r="1" spans="1:18">
      <c r="A1" s="4" t="s">
        <v>160</v>
      </c>
      <c r="I1" s="4" t="s">
        <v>222</v>
      </c>
    </row>
    <row r="3" spans="1:18" ht="12.75">
      <c r="A3" s="4" t="s">
        <v>161</v>
      </c>
      <c r="H3" s="4" t="s">
        <v>45</v>
      </c>
      <c r="O3" s="103" t="s">
        <v>225</v>
      </c>
      <c r="P3" s="103"/>
    </row>
    <row r="4" spans="1:18">
      <c r="C4" s="32"/>
      <c r="D4" s="32"/>
      <c r="E4" s="32"/>
      <c r="F4" s="32"/>
      <c r="G4" s="32"/>
      <c r="H4" s="4" t="s">
        <v>223</v>
      </c>
      <c r="I4" s="32"/>
      <c r="J4" s="32"/>
      <c r="K4" s="32"/>
      <c r="L4" s="32"/>
      <c r="M4" s="32"/>
      <c r="N4" s="32"/>
      <c r="P4" s="36" t="e">
        <f>VLOOKUP(#REF!,#REF!,2,FALSE)</f>
        <v>#REF!</v>
      </c>
      <c r="Q4" s="36"/>
    </row>
    <row r="5" spans="1:18">
      <c r="A5" s="4" t="s">
        <v>19</v>
      </c>
      <c r="D5" s="21"/>
      <c r="E5" s="21"/>
      <c r="F5" s="21"/>
      <c r="G5" s="21"/>
      <c r="P5" s="12" t="s">
        <v>224</v>
      </c>
    </row>
    <row r="7" spans="1:18" ht="12.75">
      <c r="A7" s="4" t="s">
        <v>162</v>
      </c>
      <c r="C7"/>
      <c r="D7"/>
      <c r="E7"/>
      <c r="F7"/>
      <c r="G7"/>
      <c r="H7"/>
      <c r="I7"/>
      <c r="J7"/>
      <c r="K7"/>
      <c r="L7"/>
      <c r="M7"/>
      <c r="N7"/>
      <c r="O7"/>
    </row>
    <row r="8" spans="1:18" ht="12.75">
      <c r="C8" t="s">
        <v>30</v>
      </c>
      <c r="D8" t="s">
        <v>20</v>
      </c>
      <c r="E8" t="s">
        <v>21</v>
      </c>
      <c r="F8" t="s">
        <v>22</v>
      </c>
      <c r="G8" t="s">
        <v>23</v>
      </c>
      <c r="H8" t="s">
        <v>333</v>
      </c>
      <c r="I8" t="s">
        <v>24</v>
      </c>
      <c r="J8" t="s">
        <v>25</v>
      </c>
      <c r="K8" t="s">
        <v>26</v>
      </c>
      <c r="L8" t="s">
        <v>27</v>
      </c>
      <c r="M8" t="s">
        <v>28</v>
      </c>
      <c r="N8" t="s">
        <v>29</v>
      </c>
      <c r="O8" t="s">
        <v>30</v>
      </c>
      <c r="P8" t="s">
        <v>220</v>
      </c>
    </row>
    <row r="9" spans="1:18" ht="12.75">
      <c r="A9" s="17" t="s">
        <v>163</v>
      </c>
      <c r="B9" s="17" t="s">
        <v>164</v>
      </c>
      <c r="C9">
        <v>2010</v>
      </c>
      <c r="D9">
        <v>2011</v>
      </c>
      <c r="E9">
        <v>2011</v>
      </c>
      <c r="F9">
        <v>2011</v>
      </c>
      <c r="G9">
        <v>2011</v>
      </c>
      <c r="H9">
        <v>2011</v>
      </c>
      <c r="I9">
        <v>2011</v>
      </c>
      <c r="J9">
        <v>2011</v>
      </c>
      <c r="K9">
        <v>2011</v>
      </c>
      <c r="L9">
        <v>2011</v>
      </c>
      <c r="M9">
        <v>2011</v>
      </c>
      <c r="N9">
        <v>2011</v>
      </c>
      <c r="O9">
        <v>2011</v>
      </c>
      <c r="P9" t="s">
        <v>221</v>
      </c>
      <c r="Q9" s="7" t="s">
        <v>1</v>
      </c>
    </row>
    <row r="10" spans="1:18">
      <c r="L10" s="9"/>
      <c r="O10" s="9"/>
    </row>
    <row r="11" spans="1:18" ht="12.75">
      <c r="A11" s="4">
        <v>1</v>
      </c>
      <c r="B11" s="4" t="s">
        <v>165</v>
      </c>
      <c r="C11" t="e">
        <f>114965156+#REF!</f>
        <v>#REF!</v>
      </c>
      <c r="D11" t="e">
        <f>116542191++#REF!</f>
        <v>#REF!</v>
      </c>
      <c r="E11" t="e">
        <f>117228683++#REF!</f>
        <v>#REF!</v>
      </c>
      <c r="F11" t="e">
        <f>117625610+#REF!</f>
        <v>#REF!</v>
      </c>
      <c r="G11" t="e">
        <f>118987823+#REF!</f>
        <v>#REF!</v>
      </c>
      <c r="H11" t="e">
        <f>119278587+#REF!</f>
        <v>#REF!</v>
      </c>
      <c r="I11" t="e">
        <f>119263110+#REF!</f>
        <v>#REF!</v>
      </c>
      <c r="J11" t="e">
        <f>119717346+#REF!</f>
        <v>#REF!</v>
      </c>
      <c r="K11" t="e">
        <f>119919630+#REF!</f>
        <v>#REF!</v>
      </c>
      <c r="L11" t="e">
        <f>120626611+#REF!</f>
        <v>#REF!</v>
      </c>
      <c r="M11" t="e">
        <f>120962428+#REF!</f>
        <v>#REF!</v>
      </c>
      <c r="N11" t="e">
        <f>121580209+#REF!</f>
        <v>#REF!</v>
      </c>
      <c r="O11" t="e">
        <f>124810160+#REF!</f>
        <v>#REF!</v>
      </c>
      <c r="P11" s="14" t="e">
        <f t="shared" ref="P11:P16" si="0">SUM(C11:O11)/13</f>
        <v>#REF!</v>
      </c>
      <c r="Q11" s="4" t="s">
        <v>117</v>
      </c>
      <c r="R11" s="4" t="s">
        <v>518</v>
      </c>
    </row>
    <row r="12" spans="1:18">
      <c r="A12" s="4">
        <v>2</v>
      </c>
      <c r="B12" s="4" t="s">
        <v>46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14">
        <f t="shared" si="0"/>
        <v>0</v>
      </c>
      <c r="Q12" s="4" t="s">
        <v>117</v>
      </c>
    </row>
    <row r="13" spans="1:18" ht="12.75">
      <c r="A13" s="4">
        <v>3</v>
      </c>
      <c r="B13" s="4" t="s">
        <v>166</v>
      </c>
      <c r="C13">
        <v>3123182</v>
      </c>
      <c r="D13">
        <v>2841048</v>
      </c>
      <c r="E13">
        <v>1448729</v>
      </c>
      <c r="F13">
        <v>1652791</v>
      </c>
      <c r="G13">
        <v>661954</v>
      </c>
      <c r="H13">
        <v>876469</v>
      </c>
      <c r="I13">
        <v>1133085</v>
      </c>
      <c r="J13">
        <v>1201717</v>
      </c>
      <c r="K13">
        <v>1643091</v>
      </c>
      <c r="L13">
        <v>1776075</v>
      </c>
      <c r="M13">
        <v>2500919</v>
      </c>
      <c r="N13">
        <v>2773983</v>
      </c>
      <c r="O13">
        <v>314025</v>
      </c>
      <c r="P13" s="14">
        <f t="shared" si="0"/>
        <v>1688236</v>
      </c>
      <c r="Q13" s="4" t="s">
        <v>117</v>
      </c>
    </row>
    <row r="14" spans="1:18">
      <c r="A14" s="4">
        <v>4</v>
      </c>
      <c r="B14" s="4" t="s">
        <v>167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14">
        <f t="shared" si="0"/>
        <v>0</v>
      </c>
      <c r="Q14" s="4" t="s">
        <v>117</v>
      </c>
    </row>
    <row r="15" spans="1:18" ht="12.75">
      <c r="A15" s="4">
        <v>5</v>
      </c>
      <c r="B15" s="4" t="s">
        <v>168</v>
      </c>
      <c r="C15">
        <v>1263776</v>
      </c>
      <c r="D15">
        <v>1263776</v>
      </c>
      <c r="E15">
        <v>1263776</v>
      </c>
      <c r="F15">
        <v>1263776</v>
      </c>
      <c r="G15">
        <v>1263776</v>
      </c>
      <c r="H15">
        <v>1263776</v>
      </c>
      <c r="I15">
        <v>1263776</v>
      </c>
      <c r="J15">
        <v>1263776</v>
      </c>
      <c r="K15">
        <v>1263776</v>
      </c>
      <c r="L15">
        <v>1263776</v>
      </c>
      <c r="M15">
        <v>1263776</v>
      </c>
      <c r="N15">
        <v>1263776</v>
      </c>
      <c r="O15">
        <f>51076898-18090087</f>
        <v>32986811</v>
      </c>
      <c r="P15" s="14">
        <f t="shared" si="0"/>
        <v>3704009.4615384615</v>
      </c>
      <c r="Q15" s="4" t="s">
        <v>117</v>
      </c>
    </row>
    <row r="16" spans="1:18" ht="12.75">
      <c r="A16" s="4">
        <v>6</v>
      </c>
      <c r="B16" s="4" t="s">
        <v>169</v>
      </c>
      <c r="C16">
        <v>34679776</v>
      </c>
      <c r="D16">
        <v>34679776</v>
      </c>
      <c r="E16">
        <v>34679776</v>
      </c>
      <c r="F16">
        <v>34679776</v>
      </c>
      <c r="G16">
        <v>34679776</v>
      </c>
      <c r="H16">
        <v>34679776</v>
      </c>
      <c r="I16">
        <v>34679776</v>
      </c>
      <c r="J16">
        <v>34679776</v>
      </c>
      <c r="K16">
        <v>34679776</v>
      </c>
      <c r="L16">
        <v>34679776</v>
      </c>
      <c r="M16">
        <v>34679776</v>
      </c>
      <c r="N16">
        <v>34679776</v>
      </c>
      <c r="O16">
        <v>2469682</v>
      </c>
      <c r="P16" s="19">
        <f t="shared" si="0"/>
        <v>32202076.46153846</v>
      </c>
      <c r="Q16" s="4" t="s">
        <v>117</v>
      </c>
      <c r="R16" s="8"/>
    </row>
    <row r="17" spans="1:17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</row>
    <row r="18" spans="1:17">
      <c r="A18" s="4">
        <v>7</v>
      </c>
      <c r="B18" s="4" t="s">
        <v>170</v>
      </c>
      <c r="C18" s="8" t="e">
        <f>SUM(C11:C17)</f>
        <v>#REF!</v>
      </c>
      <c r="D18" s="8" t="e">
        <f>SUM(D11:D17)</f>
        <v>#REF!</v>
      </c>
      <c r="E18" s="8" t="e">
        <f>SUM(E11:E17)</f>
        <v>#REF!</v>
      </c>
      <c r="F18" s="8" t="e">
        <f>SUM(F11:F17)</f>
        <v>#REF!</v>
      </c>
      <c r="G18" s="8" t="e">
        <f t="shared" ref="G18:L18" si="1">SUM(G11:G17)</f>
        <v>#REF!</v>
      </c>
      <c r="H18" s="8" t="e">
        <f t="shared" si="1"/>
        <v>#REF!</v>
      </c>
      <c r="I18" s="8" t="e">
        <f t="shared" si="1"/>
        <v>#REF!</v>
      </c>
      <c r="J18" s="8" t="e">
        <f t="shared" si="1"/>
        <v>#REF!</v>
      </c>
      <c r="K18" s="8" t="e">
        <f t="shared" si="1"/>
        <v>#REF!</v>
      </c>
      <c r="L18" s="8" t="e">
        <f t="shared" si="1"/>
        <v>#REF!</v>
      </c>
      <c r="M18" s="8" t="e">
        <f>SUM(M11:M17)</f>
        <v>#REF!</v>
      </c>
      <c r="N18" s="8" t="e">
        <f>SUM(N11:N17)</f>
        <v>#REF!</v>
      </c>
      <c r="O18" s="8" t="e">
        <f>SUM(O11:O17)</f>
        <v>#REF!</v>
      </c>
      <c r="P18" s="14" t="e">
        <f t="shared" ref="P18:P24" si="2">SUM(C18:O18)/13</f>
        <v>#REF!</v>
      </c>
      <c r="Q18" s="4" t="s">
        <v>117</v>
      </c>
    </row>
    <row r="19" spans="1:17" ht="12.75">
      <c r="A19" s="4">
        <v>8</v>
      </c>
      <c r="B19" s="4" t="s">
        <v>171</v>
      </c>
      <c r="C19" t="e">
        <f>-35654264+#REF!</f>
        <v>#REF!</v>
      </c>
      <c r="D19" t="e">
        <f>-35818228+#REF!</f>
        <v>#REF!</v>
      </c>
      <c r="E19" t="e">
        <f>-36106109+#REF!</f>
        <v>#REF!</v>
      </c>
      <c r="F19" t="e">
        <f>-36437944+#REF!</f>
        <v>#REF!</v>
      </c>
      <c r="G19" t="e">
        <f>-36682311+#REF!</f>
        <v>#REF!</v>
      </c>
      <c r="H19" t="e">
        <f>-37015321+#REF!</f>
        <v>#REF!</v>
      </c>
      <c r="I19" t="e">
        <f>-37070502+#REF!</f>
        <v>#REF!</v>
      </c>
      <c r="J19" t="e">
        <f>-37361667+#REF!</f>
        <v>#REF!</v>
      </c>
      <c r="K19" t="e">
        <f>-37649170+#REF!</f>
        <v>#REF!</v>
      </c>
      <c r="L19" t="e">
        <f>-37937489+#REF!</f>
        <v>#REF!</v>
      </c>
      <c r="M19" t="e">
        <f>-38139578+#REF!</f>
        <v>#REF!</v>
      </c>
      <c r="N19" t="e">
        <f>-38431721+#REF!</f>
        <v>#REF!</v>
      </c>
      <c r="O19" t="e">
        <f>-38527775+#REF!</f>
        <v>#REF!</v>
      </c>
      <c r="P19" s="14" t="e">
        <f t="shared" si="2"/>
        <v>#REF!</v>
      </c>
      <c r="Q19" s="4" t="s">
        <v>117</v>
      </c>
    </row>
    <row r="20" spans="1:17">
      <c r="A20" s="4">
        <v>9</v>
      </c>
      <c r="B20" s="4" t="s">
        <v>172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4">
        <f t="shared" si="2"/>
        <v>0</v>
      </c>
      <c r="Q20" s="4" t="s">
        <v>117</v>
      </c>
    </row>
    <row r="21" spans="1:17">
      <c r="A21" s="4">
        <v>10</v>
      </c>
      <c r="B21" s="15" t="s">
        <v>76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14">
        <f t="shared" si="2"/>
        <v>0</v>
      </c>
      <c r="Q21" s="4" t="s">
        <v>117</v>
      </c>
    </row>
    <row r="22" spans="1:17">
      <c r="A22" s="4">
        <v>11</v>
      </c>
      <c r="B22" s="4" t="s">
        <v>173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4">
        <f t="shared" si="2"/>
        <v>0</v>
      </c>
      <c r="Q22" s="4" t="s">
        <v>117</v>
      </c>
    </row>
    <row r="23" spans="1:17" ht="12.75">
      <c r="A23" s="4">
        <v>12</v>
      </c>
      <c r="B23" s="4" t="s">
        <v>47</v>
      </c>
      <c r="C23">
        <v>-499845</v>
      </c>
      <c r="D23">
        <v>-499845</v>
      </c>
      <c r="E23">
        <v>-505098</v>
      </c>
      <c r="F23">
        <v>-507724</v>
      </c>
      <c r="G23">
        <v>-510351</v>
      </c>
      <c r="H23">
        <v>-512978</v>
      </c>
      <c r="I23">
        <v>-515604</v>
      </c>
      <c r="J23">
        <v>-518231</v>
      </c>
      <c r="K23">
        <v>-520857</v>
      </c>
      <c r="L23">
        <v>-523484</v>
      </c>
      <c r="M23">
        <v>-526110</v>
      </c>
      <c r="N23">
        <v>-528737</v>
      </c>
      <c r="O23">
        <v>-531364</v>
      </c>
      <c r="P23" s="14">
        <f t="shared" si="2"/>
        <v>-515402.15384615387</v>
      </c>
      <c r="Q23" s="4" t="s">
        <v>117</v>
      </c>
    </row>
    <row r="24" spans="1:17" ht="12.75">
      <c r="A24" s="4">
        <v>13</v>
      </c>
      <c r="B24" s="4" t="s">
        <v>174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 s="19">
        <f t="shared" si="2"/>
        <v>0</v>
      </c>
      <c r="Q24" s="4" t="s">
        <v>117</v>
      </c>
    </row>
    <row r="25" spans="1:17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9"/>
    </row>
    <row r="26" spans="1:17" ht="12.75">
      <c r="A26" s="4">
        <v>14</v>
      </c>
      <c r="B26" s="4" t="s">
        <v>175</v>
      </c>
      <c r="C26" t="e">
        <f t="shared" ref="C26:J26" si="3">+C18+SUM(C19:C24)</f>
        <v>#REF!</v>
      </c>
      <c r="D26" t="e">
        <f t="shared" si="3"/>
        <v>#REF!</v>
      </c>
      <c r="E26" t="e">
        <f t="shared" si="3"/>
        <v>#REF!</v>
      </c>
      <c r="F26" t="e">
        <f t="shared" si="3"/>
        <v>#REF!</v>
      </c>
      <c r="G26" t="e">
        <f t="shared" si="3"/>
        <v>#REF!</v>
      </c>
      <c r="H26" t="e">
        <f t="shared" si="3"/>
        <v>#REF!</v>
      </c>
      <c r="I26" t="e">
        <f t="shared" si="3"/>
        <v>#REF!</v>
      </c>
      <c r="J26" t="e">
        <f t="shared" si="3"/>
        <v>#REF!</v>
      </c>
      <c r="K26" t="e">
        <f>+K18+SUM(K19:K24)</f>
        <v>#REF!</v>
      </c>
      <c r="L26" t="e">
        <f>+L18+SUM(L19:L24)</f>
        <v>#REF!</v>
      </c>
      <c r="M26" t="e">
        <f>+M18+SUM(M19:M24)</f>
        <v>#REF!</v>
      </c>
      <c r="N26" t="e">
        <f>+N18+SUM(N19:N24)</f>
        <v>#REF!</v>
      </c>
      <c r="O26" t="e">
        <f>+O18+SUM(O19:O24)</f>
        <v>#REF!</v>
      </c>
      <c r="P26" s="19" t="e">
        <f>SUM(C26:O26)/13</f>
        <v>#REF!</v>
      </c>
      <c r="Q26" s="4" t="s">
        <v>117</v>
      </c>
    </row>
    <row r="27" spans="1:17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9"/>
      <c r="Q27" s="9"/>
    </row>
    <row r="28" spans="1:17">
      <c r="A28" s="4">
        <v>15</v>
      </c>
      <c r="B28" s="4" t="s">
        <v>176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14">
        <f>SUM(C28:O28)/13</f>
        <v>0</v>
      </c>
    </row>
    <row r="29" spans="1:17">
      <c r="A29" s="4">
        <v>16</v>
      </c>
      <c r="B29" s="4" t="s">
        <v>177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14">
        <f>SUM(C29:O29)/13</f>
        <v>0</v>
      </c>
    </row>
    <row r="30" spans="1:17" ht="12.75">
      <c r="A30" s="4">
        <v>17</v>
      </c>
      <c r="B30" s="4" t="s">
        <v>178</v>
      </c>
      <c r="C30">
        <v>8436</v>
      </c>
      <c r="D30">
        <v>8436</v>
      </c>
      <c r="E30">
        <v>8436</v>
      </c>
      <c r="F30">
        <v>8436</v>
      </c>
      <c r="G30">
        <v>8436</v>
      </c>
      <c r="H30">
        <v>8436</v>
      </c>
      <c r="I30">
        <v>8436</v>
      </c>
      <c r="J30">
        <v>8436</v>
      </c>
      <c r="K30">
        <v>8436</v>
      </c>
      <c r="L30">
        <v>8436</v>
      </c>
      <c r="M30">
        <v>8436</v>
      </c>
      <c r="N30">
        <v>8436</v>
      </c>
      <c r="O30">
        <v>8436</v>
      </c>
      <c r="P30" s="19">
        <f>SUM(C30:O30)/13</f>
        <v>8436</v>
      </c>
    </row>
    <row r="31" spans="1:17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9"/>
    </row>
    <row r="32" spans="1:17">
      <c r="B32" s="4" t="s">
        <v>179</v>
      </c>
      <c r="C32" s="8">
        <f t="shared" ref="C32:L32" si="4">SUM(C28:C31)</f>
        <v>8436</v>
      </c>
      <c r="D32" s="8">
        <f t="shared" si="4"/>
        <v>8436</v>
      </c>
      <c r="E32" s="8">
        <f t="shared" si="4"/>
        <v>8436</v>
      </c>
      <c r="F32" s="8">
        <f t="shared" si="4"/>
        <v>8436</v>
      </c>
      <c r="G32" s="8">
        <f t="shared" si="4"/>
        <v>8436</v>
      </c>
      <c r="H32" s="8">
        <f t="shared" si="4"/>
        <v>8436</v>
      </c>
      <c r="I32" s="8">
        <f t="shared" si="4"/>
        <v>8436</v>
      </c>
      <c r="J32" s="8">
        <f t="shared" si="4"/>
        <v>8436</v>
      </c>
      <c r="K32" s="8">
        <f t="shared" si="4"/>
        <v>8436</v>
      </c>
      <c r="L32" s="8">
        <f t="shared" si="4"/>
        <v>8436</v>
      </c>
      <c r="M32" s="8">
        <f>SUM(M28:M31)</f>
        <v>8436</v>
      </c>
      <c r="N32" s="8">
        <f>SUM(N28:N31)</f>
        <v>8436</v>
      </c>
      <c r="O32" s="8">
        <f>SUM(O28:O31)</f>
        <v>8436</v>
      </c>
      <c r="P32" s="9">
        <f>SUM(C32:O32)/13</f>
        <v>8436</v>
      </c>
    </row>
    <row r="33" spans="1:18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9"/>
    </row>
    <row r="34" spans="1:18" ht="12.75">
      <c r="A34" s="4">
        <v>18</v>
      </c>
      <c r="B34" s="4" t="s">
        <v>436</v>
      </c>
      <c r="C34">
        <f>Work_cap!C71</f>
        <v>403529</v>
      </c>
      <c r="D34">
        <f>Work_cap!D71</f>
        <v>1046828</v>
      </c>
      <c r="E34">
        <f>Work_cap!E71</f>
        <v>986132</v>
      </c>
      <c r="F34">
        <f>Work_cap!F71</f>
        <v>799467</v>
      </c>
      <c r="G34">
        <f>Work_cap!G71</f>
        <v>701146</v>
      </c>
      <c r="H34">
        <f>Work_cap!H71</f>
        <v>949512</v>
      </c>
      <c r="I34">
        <f>Work_cap!I71</f>
        <v>688091</v>
      </c>
      <c r="J34">
        <f>Work_cap!J71</f>
        <v>916575</v>
      </c>
      <c r="K34">
        <f>Work_cap!K71</f>
        <v>1273249</v>
      </c>
      <c r="L34">
        <f>Work_cap!L71</f>
        <v>708075</v>
      </c>
      <c r="M34">
        <f>Work_cap!M71</f>
        <v>466318</v>
      </c>
      <c r="N34">
        <f>Work_cap!N71</f>
        <v>1940515</v>
      </c>
      <c r="O34">
        <f>Work_cap!O71</f>
        <v>926886</v>
      </c>
      <c r="P34" s="14">
        <f t="shared" ref="P34:P54" si="5">SUM(C34:O34)/13</f>
        <v>908178.69230769225</v>
      </c>
      <c r="Q34" s="4" t="s">
        <v>2</v>
      </c>
      <c r="R34" s="4" t="s">
        <v>516</v>
      </c>
    </row>
    <row r="35" spans="1:18">
      <c r="A35" s="4">
        <v>19</v>
      </c>
      <c r="B35" s="4" t="s">
        <v>181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14">
        <f t="shared" si="5"/>
        <v>0</v>
      </c>
      <c r="Q35" s="4" t="s">
        <v>2</v>
      </c>
    </row>
    <row r="36" spans="1:18">
      <c r="A36" s="4">
        <v>20</v>
      </c>
      <c r="B36" s="4" t="s">
        <v>437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14">
        <f t="shared" si="5"/>
        <v>0</v>
      </c>
      <c r="Q36" s="4" t="s">
        <v>2</v>
      </c>
    </row>
    <row r="37" spans="1:18" ht="12.75">
      <c r="A37" s="4">
        <v>21</v>
      </c>
      <c r="B37" s="4" t="s">
        <v>435</v>
      </c>
      <c r="C37">
        <v>9496</v>
      </c>
      <c r="D37">
        <v>19150</v>
      </c>
      <c r="E37">
        <v>19150</v>
      </c>
      <c r="F37">
        <v>19150</v>
      </c>
      <c r="G37">
        <v>19150</v>
      </c>
      <c r="H37">
        <v>19150</v>
      </c>
      <c r="I37">
        <v>19150</v>
      </c>
      <c r="J37">
        <v>19150</v>
      </c>
      <c r="K37">
        <v>19064</v>
      </c>
      <c r="L37">
        <v>19064</v>
      </c>
      <c r="M37">
        <v>19100</v>
      </c>
      <c r="N37">
        <v>19100</v>
      </c>
      <c r="O37">
        <v>19100</v>
      </c>
      <c r="P37" s="14">
        <f t="shared" si="5"/>
        <v>18382.615384615383</v>
      </c>
      <c r="Q37" s="4" t="s">
        <v>2</v>
      </c>
      <c r="R37" s="4" t="s">
        <v>517</v>
      </c>
    </row>
    <row r="38" spans="1:18">
      <c r="A38" s="4">
        <v>22</v>
      </c>
      <c r="B38" s="4" t="s">
        <v>183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14">
        <f t="shared" si="5"/>
        <v>0</v>
      </c>
      <c r="Q38" s="4" t="s">
        <v>2</v>
      </c>
    </row>
    <row r="39" spans="1:18">
      <c r="A39" s="4">
        <v>23</v>
      </c>
      <c r="B39" s="4" t="s">
        <v>184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14">
        <f t="shared" si="5"/>
        <v>0</v>
      </c>
      <c r="Q39" s="4" t="s">
        <v>2</v>
      </c>
    </row>
    <row r="40" spans="1:18" ht="12.75">
      <c r="A40" s="4">
        <v>24</v>
      </c>
      <c r="B40" s="4" t="s">
        <v>185</v>
      </c>
      <c r="C40">
        <v>0</v>
      </c>
      <c r="D40">
        <v>162698</v>
      </c>
      <c r="E40">
        <v>774783</v>
      </c>
      <c r="F40">
        <v>1026094</v>
      </c>
      <c r="G40">
        <v>1062385</v>
      </c>
      <c r="H40">
        <v>1062385</v>
      </c>
      <c r="I40">
        <v>1207077</v>
      </c>
      <c r="J40">
        <v>1207077</v>
      </c>
      <c r="K40">
        <v>1207077</v>
      </c>
      <c r="L40">
        <v>935194</v>
      </c>
      <c r="M40">
        <v>935194</v>
      </c>
      <c r="N40">
        <v>935194</v>
      </c>
      <c r="O40">
        <v>0</v>
      </c>
      <c r="P40" s="14">
        <f t="shared" si="5"/>
        <v>808858.30769230775</v>
      </c>
      <c r="Q40" s="4" t="s">
        <v>2</v>
      </c>
      <c r="R40" s="4" t="s">
        <v>517</v>
      </c>
    </row>
    <row r="41" spans="1:18" ht="12.75">
      <c r="A41" s="4">
        <v>25</v>
      </c>
      <c r="B41" s="4" t="s">
        <v>450</v>
      </c>
      <c r="C41">
        <v>5244784</v>
      </c>
      <c r="D41">
        <v>6776791</v>
      </c>
      <c r="E41">
        <v>5886447</v>
      </c>
      <c r="F41">
        <v>4586250</v>
      </c>
      <c r="G41">
        <v>4043643</v>
      </c>
      <c r="H41">
        <v>3426300</v>
      </c>
      <c r="I41">
        <v>2783913</v>
      </c>
      <c r="J41">
        <v>2883990</v>
      </c>
      <c r="K41">
        <v>2240906</v>
      </c>
      <c r="L41">
        <v>2773265</v>
      </c>
      <c r="M41">
        <v>3305524</v>
      </c>
      <c r="N41">
        <v>4104415</v>
      </c>
      <c r="O41">
        <v>6176922</v>
      </c>
      <c r="P41" s="14">
        <f t="shared" si="5"/>
        <v>4171780.769230769</v>
      </c>
      <c r="Q41" s="4" t="s">
        <v>2</v>
      </c>
      <c r="R41" s="4" t="s">
        <v>517</v>
      </c>
    </row>
    <row r="42" spans="1:18" ht="12.75">
      <c r="A42" s="4">
        <v>26</v>
      </c>
      <c r="B42" s="15" t="s">
        <v>438</v>
      </c>
      <c r="C42">
        <v>2902993</v>
      </c>
      <c r="D42">
        <v>2766586</v>
      </c>
      <c r="E42">
        <v>2455456</v>
      </c>
      <c r="F42">
        <v>2189038</v>
      </c>
      <c r="G42">
        <v>1895841</v>
      </c>
      <c r="H42">
        <v>1689480</v>
      </c>
      <c r="I42">
        <v>1816847</v>
      </c>
      <c r="J42">
        <v>1670290</v>
      </c>
      <c r="K42">
        <v>1699863</v>
      </c>
      <c r="L42">
        <v>1459747</v>
      </c>
      <c r="M42">
        <v>1781305</v>
      </c>
      <c r="N42">
        <v>1730178</v>
      </c>
      <c r="O42">
        <v>1927681</v>
      </c>
      <c r="P42" s="14">
        <f t="shared" si="5"/>
        <v>1998869.6153846155</v>
      </c>
      <c r="Q42" s="4" t="s">
        <v>2</v>
      </c>
      <c r="R42" s="4" t="s">
        <v>517</v>
      </c>
    </row>
    <row r="43" spans="1:18" ht="12.75">
      <c r="A43" s="4">
        <v>27</v>
      </c>
      <c r="B43" s="4" t="s">
        <v>456</v>
      </c>
      <c r="C43">
        <f>Work_cap!C219</f>
        <v>7277</v>
      </c>
      <c r="D43">
        <f>Work_cap!D219</f>
        <v>7705</v>
      </c>
      <c r="E43">
        <f>Work_cap!E219</f>
        <v>7504</v>
      </c>
      <c r="F43">
        <f>Work_cap!F219</f>
        <v>7485</v>
      </c>
      <c r="G43">
        <f>Work_cap!G219</f>
        <v>7408</v>
      </c>
      <c r="H43">
        <f>Work_cap!H219</f>
        <v>12728</v>
      </c>
      <c r="I43">
        <f>Work_cap!I219</f>
        <v>7890</v>
      </c>
      <c r="J43">
        <f>Work_cap!J219</f>
        <v>7860</v>
      </c>
      <c r="K43">
        <f>Work_cap!K219</f>
        <v>7923</v>
      </c>
      <c r="L43">
        <f>Work_cap!L219</f>
        <v>17183</v>
      </c>
      <c r="M43">
        <f>Work_cap!M219</f>
        <v>15773</v>
      </c>
      <c r="N43">
        <f>Work_cap!N219</f>
        <v>7866</v>
      </c>
      <c r="O43">
        <f>Work_cap!O219</f>
        <v>-44686</v>
      </c>
      <c r="P43" s="14">
        <f t="shared" si="5"/>
        <v>5378.1538461538457</v>
      </c>
      <c r="Q43" s="4" t="s">
        <v>2</v>
      </c>
      <c r="R43" s="4" t="s">
        <v>516</v>
      </c>
    </row>
    <row r="44" spans="1:18" ht="12.75">
      <c r="A44" s="4">
        <v>28</v>
      </c>
      <c r="B44" s="4" t="s">
        <v>477</v>
      </c>
      <c r="C44">
        <v>1129590</v>
      </c>
      <c r="D44">
        <v>714182</v>
      </c>
      <c r="E44">
        <v>634142</v>
      </c>
      <c r="F44">
        <v>564271</v>
      </c>
      <c r="G44">
        <v>517586</v>
      </c>
      <c r="H44">
        <v>488163</v>
      </c>
      <c r="I44">
        <v>461513</v>
      </c>
      <c r="J44">
        <v>438955</v>
      </c>
      <c r="K44">
        <v>436383</v>
      </c>
      <c r="L44">
        <v>415600</v>
      </c>
      <c r="M44">
        <v>389525</v>
      </c>
      <c r="N44">
        <v>359025</v>
      </c>
      <c r="O44">
        <v>354072</v>
      </c>
      <c r="P44" s="14">
        <f t="shared" si="5"/>
        <v>531000.5384615385</v>
      </c>
      <c r="Q44" s="4" t="s">
        <v>2</v>
      </c>
      <c r="R44" s="4" t="s">
        <v>517</v>
      </c>
    </row>
    <row r="45" spans="1:18">
      <c r="A45" s="4">
        <v>29</v>
      </c>
      <c r="B45" s="4" t="s">
        <v>451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14">
        <f t="shared" si="5"/>
        <v>0</v>
      </c>
      <c r="Q45" s="4" t="s">
        <v>2</v>
      </c>
    </row>
    <row r="46" spans="1:18" ht="12.75">
      <c r="A46" s="4">
        <v>30</v>
      </c>
      <c r="B46" s="4" t="s">
        <v>439</v>
      </c>
      <c r="C46">
        <v>-96128</v>
      </c>
      <c r="D46">
        <v>-99232</v>
      </c>
      <c r="E46">
        <v>-107477</v>
      </c>
      <c r="F46">
        <v>-97466</v>
      </c>
      <c r="G46">
        <v>-96462</v>
      </c>
      <c r="H46">
        <v>-92786</v>
      </c>
      <c r="I46">
        <v>-98852</v>
      </c>
      <c r="J46">
        <v>-79624</v>
      </c>
      <c r="K46">
        <v>-77153</v>
      </c>
      <c r="L46">
        <v>-112637</v>
      </c>
      <c r="M46">
        <v>-109288</v>
      </c>
      <c r="N46">
        <v>-125062</v>
      </c>
      <c r="O46">
        <v>-140542</v>
      </c>
      <c r="P46" s="14">
        <f t="shared" si="5"/>
        <v>-102516.07692307692</v>
      </c>
      <c r="Q46" s="4" t="s">
        <v>2</v>
      </c>
      <c r="R46" s="4" t="s">
        <v>517</v>
      </c>
    </row>
    <row r="47" spans="1:18" ht="12.75">
      <c r="A47" s="4">
        <v>31</v>
      </c>
      <c r="B47" s="4" t="s">
        <v>440</v>
      </c>
      <c r="C47">
        <f>-7813144-2364518+99077+63727+10172+5611069-793704</f>
        <v>-5187321</v>
      </c>
      <c r="D47">
        <f>-6626314-4450782-15288+63331+8766+5611069-794204</f>
        <v>-6203422</v>
      </c>
      <c r="E47">
        <f>-4332387-1998619-14788+62514+7361+5611069-794704</f>
        <v>-1459554</v>
      </c>
      <c r="F47">
        <f>-2416384-4427886+798443+66645+6184+5611069-795204</f>
        <v>-1157133</v>
      </c>
      <c r="G47">
        <f>-1158542-4341908+797204+67358+10150+5611069-795704</f>
        <v>189627</v>
      </c>
      <c r="H47">
        <f>-5374518+6689195-5091629+797204+67953+12377+5611069-795704</f>
        <v>1915947</v>
      </c>
      <c r="I47">
        <f>-4495439+6380377-5050626+3313+67115+10718+5611069-1813</f>
        <v>2524714</v>
      </c>
      <c r="J47">
        <f>-4594077+6133586-5009624+3313+56940+6876+5611069-1813</f>
        <v>2206270</v>
      </c>
      <c r="K47">
        <f>-4263536-580928+123008+3313+57391+7875+5611069-1813</f>
        <v>956379</v>
      </c>
      <c r="L47">
        <f>-4675810-190502+123007-216437+3313+58224+6413+5611069-1813</f>
        <v>717464</v>
      </c>
      <c r="M47">
        <f>-5566768+1654910+56435+9812+5611069</f>
        <v>1765458</v>
      </c>
      <c r="N47">
        <f>-6303377-325111+56204+8407+5611069</f>
        <v>-952808</v>
      </c>
      <c r="O47">
        <f>-14865677+4569039+60290+17287+5611069</f>
        <v>-4607992</v>
      </c>
      <c r="P47" s="14">
        <f t="shared" si="5"/>
        <v>-714797.76923076925</v>
      </c>
      <c r="Q47" s="4" t="s">
        <v>3</v>
      </c>
      <c r="R47" s="8"/>
    </row>
    <row r="48" spans="1:18" ht="12.75">
      <c r="A48" s="4">
        <v>32</v>
      </c>
      <c r="B48" s="4" t="s">
        <v>441</v>
      </c>
      <c r="C48">
        <v>533111</v>
      </c>
      <c r="D48">
        <v>490205</v>
      </c>
      <c r="E48">
        <v>494554</v>
      </c>
      <c r="F48">
        <v>474204</v>
      </c>
      <c r="G48">
        <v>492279</v>
      </c>
      <c r="H48">
        <v>517790</v>
      </c>
      <c r="I48">
        <v>527928</v>
      </c>
      <c r="J48">
        <v>467617</v>
      </c>
      <c r="K48">
        <v>428569</v>
      </c>
      <c r="L48">
        <v>392611</v>
      </c>
      <c r="M48">
        <v>330877</v>
      </c>
      <c r="N48">
        <v>717737</v>
      </c>
      <c r="O48">
        <v>734081</v>
      </c>
      <c r="P48" s="14">
        <f t="shared" si="5"/>
        <v>507812.53846153844</v>
      </c>
      <c r="Q48" s="4" t="s">
        <v>2</v>
      </c>
      <c r="R48" s="4" t="s">
        <v>517</v>
      </c>
    </row>
    <row r="49" spans="1:18" ht="12.75">
      <c r="A49" s="4">
        <v>33</v>
      </c>
      <c r="B49" s="4" t="s">
        <v>147</v>
      </c>
      <c r="C49">
        <v>33345</v>
      </c>
      <c r="D49">
        <v>33345</v>
      </c>
      <c r="E49">
        <v>33345</v>
      </c>
      <c r="F49">
        <v>33345</v>
      </c>
      <c r="G49">
        <v>-24151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 s="14">
        <f t="shared" si="5"/>
        <v>8402.2307692307695</v>
      </c>
      <c r="Q49" s="4" t="s">
        <v>2</v>
      </c>
      <c r="R49" s="4" t="s">
        <v>517</v>
      </c>
    </row>
    <row r="50" spans="1:18">
      <c r="A50" s="4">
        <v>34</v>
      </c>
      <c r="B50" s="4" t="s">
        <v>442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14">
        <f t="shared" si="5"/>
        <v>0</v>
      </c>
      <c r="Q50" s="4" t="s">
        <v>2</v>
      </c>
    </row>
    <row r="51" spans="1:18" ht="12.75">
      <c r="A51" s="4">
        <v>35</v>
      </c>
      <c r="B51" s="4" t="s">
        <v>452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 s="14">
        <f t="shared" si="5"/>
        <v>0</v>
      </c>
      <c r="Q51" s="4" t="s">
        <v>2</v>
      </c>
    </row>
    <row r="52" spans="1:18" ht="12.75">
      <c r="A52" s="4">
        <v>36</v>
      </c>
      <c r="B52" s="15" t="s">
        <v>453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 s="14">
        <f t="shared" si="5"/>
        <v>0</v>
      </c>
      <c r="Q52" s="4" t="s">
        <v>2</v>
      </c>
    </row>
    <row r="53" spans="1:18" ht="12.75">
      <c r="A53" s="4">
        <v>37</v>
      </c>
      <c r="B53" s="4" t="s">
        <v>443</v>
      </c>
      <c r="C53">
        <f>Work_cap!C77</f>
        <v>22613</v>
      </c>
      <c r="D53">
        <f>Work_cap!D77</f>
        <v>79733</v>
      </c>
      <c r="E53">
        <f>Work_cap!E77</f>
        <v>81608</v>
      </c>
      <c r="F53">
        <f>Work_cap!F77</f>
        <v>83276</v>
      </c>
      <c r="G53">
        <f>Work_cap!G77</f>
        <v>86252</v>
      </c>
      <c r="H53">
        <f>Work_cap!H77</f>
        <v>85594</v>
      </c>
      <c r="I53">
        <f>Work_cap!I77</f>
        <v>81692</v>
      </c>
      <c r="J53">
        <f>Work_cap!J77</f>
        <v>73692</v>
      </c>
      <c r="K53">
        <f>Work_cap!K77</f>
        <v>61772</v>
      </c>
      <c r="L53">
        <f>Work_cap!L77</f>
        <v>74727</v>
      </c>
      <c r="M53">
        <f>Work_cap!M77</f>
        <v>60394</v>
      </c>
      <c r="N53">
        <f>Work_cap!N77</f>
        <v>51042</v>
      </c>
      <c r="O53">
        <f>Work_cap!O77</f>
        <v>54320</v>
      </c>
      <c r="P53" s="14">
        <f t="shared" si="5"/>
        <v>68978.076923076922</v>
      </c>
      <c r="Q53" s="4" t="s">
        <v>2</v>
      </c>
      <c r="R53" s="4" t="s">
        <v>516</v>
      </c>
    </row>
    <row r="54" spans="1:18" ht="12.75">
      <c r="A54" s="4">
        <v>38</v>
      </c>
      <c r="B54" s="4" t="s">
        <v>454</v>
      </c>
      <c r="C54">
        <v>165730</v>
      </c>
      <c r="D54">
        <v>145219</v>
      </c>
      <c r="E54">
        <v>177392</v>
      </c>
      <c r="F54">
        <v>154730</v>
      </c>
      <c r="G54">
        <v>134559</v>
      </c>
      <c r="H54">
        <v>115395</v>
      </c>
      <c r="I54">
        <v>91359</v>
      </c>
      <c r="J54">
        <v>74930</v>
      </c>
      <c r="K54">
        <v>119595</v>
      </c>
      <c r="L54">
        <v>292684</v>
      </c>
      <c r="M54">
        <v>261993</v>
      </c>
      <c r="N54">
        <v>376230</v>
      </c>
      <c r="O54">
        <v>318442</v>
      </c>
      <c r="P54" s="19">
        <f t="shared" si="5"/>
        <v>186789.07692307694</v>
      </c>
      <c r="Q54" s="4" t="s">
        <v>2</v>
      </c>
      <c r="R54" s="4" t="s">
        <v>517</v>
      </c>
    </row>
    <row r="55" spans="1:18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9"/>
    </row>
    <row r="56" spans="1:18">
      <c r="A56" s="4">
        <v>39</v>
      </c>
      <c r="B56" s="4" t="s">
        <v>187</v>
      </c>
      <c r="C56" s="8">
        <f>SUM(C34:C55)</f>
        <v>5169019</v>
      </c>
      <c r="D56" s="8">
        <f>SUM(D34:D55)</f>
        <v>5939788</v>
      </c>
      <c r="E56" s="8">
        <f>SUM(E34:E55)</f>
        <v>9983482</v>
      </c>
      <c r="F56" s="8">
        <f>SUM(F34:F55)</f>
        <v>8682711</v>
      </c>
      <c r="G56" s="8">
        <f t="shared" ref="G56:L56" si="6">SUM(G34:G55)</f>
        <v>9029263</v>
      </c>
      <c r="H56" s="8">
        <f t="shared" si="6"/>
        <v>10189658</v>
      </c>
      <c r="I56" s="8">
        <f t="shared" si="6"/>
        <v>10111322</v>
      </c>
      <c r="J56" s="8">
        <f t="shared" si="6"/>
        <v>9886782</v>
      </c>
      <c r="K56" s="8">
        <f t="shared" si="6"/>
        <v>8373627</v>
      </c>
      <c r="L56" s="8">
        <f t="shared" si="6"/>
        <v>7692977</v>
      </c>
      <c r="M56" s="8">
        <f>SUM(M34:M55)</f>
        <v>9222173</v>
      </c>
      <c r="N56" s="8">
        <f>SUM(N34:N55)</f>
        <v>9163432</v>
      </c>
      <c r="O56" s="8">
        <f>SUM(O34:O55)</f>
        <v>5718284</v>
      </c>
      <c r="P56" s="14">
        <f>SUM(C56:O56)/13</f>
        <v>8397116.7692307699</v>
      </c>
      <c r="Q56" s="9"/>
    </row>
    <row r="57" spans="1:18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14"/>
    </row>
    <row r="58" spans="1:18" ht="12.75">
      <c r="A58" s="4">
        <v>40</v>
      </c>
      <c r="B58" s="4" t="s">
        <v>448</v>
      </c>
      <c r="C58">
        <v>6168012</v>
      </c>
      <c r="D58">
        <v>6129983</v>
      </c>
      <c r="E58">
        <v>6091954</v>
      </c>
      <c r="F58">
        <v>6053323</v>
      </c>
      <c r="G58">
        <v>6015294</v>
      </c>
      <c r="H58">
        <v>5977265</v>
      </c>
      <c r="I58">
        <v>5939236</v>
      </c>
      <c r="J58">
        <v>5901207</v>
      </c>
      <c r="K58">
        <v>5863178</v>
      </c>
      <c r="L58">
        <v>5825149</v>
      </c>
      <c r="M58">
        <v>5787120</v>
      </c>
      <c r="N58">
        <v>5749091</v>
      </c>
      <c r="O58">
        <v>7311255</v>
      </c>
      <c r="P58" s="14">
        <f t="shared" ref="P58:P68" si="7">SUM(C58:O58)/13</f>
        <v>6062466.692307692</v>
      </c>
      <c r="Q58" s="4" t="s">
        <v>2</v>
      </c>
      <c r="R58" s="4" t="s">
        <v>517</v>
      </c>
    </row>
    <row r="59" spans="1:18" ht="12.75">
      <c r="A59" s="4">
        <v>41</v>
      </c>
      <c r="B59" s="4" t="s">
        <v>496</v>
      </c>
      <c r="C59">
        <f>Work_cap!C83</f>
        <v>5296641</v>
      </c>
      <c r="D59">
        <f>Work_cap!D83</f>
        <v>5255638</v>
      </c>
      <c r="E59">
        <f>Work_cap!E83</f>
        <v>5214636</v>
      </c>
      <c r="F59">
        <f>Work_cap!F83</f>
        <v>5173633</v>
      </c>
      <c r="G59">
        <f>Work_cap!G83</f>
        <v>5132631</v>
      </c>
      <c r="H59">
        <f>Work_cap!H83+5091629</f>
        <v>5091629</v>
      </c>
      <c r="I59">
        <f>Work_cap!I83+5050626</f>
        <v>5050626</v>
      </c>
      <c r="J59">
        <f>Work_cap!J83+5009624</f>
        <v>5009624</v>
      </c>
      <c r="K59">
        <f>Work_cap!K83+4968621</f>
        <v>4968621</v>
      </c>
      <c r="L59">
        <f>Work_cap!L83+4927619</f>
        <v>4927619</v>
      </c>
      <c r="M59">
        <f>Work_cap!M83+4886616</f>
        <v>4886616</v>
      </c>
      <c r="N59">
        <f>Work_cap!N83+4845614</f>
        <v>4845614</v>
      </c>
      <c r="O59">
        <f>Work_cap!O83+10172428</f>
        <v>10172428</v>
      </c>
      <c r="P59" s="14">
        <f t="shared" si="7"/>
        <v>5463535.076923077</v>
      </c>
      <c r="Q59" s="4" t="s">
        <v>2</v>
      </c>
      <c r="R59" s="4" t="s">
        <v>521</v>
      </c>
    </row>
    <row r="60" spans="1:18" ht="12.75">
      <c r="A60" s="4">
        <v>42</v>
      </c>
      <c r="B60" s="4" t="s">
        <v>447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 s="8">
        <v>0</v>
      </c>
      <c r="L60" s="8">
        <v>0</v>
      </c>
      <c r="M60">
        <v>0</v>
      </c>
      <c r="N60" s="8">
        <v>0</v>
      </c>
      <c r="O60" s="8">
        <v>0</v>
      </c>
      <c r="P60" s="14">
        <f t="shared" si="7"/>
        <v>0</v>
      </c>
      <c r="Q60" s="4" t="s">
        <v>2</v>
      </c>
    </row>
    <row r="61" spans="1:18" ht="12.75">
      <c r="A61" s="4">
        <v>43</v>
      </c>
      <c r="B61" s="4" t="s">
        <v>444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216437</v>
      </c>
      <c r="M61">
        <v>368009</v>
      </c>
      <c r="N61">
        <v>392799</v>
      </c>
      <c r="O61">
        <v>557459</v>
      </c>
      <c r="P61" s="14">
        <f t="shared" si="7"/>
        <v>118054.15384615384</v>
      </c>
      <c r="Q61" s="4" t="s">
        <v>2</v>
      </c>
    </row>
    <row r="62" spans="1:18" ht="12.75">
      <c r="A62" s="4">
        <v>44</v>
      </c>
      <c r="B62" s="4" t="s">
        <v>478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 s="8">
        <v>0</v>
      </c>
      <c r="M62">
        <v>0</v>
      </c>
      <c r="N62">
        <v>0</v>
      </c>
      <c r="O62" s="8">
        <v>0</v>
      </c>
      <c r="P62" s="14">
        <f t="shared" si="7"/>
        <v>0</v>
      </c>
      <c r="Q62" s="4" t="s">
        <v>2</v>
      </c>
    </row>
    <row r="63" spans="1:18" ht="12.75">
      <c r="A63" s="4">
        <v>45</v>
      </c>
      <c r="B63" s="4" t="s">
        <v>446</v>
      </c>
      <c r="C63">
        <f>Work_cap!C135+95016</f>
        <v>95437</v>
      </c>
      <c r="D63">
        <f>Work_cap!D135+92005</f>
        <v>92006</v>
      </c>
      <c r="E63">
        <f>Work_cap!E135+89777</f>
        <v>89778</v>
      </c>
      <c r="F63">
        <f>Work_cap!F135+87640</f>
        <v>87639</v>
      </c>
      <c r="G63">
        <f>Work_cap!G135+87359</f>
        <v>87357</v>
      </c>
      <c r="H63">
        <f>Work_cap!H135+85171</f>
        <v>85169</v>
      </c>
      <c r="I63">
        <f>Work_cap!I135+82973</f>
        <v>82971</v>
      </c>
      <c r="J63">
        <f>Work_cap!J135+80806</f>
        <v>80804</v>
      </c>
      <c r="K63">
        <f>Work_cap!K135+78618</f>
        <v>78616</v>
      </c>
      <c r="L63">
        <f>Work_cap!L135+43513</f>
        <v>43511</v>
      </c>
      <c r="M63">
        <f>Work_cap!M135+41325</f>
        <v>41325</v>
      </c>
      <c r="N63">
        <f>Work_cap!N135+39138</f>
        <v>45709</v>
      </c>
      <c r="O63">
        <f>Work_cap!O135+36948</f>
        <v>36948</v>
      </c>
      <c r="P63" s="14">
        <f t="shared" si="7"/>
        <v>72866.923076923078</v>
      </c>
      <c r="Q63" s="4" t="s">
        <v>2</v>
      </c>
      <c r="R63" s="4" t="s">
        <v>521</v>
      </c>
    </row>
    <row r="64" spans="1:18" ht="12.75">
      <c r="A64" s="4">
        <v>46</v>
      </c>
      <c r="B64" s="4" t="s">
        <v>455</v>
      </c>
      <c r="C64">
        <v>938679</v>
      </c>
      <c r="D64">
        <v>932725</v>
      </c>
      <c r="E64">
        <v>922659</v>
      </c>
      <c r="F64">
        <v>928416</v>
      </c>
      <c r="G64">
        <v>905699</v>
      </c>
      <c r="H64">
        <v>902124</v>
      </c>
      <c r="I64">
        <v>894738</v>
      </c>
      <c r="J64">
        <v>879303</v>
      </c>
      <c r="K64">
        <v>862403</v>
      </c>
      <c r="L64">
        <v>836616</v>
      </c>
      <c r="M64">
        <v>816276</v>
      </c>
      <c r="N64">
        <v>800761</v>
      </c>
      <c r="O64">
        <v>788504</v>
      </c>
      <c r="P64" s="14">
        <f t="shared" si="7"/>
        <v>877607.92307692312</v>
      </c>
      <c r="Q64" s="4" t="s">
        <v>2</v>
      </c>
      <c r="R64" s="4" t="s">
        <v>517</v>
      </c>
    </row>
    <row r="65" spans="1:18">
      <c r="A65" s="4">
        <v>47</v>
      </c>
      <c r="B65" s="4" t="s">
        <v>77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14">
        <f t="shared" si="7"/>
        <v>0</v>
      </c>
      <c r="Q65" s="4" t="s">
        <v>2</v>
      </c>
    </row>
    <row r="66" spans="1:18">
      <c r="A66" s="4">
        <v>48</v>
      </c>
      <c r="B66" s="4" t="s">
        <v>191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14">
        <f t="shared" si="7"/>
        <v>0</v>
      </c>
      <c r="Q66" s="4" t="s">
        <v>2</v>
      </c>
    </row>
    <row r="67" spans="1:18" ht="12.75">
      <c r="A67" s="4">
        <v>49</v>
      </c>
      <c r="B67" s="4" t="s">
        <v>449</v>
      </c>
      <c r="C67">
        <v>364699</v>
      </c>
      <c r="D67">
        <v>352123</v>
      </c>
      <c r="E67">
        <v>339547</v>
      </c>
      <c r="F67">
        <v>326971</v>
      </c>
      <c r="G67">
        <v>314395</v>
      </c>
      <c r="H67">
        <v>301819</v>
      </c>
      <c r="I67">
        <v>289243</v>
      </c>
      <c r="J67">
        <v>276687</v>
      </c>
      <c r="K67">
        <v>264091</v>
      </c>
      <c r="L67">
        <v>251515</v>
      </c>
      <c r="M67">
        <v>238939</v>
      </c>
      <c r="N67">
        <v>226363</v>
      </c>
      <c r="O67">
        <v>213787</v>
      </c>
      <c r="P67" s="14">
        <f t="shared" si="7"/>
        <v>289244.53846153844</v>
      </c>
      <c r="Q67" s="4" t="s">
        <v>2</v>
      </c>
      <c r="R67" s="4" t="s">
        <v>519</v>
      </c>
    </row>
    <row r="68" spans="1:18" ht="12.75">
      <c r="A68" s="4">
        <v>50</v>
      </c>
      <c r="B68" s="4" t="s">
        <v>445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 s="19">
        <f t="shared" si="7"/>
        <v>0</v>
      </c>
      <c r="Q68" s="4" t="s">
        <v>2</v>
      </c>
    </row>
    <row r="69" spans="1:18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9"/>
    </row>
    <row r="70" spans="1:18" ht="12.75">
      <c r="A70" s="4">
        <v>51</v>
      </c>
      <c r="B70" s="4" t="s">
        <v>193</v>
      </c>
      <c r="C70">
        <f t="shared" ref="C70:L70" si="8">SUM(C58:C69)</f>
        <v>12863468</v>
      </c>
      <c r="D70">
        <f t="shared" si="8"/>
        <v>12762475</v>
      </c>
      <c r="E70">
        <f t="shared" si="8"/>
        <v>12658574</v>
      </c>
      <c r="F70">
        <f t="shared" si="8"/>
        <v>12569982</v>
      </c>
      <c r="G70">
        <f t="shared" si="8"/>
        <v>12455376</v>
      </c>
      <c r="H70">
        <f t="shared" si="8"/>
        <v>12358006</v>
      </c>
      <c r="I70">
        <f t="shared" si="8"/>
        <v>12256814</v>
      </c>
      <c r="J70">
        <f t="shared" si="8"/>
        <v>12147625</v>
      </c>
      <c r="K70">
        <f t="shared" si="8"/>
        <v>12036909</v>
      </c>
      <c r="L70">
        <f t="shared" si="8"/>
        <v>12100847</v>
      </c>
      <c r="M70">
        <f>SUM(M58:M69)</f>
        <v>12138285</v>
      </c>
      <c r="N70">
        <f>SUM(N58:N69)</f>
        <v>12060337</v>
      </c>
      <c r="O70">
        <f>SUM(O58:O69)</f>
        <v>19080381</v>
      </c>
      <c r="P70" s="19">
        <f>SUM(C70:O70)/13</f>
        <v>12883775.307692308</v>
      </c>
    </row>
    <row r="71" spans="1:18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8" ht="12" thickBot="1">
      <c r="A72" s="4">
        <v>52</v>
      </c>
      <c r="B72" s="4" t="s">
        <v>194</v>
      </c>
      <c r="C72" s="16" t="e">
        <f t="shared" ref="C72:L72" si="9">+C26+C56+C70</f>
        <v>#REF!</v>
      </c>
      <c r="D72" s="16" t="e">
        <f t="shared" si="9"/>
        <v>#REF!</v>
      </c>
      <c r="E72" s="16" t="e">
        <f t="shared" si="9"/>
        <v>#REF!</v>
      </c>
      <c r="F72" s="16" t="e">
        <f t="shared" si="9"/>
        <v>#REF!</v>
      </c>
      <c r="G72" s="16" t="e">
        <f t="shared" si="9"/>
        <v>#REF!</v>
      </c>
      <c r="H72" s="16" t="e">
        <f t="shared" si="9"/>
        <v>#REF!</v>
      </c>
      <c r="I72" s="16" t="e">
        <f t="shared" si="9"/>
        <v>#REF!</v>
      </c>
      <c r="J72" s="16" t="e">
        <f t="shared" si="9"/>
        <v>#REF!</v>
      </c>
      <c r="K72" s="16" t="e">
        <f t="shared" si="9"/>
        <v>#REF!</v>
      </c>
      <c r="L72" s="16" t="e">
        <f t="shared" si="9"/>
        <v>#REF!</v>
      </c>
      <c r="M72" s="16" t="e">
        <f>+M26+M56+M70</f>
        <v>#REF!</v>
      </c>
      <c r="N72" s="16" t="e">
        <f>+N26+N56+N70</f>
        <v>#REF!</v>
      </c>
      <c r="O72" s="16" t="e">
        <f>+O26+O56+O70</f>
        <v>#REF!</v>
      </c>
      <c r="P72" s="16" t="e">
        <f>SUM(C72:O72)/13</f>
        <v>#REF!</v>
      </c>
    </row>
    <row r="73" spans="1:18" ht="12" thickTop="1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1:18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8">
      <c r="A75" s="4" t="s">
        <v>160</v>
      </c>
      <c r="C75" s="8"/>
      <c r="D75" s="8"/>
      <c r="E75" s="8"/>
      <c r="F75" s="8"/>
      <c r="G75" s="8"/>
      <c r="H75" s="8"/>
      <c r="I75" s="8"/>
      <c r="J75" s="8"/>
      <c r="K75" s="9"/>
      <c r="L75" s="9"/>
      <c r="M75" s="8"/>
      <c r="N75" s="9"/>
      <c r="O75" s="9"/>
    </row>
    <row r="76" spans="1:18"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12" t="s">
        <v>225</v>
      </c>
    </row>
    <row r="77" spans="1:18">
      <c r="A77" s="4" t="s">
        <v>161</v>
      </c>
      <c r="P77" s="36" t="e">
        <f>+P4</f>
        <v>#REF!</v>
      </c>
      <c r="Q77" s="42">
        <f>+Q4</f>
        <v>0</v>
      </c>
    </row>
    <row r="78" spans="1:18">
      <c r="P78" s="12" t="s">
        <v>224</v>
      </c>
    </row>
    <row r="79" spans="1:18">
      <c r="A79" s="4" t="s">
        <v>19</v>
      </c>
    </row>
    <row r="81" spans="1:19">
      <c r="A81" s="4" t="s">
        <v>162</v>
      </c>
    </row>
    <row r="82" spans="1:19" ht="12.75">
      <c r="C82" t="str">
        <f>C8</f>
        <v>December</v>
      </c>
      <c r="D82" t="str">
        <f t="shared" ref="D82:O82" si="10">D8</f>
        <v>January</v>
      </c>
      <c r="E82" t="str">
        <f t="shared" si="10"/>
        <v>February</v>
      </c>
      <c r="F82" t="str">
        <f t="shared" si="10"/>
        <v>March</v>
      </c>
      <c r="G82" t="str">
        <f t="shared" si="10"/>
        <v>April</v>
      </c>
      <c r="H82" t="str">
        <f t="shared" si="10"/>
        <v xml:space="preserve">May </v>
      </c>
      <c r="I82" t="str">
        <f t="shared" si="10"/>
        <v>June</v>
      </c>
      <c r="J82" t="str">
        <f t="shared" si="10"/>
        <v>July</v>
      </c>
      <c r="K82" t="str">
        <f t="shared" si="10"/>
        <v>August</v>
      </c>
      <c r="L82" t="str">
        <f t="shared" si="10"/>
        <v>September</v>
      </c>
      <c r="M82" t="str">
        <f t="shared" si="10"/>
        <v>October</v>
      </c>
      <c r="N82" t="str">
        <f t="shared" si="10"/>
        <v>November</v>
      </c>
      <c r="O82" t="str">
        <f t="shared" si="10"/>
        <v>December</v>
      </c>
      <c r="P82" t="s">
        <v>220</v>
      </c>
    </row>
    <row r="83" spans="1:19" ht="12.75">
      <c r="A83" s="17" t="s">
        <v>163</v>
      </c>
      <c r="B83" s="17" t="s">
        <v>226</v>
      </c>
      <c r="C83">
        <f>C9</f>
        <v>2010</v>
      </c>
      <c r="D83">
        <f t="shared" ref="D83:O83" si="11">D9</f>
        <v>2011</v>
      </c>
      <c r="E83">
        <f t="shared" si="11"/>
        <v>2011</v>
      </c>
      <c r="F83">
        <f t="shared" si="11"/>
        <v>2011</v>
      </c>
      <c r="G83">
        <f t="shared" si="11"/>
        <v>2011</v>
      </c>
      <c r="H83">
        <f t="shared" si="11"/>
        <v>2011</v>
      </c>
      <c r="I83">
        <f t="shared" si="11"/>
        <v>2011</v>
      </c>
      <c r="J83">
        <f t="shared" si="11"/>
        <v>2011</v>
      </c>
      <c r="K83">
        <f t="shared" si="11"/>
        <v>2011</v>
      </c>
      <c r="L83">
        <f t="shared" si="11"/>
        <v>2011</v>
      </c>
      <c r="M83">
        <f t="shared" si="11"/>
        <v>2011</v>
      </c>
      <c r="N83">
        <f t="shared" si="11"/>
        <v>2011</v>
      </c>
      <c r="O83">
        <f t="shared" si="11"/>
        <v>2011</v>
      </c>
      <c r="P83" t="s">
        <v>221</v>
      </c>
    </row>
    <row r="85" spans="1:19" ht="12.75">
      <c r="A85" s="4">
        <v>1</v>
      </c>
      <c r="B85" s="4" t="s">
        <v>195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 s="14">
        <f>SUM(C85:O85)/13</f>
        <v>0</v>
      </c>
      <c r="Q85" s="4" t="s">
        <v>3</v>
      </c>
    </row>
    <row r="86" spans="1:19" ht="12.75">
      <c r="A86" s="4">
        <v>2</v>
      </c>
      <c r="B86" s="4" t="s">
        <v>196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 s="14">
        <f>SUM(C86:O86)/13</f>
        <v>0</v>
      </c>
      <c r="Q86" s="4" t="s">
        <v>3</v>
      </c>
    </row>
    <row r="87" spans="1:19" ht="12.75">
      <c r="A87" s="4">
        <v>3</v>
      </c>
      <c r="B87" s="4" t="s">
        <v>197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 s="14">
        <f>SUM(C87:O87)/13</f>
        <v>0</v>
      </c>
      <c r="Q87" s="4" t="s">
        <v>3</v>
      </c>
    </row>
    <row r="88" spans="1:19" ht="12.75">
      <c r="A88" s="4">
        <v>4</v>
      </c>
      <c r="B88" s="4" t="s">
        <v>198</v>
      </c>
      <c r="C88">
        <v>-80130808</v>
      </c>
      <c r="D88">
        <v>-81189460</v>
      </c>
      <c r="E88">
        <v>-81999895</v>
      </c>
      <c r="F88">
        <v>-82604569</v>
      </c>
      <c r="G88">
        <v>-83056958</v>
      </c>
      <c r="H88">
        <v>-83070638</v>
      </c>
      <c r="I88">
        <v>-83491506</v>
      </c>
      <c r="J88">
        <v>-83630023</v>
      </c>
      <c r="K88">
        <f>-83735805</f>
        <v>-83735805</v>
      </c>
      <c r="L88">
        <f>-83892675</f>
        <v>-83892675</v>
      </c>
      <c r="M88">
        <v>-84203588</v>
      </c>
      <c r="N88">
        <v>-84705586</v>
      </c>
      <c r="O88">
        <v>-85402781</v>
      </c>
      <c r="P88" s="19">
        <f>SUM(C88:O88)/13</f>
        <v>-83162637.84615384</v>
      </c>
      <c r="Q88" s="4" t="s">
        <v>3</v>
      </c>
      <c r="R88" s="8">
        <f>M88-N88</f>
        <v>501998</v>
      </c>
      <c r="S88" s="8">
        <f>N88-O88</f>
        <v>697195</v>
      </c>
    </row>
    <row r="89" spans="1:19">
      <c r="B89" s="4" t="s">
        <v>199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9"/>
      <c r="R89" s="4">
        <v>344897</v>
      </c>
    </row>
    <row r="90" spans="1:19">
      <c r="A90" s="4">
        <v>5</v>
      </c>
      <c r="B90" s="4" t="s">
        <v>200</v>
      </c>
      <c r="C90" s="8">
        <f t="shared" ref="C90:L90" si="12">SUM(C85:C88)</f>
        <v>-80130808</v>
      </c>
      <c r="D90" s="8">
        <f t="shared" si="12"/>
        <v>-81189460</v>
      </c>
      <c r="E90" s="8">
        <f t="shared" si="12"/>
        <v>-81999895</v>
      </c>
      <c r="F90" s="8">
        <f t="shared" si="12"/>
        <v>-82604569</v>
      </c>
      <c r="G90" s="8">
        <f t="shared" si="12"/>
        <v>-83056958</v>
      </c>
      <c r="H90" s="8">
        <f t="shared" si="12"/>
        <v>-83070638</v>
      </c>
      <c r="I90" s="8">
        <f t="shared" si="12"/>
        <v>-83491506</v>
      </c>
      <c r="J90" s="8">
        <f t="shared" si="12"/>
        <v>-83630023</v>
      </c>
      <c r="K90" s="8">
        <f t="shared" si="12"/>
        <v>-83735805</v>
      </c>
      <c r="L90" s="8">
        <f t="shared" si="12"/>
        <v>-83892675</v>
      </c>
      <c r="M90" s="8">
        <f>SUM(M85:M88)</f>
        <v>-84203588</v>
      </c>
      <c r="N90" s="8">
        <f>SUM(N85:N88)</f>
        <v>-84705586</v>
      </c>
      <c r="O90" s="8">
        <f>SUM(O85:O88)</f>
        <v>-85402781</v>
      </c>
      <c r="P90" s="14">
        <f>SUM(C90:O90)/13</f>
        <v>-83162637.84615384</v>
      </c>
      <c r="R90" s="8">
        <f>R88-R89</f>
        <v>157101</v>
      </c>
    </row>
    <row r="91" spans="1:19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9"/>
    </row>
    <row r="92" spans="1:19">
      <c r="A92" s="4">
        <v>6</v>
      </c>
      <c r="B92" s="4" t="s">
        <v>201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14">
        <f>SUM(C92:O92)/13</f>
        <v>0</v>
      </c>
    </row>
    <row r="93" spans="1:19">
      <c r="A93" s="4">
        <v>7</v>
      </c>
      <c r="B93" s="4" t="s">
        <v>202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14">
        <f>SUM(C93:O93)/13</f>
        <v>0</v>
      </c>
    </row>
    <row r="94" spans="1:19" ht="12.75">
      <c r="A94" s="4">
        <v>8</v>
      </c>
      <c r="B94" s="4" t="s">
        <v>203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 s="19">
        <f>SUM(C94:O94)/13</f>
        <v>0</v>
      </c>
    </row>
    <row r="95" spans="1:19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9"/>
    </row>
    <row r="96" spans="1:19" ht="12.75">
      <c r="A96" s="4">
        <v>9</v>
      </c>
      <c r="B96" s="4" t="s">
        <v>204</v>
      </c>
      <c r="C96">
        <f t="shared" ref="C96:L96" si="13">SUM(C92:C95)</f>
        <v>0</v>
      </c>
      <c r="D96">
        <f t="shared" si="13"/>
        <v>0</v>
      </c>
      <c r="E96">
        <f t="shared" si="13"/>
        <v>0</v>
      </c>
      <c r="F96">
        <f t="shared" si="13"/>
        <v>0</v>
      </c>
      <c r="G96">
        <f t="shared" si="13"/>
        <v>0</v>
      </c>
      <c r="H96">
        <f t="shared" si="13"/>
        <v>0</v>
      </c>
      <c r="I96">
        <f t="shared" si="13"/>
        <v>0</v>
      </c>
      <c r="J96">
        <f t="shared" si="13"/>
        <v>0</v>
      </c>
      <c r="K96">
        <f t="shared" si="13"/>
        <v>0</v>
      </c>
      <c r="L96">
        <f t="shared" si="13"/>
        <v>0</v>
      </c>
      <c r="M96">
        <f>SUM(M92:M95)</f>
        <v>0</v>
      </c>
      <c r="N96">
        <f>SUM(N92:N95)</f>
        <v>0</v>
      </c>
      <c r="O96">
        <f>SUM(O92:O95)</f>
        <v>0</v>
      </c>
      <c r="P96" s="19">
        <f>SUM(C96:O96)/13</f>
        <v>0</v>
      </c>
    </row>
    <row r="97" spans="1:18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9"/>
    </row>
    <row r="98" spans="1:18">
      <c r="A98" s="4">
        <v>10</v>
      </c>
      <c r="B98" s="4" t="s">
        <v>205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14">
        <f t="shared" ref="P98:P112" si="14">SUM(C98:O98)/13</f>
        <v>0</v>
      </c>
      <c r="Q98" s="4" t="s">
        <v>2</v>
      </c>
    </row>
    <row r="99" spans="1:18" ht="12.75">
      <c r="A99" s="4">
        <v>11</v>
      </c>
      <c r="B99" s="4" t="s">
        <v>206</v>
      </c>
      <c r="C99">
        <f>-Work_cap!C122-3549161</f>
        <v>-5566980</v>
      </c>
      <c r="D99">
        <f>-Work_cap!D122-3693080</f>
        <v>-4144502</v>
      </c>
      <c r="E99">
        <f>-Work_cap!E122-2938190</f>
        <v>-5548651</v>
      </c>
      <c r="F99">
        <f>-Work_cap!F122-2532250</f>
        <v>-3511617</v>
      </c>
      <c r="G99">
        <f>-Work_cap!G122-2256595</f>
        <v>-3889833</v>
      </c>
      <c r="H99">
        <f>-Work_cap!H122-1866938</f>
        <v>-4380345</v>
      </c>
      <c r="I99">
        <f>-Work_cap!I122-1661912</f>
        <v>-4152472</v>
      </c>
      <c r="J99">
        <f>-Work_cap!J122-1303094</f>
        <v>-3616043</v>
      </c>
      <c r="K99">
        <f>-Work_cap!K122-1700941</f>
        <v>-2785712</v>
      </c>
      <c r="L99">
        <f>-Work_cap!L122-1946801</f>
        <v>-2619467</v>
      </c>
      <c r="M99">
        <f>-Work_cap!M122-2131183</f>
        <v>-4673126</v>
      </c>
      <c r="N99">
        <f>-Work_cap!N122-3892884</f>
        <v>-5907901</v>
      </c>
      <c r="O99">
        <f>-Work_cap!O122-3415098</f>
        <v>-4681881</v>
      </c>
      <c r="P99" s="14">
        <f t="shared" si="14"/>
        <v>-4267579.230769231</v>
      </c>
      <c r="Q99" s="4" t="s">
        <v>2</v>
      </c>
      <c r="R99" s="4" t="s">
        <v>522</v>
      </c>
    </row>
    <row r="100" spans="1:18">
      <c r="A100" s="4">
        <v>12</v>
      </c>
      <c r="B100" s="4" t="s">
        <v>207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14">
        <f t="shared" si="14"/>
        <v>0</v>
      </c>
      <c r="Q100" s="4" t="s">
        <v>2</v>
      </c>
    </row>
    <row r="101" spans="1:18" ht="12.75">
      <c r="A101" s="4">
        <v>13</v>
      </c>
      <c r="B101" s="4" t="s">
        <v>508</v>
      </c>
      <c r="C101">
        <v>-1525378</v>
      </c>
      <c r="D101">
        <v>-1860362</v>
      </c>
      <c r="E101">
        <v>-1883863</v>
      </c>
      <c r="F101">
        <v>-1847709</v>
      </c>
      <c r="G101">
        <v>-1734310</v>
      </c>
      <c r="H101">
        <v>-2297990</v>
      </c>
      <c r="I101">
        <v>-2413050</v>
      </c>
      <c r="J101">
        <v>-2551059</v>
      </c>
      <c r="K101">
        <v>-1957259</v>
      </c>
      <c r="L101">
        <v>-1276414</v>
      </c>
      <c r="M101">
        <v>-1376911</v>
      </c>
      <c r="N101">
        <v>-897694</v>
      </c>
      <c r="O101">
        <v>-734160</v>
      </c>
      <c r="P101" s="14">
        <f t="shared" si="14"/>
        <v>-1719704.5384615385</v>
      </c>
      <c r="Q101" s="4" t="s">
        <v>2</v>
      </c>
      <c r="R101" t="s">
        <v>517</v>
      </c>
    </row>
    <row r="102" spans="1:18" ht="12.75">
      <c r="A102" s="4">
        <v>14</v>
      </c>
      <c r="B102" s="4" t="s">
        <v>300</v>
      </c>
      <c r="C102">
        <v>-7736833</v>
      </c>
      <c r="D102">
        <v>-7862787</v>
      </c>
      <c r="E102">
        <v>-8484849</v>
      </c>
      <c r="F102">
        <v>-8723798</v>
      </c>
      <c r="G102">
        <v>-8786930</v>
      </c>
      <c r="H102">
        <v>-8736089</v>
      </c>
      <c r="I102">
        <v>-8656409</v>
      </c>
      <c r="J102">
        <v>-8726475</v>
      </c>
      <c r="K102">
        <v>-8678627</v>
      </c>
      <c r="L102">
        <v>-8441586</v>
      </c>
      <c r="M102">
        <v>-8422232</v>
      </c>
      <c r="N102">
        <v>-8438250</v>
      </c>
      <c r="O102">
        <v>-7451122</v>
      </c>
      <c r="P102" s="14">
        <f t="shared" si="14"/>
        <v>-8395845.153846154</v>
      </c>
      <c r="Q102" s="4" t="s">
        <v>3</v>
      </c>
      <c r="R102" s="4" t="s">
        <v>517</v>
      </c>
    </row>
    <row r="103" spans="1:18" ht="12.75">
      <c r="A103" s="4">
        <v>15</v>
      </c>
      <c r="B103" s="4" t="s">
        <v>486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 s="14">
        <f t="shared" si="14"/>
        <v>0</v>
      </c>
      <c r="Q103" s="4" t="s">
        <v>2</v>
      </c>
      <c r="R103" s="4" t="s">
        <v>517</v>
      </c>
    </row>
    <row r="104" spans="1:18" ht="12.75">
      <c r="A104" s="4">
        <v>16</v>
      </c>
      <c r="B104" s="4" t="s">
        <v>208</v>
      </c>
      <c r="C104">
        <f>-Work_cap!C142-Work_cap!C143-Work_cap!C148-Work_cap!C153-Work_cap!C158-Work_cap!C164-Work_cap!C170-Work_cap!C194-1332874</f>
        <v>-1326427</v>
      </c>
      <c r="D104">
        <f>-Work_cap!D142-Work_cap!D143-Work_cap!D148-Work_cap!D153-Work_cap!D158-Work_cap!D164-Work_cap!D170-Work_cap!D194-1632926</f>
        <v>-1655509</v>
      </c>
      <c r="E104">
        <f>-Work_cap!E142-Work_cap!E143-Work_cap!E148-Work_cap!E153-Work_cap!E158-Work_cap!E164-Work_cap!E170-Work_cap!E194-1643314</f>
        <v>-1687917</v>
      </c>
      <c r="F104">
        <f>-Work_cap!F142-Work_cap!F143-Work_cap!F148-Work_cap!F153-Work_cap!F158-Work_cap!F164-Work_cap!F170-Work_cap!F194-1808097</f>
        <v>-1870723</v>
      </c>
      <c r="G104">
        <f>-Work_cap!G142-Work_cap!G143-Work_cap!G148-Work_cap!G153-Work_cap!G158-Work_cap!G164-Work_cap!G170-Work_cap!G194-1820405</f>
        <v>-1785991</v>
      </c>
      <c r="H104">
        <f>-Work_cap!H142-Work_cap!H143-Work_cap!H148-Work_cap!H153-Work_cap!H158-Work_cap!H164-Work_cap!H170-Work_cap!H194-1960462</f>
        <v>-1926775</v>
      </c>
      <c r="I104">
        <f>-Work_cap!I142-Work_cap!I143-Work_cap!I148-Work_cap!I153-Work_cap!I158-Work_cap!I164-Work_cap!I170-Work_cap!I194-2131696</f>
        <v>-2098839</v>
      </c>
      <c r="J104">
        <f>-Work_cap!J142-Work_cap!J143-Work_cap!J148-Work_cap!J153-Work_cap!J158-Work_cap!J164-Work_cap!J170-Work_cap!J194-1992236</f>
        <v>-1957644</v>
      </c>
      <c r="K104">
        <f>-Work_cap!K142-Work_cap!K143-Work_cap!K148-Work_cap!K153-Work_cap!K158-Work_cap!K164-Work_cap!K170-Work_cap!K194-2150739</f>
        <v>-2116147</v>
      </c>
      <c r="L104">
        <f>-Work_cap!L142-Work_cap!L143-Work_cap!L148-Work_cap!L153-Work_cap!L158-Work_cap!L164-Work_cap!L170-Work_cap!L194-2439291</f>
        <v>-2404699</v>
      </c>
      <c r="M104">
        <f>-Work_cap!M142-Work_cap!M143-Work_cap!M148-Work_cap!M153-Work_cap!M158-Work_cap!M164-Work_cap!M170-Work_cap!M194-2446430</f>
        <v>-2418749</v>
      </c>
      <c r="N104">
        <f>-Work_cap!N142-Work_cap!N143-Work_cap!N148-Work_cap!N153-Work_cap!N158-Work_cap!N164-Work_cap!N170-Work_cap!N194-1063669</f>
        <v>-1057506</v>
      </c>
      <c r="O104">
        <f>-Work_cap!O142-Work_cap!O143-Work_cap!O148-Work_cap!O153-Work_cap!O158-Work_cap!O164-Work_cap!O170-Work_cap!O194-1103619</f>
        <v>-1107778</v>
      </c>
      <c r="P104" s="14">
        <f t="shared" si="14"/>
        <v>-1801131.076923077</v>
      </c>
      <c r="Q104" s="4" t="s">
        <v>2</v>
      </c>
      <c r="R104" s="4" t="s">
        <v>516</v>
      </c>
    </row>
    <row r="105" spans="1:18" ht="12.75">
      <c r="A105" s="4">
        <v>17</v>
      </c>
      <c r="B105" s="4" t="s">
        <v>209</v>
      </c>
      <c r="C105">
        <f>-Work_cap!C176-Work_cap!C182-1134311</f>
        <v>-599264</v>
      </c>
      <c r="D105">
        <f>-Work_cap!D176-Work_cap!D182-1798437</f>
        <v>-1262228</v>
      </c>
      <c r="E105">
        <f>-Work_cap!E176-Work_cap!E182-2306380</f>
        <v>-1770259</v>
      </c>
      <c r="F105">
        <f>-Work_cap!F176-Work_cap!F182-1222004</f>
        <v>-460061</v>
      </c>
      <c r="G105">
        <f>-Work_cap!G176-Work_cap!G182-1497159</f>
        <v>-493942</v>
      </c>
      <c r="H105">
        <f>-Work_cap!H176-Work_cap!H182-1503632</f>
        <v>-516306</v>
      </c>
      <c r="I105">
        <f>-Work_cap!I176-Work_cap!I182-1121628</f>
        <v>-25863</v>
      </c>
      <c r="J105">
        <f>-Work_cap!J176-Work_cap!J182-1362194</f>
        <v>-268169</v>
      </c>
      <c r="K105">
        <f>-Work_cap!K176-Work_cap!K182-1132353</f>
        <v>-36786</v>
      </c>
      <c r="L105">
        <f>-Work_cap!L176-Work_cap!L182-1071081</f>
        <v>28227</v>
      </c>
      <c r="M105">
        <f>-Work_cap!M176-Work_cap!M182-1093079</f>
        <v>6260</v>
      </c>
      <c r="N105">
        <f>-Work_cap!N176-Work_cap!N182-1132876</f>
        <v>100047</v>
      </c>
      <c r="O105">
        <f>-Work_cap!O176-Work_cap!O182-1348341</f>
        <v>-36782</v>
      </c>
      <c r="P105" s="14">
        <f t="shared" si="14"/>
        <v>-410394.30769230769</v>
      </c>
      <c r="Q105" s="4" t="s">
        <v>2</v>
      </c>
      <c r="R105" s="4" t="s">
        <v>520</v>
      </c>
    </row>
    <row r="106" spans="1:18" ht="12.75">
      <c r="A106" s="4">
        <v>18</v>
      </c>
      <c r="B106" s="4" t="s">
        <v>493</v>
      </c>
      <c r="C106">
        <v>-362986</v>
      </c>
      <c r="D106">
        <v>-401428</v>
      </c>
      <c r="E106">
        <v>-365413</v>
      </c>
      <c r="F106">
        <v>-32665</v>
      </c>
      <c r="G106">
        <v>-76102</v>
      </c>
      <c r="H106">
        <v>-112638</v>
      </c>
      <c r="I106">
        <v>-146936</v>
      </c>
      <c r="J106">
        <v>-185522</v>
      </c>
      <c r="K106">
        <v>-221015</v>
      </c>
      <c r="L106">
        <v>-260417</v>
      </c>
      <c r="M106">
        <v>-293013</v>
      </c>
      <c r="N106">
        <v>-324193</v>
      </c>
      <c r="O106">
        <v>-332737</v>
      </c>
      <c r="P106" s="14">
        <f t="shared" si="14"/>
        <v>-239620.38461538462</v>
      </c>
      <c r="Q106" s="4" t="s">
        <v>2</v>
      </c>
      <c r="R106" s="4" t="s">
        <v>517</v>
      </c>
    </row>
    <row r="107" spans="1:18" ht="12.75">
      <c r="A107" s="4">
        <v>19</v>
      </c>
      <c r="B107" s="4" t="s">
        <v>494</v>
      </c>
      <c r="C107">
        <f>-Work_cap!C188</f>
        <v>-126570.08</v>
      </c>
      <c r="D107">
        <f>-Work_cap!D188</f>
        <v>-199651.4</v>
      </c>
      <c r="E107">
        <f>-Work_cap!E188</f>
        <v>-272732.2</v>
      </c>
      <c r="F107">
        <f>-Work_cap!F188</f>
        <v>-363641.72000000003</v>
      </c>
      <c r="G107">
        <f>-Work_cap!G188</f>
        <v>-157386.84</v>
      </c>
      <c r="H107">
        <f>-Work_cap!H188</f>
        <v>-41603.64</v>
      </c>
      <c r="I107">
        <f>-Work_cap!I188</f>
        <v>-114684.44</v>
      </c>
      <c r="J107">
        <f>-Work_cap!J188</f>
        <v>-187765.76000000001</v>
      </c>
      <c r="K107">
        <f>-Work_cap!K188</f>
        <v>-260846.56</v>
      </c>
      <c r="L107">
        <f>-Work_cap!L188</f>
        <v>-333927.36</v>
      </c>
      <c r="M107">
        <f>-Work_cap!M188</f>
        <v>-157386.84</v>
      </c>
      <c r="N107">
        <f>-Work_cap!N188</f>
        <v>-230467.64</v>
      </c>
      <c r="O107">
        <f>-Work_cap!O188</f>
        <v>-114684.44</v>
      </c>
      <c r="P107" s="14">
        <f t="shared" si="14"/>
        <v>-197026.84</v>
      </c>
      <c r="Q107" s="4" t="s">
        <v>2</v>
      </c>
      <c r="R107" s="4" t="s">
        <v>516</v>
      </c>
    </row>
    <row r="108" spans="1:18" ht="12.75">
      <c r="A108" s="4">
        <v>20</v>
      </c>
      <c r="B108" s="4" t="s">
        <v>485</v>
      </c>
      <c r="C108">
        <v>101048</v>
      </c>
      <c r="D108">
        <v>101048</v>
      </c>
      <c r="E108">
        <v>101048</v>
      </c>
      <c r="F108">
        <v>101048</v>
      </c>
      <c r="G108">
        <v>101048</v>
      </c>
      <c r="H108">
        <v>101048</v>
      </c>
      <c r="I108">
        <v>101048</v>
      </c>
      <c r="J108">
        <v>101048</v>
      </c>
      <c r="K108">
        <v>101048</v>
      </c>
      <c r="L108">
        <v>182048</v>
      </c>
      <c r="M108">
        <v>182048</v>
      </c>
      <c r="N108">
        <v>182048</v>
      </c>
      <c r="O108">
        <v>-126445</v>
      </c>
      <c r="P108" s="14">
        <f t="shared" si="14"/>
        <v>102240.84615384616</v>
      </c>
      <c r="Q108" s="4" t="s">
        <v>3</v>
      </c>
      <c r="R108" s="4" t="s">
        <v>517</v>
      </c>
    </row>
    <row r="109" spans="1:18" ht="12.75">
      <c r="A109" s="4">
        <v>21</v>
      </c>
      <c r="B109" s="4" t="s">
        <v>210</v>
      </c>
      <c r="C109">
        <f>-Work_cap!C116-Work_cap!C206-104361</f>
        <v>-230887</v>
      </c>
      <c r="D109">
        <f>-Work_cap!D116-Work_cap!D206-67198</f>
        <v>-212323</v>
      </c>
      <c r="E109">
        <f>-Work_cap!E116-Work_cap!E206-17032</f>
        <v>-157919</v>
      </c>
      <c r="F109">
        <f>-Work_cap!F116-Work_cap!F206-20667</f>
        <v>-157020</v>
      </c>
      <c r="G109">
        <f>-Work_cap!G116-Work_cap!G206-16050</f>
        <v>-158057</v>
      </c>
      <c r="H109">
        <f>-Work_cap!H116-Work_cap!H206-20908</f>
        <v>-168145</v>
      </c>
      <c r="I109">
        <f>-Work_cap!I116-Work_cap!I206-53065</f>
        <v>-205780</v>
      </c>
      <c r="J109">
        <f>-Work_cap!J116-Work_cap!J206-40644</f>
        <v>-198984</v>
      </c>
      <c r="K109">
        <f>-Work_cap!K116-Work_cap!K206-41625</f>
        <v>-203428</v>
      </c>
      <c r="L109">
        <f>-Work_cap!L116-Work_cap!L206-262610</f>
        <v>-415261</v>
      </c>
      <c r="M109">
        <f>-Work_cap!M116-Work_cap!M206-223551</f>
        <v>-372300</v>
      </c>
      <c r="N109">
        <f>-Work_cap!N116-Work_cap!N206-261641</f>
        <v>-414153</v>
      </c>
      <c r="O109">
        <f>-Work_cap!O116-Work_cap!O206-286204</f>
        <v>-438405</v>
      </c>
      <c r="P109" s="14">
        <f t="shared" si="14"/>
        <v>-256358.61538461538</v>
      </c>
      <c r="Q109" s="4" t="s">
        <v>2</v>
      </c>
      <c r="R109" s="4" t="s">
        <v>518</v>
      </c>
    </row>
    <row r="110" spans="1:18" ht="12.75">
      <c r="A110" s="4">
        <v>22</v>
      </c>
      <c r="B110" s="4" t="s">
        <v>457</v>
      </c>
      <c r="C110">
        <v>-165826</v>
      </c>
      <c r="D110">
        <v>-193488</v>
      </c>
      <c r="E110">
        <v>-308511</v>
      </c>
      <c r="F110">
        <v>-279508</v>
      </c>
      <c r="G110">
        <v>-194332</v>
      </c>
      <c r="H110">
        <v>-132164</v>
      </c>
      <c r="I110">
        <v>-33387</v>
      </c>
      <c r="J110">
        <v>29393</v>
      </c>
      <c r="K110">
        <v>140256</v>
      </c>
      <c r="L110">
        <v>0</v>
      </c>
      <c r="M110">
        <v>0</v>
      </c>
      <c r="N110">
        <v>0</v>
      </c>
      <c r="O110">
        <v>0</v>
      </c>
      <c r="P110" s="14">
        <f t="shared" si="14"/>
        <v>-87505.153846153844</v>
      </c>
      <c r="Q110" s="4" t="s">
        <v>2</v>
      </c>
      <c r="R110" s="4" t="s">
        <v>517</v>
      </c>
    </row>
    <row r="111" spans="1:18" ht="12.75">
      <c r="A111" s="4">
        <v>23</v>
      </c>
      <c r="B111" s="4" t="s">
        <v>458</v>
      </c>
      <c r="C111">
        <f>-Work_cap!C210-5971631-5611069</f>
        <v>-11582700</v>
      </c>
      <c r="D111">
        <f>-Work_cap!D210-5921342-5611069</f>
        <v>-11532411</v>
      </c>
      <c r="E111">
        <f>-Work_cap!E210-5898180-5611069</f>
        <v>-11509249</v>
      </c>
      <c r="F111">
        <f>-Work_cap!F210-5785891-5611069</f>
        <v>-11396960</v>
      </c>
      <c r="G111">
        <f>-Work_cap!G210-5788722-5611069</f>
        <v>-11399791</v>
      </c>
      <c r="H111">
        <f>-Work_cap!H210-5754413-5611069</f>
        <v>-11365482</v>
      </c>
      <c r="I111">
        <f>-Work_cap!I210-5603164-5611069</f>
        <v>-11214233</v>
      </c>
      <c r="J111">
        <f>-Work_cap!J210-5600633-5611069</f>
        <v>-11211702</v>
      </c>
      <c r="K111">
        <f>-Work_cap!K210-5520441-5611069</f>
        <v>-11131510</v>
      </c>
      <c r="L111">
        <f>-Work_cap!L210-5519855-5611069</f>
        <v>-11130924</v>
      </c>
      <c r="M111">
        <f>-Work_cap!M210-5463739-5611069</f>
        <v>-11074808</v>
      </c>
      <c r="N111">
        <f>-Work_cap!N210-5423764-5611069</f>
        <v>-11034833</v>
      </c>
      <c r="O111">
        <f>-Work_cap!O210-5429799-5611069</f>
        <v>-11040868</v>
      </c>
      <c r="P111" s="14">
        <f t="shared" si="14"/>
        <v>-11278882.384615384</v>
      </c>
      <c r="Q111" s="4" t="s">
        <v>2</v>
      </c>
      <c r="R111" s="4" t="s">
        <v>517</v>
      </c>
    </row>
    <row r="112" spans="1:18" ht="12.75">
      <c r="A112" s="4">
        <v>24</v>
      </c>
      <c r="B112" s="4" t="s">
        <v>497</v>
      </c>
      <c r="C112">
        <f>-Work_cap!C129-Work_cap!C200</f>
        <v>-1203530</v>
      </c>
      <c r="D112">
        <f>-Work_cap!D129-Work_cap!D200</f>
        <v>-1215196</v>
      </c>
      <c r="E112">
        <f>-Work_cap!E129-Work_cap!E200</f>
        <v>-1298432</v>
      </c>
      <c r="F112">
        <f>-Work_cap!F129-Work_cap!F200</f>
        <v>-1306001</v>
      </c>
      <c r="G112">
        <f>-Work_cap!G129-Work_cap!G200</f>
        <v>-1274694</v>
      </c>
      <c r="H112">
        <f>-Work_cap!H129-Work_cap!H200</f>
        <v>-1532181</v>
      </c>
      <c r="I112">
        <f>-Work_cap!I129-Work_cap!I200</f>
        <v>-1020947</v>
      </c>
      <c r="J112">
        <f>-Work_cap!J129-Work_cap!J200</f>
        <v>-1124378</v>
      </c>
      <c r="K112">
        <f>-Work_cap!K129-Work_cap!K200</f>
        <v>-1150957</v>
      </c>
      <c r="L112">
        <f>-Work_cap!L129-Work_cap!L200</f>
        <v>-1253185</v>
      </c>
      <c r="M112">
        <f>-Work_cap!M129-Work_cap!M200</f>
        <v>-1299895</v>
      </c>
      <c r="N112">
        <f>-Work_cap!N129-Work_cap!N200</f>
        <v>-1403530</v>
      </c>
      <c r="O112">
        <f>-Work_cap!O129-Work_cap!O200</f>
        <v>-1301955</v>
      </c>
      <c r="P112" s="19">
        <f t="shared" si="14"/>
        <v>-1260375.4615384615</v>
      </c>
      <c r="Q112" s="4" t="s">
        <v>2</v>
      </c>
      <c r="R112" s="4" t="s">
        <v>516</v>
      </c>
    </row>
    <row r="113" spans="1:18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9"/>
    </row>
    <row r="114" spans="1:18" ht="12.75">
      <c r="A114" s="4">
        <v>25</v>
      </c>
      <c r="B114" s="4" t="s">
        <v>211</v>
      </c>
      <c r="C114">
        <f t="shared" ref="C114:L114" si="15">SUM(C98:C112)</f>
        <v>-30326333.079999998</v>
      </c>
      <c r="D114">
        <f t="shared" si="15"/>
        <v>-30438837.399999999</v>
      </c>
      <c r="E114">
        <f t="shared" si="15"/>
        <v>-33186747.199999999</v>
      </c>
      <c r="F114">
        <f t="shared" si="15"/>
        <v>-29848655.719999999</v>
      </c>
      <c r="G114">
        <f t="shared" si="15"/>
        <v>-29850320.84</v>
      </c>
      <c r="H114">
        <f t="shared" si="15"/>
        <v>-31108670.640000001</v>
      </c>
      <c r="I114">
        <f t="shared" si="15"/>
        <v>-29981552.440000001</v>
      </c>
      <c r="J114">
        <f t="shared" si="15"/>
        <v>-29897300.760000002</v>
      </c>
      <c r="K114">
        <f t="shared" si="15"/>
        <v>-28300983.560000002</v>
      </c>
      <c r="L114">
        <f t="shared" si="15"/>
        <v>-27925605.359999999</v>
      </c>
      <c r="M114">
        <f>SUM(M98:M112)</f>
        <v>-29900112.84</v>
      </c>
      <c r="N114">
        <f>SUM(N98:N112)</f>
        <v>-29426432.640000001</v>
      </c>
      <c r="O114">
        <f>SUM(O98:O112)</f>
        <v>-27366817.439999998</v>
      </c>
      <c r="P114" s="19">
        <f>SUM(C114:O114)/13</f>
        <v>-29812182.30153846</v>
      </c>
      <c r="Q114" s="9"/>
    </row>
    <row r="115" spans="1:18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9"/>
    </row>
    <row r="116" spans="1:18" ht="12.75">
      <c r="A116" s="4">
        <v>26</v>
      </c>
      <c r="B116" s="4" t="s">
        <v>212</v>
      </c>
      <c r="C116">
        <v>-2044670</v>
      </c>
      <c r="D116">
        <v>-2745870</v>
      </c>
      <c r="E116">
        <v>-2076720</v>
      </c>
      <c r="F116">
        <v>-2215863</v>
      </c>
      <c r="G116">
        <v>-2223536</v>
      </c>
      <c r="H116">
        <v>-2223792</v>
      </c>
      <c r="I116">
        <v>-2228942</v>
      </c>
      <c r="J116">
        <v>-2228978</v>
      </c>
      <c r="K116">
        <v>-2230359</v>
      </c>
      <c r="L116">
        <v>-2244953</v>
      </c>
      <c r="M116">
        <v>-2245275</v>
      </c>
      <c r="N116">
        <v>-2416489</v>
      </c>
      <c r="O116">
        <v>-2445079</v>
      </c>
      <c r="P116" s="14">
        <f>SUM(C116:O116)/13</f>
        <v>-2274655.846153846</v>
      </c>
      <c r="Q116" s="4" t="s">
        <v>117</v>
      </c>
      <c r="R116" s="4" t="s">
        <v>517</v>
      </c>
    </row>
    <row r="117" spans="1:18" ht="12.75">
      <c r="A117" s="4">
        <v>27</v>
      </c>
      <c r="B117" s="4" t="s">
        <v>462</v>
      </c>
      <c r="C117">
        <f>-Work_cap!C109-Work_cap!C110-798204</f>
        <v>-798204</v>
      </c>
      <c r="D117">
        <f>-Work_cap!D109-Work_cap!D110-800443</f>
        <v>-800443</v>
      </c>
      <c r="E117">
        <f>-Work_cap!E109-Work_cap!E110-800943</f>
        <v>-800943</v>
      </c>
      <c r="F117">
        <f>-Work_cap!F109-Work_cap!F110-801443</f>
        <v>-801443</v>
      </c>
      <c r="G117">
        <f>-Work_cap!G109-Work_cap!G110-801943</f>
        <v>-801943</v>
      </c>
      <c r="H117">
        <f>-Work_cap!H109-Work_cap!H110-802443</f>
        <v>-802443</v>
      </c>
      <c r="I117">
        <f>-Work_cap!I109-Work_cap!I110-802943</f>
        <v>-802943</v>
      </c>
      <c r="J117">
        <f>-Work_cap!J109-Work_cap!J110-803443</f>
        <v>-803443</v>
      </c>
      <c r="K117">
        <f>-Work_cap!K109-Work_cap!K110-803943</f>
        <v>-803943</v>
      </c>
      <c r="L117">
        <f>-Work_cap!L109-Work_cap!L110-804443</f>
        <v>-804443</v>
      </c>
      <c r="M117">
        <f>-Work_cap!M109-Work_cap!M110-804943</f>
        <v>-804943</v>
      </c>
      <c r="N117">
        <f>-Work_cap!N109-Work_cap!N110-805443</f>
        <v>-805443</v>
      </c>
      <c r="O117">
        <f>-Work_cap!O109-Work_cap!O110-805943</f>
        <v>-805943</v>
      </c>
      <c r="P117" s="14">
        <f>SUM(C117:O117)/13</f>
        <v>-802809.23076923075</v>
      </c>
      <c r="Q117" s="4" t="s">
        <v>2</v>
      </c>
      <c r="R117" s="4" t="s">
        <v>520</v>
      </c>
    </row>
    <row r="118" spans="1:18">
      <c r="A118" s="4">
        <v>28</v>
      </c>
      <c r="B118" s="4" t="s">
        <v>213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14">
        <f>SUM(C118:O118)/13</f>
        <v>0</v>
      </c>
      <c r="Q118" s="4" t="s">
        <v>2</v>
      </c>
    </row>
    <row r="119" spans="1:18" ht="12.75">
      <c r="A119" s="4">
        <v>30</v>
      </c>
      <c r="B119" s="4" t="s">
        <v>214</v>
      </c>
      <c r="C119">
        <f>-Work_cap!C92-Work_cap!C98-Work_cap!C104</f>
        <v>-8053473</v>
      </c>
      <c r="D119">
        <f>-Work_cap!D92-Work_cap!D98-Work_cap!D104</f>
        <v>-7935893</v>
      </c>
      <c r="E119">
        <f>-Work_cap!E92-Work_cap!E98-Work_cap!E104</f>
        <v>-7937883</v>
      </c>
      <c r="F119">
        <f>-Work_cap!F92-Work_cap!F98-Work_cap!F104</f>
        <v>-7941309</v>
      </c>
      <c r="G119">
        <f>-Work_cap!G92-Work_cap!G98-Work_cap!G104</f>
        <v>-7808775</v>
      </c>
      <c r="H119">
        <f>-Work_cap!H92-Work_cap!H98-Work_cap!H104</f>
        <v>-7824291</v>
      </c>
      <c r="I119">
        <f>-Work_cap!I92-Work_cap!I98-Work_cap!I104</f>
        <v>-7814366</v>
      </c>
      <c r="J119">
        <f>-Work_cap!J92-Work_cap!J98-Work_cap!J104</f>
        <v>-7673635</v>
      </c>
      <c r="K119">
        <f>-Work_cap!K92-Work_cap!K98-Work_cap!K104</f>
        <v>-7687375</v>
      </c>
      <c r="L119">
        <f>-Work_cap!L92-Work_cap!L98-Work_cap!L104</f>
        <v>-7613545</v>
      </c>
      <c r="M119">
        <f>-Work_cap!M92-Work_cap!M98-Work_cap!M104</f>
        <v>-7486789</v>
      </c>
      <c r="N119">
        <f>-Work_cap!N92-Work_cap!N98-Work_cap!N104</f>
        <v>-7416189</v>
      </c>
      <c r="O119">
        <f>-Work_cap!O92-Work_cap!O98-Work_cap!O104</f>
        <v>-12667632</v>
      </c>
      <c r="P119" s="19">
        <f>SUM(C119:O119)/13</f>
        <v>-8143165.769230769</v>
      </c>
      <c r="Q119" s="4" t="s">
        <v>2</v>
      </c>
      <c r="R119" s="4" t="s">
        <v>517</v>
      </c>
    </row>
    <row r="120" spans="1:18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9"/>
    </row>
    <row r="121" spans="1:18" ht="12.75">
      <c r="A121" s="4">
        <v>31</v>
      </c>
      <c r="B121" s="4" t="s">
        <v>215</v>
      </c>
      <c r="C121">
        <f t="shared" ref="C121:L121" si="16">SUM(C116:C120)</f>
        <v>-10896347</v>
      </c>
      <c r="D121">
        <f t="shared" si="16"/>
        <v>-11482206</v>
      </c>
      <c r="E121">
        <f t="shared" si="16"/>
        <v>-10815546</v>
      </c>
      <c r="F121">
        <f t="shared" si="16"/>
        <v>-10958615</v>
      </c>
      <c r="G121">
        <f t="shared" si="16"/>
        <v>-10834254</v>
      </c>
      <c r="H121">
        <f t="shared" si="16"/>
        <v>-10850526</v>
      </c>
      <c r="I121">
        <f t="shared" si="16"/>
        <v>-10846251</v>
      </c>
      <c r="J121">
        <f t="shared" si="16"/>
        <v>-10706056</v>
      </c>
      <c r="K121">
        <f t="shared" si="16"/>
        <v>-10721677</v>
      </c>
      <c r="L121">
        <f t="shared" si="16"/>
        <v>-10662941</v>
      </c>
      <c r="M121">
        <f>SUM(M116:M120)</f>
        <v>-10537007</v>
      </c>
      <c r="N121">
        <f>SUM(N116:N120)</f>
        <v>-10638121</v>
      </c>
      <c r="O121">
        <f>SUM(O116:O120)</f>
        <v>-15918654</v>
      </c>
      <c r="P121" s="19">
        <f>SUM(C121:O121)/13</f>
        <v>-11220630.846153846</v>
      </c>
    </row>
    <row r="122" spans="1:18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9"/>
    </row>
    <row r="123" spans="1:18" ht="12.75">
      <c r="A123" s="4">
        <v>32</v>
      </c>
      <c r="B123" s="4" t="s">
        <v>216</v>
      </c>
      <c r="C123">
        <f>-Work_cap!C214-11599833</f>
        <v>-10944329</v>
      </c>
      <c r="D123">
        <f>-Work_cap!D214-11603281</f>
        <v>-10947777</v>
      </c>
      <c r="E123">
        <f>-Work_cap!E214-11606729</f>
        <v>-10951225</v>
      </c>
      <c r="F123">
        <f>-Work_cap!F214-13141332</f>
        <v>-12456152</v>
      </c>
      <c r="G123">
        <f>-Work_cap!G214-13145782</f>
        <v>-12460602</v>
      </c>
      <c r="H123">
        <f>-Work_cap!H214-13149727</f>
        <v>-12464547</v>
      </c>
      <c r="I123">
        <f>-Work_cap!I214-13796465</f>
        <v>-13124483</v>
      </c>
      <c r="J123">
        <f>-Work_cap!J214-13644952</f>
        <v>-13099630</v>
      </c>
      <c r="K123">
        <f>-Work_cap!K214-13946088</f>
        <v>-13275722</v>
      </c>
      <c r="L123">
        <f>-Work_cap!L214-14188190</f>
        <v>-13520752</v>
      </c>
      <c r="M123">
        <f>-Work_cap!M214-14363046</f>
        <v>-13695433</v>
      </c>
      <c r="N123">
        <f>-Work_cap!N214-14644937</f>
        <v>-13977323</v>
      </c>
      <c r="O123">
        <f>-Work_cap!O214-32951856+18090087</f>
        <v>-13848164</v>
      </c>
      <c r="P123" s="14">
        <f>SUM(C123:O123)/13</f>
        <v>-12674318.384615384</v>
      </c>
      <c r="Q123" s="4" t="s">
        <v>3</v>
      </c>
      <c r="R123" s="8" t="s">
        <v>518</v>
      </c>
    </row>
    <row r="124" spans="1:18" ht="12.75">
      <c r="A124" s="4">
        <v>33</v>
      </c>
      <c r="B124" s="4" t="s">
        <v>217</v>
      </c>
      <c r="C124">
        <v>-67301</v>
      </c>
      <c r="D124">
        <v>-65215</v>
      </c>
      <c r="E124">
        <v>-63130</v>
      </c>
      <c r="F124">
        <v>-61044</v>
      </c>
      <c r="G124">
        <v>-58959</v>
      </c>
      <c r="H124">
        <v>-56873</v>
      </c>
      <c r="I124">
        <v>-54788</v>
      </c>
      <c r="J124">
        <v>-52702</v>
      </c>
      <c r="K124">
        <v>-50617</v>
      </c>
      <c r="L124">
        <v>-48532</v>
      </c>
      <c r="M124">
        <v>-46446</v>
      </c>
      <c r="N124">
        <v>-44361</v>
      </c>
      <c r="O124">
        <v>-42275</v>
      </c>
      <c r="P124" s="14">
        <f>SUM(C124:O124)/13</f>
        <v>-54787.923076923078</v>
      </c>
      <c r="Q124" s="4" t="s">
        <v>3</v>
      </c>
      <c r="R124" s="4" t="s">
        <v>517</v>
      </c>
    </row>
    <row r="125" spans="1:18" ht="12.75">
      <c r="A125" s="4">
        <v>34</v>
      </c>
      <c r="B125" s="4" t="s">
        <v>463</v>
      </c>
      <c r="C125">
        <v>-5528208</v>
      </c>
      <c r="D125">
        <v>-5561287</v>
      </c>
      <c r="E125">
        <v>-5594366</v>
      </c>
      <c r="F125">
        <v>-5627445</v>
      </c>
      <c r="G125">
        <v>-5650339</v>
      </c>
      <c r="H125">
        <v>-5589388</v>
      </c>
      <c r="I125">
        <v>-5626480</v>
      </c>
      <c r="J125">
        <v>-5624488</v>
      </c>
      <c r="K125">
        <v>-5652789</v>
      </c>
      <c r="L125">
        <v>-5668400</v>
      </c>
      <c r="M125">
        <v>-5692937</v>
      </c>
      <c r="N125">
        <v>-5732125</v>
      </c>
      <c r="O125">
        <v>-5738000</v>
      </c>
      <c r="P125" s="19">
        <f>SUM(C125:O125)/13</f>
        <v>-5637404</v>
      </c>
      <c r="Q125" s="4" t="s">
        <v>117</v>
      </c>
      <c r="R125" s="4" t="s">
        <v>517</v>
      </c>
    </row>
    <row r="126" spans="1:18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9"/>
    </row>
    <row r="127" spans="1:18" ht="12.75">
      <c r="A127" s="4">
        <v>35</v>
      </c>
      <c r="B127" s="4" t="s">
        <v>218</v>
      </c>
      <c r="C127">
        <f t="shared" ref="C127:L127" si="17">SUM(C121:C125)</f>
        <v>-27436185</v>
      </c>
      <c r="D127">
        <f t="shared" si="17"/>
        <v>-28056485</v>
      </c>
      <c r="E127">
        <f t="shared" si="17"/>
        <v>-27424267</v>
      </c>
      <c r="F127">
        <f t="shared" si="17"/>
        <v>-29103256</v>
      </c>
      <c r="G127">
        <f t="shared" si="17"/>
        <v>-29004154</v>
      </c>
      <c r="H127">
        <f t="shared" si="17"/>
        <v>-28961334</v>
      </c>
      <c r="I127">
        <f t="shared" si="17"/>
        <v>-29652002</v>
      </c>
      <c r="J127">
        <f t="shared" si="17"/>
        <v>-29482876</v>
      </c>
      <c r="K127">
        <f t="shared" si="17"/>
        <v>-29700805</v>
      </c>
      <c r="L127">
        <f t="shared" si="17"/>
        <v>-29900625</v>
      </c>
      <c r="M127">
        <f>SUM(M121:M125)</f>
        <v>-29971823</v>
      </c>
      <c r="N127">
        <f>SUM(N121:N125)</f>
        <v>-30391930</v>
      </c>
      <c r="O127">
        <f>SUM(O121:O125)</f>
        <v>-35547093</v>
      </c>
      <c r="P127" s="19">
        <f>SUM(C127:O127)/13</f>
        <v>-29587141.153846152</v>
      </c>
      <c r="Q127" s="9"/>
    </row>
    <row r="128" spans="1:18" ht="12.75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/>
    </row>
    <row r="129" spans="1:16" ht="12" thickBot="1">
      <c r="A129" s="4">
        <v>36</v>
      </c>
      <c r="B129" s="4" t="s">
        <v>219</v>
      </c>
      <c r="C129" s="16">
        <f t="shared" ref="C129:L129" si="18">+C127+C114+C95+C90</f>
        <v>-137893326.07999998</v>
      </c>
      <c r="D129" s="16">
        <f t="shared" si="18"/>
        <v>-139684782.40000001</v>
      </c>
      <c r="E129" s="16">
        <f t="shared" si="18"/>
        <v>-142610909.19999999</v>
      </c>
      <c r="F129" s="16">
        <f t="shared" si="18"/>
        <v>-141556480.72</v>
      </c>
      <c r="G129" s="16">
        <f t="shared" si="18"/>
        <v>-141911432.84</v>
      </c>
      <c r="H129" s="16">
        <f t="shared" si="18"/>
        <v>-143140642.63999999</v>
      </c>
      <c r="I129" s="16">
        <f t="shared" si="18"/>
        <v>-143125060.44</v>
      </c>
      <c r="J129" s="16">
        <f t="shared" si="18"/>
        <v>-143010199.75999999</v>
      </c>
      <c r="K129" s="16">
        <f t="shared" si="18"/>
        <v>-141737593.56</v>
      </c>
      <c r="L129" s="16">
        <f t="shared" si="18"/>
        <v>-141718905.36000001</v>
      </c>
      <c r="M129" s="16">
        <f>+M127+M114+M95+M90</f>
        <v>-144075523.84</v>
      </c>
      <c r="N129" s="16">
        <f>+N127+N114+N95+N90</f>
        <v>-144523948.63999999</v>
      </c>
      <c r="O129" s="16">
        <f>+O127+O114+O95+O90</f>
        <v>-148316691.44</v>
      </c>
      <c r="P129" s="16">
        <f>SUM(C129:O129)/13</f>
        <v>-142561961.30153847</v>
      </c>
    </row>
    <row r="130" spans="1:16" ht="12" thickTop="1">
      <c r="F130" s="9"/>
      <c r="G130" s="9"/>
    </row>
    <row r="131" spans="1:16" ht="12.75">
      <c r="C131" t="e">
        <f>+C129+C72</f>
        <v>#REF!</v>
      </c>
      <c r="D131" t="e">
        <f t="shared" ref="D131:I131" si="19">+D129+D72</f>
        <v>#REF!</v>
      </c>
      <c r="E131" t="e">
        <f t="shared" si="19"/>
        <v>#REF!</v>
      </c>
      <c r="F131" t="e">
        <f t="shared" si="19"/>
        <v>#REF!</v>
      </c>
      <c r="G131" t="e">
        <f t="shared" si="19"/>
        <v>#REF!</v>
      </c>
      <c r="H131" t="e">
        <f t="shared" si="19"/>
        <v>#REF!</v>
      </c>
      <c r="I131" t="e">
        <f t="shared" si="19"/>
        <v>#REF!</v>
      </c>
      <c r="J131" t="e">
        <f t="shared" ref="J131:P131" si="20">+J129+J72</f>
        <v>#REF!</v>
      </c>
      <c r="K131" t="e">
        <f t="shared" si="20"/>
        <v>#REF!</v>
      </c>
      <c r="L131" t="e">
        <f t="shared" si="20"/>
        <v>#REF!</v>
      </c>
      <c r="M131" t="e">
        <f t="shared" si="20"/>
        <v>#REF!</v>
      </c>
      <c r="N131" t="e">
        <f>+N129+N72</f>
        <v>#REF!</v>
      </c>
      <c r="O131" t="e">
        <f>+O129+O72</f>
        <v>#REF!</v>
      </c>
      <c r="P131" t="e">
        <f t="shared" si="20"/>
        <v>#REF!</v>
      </c>
    </row>
    <row r="132" spans="1:16" ht="12.75"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6">
      <c r="O133" s="9"/>
      <c r="P133" s="9"/>
    </row>
    <row r="134" spans="1:16" ht="12.7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/>
      <c r="O134"/>
    </row>
    <row r="138" spans="1:16" ht="12.75">
      <c r="B138" s="4" t="s">
        <v>523</v>
      </c>
      <c r="C138">
        <f>+C34+C35+C36+C37+C38+C39+C40+C41+C42+C43+C44+C45+C46+C48+C49+C50+C51+C52+C53+C54+C58+C59+C60+C61+C62+C63+C64+C65+C66+C67+C68</f>
        <v>23219808</v>
      </c>
      <c r="D138">
        <f t="shared" ref="D138:P138" si="21">+D34+D35+D36+D37+D38+D39+D40+D41+D42+D43+D44+D45+D46+D48+D49+D50+D51+D52+D53+D54+D58+D59+D60+D61+D62+D63+D64+D65+D66+D67+D68</f>
        <v>24905685</v>
      </c>
      <c r="E138">
        <f t="shared" si="21"/>
        <v>24101610</v>
      </c>
      <c r="F138">
        <f t="shared" si="21"/>
        <v>22409826</v>
      </c>
      <c r="G138">
        <f t="shared" si="21"/>
        <v>21295012</v>
      </c>
      <c r="H138">
        <f t="shared" si="21"/>
        <v>20631717</v>
      </c>
      <c r="I138">
        <f t="shared" si="21"/>
        <v>19843422</v>
      </c>
      <c r="J138">
        <f t="shared" si="21"/>
        <v>19828137</v>
      </c>
      <c r="K138">
        <f t="shared" si="21"/>
        <v>19454157</v>
      </c>
      <c r="L138">
        <f t="shared" si="21"/>
        <v>19076360</v>
      </c>
      <c r="M138">
        <f t="shared" si="21"/>
        <v>19595000</v>
      </c>
      <c r="N138">
        <f t="shared" si="21"/>
        <v>22176577</v>
      </c>
      <c r="O138">
        <f t="shared" si="21"/>
        <v>29406657</v>
      </c>
      <c r="P138">
        <f t="shared" si="21"/>
        <v>21995689.846153844</v>
      </c>
    </row>
    <row r="141" spans="1:16">
      <c r="B141" s="4" t="s">
        <v>524</v>
      </c>
      <c r="C141" s="8">
        <f>+C98+C99+C100+C101+C103+C104+C105+C106+C107+C109+C110+C111+C112+C117+C118+C119</f>
        <v>-31542225.079999998</v>
      </c>
      <c r="D141" s="8">
        <f t="shared" ref="D141:P141" si="22">+D98+D99+D100+D101+D103+D104+D105+D106+D107+D109+D110+D111+D112+D117+D118+D119</f>
        <v>-31413434.399999999</v>
      </c>
      <c r="E141" s="8">
        <f t="shared" si="22"/>
        <v>-33541772.199999999</v>
      </c>
      <c r="F141" s="8">
        <f t="shared" si="22"/>
        <v>-29968657.719999999</v>
      </c>
      <c r="G141" s="8">
        <f t="shared" si="22"/>
        <v>-29775156.84</v>
      </c>
      <c r="H141" s="8">
        <f t="shared" si="22"/>
        <v>-31100363.640000001</v>
      </c>
      <c r="I141" s="8">
        <f t="shared" si="22"/>
        <v>-30043500.439999998</v>
      </c>
      <c r="J141" s="8">
        <f t="shared" si="22"/>
        <v>-29748951.759999998</v>
      </c>
      <c r="K141" s="8">
        <f t="shared" si="22"/>
        <v>-28214722.559999999</v>
      </c>
      <c r="L141" s="8">
        <f t="shared" si="22"/>
        <v>-28084055.359999999</v>
      </c>
      <c r="M141" s="8">
        <f t="shared" si="22"/>
        <v>-29951660.84</v>
      </c>
      <c r="N141" s="8">
        <f t="shared" si="22"/>
        <v>-29391862.640000001</v>
      </c>
      <c r="O141" s="8">
        <f>+O98+O99+O100+O101+O103+O104+O105+O106+O107+O109+O110+O111+O112+O117+O118+O119</f>
        <v>-33262825.440000001</v>
      </c>
      <c r="P141" s="8">
        <f t="shared" si="22"/>
        <v>-30464552.993846152</v>
      </c>
    </row>
    <row r="144" spans="1:16" ht="12.75">
      <c r="C144">
        <f>SUM(C138:C143)</f>
        <v>-8322417.0799999982</v>
      </c>
      <c r="D144">
        <f t="shared" ref="D144:P144" si="23">SUM(D138:D143)</f>
        <v>-6507749.3999999985</v>
      </c>
      <c r="E144">
        <f t="shared" si="23"/>
        <v>-9440162.1999999993</v>
      </c>
      <c r="F144">
        <f t="shared" si="23"/>
        <v>-7558831.7199999988</v>
      </c>
      <c r="G144">
        <f t="shared" si="23"/>
        <v>-8480144.8399999999</v>
      </c>
      <c r="H144">
        <f t="shared" si="23"/>
        <v>-10468646.640000001</v>
      </c>
      <c r="I144">
        <f t="shared" si="23"/>
        <v>-10200078.439999998</v>
      </c>
      <c r="J144">
        <f t="shared" si="23"/>
        <v>-9920814.7599999979</v>
      </c>
      <c r="K144">
        <f t="shared" si="23"/>
        <v>-8760565.5599999987</v>
      </c>
      <c r="L144">
        <f t="shared" si="23"/>
        <v>-9007695.3599999994</v>
      </c>
      <c r="M144">
        <f t="shared" si="23"/>
        <v>-10356660.84</v>
      </c>
      <c r="N144">
        <f t="shared" si="23"/>
        <v>-7215285.6400000006</v>
      </c>
      <c r="O144">
        <f t="shared" si="23"/>
        <v>-3856168.4400000013</v>
      </c>
      <c r="P144">
        <f t="shared" si="23"/>
        <v>-8468863.1476923078</v>
      </c>
    </row>
  </sheetData>
  <mergeCells count="1">
    <mergeCell ref="O3:P3"/>
  </mergeCells>
  <phoneticPr fontId="0" type="noConversion"/>
  <printOptions headings="1"/>
  <pageMargins left="0.17" right="0.17" top="0.32" bottom="0.28000000000000003" header="0.25" footer="0.17"/>
  <pageSetup scale="58" fitToHeight="0" orientation="landscape" r:id="rId1"/>
  <headerFooter alignWithMargins="0"/>
  <rowBreaks count="1" manualBreakCount="1">
    <brk id="73" max="1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M61"/>
  <sheetViews>
    <sheetView tabSelected="1" view="pageBreakPreview" zoomScaleNormal="100" zoomScaleSheetLayoutView="100" workbookViewId="0">
      <selection activeCell="D41" sqref="D41"/>
    </sheetView>
  </sheetViews>
  <sheetFormatPr defaultColWidth="9.140625" defaultRowHeight="15"/>
  <cols>
    <col min="1" max="1" width="18.5703125" style="44" bestFit="1" customWidth="1"/>
    <col min="2" max="2" width="9.140625" style="44"/>
    <col min="3" max="3" width="13.140625" style="44" customWidth="1"/>
    <col min="4" max="4" width="16.28515625" style="44" bestFit="1" customWidth="1"/>
    <col min="5" max="5" width="9.140625" style="44"/>
    <col min="6" max="6" width="14.85546875" style="44" bestFit="1" customWidth="1"/>
    <col min="7" max="7" width="9.140625" style="44"/>
    <col min="8" max="8" width="16.42578125" style="44" customWidth="1"/>
    <col min="9" max="9" width="9.140625" style="44"/>
    <col min="10" max="10" width="14.42578125" style="44" customWidth="1"/>
    <col min="11" max="11" width="9.140625" style="44"/>
    <col min="12" max="12" width="14.5703125" style="44" customWidth="1"/>
    <col min="13" max="16384" width="9.140625" style="44"/>
  </cols>
  <sheetData>
    <row r="1" spans="1:13">
      <c r="A1" s="43" t="s">
        <v>469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 t="s">
        <v>31</v>
      </c>
    </row>
    <row r="2" spans="1:13">
      <c r="A2" s="43" t="s">
        <v>470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3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3">
      <c r="A4" s="95" t="s">
        <v>560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3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>
      <c r="A6" s="43"/>
      <c r="B6" s="43"/>
      <c r="C6" s="43"/>
      <c r="D6" s="48" t="s">
        <v>121</v>
      </c>
      <c r="E6" s="48"/>
      <c r="F6" s="48" t="s">
        <v>227</v>
      </c>
      <c r="G6" s="48"/>
      <c r="H6" s="48" t="s">
        <v>124</v>
      </c>
      <c r="I6" s="48"/>
      <c r="J6" s="48" t="s">
        <v>123</v>
      </c>
      <c r="K6" s="48"/>
      <c r="L6" s="48" t="s">
        <v>122</v>
      </c>
    </row>
    <row r="7" spans="1:13">
      <c r="A7" s="43"/>
      <c r="B7" s="43"/>
      <c r="C7" s="43"/>
      <c r="D7" s="48" t="s">
        <v>33</v>
      </c>
      <c r="E7" s="48"/>
      <c r="F7" s="48" t="s">
        <v>34</v>
      </c>
      <c r="G7" s="48"/>
      <c r="H7" s="48" t="s">
        <v>34</v>
      </c>
      <c r="I7" s="48"/>
      <c r="J7" s="48" t="s">
        <v>35</v>
      </c>
      <c r="K7" s="48"/>
      <c r="L7" s="48" t="s">
        <v>35</v>
      </c>
    </row>
    <row r="8" spans="1:13">
      <c r="A8" s="43" t="s">
        <v>36</v>
      </c>
      <c r="B8" s="43"/>
      <c r="C8" s="43"/>
      <c r="D8" s="48" t="s">
        <v>37</v>
      </c>
      <c r="E8" s="48"/>
      <c r="F8" s="48" t="s">
        <v>38</v>
      </c>
      <c r="G8" s="48"/>
      <c r="H8" s="48" t="s">
        <v>39</v>
      </c>
      <c r="I8" s="48"/>
      <c r="J8" s="48" t="s">
        <v>38</v>
      </c>
      <c r="K8" s="48"/>
      <c r="L8" s="48" t="s">
        <v>39</v>
      </c>
    </row>
    <row r="9" spans="1:13">
      <c r="A9" s="43" t="s">
        <v>40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3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3">
      <c r="A11" s="43" t="s">
        <v>41</v>
      </c>
      <c r="B11" s="43"/>
      <c r="C11" s="43"/>
      <c r="D11" s="51">
        <f>'NOI SCH 2 P 2'!V13</f>
        <v>13280618.959999993</v>
      </c>
      <c r="E11" s="49"/>
      <c r="F11" s="51">
        <f>'NOI SCH 2 P 2'!V31</f>
        <v>-195897.16634938604</v>
      </c>
      <c r="G11" s="49"/>
      <c r="H11" s="51">
        <f>+D11+F11</f>
        <v>13084721.793650607</v>
      </c>
      <c r="I11" s="49"/>
      <c r="J11" s="51">
        <f>'NOI SCH 2 P 2'!V43</f>
        <v>1139749.8</v>
      </c>
      <c r="K11" s="49"/>
      <c r="L11" s="51">
        <f>+H11+J11</f>
        <v>14224471.593650607</v>
      </c>
      <c r="M11" s="45"/>
    </row>
    <row r="12" spans="1:13">
      <c r="A12" s="43"/>
      <c r="B12" s="43"/>
      <c r="C12" s="43"/>
      <c r="D12" s="49"/>
      <c r="E12" s="49"/>
      <c r="F12" s="49"/>
      <c r="G12" s="49"/>
      <c r="H12" s="49"/>
      <c r="I12" s="49"/>
      <c r="J12" s="49"/>
      <c r="K12" s="49"/>
      <c r="L12" s="49"/>
      <c r="M12" s="45"/>
    </row>
    <row r="13" spans="1:13">
      <c r="A13" s="43"/>
      <c r="B13" s="43"/>
      <c r="C13" s="43"/>
      <c r="D13" s="49"/>
      <c r="E13" s="49"/>
      <c r="F13" s="49"/>
      <c r="G13" s="49"/>
      <c r="H13" s="49"/>
      <c r="I13" s="49"/>
      <c r="J13" s="49"/>
      <c r="K13" s="49"/>
      <c r="L13" s="49"/>
      <c r="M13" s="45"/>
    </row>
    <row r="14" spans="1:13">
      <c r="A14" s="43" t="s">
        <v>42</v>
      </c>
      <c r="B14" s="43"/>
      <c r="C14" s="43"/>
      <c r="D14" s="51">
        <f>+'Avg ROR'!P14</f>
        <v>271491729.60466158</v>
      </c>
      <c r="E14" s="49"/>
      <c r="F14" s="51">
        <f>+'Avg ROR'!P26</f>
        <v>-284692.09620000608</v>
      </c>
      <c r="G14" s="49"/>
      <c r="H14" s="51">
        <f>+D14+F14</f>
        <v>271207037.50846159</v>
      </c>
      <c r="I14" s="49"/>
      <c r="J14" s="51">
        <f>'Avg ROR'!P39</f>
        <v>-22035162.099999994</v>
      </c>
      <c r="K14" s="49"/>
      <c r="L14" s="51">
        <f>+H14+J14</f>
        <v>249171875.4084616</v>
      </c>
      <c r="M14" s="45"/>
    </row>
    <row r="15" spans="1:1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2">
      <c r="A17" s="43" t="s">
        <v>43</v>
      </c>
      <c r="B17" s="43"/>
      <c r="C17" s="43"/>
      <c r="D17" s="52">
        <f>+D11/D14</f>
        <v>4.8917213718955077E-2</v>
      </c>
      <c r="E17" s="50"/>
      <c r="F17" s="50"/>
      <c r="G17" s="50"/>
      <c r="H17" s="52">
        <f>+H11/H14</f>
        <v>4.8246247272408505E-2</v>
      </c>
      <c r="I17" s="50"/>
      <c r="J17" s="50"/>
      <c r="K17" s="50"/>
      <c r="L17" s="52">
        <f>+L11/L14</f>
        <v>5.7086986925521853E-2</v>
      </c>
    </row>
    <row r="18" spans="1:1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2">
      <c r="A19" s="43"/>
      <c r="B19" s="43"/>
      <c r="C19" s="43"/>
      <c r="D19" s="43"/>
      <c r="E19" s="43"/>
      <c r="F19" s="43"/>
      <c r="G19" s="43"/>
      <c r="H19" s="101"/>
      <c r="I19" s="43"/>
      <c r="J19" s="43"/>
      <c r="K19" s="43"/>
      <c r="L19" s="43"/>
    </row>
    <row r="20" spans="1:12">
      <c r="A20" s="43"/>
      <c r="B20" s="43"/>
      <c r="C20" s="43"/>
      <c r="D20" s="43"/>
      <c r="E20" s="43"/>
      <c r="F20" s="43"/>
      <c r="G20" s="43"/>
      <c r="H20" s="101"/>
      <c r="I20" s="43"/>
      <c r="J20" s="43"/>
      <c r="K20" s="43"/>
      <c r="L20" s="43"/>
    </row>
    <row r="21" spans="1:12">
      <c r="A21" s="43" t="s">
        <v>44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2">
      <c r="A22" s="43" t="s">
        <v>48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1:12">
      <c r="A24" s="43" t="s">
        <v>41</v>
      </c>
      <c r="B24" s="43"/>
      <c r="C24" s="43"/>
      <c r="D24" s="51">
        <f>'NOI SCH 3 P 2'!V13</f>
        <v>13280618.959999993</v>
      </c>
      <c r="E24" s="49"/>
      <c r="F24" s="51">
        <f>'NOI SCH 3 P 2'!V32</f>
        <v>-272055.20951758604</v>
      </c>
      <c r="G24" s="49"/>
      <c r="H24" s="51">
        <f>+D24+F24</f>
        <v>13008563.750482406</v>
      </c>
      <c r="I24" s="49"/>
      <c r="J24" s="51">
        <f>'NOI SCH 3 P 2'!V44</f>
        <v>1139749.8</v>
      </c>
      <c r="K24" s="49"/>
      <c r="L24" s="51">
        <f>+H24+J24</f>
        <v>14148313.550482407</v>
      </c>
    </row>
    <row r="25" spans="1:12">
      <c r="A25" s="43"/>
      <c r="B25" s="43"/>
      <c r="C25" s="43"/>
      <c r="D25" s="49"/>
      <c r="E25" s="49"/>
      <c r="F25" s="49"/>
      <c r="G25" s="49"/>
      <c r="H25" s="49"/>
      <c r="I25" s="49"/>
      <c r="J25" s="49"/>
      <c r="K25" s="49"/>
      <c r="L25" s="49"/>
    </row>
    <row r="26" spans="1:12">
      <c r="A26" s="43"/>
      <c r="B26" s="43"/>
      <c r="C26" s="43"/>
      <c r="D26" s="49"/>
      <c r="E26" s="49"/>
      <c r="F26" s="49"/>
      <c r="G26" s="49"/>
      <c r="H26" s="49"/>
      <c r="I26" s="49"/>
      <c r="J26" s="49"/>
      <c r="K26" s="49"/>
      <c r="L26" s="49"/>
    </row>
    <row r="27" spans="1:12">
      <c r="A27" s="43" t="s">
        <v>49</v>
      </c>
      <c r="B27" s="43"/>
      <c r="C27" s="43"/>
      <c r="D27" s="51">
        <f>+'Year End ROR'!P14</f>
        <v>288225811.48860002</v>
      </c>
      <c r="E27" s="49"/>
      <c r="F27" s="51">
        <f>+'Year End ROR'!P25</f>
        <v>-218478.33240000065</v>
      </c>
      <c r="G27" s="49"/>
      <c r="H27" s="51">
        <f>+D27+F27</f>
        <v>288007333.15619999</v>
      </c>
      <c r="I27" s="49"/>
      <c r="J27" s="51">
        <f>'Year End ROR'!P38</f>
        <v>-21465287.199999996</v>
      </c>
      <c r="K27" s="49"/>
      <c r="L27" s="51">
        <f>+H27+J27</f>
        <v>266542045.9562</v>
      </c>
    </row>
    <row r="28" spans="1:1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pans="1:1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1:12">
      <c r="A30" s="43" t="s">
        <v>50</v>
      </c>
      <c r="B30" s="43"/>
      <c r="C30" s="43"/>
      <c r="D30" s="52">
        <f>+D24/D27</f>
        <v>4.6077132687768571E-2</v>
      </c>
      <c r="E30" s="50"/>
      <c r="F30" s="50"/>
      <c r="G30" s="50"/>
      <c r="H30" s="52">
        <f>+H24/H27</f>
        <v>4.5167474063680345E-2</v>
      </c>
      <c r="I30" s="50"/>
      <c r="J30" s="50"/>
      <c r="K30" s="50"/>
      <c r="L30" s="52">
        <f>+L24/L27</f>
        <v>5.3080982025655171E-2</v>
      </c>
    </row>
    <row r="31" spans="1:1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1:1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spans="1:1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  <row r="34" spans="1:1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</row>
    <row r="35" spans="1:13">
      <c r="A35" s="43" t="s">
        <v>51</v>
      </c>
      <c r="B35" s="43"/>
      <c r="C35" s="43"/>
      <c r="D35" s="43"/>
      <c r="E35" s="43"/>
      <c r="F35" s="43"/>
      <c r="G35" s="43"/>
      <c r="H35" s="43" t="s">
        <v>52</v>
      </c>
      <c r="I35" s="43"/>
      <c r="J35" s="43"/>
      <c r="K35" s="43"/>
      <c r="L35" s="43"/>
    </row>
    <row r="36" spans="1:13">
      <c r="A36" s="43" t="s">
        <v>53</v>
      </c>
      <c r="B36" s="43"/>
      <c r="C36" s="43"/>
      <c r="D36" s="43"/>
      <c r="E36" s="43"/>
      <c r="F36" s="43"/>
      <c r="G36" s="43"/>
      <c r="H36" s="43" t="s">
        <v>54</v>
      </c>
      <c r="I36" s="43"/>
      <c r="J36" s="43"/>
      <c r="K36" s="43"/>
      <c r="L36" s="43"/>
    </row>
    <row r="37" spans="1:13">
      <c r="A37" s="43" t="s">
        <v>55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</row>
    <row r="38" spans="1:13">
      <c r="A38" s="43"/>
      <c r="B38" s="43"/>
      <c r="C38" s="43"/>
      <c r="D38" s="43"/>
      <c r="E38" s="43"/>
      <c r="F38" s="43"/>
      <c r="G38" s="43"/>
      <c r="H38" s="43" t="s">
        <v>56</v>
      </c>
      <c r="I38" s="43" t="s">
        <v>539</v>
      </c>
      <c r="J38" s="43"/>
      <c r="K38" s="43"/>
      <c r="L38" s="50">
        <v>8.7999999999999995E-2</v>
      </c>
      <c r="M38" s="46"/>
    </row>
    <row r="39" spans="1:13">
      <c r="A39" s="43" t="s">
        <v>57</v>
      </c>
      <c r="B39" s="43"/>
      <c r="C39" s="43"/>
      <c r="D39" s="50">
        <f>+'Capital Structure'!L34</f>
        <v>5.21E-2</v>
      </c>
      <c r="E39" s="43"/>
      <c r="F39" s="43"/>
      <c r="G39" s="43"/>
      <c r="H39" s="43"/>
      <c r="I39" s="43"/>
      <c r="J39" s="43"/>
      <c r="K39" s="43"/>
      <c r="L39" s="50"/>
    </row>
    <row r="40" spans="1:13">
      <c r="A40" s="43"/>
      <c r="B40" s="43"/>
      <c r="C40" s="43"/>
      <c r="D40" s="50"/>
      <c r="E40" s="43"/>
      <c r="F40" s="43"/>
      <c r="G40" s="43"/>
      <c r="H40" s="43"/>
      <c r="I40" s="43"/>
      <c r="J40" s="43"/>
      <c r="K40" s="43"/>
      <c r="L40" s="50"/>
    </row>
    <row r="41" spans="1:13">
      <c r="A41" s="43" t="s">
        <v>58</v>
      </c>
      <c r="B41" s="43"/>
      <c r="C41" s="43"/>
      <c r="D41" s="50">
        <f>+'Capital Structure'!N34</f>
        <v>5.5800000000000002E-2</v>
      </c>
      <c r="E41" s="43"/>
      <c r="F41" s="43"/>
      <c r="G41" s="43"/>
      <c r="H41" s="43" t="s">
        <v>59</v>
      </c>
      <c r="I41" s="43" t="s">
        <v>540</v>
      </c>
      <c r="J41" s="43"/>
      <c r="K41" s="43"/>
      <c r="L41" s="50">
        <v>0.11509999999999999</v>
      </c>
      <c r="M41" s="46"/>
    </row>
    <row r="42" spans="1:13">
      <c r="A42" s="43"/>
      <c r="B42" s="43"/>
      <c r="C42" s="43"/>
      <c r="D42" s="50"/>
      <c r="E42" s="43"/>
      <c r="F42" s="43"/>
      <c r="G42" s="43"/>
      <c r="H42" s="43"/>
      <c r="I42" s="43"/>
      <c r="J42" s="43"/>
      <c r="K42" s="43"/>
      <c r="L42" s="43"/>
    </row>
    <row r="43" spans="1:13">
      <c r="A43" s="43" t="s">
        <v>60</v>
      </c>
      <c r="B43" s="43"/>
      <c r="C43" s="43"/>
      <c r="D43" s="50">
        <f>+'Capital Structure'!P34</f>
        <v>5.9500000000000004E-2</v>
      </c>
      <c r="E43" s="43"/>
      <c r="F43" s="43"/>
      <c r="G43" s="43"/>
      <c r="H43" s="43"/>
      <c r="I43" s="43"/>
      <c r="J43" s="43"/>
      <c r="K43" s="43"/>
      <c r="L43" s="43"/>
    </row>
    <row r="44" spans="1:1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</row>
    <row r="45" spans="1:1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</row>
    <row r="46" spans="1:1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</row>
    <row r="47" spans="1:1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</row>
    <row r="48" spans="1:13">
      <c r="A48" s="92" t="s">
        <v>61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4"/>
    </row>
    <row r="49" spans="1:12">
      <c r="A49" s="72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73"/>
    </row>
    <row r="50" spans="1:12">
      <c r="A50" s="72"/>
      <c r="B50" s="56" t="s">
        <v>62</v>
      </c>
      <c r="C50" s="56"/>
      <c r="D50" s="56"/>
      <c r="E50" s="56"/>
      <c r="F50" s="56"/>
      <c r="G50" s="56"/>
      <c r="H50" s="56"/>
      <c r="I50" s="56"/>
      <c r="J50" s="56"/>
      <c r="K50" s="56"/>
      <c r="L50" s="73"/>
    </row>
    <row r="51" spans="1:12">
      <c r="A51" s="72"/>
      <c r="B51" s="56" t="s">
        <v>63</v>
      </c>
      <c r="C51" s="56"/>
      <c r="D51" s="56"/>
      <c r="E51" s="56"/>
      <c r="F51" s="56"/>
      <c r="G51" s="56"/>
      <c r="H51" s="56"/>
      <c r="I51" s="56"/>
      <c r="J51" s="56"/>
      <c r="K51" s="56"/>
      <c r="L51" s="73"/>
    </row>
    <row r="52" spans="1:12">
      <c r="A52" s="72"/>
      <c r="B52" s="56" t="s">
        <v>64</v>
      </c>
      <c r="C52" s="56"/>
      <c r="D52" s="56"/>
      <c r="E52" s="56"/>
      <c r="F52" s="56"/>
      <c r="G52" s="56"/>
      <c r="H52" s="56"/>
      <c r="I52" s="56"/>
      <c r="J52" s="56"/>
      <c r="K52" s="56"/>
      <c r="L52" s="73"/>
    </row>
    <row r="53" spans="1:12">
      <c r="A53" s="72"/>
      <c r="B53" s="56" t="s">
        <v>65</v>
      </c>
      <c r="C53" s="56"/>
      <c r="D53" s="56"/>
      <c r="E53" s="56"/>
      <c r="F53" s="56"/>
      <c r="G53" s="56"/>
      <c r="H53" s="56"/>
      <c r="I53" s="56"/>
      <c r="J53" s="56"/>
      <c r="K53" s="56"/>
      <c r="L53" s="73"/>
    </row>
    <row r="54" spans="1:12">
      <c r="A54" s="72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73"/>
    </row>
    <row r="55" spans="1:12">
      <c r="A55" s="72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73"/>
    </row>
    <row r="56" spans="1:12">
      <c r="A56" s="72" t="s">
        <v>544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73"/>
    </row>
    <row r="57" spans="1:12">
      <c r="A57" s="72" t="s">
        <v>556</v>
      </c>
      <c r="B57" s="56"/>
      <c r="C57" s="56"/>
      <c r="D57" s="56"/>
      <c r="E57" s="56"/>
      <c r="F57" s="105" t="s">
        <v>501</v>
      </c>
      <c r="G57" s="105"/>
      <c r="H57" s="93"/>
      <c r="I57" s="93"/>
      <c r="J57" s="56"/>
      <c r="K57" s="93" t="s">
        <v>120</v>
      </c>
      <c r="L57" s="94"/>
    </row>
    <row r="58" spans="1:12">
      <c r="A58" s="97"/>
      <c r="B58" s="98"/>
      <c r="C58" s="98"/>
      <c r="D58" s="98"/>
      <c r="E58" s="98"/>
      <c r="F58" s="104"/>
      <c r="G58" s="104"/>
      <c r="H58" s="98"/>
      <c r="I58" s="98"/>
      <c r="J58" s="98"/>
      <c r="K58" s="98"/>
      <c r="L58" s="99"/>
    </row>
    <row r="59" spans="1:1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</row>
    <row r="60" spans="1:1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</row>
    <row r="61" spans="1:1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</row>
  </sheetData>
  <mergeCells count="2">
    <mergeCell ref="F58:G58"/>
    <mergeCell ref="F57:G57"/>
  </mergeCells>
  <phoneticPr fontId="0" type="noConversion"/>
  <printOptions horizontalCentered="1"/>
  <pageMargins left="0.25" right="0.25" top="0.75" bottom="0.75" header="0.3" footer="0.3"/>
  <pageSetup scale="58" orientation="landscape" r:id="rId1"/>
  <headerFooter alignWithMargins="0"/>
  <rowBreaks count="1" manualBreakCount="1">
    <brk id="5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W53"/>
  <sheetViews>
    <sheetView view="pageBreakPreview" topLeftCell="A7" zoomScale="70" zoomScaleNormal="100" zoomScaleSheetLayoutView="70" workbookViewId="0">
      <selection activeCell="N22" sqref="N22"/>
    </sheetView>
  </sheetViews>
  <sheetFormatPr defaultColWidth="9.140625" defaultRowHeight="15"/>
  <cols>
    <col min="1" max="1" width="42.5703125" style="44" customWidth="1"/>
    <col min="2" max="2" width="16.28515625" style="44" bestFit="1" customWidth="1"/>
    <col min="3" max="3" width="2.140625" style="59" customWidth="1"/>
    <col min="4" max="4" width="16.42578125" style="44" bestFit="1" customWidth="1"/>
    <col min="5" max="5" width="2.5703125" style="59" customWidth="1"/>
    <col min="6" max="6" width="16.28515625" style="44" bestFit="1" customWidth="1"/>
    <col min="7" max="7" width="2" style="59" customWidth="1"/>
    <col min="8" max="8" width="12.140625" style="44" bestFit="1" customWidth="1"/>
    <col min="9" max="9" width="2.28515625" style="59" customWidth="1"/>
    <col min="10" max="10" width="14.28515625" style="44" bestFit="1" customWidth="1"/>
    <col min="11" max="11" width="2.28515625" style="59" customWidth="1"/>
    <col min="12" max="12" width="16.85546875" style="44" bestFit="1" customWidth="1"/>
    <col min="13" max="13" width="2.140625" style="59" customWidth="1"/>
    <col min="14" max="14" width="15" style="44" bestFit="1" customWidth="1"/>
    <col min="15" max="15" width="2.42578125" style="59" customWidth="1"/>
    <col min="16" max="16" width="16.28515625" style="44" bestFit="1" customWidth="1"/>
    <col min="17" max="17" width="2.28515625" style="44" customWidth="1"/>
    <col min="18" max="18" width="9.85546875" style="44" bestFit="1" customWidth="1"/>
    <col min="19" max="19" width="2" style="44" customWidth="1"/>
    <col min="20" max="20" width="12.5703125" style="44" bestFit="1" customWidth="1"/>
    <col min="21" max="21" width="2.140625" style="44" customWidth="1"/>
    <col min="22" max="22" width="11.5703125" style="44" bestFit="1" customWidth="1"/>
    <col min="23" max="23" width="11" style="44" customWidth="1"/>
    <col min="24" max="16384" width="9.140625" style="44"/>
  </cols>
  <sheetData>
    <row r="1" spans="1:23">
      <c r="A1" s="43" t="str">
        <f>'Report Summary'!A1</f>
        <v>FLORIDA PUBLIC UTILITIES COMPANY</v>
      </c>
      <c r="B1" s="43"/>
      <c r="C1" s="56"/>
      <c r="D1" s="43"/>
      <c r="E1" s="56"/>
      <c r="F1" s="43"/>
      <c r="G1" s="56"/>
      <c r="H1" s="43"/>
      <c r="I1" s="56"/>
      <c r="J1" s="43"/>
      <c r="K1" s="56"/>
      <c r="L1" s="43"/>
      <c r="M1" s="56"/>
      <c r="N1" s="100"/>
      <c r="O1" s="56"/>
      <c r="P1" s="43" t="s">
        <v>228</v>
      </c>
      <c r="Q1" s="43"/>
      <c r="R1" s="43"/>
      <c r="S1" s="43"/>
      <c r="T1" s="43"/>
      <c r="U1" s="43"/>
      <c r="W1" s="43"/>
    </row>
    <row r="2" spans="1:23">
      <c r="A2" s="43" t="str">
        <f>'Report Summary'!A2</f>
        <v>NATURAL GAS</v>
      </c>
      <c r="B2" s="43"/>
      <c r="C2" s="56"/>
      <c r="D2" s="43"/>
      <c r="E2" s="56"/>
      <c r="F2" s="43"/>
      <c r="G2" s="56"/>
      <c r="H2" s="43"/>
      <c r="I2" s="56"/>
      <c r="J2" s="43"/>
      <c r="K2" s="56"/>
      <c r="L2" s="43"/>
      <c r="M2" s="56"/>
      <c r="N2" s="43"/>
      <c r="O2" s="56"/>
      <c r="P2" s="43" t="s">
        <v>229</v>
      </c>
      <c r="Q2" s="43"/>
      <c r="R2" s="43"/>
      <c r="S2" s="43"/>
      <c r="T2" s="43"/>
      <c r="U2" s="43"/>
      <c r="W2" s="43"/>
    </row>
    <row r="3" spans="1:23">
      <c r="A3" s="43" t="s">
        <v>43</v>
      </c>
      <c r="B3" s="43"/>
      <c r="C3" s="56"/>
      <c r="D3" s="43"/>
      <c r="E3" s="56"/>
      <c r="F3" s="43"/>
      <c r="G3" s="56"/>
      <c r="H3" s="43"/>
      <c r="I3" s="56"/>
      <c r="J3" s="43"/>
      <c r="K3" s="56"/>
      <c r="L3" s="43"/>
      <c r="M3" s="56"/>
      <c r="N3" s="43"/>
      <c r="O3" s="56"/>
      <c r="P3" s="43"/>
      <c r="Q3" s="43"/>
      <c r="R3" s="43"/>
      <c r="S3" s="43"/>
      <c r="T3" s="43"/>
      <c r="U3" s="43"/>
      <c r="V3" s="43"/>
      <c r="W3" s="43"/>
    </row>
    <row r="4" spans="1:23">
      <c r="A4" s="43" t="s">
        <v>560</v>
      </c>
      <c r="B4" s="43"/>
      <c r="C4" s="56"/>
      <c r="D4" s="43"/>
      <c r="E4" s="56"/>
      <c r="F4" s="43"/>
      <c r="G4" s="56"/>
      <c r="H4" s="43"/>
      <c r="I4" s="56"/>
      <c r="J4" s="43"/>
      <c r="K4" s="56"/>
      <c r="L4" s="43"/>
      <c r="M4" s="56"/>
      <c r="N4" s="43"/>
      <c r="O4" s="56"/>
      <c r="P4" s="43"/>
      <c r="Q4" s="43"/>
      <c r="R4" s="43"/>
      <c r="S4" s="43"/>
      <c r="T4" s="43"/>
      <c r="U4" s="43"/>
      <c r="V4" s="43"/>
      <c r="W4" s="43"/>
    </row>
    <row r="5" spans="1:23">
      <c r="A5" s="43" t="s">
        <v>230</v>
      </c>
      <c r="B5" s="43"/>
      <c r="C5" s="56"/>
      <c r="D5" s="43"/>
      <c r="E5" s="56"/>
      <c r="F5" s="43"/>
      <c r="G5" s="56"/>
      <c r="H5" s="43"/>
      <c r="I5" s="56"/>
      <c r="J5" s="43"/>
      <c r="K5" s="56"/>
      <c r="L5" s="43"/>
      <c r="M5" s="56"/>
      <c r="N5" s="43"/>
      <c r="O5" s="56"/>
      <c r="P5" s="43"/>
      <c r="Q5" s="43"/>
      <c r="R5" s="43"/>
      <c r="S5" s="43"/>
      <c r="T5" s="43"/>
      <c r="U5" s="43"/>
      <c r="V5" s="43"/>
      <c r="W5" s="43"/>
    </row>
    <row r="6" spans="1:23">
      <c r="A6" s="43"/>
      <c r="B6" s="43"/>
      <c r="C6" s="56"/>
      <c r="D6" s="43"/>
      <c r="E6" s="56"/>
      <c r="F6" s="43"/>
      <c r="G6" s="56"/>
      <c r="H6" s="43"/>
      <c r="I6" s="56"/>
      <c r="J6" s="43"/>
      <c r="K6" s="56"/>
      <c r="L6" s="43"/>
      <c r="M6" s="56"/>
      <c r="N6" s="43"/>
      <c r="O6" s="56"/>
      <c r="P6" s="43"/>
      <c r="Q6" s="43"/>
      <c r="R6" s="43"/>
      <c r="S6" s="43"/>
      <c r="T6" s="43"/>
      <c r="U6" s="43"/>
      <c r="V6" s="43"/>
      <c r="W6" s="43"/>
    </row>
    <row r="7" spans="1:23">
      <c r="A7" s="43"/>
      <c r="B7" s="43"/>
      <c r="C7" s="56"/>
      <c r="D7" s="43"/>
      <c r="E7" s="56"/>
      <c r="F7" s="43"/>
      <c r="G7" s="56"/>
      <c r="H7" s="43"/>
      <c r="I7" s="56"/>
      <c r="J7" s="43"/>
      <c r="K7" s="56"/>
      <c r="L7" s="43"/>
      <c r="M7" s="56"/>
      <c r="N7" s="43"/>
      <c r="O7" s="56"/>
      <c r="P7" s="43"/>
      <c r="Q7" s="43"/>
      <c r="R7" s="43"/>
      <c r="S7" s="43"/>
      <c r="T7" s="43"/>
      <c r="U7" s="43"/>
      <c r="V7" s="43"/>
      <c r="W7" s="43"/>
    </row>
    <row r="8" spans="1:23">
      <c r="A8" s="43"/>
      <c r="B8" s="48" t="s">
        <v>121</v>
      </c>
      <c r="C8" s="57"/>
      <c r="D8" s="48" t="s">
        <v>227</v>
      </c>
      <c r="E8" s="57"/>
      <c r="F8" s="48" t="s">
        <v>124</v>
      </c>
      <c r="G8" s="57"/>
      <c r="H8" s="48" t="s">
        <v>123</v>
      </c>
      <c r="I8" s="57"/>
      <c r="J8" s="48" t="s">
        <v>122</v>
      </c>
      <c r="K8" s="57"/>
      <c r="L8" s="48" t="s">
        <v>254</v>
      </c>
      <c r="M8" s="57"/>
      <c r="N8" s="48" t="s">
        <v>255</v>
      </c>
      <c r="O8" s="57"/>
      <c r="P8" s="48" t="s">
        <v>256</v>
      </c>
      <c r="Q8" s="43"/>
      <c r="R8" s="43"/>
      <c r="S8" s="43"/>
      <c r="T8" s="43"/>
      <c r="U8" s="43"/>
      <c r="V8" s="43"/>
      <c r="W8" s="43"/>
    </row>
    <row r="9" spans="1:23">
      <c r="A9" s="43"/>
      <c r="B9" s="48"/>
      <c r="C9" s="57"/>
      <c r="D9" s="48" t="s">
        <v>231</v>
      </c>
      <c r="E9" s="57"/>
      <c r="F9" s="48"/>
      <c r="G9" s="57"/>
      <c r="H9" s="48" t="s">
        <v>232</v>
      </c>
      <c r="I9" s="57"/>
      <c r="J9" s="48" t="s">
        <v>233</v>
      </c>
      <c r="K9" s="57"/>
      <c r="L9" s="48" t="s">
        <v>234</v>
      </c>
      <c r="M9" s="57"/>
      <c r="N9" s="48"/>
      <c r="O9" s="57"/>
      <c r="P9" s="48"/>
      <c r="Q9" s="43"/>
      <c r="R9" s="43"/>
      <c r="S9" s="43"/>
      <c r="T9" s="43"/>
      <c r="U9" s="43"/>
      <c r="V9" s="43"/>
      <c r="W9" s="43"/>
    </row>
    <row r="10" spans="1:23">
      <c r="A10" s="43"/>
      <c r="B10" s="48" t="s">
        <v>235</v>
      </c>
      <c r="C10" s="57"/>
      <c r="D10" s="48" t="s">
        <v>236</v>
      </c>
      <c r="E10" s="57"/>
      <c r="F10" s="48" t="s">
        <v>235</v>
      </c>
      <c r="G10" s="57"/>
      <c r="H10" s="48" t="s">
        <v>237</v>
      </c>
      <c r="I10" s="57"/>
      <c r="J10" s="48" t="s">
        <v>238</v>
      </c>
      <c r="K10" s="57"/>
      <c r="L10" s="48" t="s">
        <v>239</v>
      </c>
      <c r="M10" s="57"/>
      <c r="N10" s="48" t="s">
        <v>240</v>
      </c>
      <c r="O10" s="57"/>
      <c r="P10" s="48" t="s">
        <v>241</v>
      </c>
      <c r="Q10" s="43"/>
      <c r="R10" s="43"/>
      <c r="S10" s="43"/>
      <c r="T10" s="43"/>
      <c r="U10" s="43"/>
      <c r="V10" s="43"/>
      <c r="W10" s="43"/>
    </row>
    <row r="11" spans="1:23">
      <c r="A11" s="43"/>
      <c r="B11" s="60" t="s">
        <v>242</v>
      </c>
      <c r="C11" s="57"/>
      <c r="D11" s="60" t="s">
        <v>243</v>
      </c>
      <c r="E11" s="57"/>
      <c r="F11" s="60" t="s">
        <v>242</v>
      </c>
      <c r="G11" s="57"/>
      <c r="H11" s="60" t="s">
        <v>244</v>
      </c>
      <c r="I11" s="57"/>
      <c r="J11" s="60" t="s">
        <v>245</v>
      </c>
      <c r="K11" s="57"/>
      <c r="L11" s="60" t="s">
        <v>246</v>
      </c>
      <c r="M11" s="57"/>
      <c r="N11" s="60" t="s">
        <v>247</v>
      </c>
      <c r="O11" s="57"/>
      <c r="P11" s="60" t="s">
        <v>230</v>
      </c>
      <c r="Q11" s="43"/>
      <c r="R11" s="43"/>
      <c r="S11" s="43"/>
      <c r="T11" s="43"/>
      <c r="U11" s="43"/>
      <c r="V11" s="43"/>
      <c r="W11" s="43"/>
    </row>
    <row r="12" spans="1:23">
      <c r="A12" s="43"/>
      <c r="B12" s="43"/>
      <c r="C12" s="56"/>
      <c r="D12" s="43"/>
      <c r="E12" s="56"/>
      <c r="F12" s="43"/>
      <c r="G12" s="56"/>
      <c r="H12" s="43"/>
      <c r="I12" s="56"/>
      <c r="J12" s="43"/>
      <c r="K12" s="56"/>
      <c r="L12" s="43"/>
      <c r="M12" s="56"/>
      <c r="N12" s="43"/>
      <c r="O12" s="56"/>
      <c r="P12" s="43"/>
      <c r="Q12" s="43"/>
      <c r="R12" s="43"/>
      <c r="S12" s="43"/>
      <c r="T12" s="43"/>
      <c r="U12" s="43"/>
      <c r="V12" s="43"/>
      <c r="W12" s="43"/>
    </row>
    <row r="13" spans="1:23">
      <c r="A13" s="43"/>
      <c r="B13" s="43"/>
      <c r="C13" s="56"/>
      <c r="D13" s="43"/>
      <c r="E13" s="56"/>
      <c r="F13" s="43"/>
      <c r="G13" s="56"/>
      <c r="H13" s="43"/>
      <c r="I13" s="56"/>
      <c r="J13" s="43"/>
      <c r="K13" s="56"/>
      <c r="L13" s="43"/>
      <c r="M13" s="56"/>
      <c r="N13" s="43"/>
      <c r="O13" s="56"/>
      <c r="P13" s="43"/>
      <c r="Q13" s="43"/>
      <c r="R13" s="43"/>
      <c r="S13" s="43"/>
      <c r="T13" s="43"/>
      <c r="U13" s="43"/>
      <c r="V13" s="43"/>
      <c r="W13" s="43"/>
    </row>
    <row r="14" spans="1:23">
      <c r="A14" s="43" t="s">
        <v>248</v>
      </c>
      <c r="B14" s="51">
        <v>366268720.02593845</v>
      </c>
      <c r="C14" s="58"/>
      <c r="D14" s="51">
        <v>-92765989.725746155</v>
      </c>
      <c r="E14" s="58"/>
      <c r="F14" s="51">
        <f>+B14+D14</f>
        <v>273502730.3001923</v>
      </c>
      <c r="G14" s="58"/>
      <c r="H14" s="51">
        <v>0</v>
      </c>
      <c r="I14" s="58"/>
      <c r="J14" s="51">
        <v>6052752.6124615381</v>
      </c>
      <c r="K14" s="58"/>
      <c r="L14" s="51">
        <f>+F14+J14</f>
        <v>279555482.91265386</v>
      </c>
      <c r="M14" s="58"/>
      <c r="N14" s="51">
        <v>-8063753.3079923075</v>
      </c>
      <c r="O14" s="58"/>
      <c r="P14" s="51">
        <f>+L14+N14</f>
        <v>271491729.60466158</v>
      </c>
      <c r="Q14" s="43"/>
      <c r="R14" s="43"/>
      <c r="S14" s="43"/>
      <c r="T14" s="43"/>
      <c r="U14" s="43"/>
      <c r="V14" s="43"/>
      <c r="W14" s="43"/>
    </row>
    <row r="15" spans="1:23">
      <c r="A15" s="43"/>
      <c r="B15" s="49"/>
      <c r="C15" s="58"/>
      <c r="D15" s="49"/>
      <c r="E15" s="58"/>
      <c r="F15" s="49"/>
      <c r="G15" s="58"/>
      <c r="H15" s="49"/>
      <c r="I15" s="58"/>
      <c r="J15" s="49"/>
      <c r="K15" s="58"/>
      <c r="L15" s="49"/>
      <c r="M15" s="58"/>
      <c r="N15" s="49"/>
      <c r="O15" s="58"/>
      <c r="P15" s="49"/>
      <c r="Q15" s="43"/>
      <c r="R15" s="43"/>
      <c r="S15" s="43"/>
      <c r="T15" s="43"/>
      <c r="U15" s="43"/>
      <c r="V15" s="43"/>
      <c r="W15" s="43"/>
    </row>
    <row r="16" spans="1:23">
      <c r="A16" s="43" t="s">
        <v>249</v>
      </c>
      <c r="B16" s="49"/>
      <c r="C16" s="58"/>
      <c r="D16" s="49"/>
      <c r="E16" s="58"/>
      <c r="F16" s="49"/>
      <c r="G16" s="58"/>
      <c r="H16" s="49"/>
      <c r="I16" s="58"/>
      <c r="J16" s="49"/>
      <c r="K16" s="58"/>
      <c r="L16" s="49"/>
      <c r="M16" s="58"/>
      <c r="N16" s="49"/>
      <c r="O16" s="58"/>
      <c r="P16" s="49"/>
      <c r="Q16" s="43"/>
      <c r="R16" s="43"/>
      <c r="S16" s="43"/>
      <c r="T16" s="43"/>
      <c r="U16" s="43"/>
      <c r="V16" s="43"/>
      <c r="W16" s="43"/>
    </row>
    <row r="17" spans="1:23">
      <c r="A17" s="43"/>
      <c r="B17" s="49"/>
      <c r="C17" s="58"/>
      <c r="D17" s="49"/>
      <c r="E17" s="58"/>
      <c r="F17" s="49"/>
      <c r="G17" s="58"/>
      <c r="H17" s="49"/>
      <c r="I17" s="58"/>
      <c r="J17" s="49"/>
      <c r="K17" s="58"/>
      <c r="L17" s="49"/>
      <c r="M17" s="58"/>
      <c r="N17" s="49"/>
      <c r="O17" s="58"/>
      <c r="P17" s="49"/>
      <c r="Q17" s="43"/>
      <c r="R17" s="43"/>
      <c r="S17" s="43"/>
      <c r="T17" s="43"/>
      <c r="U17" s="43"/>
      <c r="V17" s="43"/>
      <c r="W17" s="43"/>
    </row>
    <row r="18" spans="1:23">
      <c r="A18" s="43" t="s">
        <v>545</v>
      </c>
      <c r="B18" s="49">
        <v>0</v>
      </c>
      <c r="C18" s="58"/>
      <c r="D18" s="49">
        <v>0</v>
      </c>
      <c r="E18" s="58"/>
      <c r="F18" s="49">
        <f>+B18+D18</f>
        <v>0</v>
      </c>
      <c r="G18" s="58"/>
      <c r="H18" s="49"/>
      <c r="I18" s="58"/>
      <c r="J18" s="49"/>
      <c r="K18" s="58"/>
      <c r="L18" s="49">
        <f t="shared" ref="L18:L25" si="0">+F18+J18</f>
        <v>0</v>
      </c>
      <c r="M18" s="58"/>
      <c r="N18" s="49">
        <v>406918.33</v>
      </c>
      <c r="O18" s="58"/>
      <c r="P18" s="49">
        <f t="shared" ref="P18:P25" si="1">+L18+N18</f>
        <v>406918.33</v>
      </c>
      <c r="Q18" s="43"/>
      <c r="R18" s="43"/>
      <c r="S18" s="43"/>
      <c r="T18" s="43"/>
      <c r="U18" s="43"/>
      <c r="V18" s="43"/>
      <c r="W18" s="43"/>
    </row>
    <row r="19" spans="1:23">
      <c r="A19" s="43" t="s">
        <v>541</v>
      </c>
      <c r="B19" s="49">
        <v>-2469682</v>
      </c>
      <c r="C19" s="58"/>
      <c r="D19" s="49">
        <v>0</v>
      </c>
      <c r="E19" s="58"/>
      <c r="F19" s="49">
        <f>+B19+D19</f>
        <v>-2469682</v>
      </c>
      <c r="G19" s="58"/>
      <c r="H19" s="49"/>
      <c r="I19" s="58"/>
      <c r="J19" s="49"/>
      <c r="K19" s="58"/>
      <c r="L19" s="49">
        <f t="shared" si="0"/>
        <v>-2469682</v>
      </c>
      <c r="M19" s="58"/>
      <c r="N19" s="49"/>
      <c r="O19" s="58"/>
      <c r="P19" s="49">
        <f t="shared" si="1"/>
        <v>-2469682</v>
      </c>
      <c r="Q19" s="43"/>
      <c r="R19" s="43"/>
      <c r="S19" s="43"/>
      <c r="T19" s="43"/>
      <c r="U19" s="43"/>
      <c r="V19" s="43"/>
      <c r="W19" s="43"/>
    </row>
    <row r="20" spans="1:23">
      <c r="A20" s="96" t="s">
        <v>550</v>
      </c>
      <c r="B20" s="49">
        <v>-1020000</v>
      </c>
      <c r="C20" s="58"/>
      <c r="D20" s="49">
        <v>107749.99999999997</v>
      </c>
      <c r="E20" s="58"/>
      <c r="F20" s="49">
        <f>+B20+D20</f>
        <v>-912250</v>
      </c>
      <c r="G20" s="58"/>
      <c r="H20" s="49"/>
      <c r="I20" s="58"/>
      <c r="J20" s="49"/>
      <c r="K20" s="58"/>
      <c r="L20" s="49">
        <f t="shared" si="0"/>
        <v>-912250</v>
      </c>
      <c r="M20" s="58"/>
      <c r="N20" s="49"/>
      <c r="O20" s="58"/>
      <c r="P20" s="49">
        <f t="shared" si="1"/>
        <v>-912250</v>
      </c>
      <c r="Q20" s="43"/>
      <c r="R20" s="43"/>
      <c r="S20" s="43"/>
      <c r="T20" s="43"/>
      <c r="U20" s="43"/>
      <c r="V20" s="43"/>
      <c r="W20" s="43"/>
    </row>
    <row r="21" spans="1:23">
      <c r="A21" s="43" t="s">
        <v>551</v>
      </c>
      <c r="B21" s="49">
        <v>-4169116.6181999994</v>
      </c>
      <c r="C21" s="58"/>
      <c r="D21" s="49">
        <v>1253337.7619999996</v>
      </c>
      <c r="E21" s="58"/>
      <c r="F21" s="49">
        <f>+B21+D21</f>
        <v>-2915778.8561999998</v>
      </c>
      <c r="G21" s="58"/>
      <c r="H21" s="49"/>
      <c r="I21" s="58"/>
      <c r="J21" s="49"/>
      <c r="K21" s="58"/>
      <c r="L21" s="49">
        <f t="shared" si="0"/>
        <v>-2915778.8561999998</v>
      </c>
      <c r="M21" s="58"/>
      <c r="N21" s="49"/>
      <c r="O21" s="58"/>
      <c r="P21" s="49">
        <f t="shared" si="1"/>
        <v>-2915778.8561999998</v>
      </c>
      <c r="Q21" s="43"/>
      <c r="R21" s="43"/>
      <c r="S21" s="43"/>
      <c r="T21" s="43"/>
      <c r="U21" s="43"/>
      <c r="V21" s="43"/>
      <c r="W21" s="43"/>
    </row>
    <row r="22" spans="1:23">
      <c r="A22" s="43" t="s">
        <v>552</v>
      </c>
      <c r="B22" s="49">
        <v>0</v>
      </c>
      <c r="C22" s="58"/>
      <c r="D22" s="49">
        <v>0</v>
      </c>
      <c r="E22" s="58"/>
      <c r="F22" s="49">
        <f>B22+D22</f>
        <v>0</v>
      </c>
      <c r="G22" s="58"/>
      <c r="H22" s="49"/>
      <c r="I22" s="58"/>
      <c r="J22" s="49"/>
      <c r="K22" s="58"/>
      <c r="L22" s="49">
        <f t="shared" si="0"/>
        <v>0</v>
      </c>
      <c r="M22" s="58"/>
      <c r="N22" s="49">
        <v>0</v>
      </c>
      <c r="O22" s="58"/>
      <c r="P22" s="49">
        <f t="shared" si="1"/>
        <v>0</v>
      </c>
      <c r="Q22" s="43"/>
      <c r="R22" s="43"/>
      <c r="S22" s="43"/>
      <c r="T22" s="43"/>
      <c r="U22" s="43"/>
      <c r="V22" s="43"/>
      <c r="W22" s="43"/>
    </row>
    <row r="23" spans="1:23">
      <c r="A23" s="96" t="s">
        <v>553</v>
      </c>
      <c r="B23" s="49">
        <v>0</v>
      </c>
      <c r="C23" s="58"/>
      <c r="D23" s="49">
        <v>30.099999994039536</v>
      </c>
      <c r="E23" s="58"/>
      <c r="F23" s="49">
        <f>B23+D23</f>
        <v>30.099999994039536</v>
      </c>
      <c r="G23" s="58"/>
      <c r="H23" s="49"/>
      <c r="I23" s="58"/>
      <c r="J23" s="49"/>
      <c r="K23" s="58"/>
      <c r="L23" s="49">
        <f t="shared" si="0"/>
        <v>30.099999994039536</v>
      </c>
      <c r="M23" s="58"/>
      <c r="N23" s="49">
        <v>0</v>
      </c>
      <c r="O23" s="58"/>
      <c r="P23" s="49">
        <f t="shared" si="1"/>
        <v>30.099999994039536</v>
      </c>
      <c r="Q23" s="43"/>
      <c r="R23" s="43"/>
      <c r="S23" s="43"/>
      <c r="T23" s="43"/>
      <c r="U23" s="43"/>
      <c r="V23" s="43"/>
      <c r="W23" s="43"/>
    </row>
    <row r="24" spans="1:23">
      <c r="A24" s="96" t="s">
        <v>558</v>
      </c>
      <c r="B24" s="49"/>
      <c r="C24" s="58"/>
      <c r="D24" s="49"/>
      <c r="E24" s="58"/>
      <c r="F24" s="49">
        <f t="shared" ref="F24:F25" si="2">B24+D24</f>
        <v>0</v>
      </c>
      <c r="G24" s="58"/>
      <c r="H24" s="49"/>
      <c r="I24" s="58"/>
      <c r="J24" s="49">
        <v>-4998.67</v>
      </c>
      <c r="K24" s="58"/>
      <c r="L24" s="49">
        <f t="shared" si="0"/>
        <v>-4998.67</v>
      </c>
      <c r="M24" s="58"/>
      <c r="N24" s="49"/>
      <c r="O24" s="58"/>
      <c r="P24" s="49">
        <f t="shared" si="1"/>
        <v>-4998.67</v>
      </c>
      <c r="Q24" s="96"/>
      <c r="R24" s="96"/>
      <c r="S24" s="96"/>
      <c r="T24" s="96"/>
      <c r="U24" s="96"/>
      <c r="V24" s="96"/>
      <c r="W24" s="96"/>
    </row>
    <row r="25" spans="1:23">
      <c r="A25" s="43" t="s">
        <v>559</v>
      </c>
      <c r="B25" s="49"/>
      <c r="C25" s="58"/>
      <c r="D25" s="49"/>
      <c r="E25" s="58"/>
      <c r="F25" s="49">
        <f t="shared" si="2"/>
        <v>0</v>
      </c>
      <c r="G25" s="58"/>
      <c r="H25" s="49"/>
      <c r="I25" s="58"/>
      <c r="J25" s="49"/>
      <c r="K25" s="58"/>
      <c r="L25" s="49">
        <f t="shared" si="0"/>
        <v>0</v>
      </c>
      <c r="M25" s="58"/>
      <c r="N25" s="49">
        <v>5611069</v>
      </c>
      <c r="O25" s="58"/>
      <c r="P25" s="49">
        <f t="shared" si="1"/>
        <v>5611069</v>
      </c>
      <c r="Q25" s="43"/>
      <c r="R25" s="43"/>
      <c r="S25" s="43"/>
      <c r="T25" s="43"/>
      <c r="U25" s="43"/>
      <c r="V25" s="43"/>
      <c r="W25" s="43"/>
    </row>
    <row r="26" spans="1:23">
      <c r="A26" s="43" t="s">
        <v>250</v>
      </c>
      <c r="B26" s="53">
        <f>SUM(B18:B25)</f>
        <v>-7658798.6181999994</v>
      </c>
      <c r="C26" s="58"/>
      <c r="D26" s="53">
        <f>SUM(D18:D25)</f>
        <v>1361117.8619999937</v>
      </c>
      <c r="E26" s="58"/>
      <c r="F26" s="53">
        <f>SUM(F18:F25)</f>
        <v>-6297680.7562000062</v>
      </c>
      <c r="G26" s="58"/>
      <c r="H26" s="53">
        <f>SUM(H18:H25)</f>
        <v>0</v>
      </c>
      <c r="I26" s="58"/>
      <c r="J26" s="53">
        <f>SUM(J18:J25)</f>
        <v>-4998.67</v>
      </c>
      <c r="K26" s="58"/>
      <c r="L26" s="53">
        <f>SUM(L18:L25)</f>
        <v>-6302679.4262000062</v>
      </c>
      <c r="M26" s="58"/>
      <c r="N26" s="53">
        <f>SUM(N18:N25)</f>
        <v>6017987.3300000001</v>
      </c>
      <c r="O26" s="58"/>
      <c r="P26" s="53">
        <f>SUM(P18:P25)</f>
        <v>-284692.09620000608</v>
      </c>
      <c r="Q26" s="43"/>
      <c r="R26" s="43"/>
      <c r="S26" s="43"/>
      <c r="T26" s="43"/>
      <c r="U26" s="43"/>
      <c r="V26" s="43"/>
      <c r="W26" s="43"/>
    </row>
    <row r="27" spans="1:23">
      <c r="A27" s="43"/>
      <c r="B27" s="49"/>
      <c r="C27" s="58"/>
      <c r="D27" s="49"/>
      <c r="E27" s="58"/>
      <c r="F27" s="49"/>
      <c r="G27" s="58"/>
      <c r="H27" s="49"/>
      <c r="I27" s="58"/>
      <c r="J27" s="49"/>
      <c r="K27" s="58"/>
      <c r="L27" s="49"/>
      <c r="M27" s="58"/>
      <c r="N27" s="49"/>
      <c r="O27" s="58"/>
      <c r="P27" s="49"/>
      <c r="Q27" s="43"/>
      <c r="R27" s="43"/>
      <c r="S27" s="43"/>
      <c r="T27" s="43"/>
      <c r="U27" s="43"/>
      <c r="V27" s="43"/>
      <c r="W27" s="43"/>
    </row>
    <row r="28" spans="1:23">
      <c r="A28" s="43"/>
      <c r="B28" s="49"/>
      <c r="C28" s="58"/>
      <c r="D28" s="49"/>
      <c r="E28" s="58"/>
      <c r="F28" s="49"/>
      <c r="G28" s="58"/>
      <c r="H28" s="49"/>
      <c r="I28" s="58"/>
      <c r="J28" s="49"/>
      <c r="K28" s="58"/>
      <c r="L28" s="49"/>
      <c r="M28" s="58"/>
      <c r="N28" s="49"/>
      <c r="O28" s="58"/>
      <c r="P28" s="49"/>
      <c r="Q28" s="43"/>
      <c r="R28" s="43"/>
      <c r="S28" s="43"/>
      <c r="T28" s="43"/>
      <c r="U28" s="43"/>
      <c r="V28" s="43"/>
      <c r="W28" s="43"/>
    </row>
    <row r="29" spans="1:23">
      <c r="A29" s="43" t="s">
        <v>251</v>
      </c>
      <c r="B29" s="51">
        <f>+B14+B26</f>
        <v>358609921.40773845</v>
      </c>
      <c r="C29" s="58"/>
      <c r="D29" s="51">
        <f>+D14+D26</f>
        <v>-91404871.863746166</v>
      </c>
      <c r="E29" s="58"/>
      <c r="F29" s="51">
        <f>+F14+F26</f>
        <v>267205049.54399228</v>
      </c>
      <c r="G29" s="58"/>
      <c r="H29" s="51">
        <f>+H14+H26</f>
        <v>0</v>
      </c>
      <c r="I29" s="58"/>
      <c r="J29" s="51">
        <f>+J14+J26</f>
        <v>6047753.9424615381</v>
      </c>
      <c r="K29" s="58"/>
      <c r="L29" s="51">
        <f>+L14+L26</f>
        <v>273252803.48645383</v>
      </c>
      <c r="M29" s="58"/>
      <c r="N29" s="51">
        <f>+N14+N26</f>
        <v>-2045765.9779923074</v>
      </c>
      <c r="O29" s="58"/>
      <c r="P29" s="51">
        <f>+P14+P26</f>
        <v>271207037.50846159</v>
      </c>
      <c r="Q29" s="43"/>
      <c r="R29" s="43"/>
      <c r="S29" s="43"/>
      <c r="T29" s="43"/>
      <c r="U29" s="43"/>
      <c r="V29" s="43"/>
      <c r="W29" s="43"/>
    </row>
    <row r="30" spans="1:23">
      <c r="A30" s="43"/>
      <c r="B30" s="49"/>
      <c r="C30" s="58"/>
      <c r="D30" s="49"/>
      <c r="E30" s="58"/>
      <c r="F30" s="49"/>
      <c r="G30" s="58"/>
      <c r="H30" s="49"/>
      <c r="I30" s="58"/>
      <c r="J30" s="49"/>
      <c r="K30" s="58"/>
      <c r="L30" s="49"/>
      <c r="M30" s="58"/>
      <c r="N30" s="49"/>
      <c r="O30" s="58"/>
      <c r="P30" s="49"/>
      <c r="Q30" s="43"/>
      <c r="R30" s="43"/>
      <c r="S30" s="43"/>
      <c r="T30" s="43"/>
      <c r="U30" s="43"/>
      <c r="V30" s="43"/>
      <c r="W30" s="43"/>
    </row>
    <row r="31" spans="1:23">
      <c r="A31" s="43"/>
      <c r="B31" s="49"/>
      <c r="C31" s="58"/>
      <c r="D31" s="49"/>
      <c r="E31" s="58"/>
      <c r="F31" s="49">
        <f>+B31+D31</f>
        <v>0</v>
      </c>
      <c r="G31" s="58"/>
      <c r="H31" s="49"/>
      <c r="I31" s="58"/>
      <c r="J31" s="49"/>
      <c r="K31" s="58"/>
      <c r="L31" s="49">
        <f t="shared" ref="L31" si="3">+F31+J31</f>
        <v>0</v>
      </c>
      <c r="M31" s="58"/>
      <c r="N31" s="49"/>
      <c r="O31" s="58"/>
      <c r="P31" s="49">
        <f t="shared" ref="P31" si="4">+L31+N31</f>
        <v>0</v>
      </c>
      <c r="Q31" s="43"/>
      <c r="R31" s="43"/>
      <c r="S31" s="43"/>
      <c r="T31" s="43"/>
      <c r="U31" s="43"/>
      <c r="V31" s="43"/>
      <c r="W31" s="43"/>
    </row>
    <row r="32" spans="1:23">
      <c r="A32" s="43"/>
      <c r="B32" s="51"/>
      <c r="C32" s="58"/>
      <c r="D32" s="51"/>
      <c r="E32" s="58"/>
      <c r="F32" s="51"/>
      <c r="G32" s="58"/>
      <c r="H32" s="51"/>
      <c r="I32" s="58"/>
      <c r="J32" s="51"/>
      <c r="K32" s="58"/>
      <c r="L32" s="51"/>
      <c r="M32" s="58"/>
      <c r="N32" s="51"/>
      <c r="O32" s="58"/>
      <c r="P32" s="51"/>
      <c r="Q32" s="43"/>
      <c r="R32" s="43"/>
      <c r="S32" s="43"/>
      <c r="T32" s="43"/>
      <c r="U32" s="43"/>
      <c r="V32" s="43"/>
      <c r="W32" s="43"/>
    </row>
    <row r="33" spans="1:23" ht="15.75" thickBot="1">
      <c r="A33" s="43" t="s">
        <v>555</v>
      </c>
      <c r="B33" s="54">
        <f>SUM(B29:B31)</f>
        <v>358609921.40773845</v>
      </c>
      <c r="C33" s="58"/>
      <c r="D33" s="54">
        <f>SUM(D29:D31)</f>
        <v>-91404871.863746166</v>
      </c>
      <c r="E33" s="58"/>
      <c r="F33" s="54">
        <f>SUM(F29:F31)</f>
        <v>267205049.54399228</v>
      </c>
      <c r="G33" s="58"/>
      <c r="H33" s="54">
        <f>SUM(H29:H31)</f>
        <v>0</v>
      </c>
      <c r="I33" s="58"/>
      <c r="J33" s="54">
        <f>SUM(J29:J31)</f>
        <v>6047753.9424615381</v>
      </c>
      <c r="K33" s="58"/>
      <c r="L33" s="54">
        <f>SUM(L29:L31)</f>
        <v>273252803.48645383</v>
      </c>
      <c r="M33" s="58"/>
      <c r="N33" s="54">
        <f>SUM(N29:N31)</f>
        <v>-2045765.9779923074</v>
      </c>
      <c r="O33" s="58"/>
      <c r="P33" s="54">
        <f>SUM(P29:P31)</f>
        <v>271207037.50846159</v>
      </c>
      <c r="Q33" s="43"/>
      <c r="R33" s="43"/>
      <c r="S33" s="43"/>
      <c r="T33" s="43"/>
      <c r="U33" s="43"/>
      <c r="V33" s="43"/>
      <c r="W33" s="43"/>
    </row>
    <row r="34" spans="1:23" ht="15.75" thickTop="1">
      <c r="A34" s="43" t="s">
        <v>66</v>
      </c>
      <c r="B34" s="49"/>
      <c r="C34" s="58"/>
      <c r="D34" s="49"/>
      <c r="E34" s="58"/>
      <c r="F34" s="49"/>
      <c r="G34" s="58"/>
      <c r="H34" s="49"/>
      <c r="I34" s="58"/>
      <c r="J34" s="49"/>
      <c r="K34" s="58"/>
      <c r="L34" s="49"/>
      <c r="M34" s="58"/>
      <c r="N34" s="49"/>
      <c r="O34" s="58"/>
      <c r="P34" s="49"/>
      <c r="Q34" s="43"/>
      <c r="R34" s="43"/>
      <c r="S34" s="43"/>
      <c r="T34" s="43"/>
      <c r="U34" s="43"/>
      <c r="V34" s="43"/>
      <c r="W34" s="43"/>
    </row>
    <row r="35" spans="1:23">
      <c r="A35" s="43"/>
      <c r="B35" s="49"/>
      <c r="C35" s="58"/>
      <c r="D35" s="49"/>
      <c r="E35" s="58"/>
      <c r="F35" s="49">
        <f>+B35+D35</f>
        <v>0</v>
      </c>
      <c r="G35" s="58"/>
      <c r="H35" s="49"/>
      <c r="I35" s="58"/>
      <c r="J35" s="49"/>
      <c r="K35" s="58"/>
      <c r="L35" s="49">
        <f>+F35+J35</f>
        <v>0</v>
      </c>
      <c r="M35" s="58"/>
      <c r="N35" s="49"/>
      <c r="O35" s="58"/>
      <c r="P35" s="49">
        <f>+L35+N35</f>
        <v>0</v>
      </c>
      <c r="Q35" s="43"/>
      <c r="R35" s="43"/>
      <c r="S35" s="43"/>
      <c r="T35" s="43"/>
      <c r="U35" s="43"/>
      <c r="V35" s="43"/>
      <c r="W35" s="43"/>
    </row>
    <row r="36" spans="1:23">
      <c r="A36" s="43"/>
      <c r="B36" s="49"/>
      <c r="C36" s="58"/>
      <c r="D36" s="49"/>
      <c r="E36" s="58"/>
      <c r="F36" s="49">
        <f>+B36+D36</f>
        <v>0</v>
      </c>
      <c r="G36" s="58"/>
      <c r="H36" s="49"/>
      <c r="I36" s="58"/>
      <c r="J36" s="49"/>
      <c r="K36" s="58"/>
      <c r="L36" s="49">
        <f>+F36+J36</f>
        <v>0</v>
      </c>
      <c r="M36" s="58"/>
      <c r="N36" s="49"/>
      <c r="O36" s="58"/>
      <c r="P36" s="49">
        <f>+L36+N36</f>
        <v>0</v>
      </c>
      <c r="Q36" s="43"/>
      <c r="R36" s="43"/>
      <c r="S36" s="43"/>
      <c r="T36" s="43"/>
      <c r="U36" s="43"/>
      <c r="V36" s="43"/>
      <c r="W36" s="43"/>
    </row>
    <row r="37" spans="1:23">
      <c r="A37" s="43" t="s">
        <v>533</v>
      </c>
      <c r="B37" s="49">
        <v>-34192493</v>
      </c>
      <c r="C37" s="58"/>
      <c r="D37" s="49">
        <v>12157330.900000004</v>
      </c>
      <c r="E37" s="58"/>
      <c r="F37" s="49">
        <f>B37+D37</f>
        <v>-22035162.099999994</v>
      </c>
      <c r="G37" s="58"/>
      <c r="H37" s="49"/>
      <c r="I37" s="58"/>
      <c r="J37" s="49"/>
      <c r="K37" s="58"/>
      <c r="L37" s="49">
        <f>+F37+J37</f>
        <v>-22035162.099999994</v>
      </c>
      <c r="M37" s="58"/>
      <c r="N37" s="49"/>
      <c r="O37" s="58"/>
      <c r="P37" s="49">
        <f>+L37+N37</f>
        <v>-22035162.099999994</v>
      </c>
      <c r="Q37" s="43"/>
      <c r="R37" s="43"/>
      <c r="S37" s="43"/>
      <c r="T37" s="43"/>
      <c r="U37" s="43"/>
      <c r="V37" s="43"/>
      <c r="W37" s="43"/>
    </row>
    <row r="38" spans="1:23">
      <c r="A38" s="43" t="s">
        <v>534</v>
      </c>
      <c r="B38" s="49"/>
      <c r="C38" s="58"/>
      <c r="D38" s="49"/>
      <c r="E38" s="58"/>
      <c r="F38" s="49"/>
      <c r="G38" s="58"/>
      <c r="H38" s="49"/>
      <c r="I38" s="58"/>
      <c r="J38" s="49"/>
      <c r="K38" s="58"/>
      <c r="L38" s="49"/>
      <c r="M38" s="58"/>
      <c r="N38" s="49"/>
      <c r="O38" s="58"/>
      <c r="P38" s="49">
        <f>+L38+N38</f>
        <v>0</v>
      </c>
      <c r="Q38" s="43"/>
      <c r="R38" s="43"/>
      <c r="S38" s="43"/>
      <c r="T38" s="43"/>
      <c r="U38" s="43"/>
      <c r="V38" s="43"/>
      <c r="W38" s="43"/>
    </row>
    <row r="39" spans="1:23">
      <c r="A39" s="43" t="s">
        <v>252</v>
      </c>
      <c r="B39" s="53">
        <f>SUM(B35:B38)</f>
        <v>-34192493</v>
      </c>
      <c r="C39" s="58"/>
      <c r="D39" s="53">
        <f>SUM(D35:D38)</f>
        <v>12157330.900000004</v>
      </c>
      <c r="E39" s="58"/>
      <c r="F39" s="53">
        <f>SUM(F35:F38)</f>
        <v>-22035162.099999994</v>
      </c>
      <c r="G39" s="58"/>
      <c r="H39" s="53">
        <f>SUM(H35:H38)</f>
        <v>0</v>
      </c>
      <c r="I39" s="58"/>
      <c r="J39" s="53">
        <f>SUM(J35:J38)</f>
        <v>0</v>
      </c>
      <c r="K39" s="58"/>
      <c r="L39" s="53">
        <f>SUM(L35:L38)</f>
        <v>-22035162.099999994</v>
      </c>
      <c r="M39" s="58"/>
      <c r="N39" s="53">
        <f>SUM(N35:N38)</f>
        <v>0</v>
      </c>
      <c r="O39" s="58"/>
      <c r="P39" s="53">
        <f>SUM(P35:P38)</f>
        <v>-22035162.099999994</v>
      </c>
      <c r="Q39" s="43"/>
      <c r="R39" s="43"/>
      <c r="S39" s="43"/>
      <c r="T39" s="43"/>
      <c r="U39" s="43"/>
      <c r="V39" s="43"/>
      <c r="W39" s="43"/>
    </row>
    <row r="40" spans="1:23">
      <c r="A40" s="43"/>
      <c r="B40" s="49"/>
      <c r="C40" s="58"/>
      <c r="D40" s="49"/>
      <c r="E40" s="58"/>
      <c r="F40" s="49"/>
      <c r="G40" s="58"/>
      <c r="H40" s="49"/>
      <c r="I40" s="58"/>
      <c r="J40" s="49"/>
      <c r="K40" s="58"/>
      <c r="L40" s="49"/>
      <c r="M40" s="58"/>
      <c r="N40" s="49"/>
      <c r="O40" s="58"/>
      <c r="P40" s="49"/>
      <c r="Q40" s="43"/>
      <c r="R40" s="43"/>
      <c r="S40" s="43"/>
      <c r="T40" s="43"/>
      <c r="U40" s="43"/>
      <c r="V40" s="43"/>
      <c r="W40" s="43"/>
    </row>
    <row r="41" spans="1:23">
      <c r="A41" s="43"/>
      <c r="B41" s="49"/>
      <c r="C41" s="58"/>
      <c r="D41" s="49"/>
      <c r="E41" s="58"/>
      <c r="F41" s="49"/>
      <c r="G41" s="58"/>
      <c r="H41" s="49"/>
      <c r="I41" s="58"/>
      <c r="J41" s="49"/>
      <c r="K41" s="58"/>
      <c r="L41" s="49"/>
      <c r="M41" s="58"/>
      <c r="N41" s="49"/>
      <c r="O41" s="58"/>
      <c r="P41" s="49"/>
      <c r="Q41" s="43"/>
      <c r="R41" s="43"/>
      <c r="S41" s="43"/>
      <c r="T41" s="43"/>
      <c r="U41" s="43"/>
      <c r="V41" s="43"/>
      <c r="W41" s="43"/>
    </row>
    <row r="42" spans="1:23" ht="15.75" thickBot="1">
      <c r="A42" s="43" t="s">
        <v>253</v>
      </c>
      <c r="B42" s="55">
        <f>+B33+B39</f>
        <v>324417428.40773845</v>
      </c>
      <c r="C42" s="58"/>
      <c r="D42" s="55">
        <f>+D33+D39</f>
        <v>-79247540.96374616</v>
      </c>
      <c r="E42" s="58"/>
      <c r="F42" s="55">
        <f>+F33+F39</f>
        <v>245169887.44399229</v>
      </c>
      <c r="G42" s="58"/>
      <c r="H42" s="55">
        <f>+H33+H39</f>
        <v>0</v>
      </c>
      <c r="I42" s="58"/>
      <c r="J42" s="55">
        <f>+J33+J39</f>
        <v>6047753.9424615381</v>
      </c>
      <c r="K42" s="58"/>
      <c r="L42" s="55">
        <f>+L33+L39</f>
        <v>251217641.38645384</v>
      </c>
      <c r="M42" s="58"/>
      <c r="N42" s="55">
        <f>+N33+N39</f>
        <v>-2045765.9779923074</v>
      </c>
      <c r="O42" s="58"/>
      <c r="P42" s="55">
        <f>+P33+P39</f>
        <v>249171875.4084616</v>
      </c>
      <c r="Q42" s="43"/>
      <c r="R42" s="43"/>
      <c r="S42" s="43"/>
      <c r="T42" s="43"/>
      <c r="U42" s="43"/>
      <c r="V42" s="43"/>
      <c r="W42" s="43"/>
    </row>
    <row r="43" spans="1:23" ht="15.75" thickTop="1">
      <c r="A43" s="43"/>
      <c r="B43" s="43"/>
      <c r="C43" s="56"/>
      <c r="D43" s="43"/>
      <c r="E43" s="56"/>
      <c r="F43" s="43"/>
      <c r="G43" s="56"/>
      <c r="H43" s="43"/>
      <c r="I43" s="56"/>
      <c r="J43" s="43"/>
      <c r="K43" s="56"/>
      <c r="L43" s="43"/>
      <c r="M43" s="56"/>
      <c r="N43" s="43"/>
      <c r="O43" s="56"/>
      <c r="P43" s="43"/>
      <c r="Q43" s="43"/>
      <c r="R43" s="43"/>
      <c r="S43" s="43"/>
      <c r="T43" s="43"/>
      <c r="U43" s="43"/>
      <c r="V43" s="43"/>
      <c r="W43" s="43"/>
    </row>
    <row r="44" spans="1:23">
      <c r="A44" s="43"/>
      <c r="B44" s="43"/>
      <c r="C44" s="56"/>
      <c r="D44" s="43"/>
      <c r="E44" s="56"/>
      <c r="F44" s="43"/>
      <c r="G44" s="56"/>
      <c r="H44" s="43"/>
      <c r="I44" s="56"/>
      <c r="J44" s="43"/>
      <c r="K44" s="56"/>
      <c r="L44" s="43"/>
      <c r="M44" s="56"/>
      <c r="N44" s="43"/>
      <c r="O44" s="56"/>
      <c r="P44" s="43"/>
      <c r="Q44" s="43"/>
      <c r="R44" s="43"/>
      <c r="S44" s="43"/>
      <c r="T44" s="43"/>
      <c r="U44" s="43"/>
      <c r="V44" s="43"/>
      <c r="W44" s="43"/>
    </row>
    <row r="45" spans="1:23">
      <c r="A45" s="43"/>
      <c r="B45" s="43"/>
      <c r="C45" s="56"/>
      <c r="D45" s="43"/>
      <c r="E45" s="56"/>
      <c r="F45" s="43"/>
      <c r="G45" s="56"/>
      <c r="H45" s="43"/>
      <c r="I45" s="56"/>
      <c r="J45" s="43"/>
      <c r="K45" s="56"/>
      <c r="L45" s="43"/>
      <c r="M45" s="56"/>
      <c r="N45" s="43"/>
      <c r="O45" s="56"/>
      <c r="P45" s="43"/>
      <c r="Q45" s="43"/>
      <c r="R45" s="43"/>
      <c r="S45" s="43"/>
      <c r="T45" s="43"/>
      <c r="U45" s="43"/>
      <c r="V45" s="43"/>
      <c r="W45" s="43"/>
    </row>
    <row r="46" spans="1:23">
      <c r="A46" s="43"/>
      <c r="B46" s="43"/>
      <c r="C46" s="56"/>
      <c r="D46" s="43"/>
      <c r="E46" s="56"/>
      <c r="F46" s="43"/>
      <c r="G46" s="56"/>
      <c r="H46" s="43"/>
      <c r="I46" s="56"/>
      <c r="J46" s="43"/>
      <c r="K46" s="56"/>
      <c r="L46" s="43"/>
      <c r="M46" s="56"/>
      <c r="N46" s="43"/>
      <c r="O46" s="56"/>
      <c r="P46" s="43"/>
      <c r="Q46" s="43"/>
      <c r="R46" s="43"/>
      <c r="S46" s="43"/>
      <c r="T46" s="43"/>
      <c r="U46" s="43"/>
      <c r="V46" s="43"/>
      <c r="W46" s="43"/>
    </row>
    <row r="47" spans="1:23">
      <c r="A47" s="43"/>
      <c r="B47" s="43"/>
      <c r="C47" s="56"/>
      <c r="D47" s="43"/>
      <c r="E47" s="56"/>
      <c r="F47" s="43"/>
      <c r="G47" s="56"/>
      <c r="H47" s="43"/>
      <c r="I47" s="56"/>
      <c r="J47" s="43"/>
      <c r="K47" s="56"/>
      <c r="L47" s="43"/>
      <c r="M47" s="56"/>
      <c r="N47" s="43"/>
      <c r="O47" s="56"/>
      <c r="P47" s="43"/>
      <c r="Q47" s="43"/>
      <c r="R47" s="43"/>
      <c r="S47" s="43"/>
      <c r="T47" s="43"/>
      <c r="U47" s="43"/>
      <c r="V47" s="43"/>
      <c r="W47" s="43"/>
    </row>
    <row r="48" spans="1:23">
      <c r="A48" s="43"/>
      <c r="B48" s="43"/>
      <c r="C48" s="56"/>
      <c r="D48" s="43"/>
      <c r="E48" s="56"/>
      <c r="F48" s="43"/>
      <c r="G48" s="56"/>
      <c r="H48" s="43"/>
      <c r="I48" s="56"/>
      <c r="J48" s="43"/>
      <c r="K48" s="56"/>
      <c r="L48" s="43"/>
      <c r="M48" s="56"/>
      <c r="N48" s="43"/>
      <c r="O48" s="56"/>
      <c r="P48" s="43"/>
      <c r="Q48" s="43"/>
      <c r="R48" s="43"/>
      <c r="S48" s="43"/>
      <c r="T48" s="43"/>
      <c r="U48" s="43"/>
      <c r="V48" s="43"/>
      <c r="W48" s="43"/>
    </row>
    <row r="49" spans="1:23">
      <c r="A49" s="43"/>
      <c r="B49" s="43"/>
      <c r="C49" s="56"/>
      <c r="D49" s="43"/>
      <c r="E49" s="56"/>
      <c r="F49" s="43"/>
      <c r="G49" s="56"/>
      <c r="H49" s="43"/>
      <c r="I49" s="56"/>
      <c r="J49" s="43"/>
      <c r="K49" s="56"/>
      <c r="L49" s="43"/>
      <c r="M49" s="56"/>
      <c r="N49" s="43"/>
      <c r="O49" s="56"/>
      <c r="P49" s="43"/>
      <c r="Q49" s="43"/>
      <c r="R49" s="43"/>
      <c r="S49" s="43"/>
      <c r="T49" s="43"/>
      <c r="U49" s="43"/>
      <c r="V49" s="43"/>
      <c r="W49" s="43"/>
    </row>
    <row r="51" spans="1:23">
      <c r="L51" s="43"/>
      <c r="V51" s="43"/>
    </row>
    <row r="52" spans="1:23">
      <c r="V52" s="43"/>
    </row>
    <row r="53" spans="1:23">
      <c r="V53" s="43"/>
    </row>
  </sheetData>
  <phoneticPr fontId="0" type="noConversion"/>
  <pageMargins left="0.25" right="0.25" top="0.75" bottom="0.75" header="0.3" footer="0.3"/>
  <pageSetup scale="70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8"/>
  <sheetViews>
    <sheetView topLeftCell="A16" workbookViewId="0">
      <selection activeCell="L17" sqref="L17"/>
    </sheetView>
  </sheetViews>
  <sheetFormatPr defaultColWidth="9.140625" defaultRowHeight="15"/>
  <cols>
    <col min="1" max="1" width="45.140625" style="43" customWidth="1"/>
    <col min="2" max="2" width="14.7109375" style="43" customWidth="1"/>
    <col min="3" max="3" width="2.42578125" style="56" customWidth="1"/>
    <col min="4" max="4" width="16" style="43" bestFit="1" customWidth="1"/>
    <col min="5" max="5" width="2.7109375" style="56" customWidth="1"/>
    <col min="6" max="6" width="15.28515625" style="43" bestFit="1" customWidth="1"/>
    <col min="7" max="7" width="2.7109375" style="56" customWidth="1"/>
    <col min="8" max="8" width="14.28515625" style="43" customWidth="1"/>
    <col min="9" max="9" width="2.28515625" style="56" customWidth="1"/>
    <col min="10" max="10" width="13.5703125" style="43" customWidth="1"/>
    <col min="11" max="11" width="2.28515625" style="56" customWidth="1"/>
    <col min="12" max="12" width="14.28515625" style="43" bestFit="1" customWidth="1"/>
    <col min="13" max="13" width="1.85546875" style="56" customWidth="1"/>
    <col min="14" max="14" width="9.28515625" style="43" bestFit="1" customWidth="1"/>
    <col min="15" max="15" width="2.5703125" style="56" customWidth="1"/>
    <col min="16" max="16" width="9.28515625" style="43" bestFit="1" customWidth="1"/>
    <col min="17" max="17" width="2.42578125" style="56" customWidth="1"/>
    <col min="18" max="18" width="12.28515625" style="43" customWidth="1"/>
    <col min="19" max="19" width="3.140625" style="56" customWidth="1"/>
    <col min="20" max="20" width="15.42578125" style="43" customWidth="1"/>
    <col min="21" max="21" width="3.140625" style="56" customWidth="1"/>
    <col min="22" max="22" width="14.7109375" style="43" customWidth="1"/>
    <col min="23" max="16384" width="9.140625" style="43"/>
  </cols>
  <sheetData>
    <row r="1" spans="1:22">
      <c r="A1" s="43" t="str">
        <f>'Avg ROR'!A1</f>
        <v>FLORIDA PUBLIC UTILITIES COMPANY</v>
      </c>
      <c r="T1" s="100"/>
      <c r="V1" s="43" t="s">
        <v>257</v>
      </c>
    </row>
    <row r="2" spans="1:22">
      <c r="A2" s="43" t="str">
        <f>'Avg ROR'!A2</f>
        <v>NATURAL GAS</v>
      </c>
      <c r="V2" s="43" t="s">
        <v>258</v>
      </c>
    </row>
    <row r="3" spans="1:22">
      <c r="A3" s="43" t="str">
        <f>'Avg ROR'!A3</f>
        <v>AVERAGE RATE OF RETURN</v>
      </c>
    </row>
    <row r="4" spans="1:22">
      <c r="A4" s="43" t="str">
        <f>'Avg ROR'!A4</f>
        <v>For the 12 Months Ending December 31, 2020</v>
      </c>
    </row>
    <row r="5" spans="1:22">
      <c r="A5" s="43" t="s">
        <v>259</v>
      </c>
    </row>
    <row r="8" spans="1:22">
      <c r="B8" s="48" t="s">
        <v>121</v>
      </c>
      <c r="C8" s="57"/>
      <c r="D8" s="48" t="s">
        <v>227</v>
      </c>
      <c r="E8" s="57"/>
      <c r="F8" s="48" t="s">
        <v>124</v>
      </c>
      <c r="G8" s="57"/>
      <c r="H8" s="48" t="s">
        <v>123</v>
      </c>
      <c r="I8" s="57"/>
      <c r="J8" s="48" t="s">
        <v>122</v>
      </c>
      <c r="K8" s="57"/>
      <c r="L8" s="48" t="s">
        <v>254</v>
      </c>
      <c r="M8" s="57"/>
      <c r="N8" s="48" t="s">
        <v>255</v>
      </c>
      <c r="O8" s="57"/>
      <c r="P8" s="48" t="s">
        <v>256</v>
      </c>
      <c r="Q8" s="57"/>
      <c r="R8" s="48" t="s">
        <v>279</v>
      </c>
      <c r="S8" s="57"/>
      <c r="T8" s="48" t="s">
        <v>280</v>
      </c>
      <c r="U8" s="57"/>
      <c r="V8" s="48" t="s">
        <v>281</v>
      </c>
    </row>
    <row r="9" spans="1:22">
      <c r="B9" s="48"/>
      <c r="C9" s="57"/>
      <c r="D9" s="48"/>
      <c r="E9" s="57"/>
      <c r="F9" s="48"/>
      <c r="G9" s="57"/>
      <c r="H9" s="48"/>
      <c r="I9" s="57"/>
      <c r="J9" s="48"/>
      <c r="K9" s="57"/>
      <c r="L9" s="48"/>
      <c r="M9" s="57"/>
      <c r="N9" s="48"/>
      <c r="O9" s="57"/>
      <c r="P9" s="48"/>
      <c r="Q9" s="57"/>
      <c r="R9" s="48" t="s">
        <v>260</v>
      </c>
      <c r="S9" s="57"/>
      <c r="T9" s="48" t="s">
        <v>241</v>
      </c>
      <c r="U9" s="57"/>
      <c r="V9" s="48" t="s">
        <v>234</v>
      </c>
    </row>
    <row r="10" spans="1:22">
      <c r="B10" s="48" t="s">
        <v>261</v>
      </c>
      <c r="C10" s="57"/>
      <c r="D10" s="48" t="s">
        <v>262</v>
      </c>
      <c r="E10" s="57"/>
      <c r="F10" s="48" t="s">
        <v>263</v>
      </c>
      <c r="G10" s="57"/>
      <c r="H10" s="48" t="s">
        <v>264</v>
      </c>
      <c r="I10" s="57"/>
      <c r="J10" s="48" t="s">
        <v>265</v>
      </c>
      <c r="K10" s="57"/>
      <c r="L10" s="48" t="s">
        <v>266</v>
      </c>
      <c r="M10" s="57"/>
      <c r="N10" s="48" t="s">
        <v>267</v>
      </c>
      <c r="O10" s="57"/>
      <c r="P10" s="48" t="s">
        <v>268</v>
      </c>
      <c r="Q10" s="57"/>
      <c r="R10" s="48" t="s">
        <v>269</v>
      </c>
      <c r="S10" s="57"/>
      <c r="T10" s="48" t="s">
        <v>261</v>
      </c>
      <c r="U10" s="57"/>
      <c r="V10" s="48" t="s">
        <v>261</v>
      </c>
    </row>
    <row r="11" spans="1:22">
      <c r="B11" s="60" t="s">
        <v>270</v>
      </c>
      <c r="C11" s="57"/>
      <c r="D11" s="60" t="s">
        <v>271</v>
      </c>
      <c r="E11" s="57"/>
      <c r="F11" s="60" t="s">
        <v>272</v>
      </c>
      <c r="G11" s="57"/>
      <c r="H11" s="60" t="s">
        <v>243</v>
      </c>
      <c r="I11" s="57"/>
      <c r="J11" s="60" t="s">
        <v>273</v>
      </c>
      <c r="K11" s="57"/>
      <c r="L11" s="60" t="s">
        <v>274</v>
      </c>
      <c r="M11" s="57"/>
      <c r="N11" s="60" t="s">
        <v>275</v>
      </c>
      <c r="O11" s="57"/>
      <c r="P11" s="60" t="s">
        <v>275</v>
      </c>
      <c r="Q11" s="57"/>
      <c r="R11" s="60" t="s">
        <v>276</v>
      </c>
      <c r="S11" s="57"/>
      <c r="T11" s="60" t="s">
        <v>277</v>
      </c>
      <c r="U11" s="57"/>
      <c r="V11" s="60" t="s">
        <v>278</v>
      </c>
    </row>
    <row r="13" spans="1:22">
      <c r="A13" s="43" t="s">
        <v>248</v>
      </c>
      <c r="B13" s="49">
        <v>92962652</v>
      </c>
      <c r="C13" s="58"/>
      <c r="D13" s="49">
        <v>34903912</v>
      </c>
      <c r="E13" s="58"/>
      <c r="F13" s="49">
        <v>23111720.090000004</v>
      </c>
      <c r="G13" s="58"/>
      <c r="H13" s="49">
        <v>10825951.949999999</v>
      </c>
      <c r="I13" s="58"/>
      <c r="J13" s="49">
        <v>8131698</v>
      </c>
      <c r="K13" s="58"/>
      <c r="L13" s="49">
        <v>2708751</v>
      </c>
      <c r="M13" s="58"/>
      <c r="N13" s="49"/>
      <c r="O13" s="58"/>
      <c r="P13" s="49"/>
      <c r="Q13" s="58"/>
      <c r="R13" s="49"/>
      <c r="S13" s="58"/>
      <c r="T13" s="49">
        <f>SUM(D13:R13)</f>
        <v>79682033.040000007</v>
      </c>
      <c r="U13" s="58"/>
      <c r="V13" s="49">
        <f>+B13-T13</f>
        <v>13280618.959999993</v>
      </c>
    </row>
    <row r="14" spans="1:22">
      <c r="B14" s="49"/>
      <c r="C14" s="58"/>
      <c r="D14" s="49"/>
      <c r="E14" s="58"/>
      <c r="F14" s="49"/>
      <c r="G14" s="58"/>
      <c r="H14" s="49"/>
      <c r="I14" s="58"/>
      <c r="J14" s="49"/>
      <c r="K14" s="58"/>
      <c r="L14" s="49"/>
      <c r="M14" s="58"/>
      <c r="N14" s="49"/>
      <c r="O14" s="58"/>
      <c r="P14" s="49"/>
      <c r="Q14" s="58"/>
      <c r="R14" s="49"/>
      <c r="S14" s="58"/>
      <c r="T14" s="49"/>
      <c r="U14" s="58"/>
      <c r="V14" s="49"/>
    </row>
    <row r="15" spans="1:22">
      <c r="A15" s="43" t="s">
        <v>249</v>
      </c>
      <c r="B15" s="49"/>
      <c r="C15" s="58"/>
      <c r="D15" s="49"/>
      <c r="E15" s="58"/>
      <c r="F15" s="49"/>
      <c r="G15" s="58"/>
      <c r="H15" s="49"/>
      <c r="I15" s="58"/>
      <c r="J15" s="49"/>
      <c r="K15" s="58"/>
      <c r="L15" s="49"/>
      <c r="M15" s="58"/>
      <c r="N15" s="49"/>
      <c r="O15" s="58"/>
      <c r="P15" s="49"/>
      <c r="Q15" s="58"/>
      <c r="R15" s="49"/>
      <c r="S15" s="58"/>
      <c r="T15" s="49"/>
      <c r="U15" s="58"/>
      <c r="V15" s="49"/>
    </row>
    <row r="16" spans="1:22">
      <c r="A16" s="96" t="s">
        <v>543</v>
      </c>
      <c r="B16" s="49"/>
      <c r="C16" s="58"/>
      <c r="D16" s="49"/>
      <c r="E16" s="58"/>
      <c r="F16" s="49"/>
      <c r="G16" s="58"/>
      <c r="H16" s="49"/>
      <c r="I16" s="58"/>
      <c r="J16" s="49"/>
      <c r="K16" s="58"/>
      <c r="L16" s="49">
        <v>160368</v>
      </c>
      <c r="M16" s="58"/>
      <c r="N16" s="49"/>
      <c r="O16" s="58"/>
      <c r="P16" s="49"/>
      <c r="Q16" s="58"/>
      <c r="R16" s="49"/>
      <c r="S16" s="58"/>
      <c r="T16" s="49">
        <f>SUM(D16:R16)</f>
        <v>160368</v>
      </c>
      <c r="U16" s="58"/>
      <c r="V16" s="49">
        <f>+B16-T16</f>
        <v>-160368</v>
      </c>
    </row>
    <row r="17" spans="1:22">
      <c r="A17" s="43" t="s">
        <v>473</v>
      </c>
      <c r="B17" s="49">
        <v>-31359571</v>
      </c>
      <c r="C17" s="58"/>
      <c r="D17" s="49">
        <v>-31229307</v>
      </c>
      <c r="E17" s="58"/>
      <c r="F17" s="49"/>
      <c r="G17" s="58"/>
      <c r="H17" s="49"/>
      <c r="I17" s="58"/>
      <c r="J17" s="49">
        <v>-141230.83685064316</v>
      </c>
      <c r="K17" s="58"/>
      <c r="L17" s="49">
        <f>-(-B17+D17+F17+H17+J17)*0.24522</f>
        <v>2689.2877325147151</v>
      </c>
      <c r="M17" s="58"/>
      <c r="N17" s="49"/>
      <c r="O17" s="58"/>
      <c r="P17" s="49"/>
      <c r="Q17" s="58"/>
      <c r="R17" s="49"/>
      <c r="S17" s="58"/>
      <c r="T17" s="49">
        <f t="shared" ref="T17:T28" si="0">SUM(D17:R17)</f>
        <v>-31367848.549118128</v>
      </c>
      <c r="U17" s="58"/>
      <c r="V17" s="49">
        <f t="shared" ref="V17:V28" si="1">+B17-T17</f>
        <v>8277.5491181276739</v>
      </c>
    </row>
    <row r="18" spans="1:22">
      <c r="A18" s="43" t="s">
        <v>474</v>
      </c>
      <c r="B18" s="49">
        <v>-3691326</v>
      </c>
      <c r="C18" s="58"/>
      <c r="D18" s="49">
        <v>-3674605</v>
      </c>
      <c r="E18" s="58"/>
      <c r="F18" s="49"/>
      <c r="G18" s="58"/>
      <c r="H18" s="49"/>
      <c r="I18" s="58"/>
      <c r="J18" s="49">
        <v>-18474.44333004998</v>
      </c>
      <c r="K18" s="58"/>
      <c r="L18" s="49">
        <f t="shared" ref="L18:L29" si="2">-(-B18+D18+F18+H18+J18)*0.24522</f>
        <v>429.97937339485617</v>
      </c>
      <c r="M18" s="58"/>
      <c r="N18" s="49"/>
      <c r="O18" s="58"/>
      <c r="P18" s="49"/>
      <c r="Q18" s="58"/>
      <c r="R18" s="49"/>
      <c r="S18" s="58"/>
      <c r="T18" s="49">
        <f>SUM(D18:R18)</f>
        <v>-3692649.463956655</v>
      </c>
      <c r="U18" s="58"/>
      <c r="V18" s="49">
        <f t="shared" si="1"/>
        <v>1323.4639566550031</v>
      </c>
    </row>
    <row r="19" spans="1:22">
      <c r="A19" s="43" t="s">
        <v>475</v>
      </c>
      <c r="B19" s="49"/>
      <c r="C19" s="58"/>
      <c r="D19" s="49"/>
      <c r="E19" s="58"/>
      <c r="F19" s="49"/>
      <c r="G19" s="58"/>
      <c r="H19" s="49">
        <v>-176315.65815599999</v>
      </c>
      <c r="I19" s="58"/>
      <c r="J19" s="49"/>
      <c r="K19" s="58"/>
      <c r="L19" s="49">
        <f t="shared" si="2"/>
        <v>43236.125693014314</v>
      </c>
      <c r="M19" s="58"/>
      <c r="N19" s="49"/>
      <c r="O19" s="58"/>
      <c r="P19" s="49"/>
      <c r="Q19" s="58"/>
      <c r="R19" s="49"/>
      <c r="S19" s="58"/>
      <c r="T19" s="49">
        <f t="shared" si="0"/>
        <v>-133079.53246298566</v>
      </c>
      <c r="U19" s="58"/>
      <c r="V19" s="49">
        <f t="shared" si="1"/>
        <v>133079.53246298566</v>
      </c>
    </row>
    <row r="20" spans="1:22">
      <c r="A20" s="43" t="s">
        <v>476</v>
      </c>
      <c r="B20" s="49">
        <v>-240038</v>
      </c>
      <c r="C20" s="58"/>
      <c r="D20" s="49"/>
      <c r="E20" s="58"/>
      <c r="F20" s="49"/>
      <c r="G20" s="58"/>
      <c r="H20" s="49">
        <v>-238837</v>
      </c>
      <c r="I20" s="58"/>
      <c r="J20" s="49">
        <v>-1265.494280314364</v>
      </c>
      <c r="K20" s="58"/>
      <c r="L20" s="49">
        <f t="shared" si="2"/>
        <v>15.815287418688341</v>
      </c>
      <c r="M20" s="58"/>
      <c r="N20" s="49"/>
      <c r="O20" s="58"/>
      <c r="P20" s="49"/>
      <c r="Q20" s="58"/>
      <c r="R20" s="49"/>
      <c r="S20" s="58"/>
      <c r="T20" s="49">
        <f t="shared" si="0"/>
        <v>-240086.67899289567</v>
      </c>
      <c r="U20" s="58"/>
      <c r="V20" s="49">
        <f t="shared" si="1"/>
        <v>48.678992895671399</v>
      </c>
    </row>
    <row r="21" spans="1:22">
      <c r="A21" s="43" t="s">
        <v>546</v>
      </c>
      <c r="B21" s="49">
        <v>-3302413</v>
      </c>
      <c r="C21" s="58"/>
      <c r="D21" s="49"/>
      <c r="E21" s="58"/>
      <c r="F21" s="49"/>
      <c r="G21" s="58"/>
      <c r="H21" s="49"/>
      <c r="I21" s="58"/>
      <c r="J21" s="49">
        <v>-3302413</v>
      </c>
      <c r="K21" s="58"/>
      <c r="L21" s="49">
        <f t="shared" si="2"/>
        <v>0</v>
      </c>
      <c r="M21" s="58"/>
      <c r="N21" s="49"/>
      <c r="O21" s="58"/>
      <c r="P21" s="49"/>
      <c r="Q21" s="58"/>
      <c r="R21" s="49"/>
      <c r="S21" s="58"/>
      <c r="T21" s="49">
        <f t="shared" si="0"/>
        <v>-3302413</v>
      </c>
      <c r="U21" s="58"/>
      <c r="V21" s="49">
        <f t="shared" si="1"/>
        <v>0</v>
      </c>
    </row>
    <row r="22" spans="1:22">
      <c r="A22" s="96" t="s">
        <v>547</v>
      </c>
      <c r="B22" s="49"/>
      <c r="C22" s="58"/>
      <c r="D22" s="49"/>
      <c r="E22" s="58"/>
      <c r="F22" s="49">
        <v>-600.0625</v>
      </c>
      <c r="G22" s="58"/>
      <c r="H22" s="49"/>
      <c r="I22" s="58"/>
      <c r="J22" s="49"/>
      <c r="K22" s="58"/>
      <c r="L22" s="49">
        <f t="shared" si="2"/>
        <v>147.14732624999999</v>
      </c>
      <c r="M22" s="58"/>
      <c r="N22" s="49"/>
      <c r="O22" s="58"/>
      <c r="P22" s="49"/>
      <c r="Q22" s="58"/>
      <c r="R22" s="49"/>
      <c r="S22" s="58"/>
      <c r="T22" s="49">
        <f t="shared" si="0"/>
        <v>-452.91517375000001</v>
      </c>
      <c r="U22" s="58"/>
      <c r="V22" s="49">
        <f t="shared" si="1"/>
        <v>452.91517375000001</v>
      </c>
    </row>
    <row r="23" spans="1:22">
      <c r="A23" s="43" t="s">
        <v>548</v>
      </c>
      <c r="B23" s="49"/>
      <c r="C23" s="58"/>
      <c r="D23" s="49"/>
      <c r="E23" s="58"/>
      <c r="F23" s="49"/>
      <c r="G23" s="58"/>
      <c r="H23" s="49"/>
      <c r="I23" s="58"/>
      <c r="J23" s="49"/>
      <c r="K23" s="58"/>
      <c r="L23" s="49">
        <f>-(-B23+D23+F23+H23+J23)*0.24522</f>
        <v>0</v>
      </c>
      <c r="M23" s="58"/>
      <c r="N23" s="49"/>
      <c r="O23" s="58"/>
      <c r="P23" s="49"/>
      <c r="Q23" s="58"/>
      <c r="R23" s="49"/>
      <c r="S23" s="58"/>
      <c r="T23" s="49">
        <f t="shared" si="0"/>
        <v>0</v>
      </c>
      <c r="U23" s="58"/>
      <c r="V23" s="49">
        <f t="shared" si="1"/>
        <v>0</v>
      </c>
    </row>
    <row r="24" spans="1:22">
      <c r="A24" s="96" t="s">
        <v>549</v>
      </c>
      <c r="B24" s="49">
        <v>-461975.88</v>
      </c>
      <c r="C24" s="58"/>
      <c r="D24" s="49"/>
      <c r="E24" s="58"/>
      <c r="F24" s="49">
        <v>-11818.17</v>
      </c>
      <c r="G24" s="58"/>
      <c r="H24" s="49">
        <v>-51000</v>
      </c>
      <c r="I24" s="58"/>
      <c r="J24" s="49">
        <v>-18755</v>
      </c>
      <c r="K24" s="58"/>
      <c r="L24" s="49">
        <f t="shared" si="2"/>
        <v>-93282.352546199996</v>
      </c>
      <c r="M24" s="58"/>
      <c r="N24" s="49"/>
      <c r="O24" s="58"/>
      <c r="P24" s="49"/>
      <c r="Q24" s="58"/>
      <c r="R24" s="49"/>
      <c r="S24" s="58"/>
      <c r="T24" s="49">
        <f t="shared" si="0"/>
        <v>-174855.52254619999</v>
      </c>
      <c r="U24" s="58"/>
      <c r="V24" s="49">
        <f t="shared" si="1"/>
        <v>-287120.35745380004</v>
      </c>
    </row>
    <row r="25" spans="1:22">
      <c r="A25" s="43" t="s">
        <v>557</v>
      </c>
      <c r="B25" s="49">
        <v>143630</v>
      </c>
      <c r="C25" s="58"/>
      <c r="D25" s="49"/>
      <c r="E25" s="58"/>
      <c r="F25" s="49"/>
      <c r="G25" s="58"/>
      <c r="H25" s="49"/>
      <c r="I25" s="58"/>
      <c r="J25" s="49"/>
      <c r="K25" s="58"/>
      <c r="L25" s="49">
        <f t="shared" si="2"/>
        <v>35220.948599999996</v>
      </c>
      <c r="M25" s="58"/>
      <c r="N25" s="49"/>
      <c r="O25" s="58"/>
      <c r="P25" s="49"/>
      <c r="Q25" s="58"/>
      <c r="R25" s="49"/>
      <c r="S25" s="58"/>
      <c r="T25" s="49">
        <f t="shared" si="0"/>
        <v>35220.948599999996</v>
      </c>
      <c r="U25" s="58"/>
      <c r="V25" s="49">
        <f t="shared" si="1"/>
        <v>108409.0514</v>
      </c>
    </row>
    <row r="26" spans="1:22">
      <c r="B26" s="49"/>
      <c r="C26" s="58"/>
      <c r="D26" s="49"/>
      <c r="E26" s="58"/>
      <c r="F26" s="49"/>
      <c r="G26" s="58"/>
      <c r="H26" s="49"/>
      <c r="I26" s="58"/>
      <c r="J26" s="49"/>
      <c r="K26" s="58"/>
      <c r="L26" s="49">
        <f t="shared" si="2"/>
        <v>0</v>
      </c>
      <c r="M26" s="58"/>
      <c r="N26" s="49"/>
      <c r="O26" s="58"/>
      <c r="P26" s="49"/>
      <c r="Q26" s="58"/>
      <c r="R26" s="49"/>
      <c r="S26" s="58"/>
      <c r="T26" s="49">
        <f t="shared" si="0"/>
        <v>0</v>
      </c>
      <c r="U26" s="58"/>
      <c r="V26" s="49">
        <f t="shared" si="1"/>
        <v>0</v>
      </c>
    </row>
    <row r="27" spans="1:22">
      <c r="B27" s="49"/>
      <c r="C27" s="58"/>
      <c r="D27" s="49"/>
      <c r="E27" s="58"/>
      <c r="F27" s="49"/>
      <c r="G27" s="58"/>
      <c r="H27" s="49"/>
      <c r="I27" s="58"/>
      <c r="J27" s="49"/>
      <c r="K27" s="58"/>
      <c r="L27" s="49">
        <f t="shared" si="2"/>
        <v>0</v>
      </c>
      <c r="M27" s="58"/>
      <c r="N27" s="49"/>
      <c r="O27" s="58"/>
      <c r="P27" s="49"/>
      <c r="Q27" s="58"/>
      <c r="R27" s="49"/>
      <c r="S27" s="58"/>
      <c r="T27" s="49">
        <f t="shared" si="0"/>
        <v>0</v>
      </c>
      <c r="U27" s="58"/>
      <c r="V27" s="49">
        <f t="shared" si="1"/>
        <v>0</v>
      </c>
    </row>
    <row r="28" spans="1:22">
      <c r="B28" s="49"/>
      <c r="C28" s="58"/>
      <c r="D28" s="49"/>
      <c r="E28" s="58"/>
      <c r="F28" s="49"/>
      <c r="G28" s="58"/>
      <c r="H28" s="49"/>
      <c r="I28" s="58"/>
      <c r="J28" s="49"/>
      <c r="K28" s="58"/>
      <c r="L28" s="49">
        <f t="shared" si="2"/>
        <v>0</v>
      </c>
      <c r="M28" s="58"/>
      <c r="N28" s="49"/>
      <c r="O28" s="58"/>
      <c r="P28" s="49"/>
      <c r="Q28" s="58"/>
      <c r="R28" s="49"/>
      <c r="S28" s="58"/>
      <c r="T28" s="49">
        <f t="shared" si="0"/>
        <v>0</v>
      </c>
      <c r="U28" s="58"/>
      <c r="V28" s="49">
        <f t="shared" si="1"/>
        <v>0</v>
      </c>
    </row>
    <row r="29" spans="1:22">
      <c r="B29" s="49"/>
      <c r="C29" s="58"/>
      <c r="D29" s="49"/>
      <c r="E29" s="58"/>
      <c r="F29" s="49"/>
      <c r="G29" s="58"/>
      <c r="H29" s="49"/>
      <c r="I29" s="58"/>
      <c r="J29" s="49"/>
      <c r="K29" s="58"/>
      <c r="L29" s="49">
        <f t="shared" si="2"/>
        <v>0</v>
      </c>
      <c r="M29" s="58"/>
      <c r="N29" s="49"/>
      <c r="O29" s="58"/>
      <c r="P29" s="49"/>
      <c r="Q29" s="58"/>
      <c r="R29" s="49"/>
      <c r="S29" s="58"/>
      <c r="T29" s="49">
        <f>SUM(D29:R29)</f>
        <v>0</v>
      </c>
      <c r="U29" s="58"/>
      <c r="V29" s="49">
        <f>+B29-T29</f>
        <v>0</v>
      </c>
    </row>
    <row r="30" spans="1:22">
      <c r="B30" s="49"/>
      <c r="C30" s="58"/>
      <c r="D30" s="49"/>
      <c r="E30" s="58"/>
      <c r="F30" s="49"/>
      <c r="G30" s="58"/>
      <c r="H30" s="49"/>
      <c r="I30" s="58"/>
      <c r="J30" s="49"/>
      <c r="K30" s="58"/>
      <c r="L30" s="49"/>
      <c r="M30" s="58"/>
      <c r="N30" s="49"/>
      <c r="O30" s="58"/>
      <c r="P30" s="49"/>
      <c r="Q30" s="58"/>
      <c r="R30" s="49"/>
      <c r="S30" s="58"/>
      <c r="T30" s="49"/>
      <c r="U30" s="58"/>
      <c r="V30" s="49"/>
    </row>
    <row r="31" spans="1:22">
      <c r="A31" s="43" t="s">
        <v>250</v>
      </c>
      <c r="B31" s="53">
        <f>SUM(B16:B29)</f>
        <v>-38911693.880000003</v>
      </c>
      <c r="C31" s="58"/>
      <c r="D31" s="53">
        <f>SUM(D16:D29)</f>
        <v>-34903912</v>
      </c>
      <c r="E31" s="58"/>
      <c r="F31" s="53">
        <f>SUM(F16:F29)</f>
        <v>-12418.2325</v>
      </c>
      <c r="G31" s="58"/>
      <c r="H31" s="53">
        <f>SUM(H16:H29)</f>
        <v>-466152.65815599996</v>
      </c>
      <c r="I31" s="58"/>
      <c r="J31" s="53">
        <f>SUM(J16:J29)</f>
        <v>-3482138.7744610077</v>
      </c>
      <c r="K31" s="58"/>
      <c r="L31" s="53">
        <f>SUM(L16:L29)</f>
        <v>148824.95146639258</v>
      </c>
      <c r="M31" s="58"/>
      <c r="N31" s="53">
        <f>SUM(N16:N29)</f>
        <v>0</v>
      </c>
      <c r="O31" s="58"/>
      <c r="P31" s="53">
        <f>SUM(P16:P29)</f>
        <v>0</v>
      </c>
      <c r="Q31" s="58"/>
      <c r="R31" s="53">
        <f>SUM(R16:R29)</f>
        <v>0</v>
      </c>
      <c r="S31" s="58"/>
      <c r="T31" s="53">
        <f>SUM(T16:T29)</f>
        <v>-38715796.713650614</v>
      </c>
      <c r="U31" s="58"/>
      <c r="V31" s="53">
        <f>SUM(V16:V29)</f>
        <v>-195897.16634938604</v>
      </c>
    </row>
    <row r="32" spans="1:22">
      <c r="B32" s="49"/>
      <c r="C32" s="58"/>
      <c r="D32" s="49"/>
      <c r="E32" s="58"/>
      <c r="F32" s="49"/>
      <c r="G32" s="58"/>
      <c r="H32" s="49"/>
      <c r="I32" s="58"/>
      <c r="J32" s="49"/>
      <c r="K32" s="58"/>
      <c r="L32" s="49"/>
      <c r="M32" s="58"/>
      <c r="N32" s="49"/>
      <c r="O32" s="58"/>
      <c r="P32" s="49"/>
      <c r="Q32" s="58"/>
      <c r="R32" s="49"/>
      <c r="S32" s="58"/>
      <c r="T32" s="49"/>
      <c r="U32" s="58"/>
      <c r="V32" s="49"/>
    </row>
    <row r="33" spans="1:22">
      <c r="A33" s="43" t="s">
        <v>251</v>
      </c>
      <c r="B33" s="51">
        <f>+B13+B31</f>
        <v>54050958.119999997</v>
      </c>
      <c r="C33" s="58"/>
      <c r="D33" s="51">
        <f>+D13+D31</f>
        <v>0</v>
      </c>
      <c r="E33" s="58"/>
      <c r="F33" s="51">
        <f>+F13+F31</f>
        <v>23099301.857500002</v>
      </c>
      <c r="G33" s="58"/>
      <c r="H33" s="51">
        <f>+H13+H31</f>
        <v>10359799.291843999</v>
      </c>
      <c r="I33" s="58"/>
      <c r="J33" s="51">
        <f>+J13+J31</f>
        <v>4649559.2255389923</v>
      </c>
      <c r="K33" s="58"/>
      <c r="L33" s="51">
        <f>+L13+L31</f>
        <v>2857575.9514663927</v>
      </c>
      <c r="M33" s="58"/>
      <c r="N33" s="51">
        <f>+N13+N31</f>
        <v>0</v>
      </c>
      <c r="O33" s="58"/>
      <c r="P33" s="51">
        <f>+P13+P31</f>
        <v>0</v>
      </c>
      <c r="Q33" s="58"/>
      <c r="R33" s="51">
        <f>+R13+R31</f>
        <v>0</v>
      </c>
      <c r="S33" s="58"/>
      <c r="T33" s="51">
        <f>+T13+T31</f>
        <v>40966236.326349393</v>
      </c>
      <c r="U33" s="58"/>
      <c r="V33" s="51">
        <f>+V13+V31</f>
        <v>13084721.793650607</v>
      </c>
    </row>
    <row r="34" spans="1:22">
      <c r="B34" s="49"/>
      <c r="C34" s="58"/>
      <c r="D34" s="49"/>
      <c r="E34" s="58"/>
      <c r="F34" s="49"/>
      <c r="G34" s="58"/>
      <c r="H34" s="49"/>
      <c r="I34" s="58"/>
      <c r="J34" s="49"/>
      <c r="K34" s="58"/>
      <c r="L34" s="49"/>
      <c r="M34" s="58"/>
      <c r="N34" s="49"/>
      <c r="O34" s="58"/>
      <c r="P34" s="49"/>
      <c r="Q34" s="58"/>
      <c r="R34" s="49"/>
      <c r="S34" s="58"/>
      <c r="T34" s="49"/>
      <c r="U34" s="58"/>
      <c r="V34" s="49"/>
    </row>
    <row r="35" spans="1:22">
      <c r="B35" s="51"/>
      <c r="C35" s="58"/>
      <c r="D35" s="51"/>
      <c r="E35" s="58"/>
      <c r="F35" s="51"/>
      <c r="G35" s="58"/>
      <c r="H35" s="51"/>
      <c r="I35" s="58"/>
      <c r="J35" s="51"/>
      <c r="K35" s="58"/>
      <c r="L35" s="51">
        <f t="shared" ref="L35" si="3">-(-B35+D35+F35+H35+J35)*0.25345</f>
        <v>0</v>
      </c>
      <c r="M35" s="58"/>
      <c r="N35" s="51"/>
      <c r="O35" s="58"/>
      <c r="P35" s="51"/>
      <c r="Q35" s="58"/>
      <c r="R35" s="51"/>
      <c r="S35" s="58"/>
      <c r="T35" s="51">
        <f>SUM(D35:R35)</f>
        <v>0</v>
      </c>
      <c r="U35" s="58"/>
      <c r="V35" s="51">
        <f>+B35-T35</f>
        <v>0</v>
      </c>
    </row>
    <row r="36" spans="1:22">
      <c r="B36" s="49"/>
      <c r="C36" s="58"/>
      <c r="D36" s="49"/>
      <c r="E36" s="58"/>
      <c r="F36" s="49"/>
      <c r="G36" s="58"/>
      <c r="H36" s="49"/>
      <c r="I36" s="58"/>
      <c r="J36" s="49"/>
      <c r="K36" s="58"/>
      <c r="L36" s="49"/>
      <c r="M36" s="58"/>
      <c r="N36" s="49"/>
      <c r="O36" s="58"/>
      <c r="P36" s="49"/>
      <c r="Q36" s="58"/>
      <c r="R36" s="49"/>
      <c r="S36" s="58"/>
      <c r="T36" s="49"/>
      <c r="U36" s="58"/>
      <c r="V36" s="49"/>
    </row>
    <row r="37" spans="1:22">
      <c r="A37" s="43" t="s">
        <v>555</v>
      </c>
      <c r="B37" s="51">
        <f>B33+B35</f>
        <v>54050958.119999997</v>
      </c>
      <c r="C37" s="58"/>
      <c r="D37" s="51">
        <f>D33+D35</f>
        <v>0</v>
      </c>
      <c r="E37" s="58"/>
      <c r="F37" s="51">
        <f>F33+F35</f>
        <v>23099301.857500002</v>
      </c>
      <c r="G37" s="58"/>
      <c r="H37" s="51">
        <f>H33+H35</f>
        <v>10359799.291843999</v>
      </c>
      <c r="I37" s="58"/>
      <c r="J37" s="51">
        <f>J33+J35</f>
        <v>4649559.2255389923</v>
      </c>
      <c r="K37" s="58"/>
      <c r="L37" s="51">
        <f>L33+L35</f>
        <v>2857575.9514663927</v>
      </c>
      <c r="M37" s="58"/>
      <c r="N37" s="51">
        <f>N33+N35</f>
        <v>0</v>
      </c>
      <c r="O37" s="58"/>
      <c r="P37" s="51">
        <f>P33+P35</f>
        <v>0</v>
      </c>
      <c r="Q37" s="58"/>
      <c r="R37" s="51">
        <f>R33+R35</f>
        <v>0</v>
      </c>
      <c r="S37" s="58"/>
      <c r="T37" s="51">
        <f>T33+T35</f>
        <v>40966236.326349393</v>
      </c>
      <c r="U37" s="58"/>
      <c r="V37" s="51">
        <f>V33+V35</f>
        <v>13084721.793650607</v>
      </c>
    </row>
    <row r="38" spans="1:22">
      <c r="B38" s="49"/>
      <c r="C38" s="58"/>
      <c r="D38" s="49"/>
      <c r="E38" s="58"/>
      <c r="F38" s="49"/>
      <c r="G38" s="58"/>
      <c r="H38" s="49"/>
      <c r="I38" s="58"/>
      <c r="J38" s="49"/>
      <c r="K38" s="58"/>
      <c r="L38" s="49"/>
      <c r="M38" s="58"/>
      <c r="N38" s="49"/>
      <c r="O38" s="58"/>
      <c r="P38" s="49"/>
      <c r="Q38" s="58"/>
      <c r="R38" s="49"/>
      <c r="S38" s="58"/>
      <c r="T38" s="49"/>
      <c r="U38" s="58"/>
      <c r="V38" s="49"/>
    </row>
    <row r="39" spans="1:22">
      <c r="A39" s="43" t="s">
        <v>535</v>
      </c>
      <c r="B39" s="49"/>
      <c r="C39" s="58"/>
      <c r="D39" s="49"/>
      <c r="E39" s="58"/>
      <c r="F39" s="49"/>
      <c r="G39" s="58"/>
      <c r="H39" s="49">
        <v>-1491132</v>
      </c>
      <c r="I39" s="58"/>
      <c r="J39" s="49"/>
      <c r="K39" s="58"/>
      <c r="L39" s="49">
        <v>351382.19999999995</v>
      </c>
      <c r="M39" s="58"/>
      <c r="N39" s="49"/>
      <c r="O39" s="58"/>
      <c r="P39" s="49"/>
      <c r="Q39" s="58"/>
      <c r="R39" s="49"/>
      <c r="S39" s="58"/>
      <c r="T39" s="49">
        <f>SUM(D39:R39)</f>
        <v>-1139749.8</v>
      </c>
      <c r="U39" s="58"/>
      <c r="V39" s="49">
        <f>+B39-T39</f>
        <v>1139749.8</v>
      </c>
    </row>
    <row r="40" spans="1:22">
      <c r="A40" s="43" t="s">
        <v>536</v>
      </c>
      <c r="B40" s="49"/>
      <c r="C40" s="58"/>
      <c r="D40" s="49"/>
      <c r="E40" s="58"/>
      <c r="F40" s="49"/>
      <c r="G40" s="58"/>
      <c r="H40" s="49"/>
      <c r="I40" s="58"/>
      <c r="J40" s="49"/>
      <c r="K40" s="58"/>
      <c r="L40" s="49"/>
      <c r="M40" s="58"/>
      <c r="N40" s="49"/>
      <c r="O40" s="58"/>
      <c r="P40" s="49"/>
      <c r="Q40" s="58"/>
      <c r="R40" s="49"/>
      <c r="S40" s="58"/>
      <c r="T40" s="49">
        <f>SUM(D40:R40)</f>
        <v>0</v>
      </c>
      <c r="U40" s="58"/>
      <c r="V40" s="49">
        <f>+B40-T40</f>
        <v>0</v>
      </c>
    </row>
    <row r="41" spans="1:22">
      <c r="B41" s="49"/>
      <c r="C41" s="58"/>
      <c r="D41" s="49"/>
      <c r="E41" s="58"/>
      <c r="F41" s="49"/>
      <c r="G41" s="58"/>
      <c r="H41" s="49"/>
      <c r="I41" s="58"/>
      <c r="J41" s="49"/>
      <c r="K41" s="58"/>
      <c r="L41" s="49">
        <f>-(-B41+D41+F41+H41+J41)*0.24522</f>
        <v>0</v>
      </c>
      <c r="M41" s="58"/>
      <c r="N41" s="49"/>
      <c r="O41" s="58"/>
      <c r="P41" s="49"/>
      <c r="Q41" s="58"/>
      <c r="R41" s="49"/>
      <c r="S41" s="58"/>
      <c r="T41" s="49">
        <f>SUM(D41:R41)</f>
        <v>0</v>
      </c>
      <c r="U41" s="58"/>
      <c r="V41" s="49">
        <f>+B41-T41</f>
        <v>0</v>
      </c>
    </row>
    <row r="42" spans="1:22">
      <c r="B42" s="49"/>
      <c r="C42" s="58"/>
      <c r="D42" s="49"/>
      <c r="E42" s="58"/>
      <c r="F42" s="49"/>
      <c r="G42" s="58"/>
      <c r="H42" s="49"/>
      <c r="I42" s="58"/>
      <c r="J42" s="49"/>
      <c r="K42" s="58"/>
      <c r="L42" s="49">
        <f>-(-B42+D42+F42+H42+J42)*0.24522</f>
        <v>0</v>
      </c>
      <c r="M42" s="58"/>
      <c r="N42" s="49"/>
      <c r="O42" s="58"/>
      <c r="P42" s="49"/>
      <c r="Q42" s="58"/>
      <c r="R42" s="49"/>
      <c r="S42" s="58"/>
      <c r="T42" s="49">
        <f>SUM(D42:R42)</f>
        <v>0</v>
      </c>
      <c r="U42" s="58"/>
      <c r="V42" s="49">
        <f>+B42-T42</f>
        <v>0</v>
      </c>
    </row>
    <row r="43" spans="1:22">
      <c r="A43" s="43" t="s">
        <v>252</v>
      </c>
      <c r="B43" s="53">
        <f>SUM(B39:B42)</f>
        <v>0</v>
      </c>
      <c r="C43" s="58"/>
      <c r="D43" s="53">
        <f>SUM(D39:D42)</f>
        <v>0</v>
      </c>
      <c r="E43" s="58"/>
      <c r="F43" s="53">
        <f>SUM(F39:F42)</f>
        <v>0</v>
      </c>
      <c r="G43" s="58"/>
      <c r="H43" s="53">
        <f>SUM(H39:H42)</f>
        <v>-1491132</v>
      </c>
      <c r="I43" s="58"/>
      <c r="J43" s="53">
        <f>SUM(J39:J42)</f>
        <v>0</v>
      </c>
      <c r="K43" s="58"/>
      <c r="L43" s="53">
        <f>SUM(L39:L42)</f>
        <v>351382.19999999995</v>
      </c>
      <c r="M43" s="58"/>
      <c r="N43" s="53">
        <f>SUM(N39:N42)</f>
        <v>0</v>
      </c>
      <c r="O43" s="58"/>
      <c r="P43" s="53">
        <f>SUM(P39:P42)</f>
        <v>0</v>
      </c>
      <c r="Q43" s="58"/>
      <c r="R43" s="53">
        <f>SUM(R39:R42)</f>
        <v>0</v>
      </c>
      <c r="S43" s="58"/>
      <c r="T43" s="53">
        <f>SUM(T39:T42)</f>
        <v>-1139749.8</v>
      </c>
      <c r="U43" s="58"/>
      <c r="V43" s="53">
        <f>SUM(V39:V42)</f>
        <v>1139749.8</v>
      </c>
    </row>
    <row r="44" spans="1:22">
      <c r="B44" s="49"/>
      <c r="C44" s="58"/>
      <c r="D44" s="49"/>
      <c r="E44" s="58"/>
      <c r="F44" s="49"/>
      <c r="G44" s="58"/>
      <c r="H44" s="49"/>
      <c r="I44" s="58"/>
      <c r="J44" s="49"/>
      <c r="K44" s="58"/>
      <c r="L44" s="49"/>
      <c r="M44" s="58"/>
      <c r="N44" s="49"/>
      <c r="O44" s="58"/>
      <c r="P44" s="49"/>
      <c r="Q44" s="58"/>
      <c r="R44" s="49"/>
      <c r="S44" s="58"/>
      <c r="T44" s="49"/>
      <c r="U44" s="58"/>
      <c r="V44" s="49"/>
    </row>
    <row r="45" spans="1:22">
      <c r="B45" s="49"/>
      <c r="C45" s="58"/>
      <c r="D45" s="49"/>
      <c r="E45" s="58"/>
      <c r="F45" s="49"/>
      <c r="G45" s="58"/>
      <c r="H45" s="49"/>
      <c r="I45" s="58"/>
      <c r="J45" s="49"/>
      <c r="K45" s="58"/>
      <c r="L45" s="49"/>
      <c r="M45" s="58"/>
      <c r="N45" s="49"/>
      <c r="O45" s="58"/>
      <c r="P45" s="49"/>
      <c r="Q45" s="58"/>
      <c r="R45" s="49"/>
      <c r="S45" s="58"/>
      <c r="T45" s="49"/>
      <c r="U45" s="58"/>
      <c r="V45" s="49"/>
    </row>
    <row r="46" spans="1:22" ht="15.75" thickBot="1">
      <c r="A46" s="43" t="s">
        <v>253</v>
      </c>
      <c r="B46" s="55">
        <f t="shared" ref="B46:T46" si="4">+B37+B43</f>
        <v>54050958.119999997</v>
      </c>
      <c r="C46" s="58"/>
      <c r="D46" s="55">
        <f t="shared" si="4"/>
        <v>0</v>
      </c>
      <c r="E46" s="58"/>
      <c r="F46" s="55">
        <f t="shared" si="4"/>
        <v>23099301.857500002</v>
      </c>
      <c r="G46" s="58"/>
      <c r="H46" s="55">
        <f t="shared" si="4"/>
        <v>8868667.2918439992</v>
      </c>
      <c r="I46" s="58"/>
      <c r="J46" s="55">
        <f t="shared" si="4"/>
        <v>4649559.2255389923</v>
      </c>
      <c r="K46" s="58"/>
      <c r="L46" s="55">
        <f t="shared" si="4"/>
        <v>3208958.1514663929</v>
      </c>
      <c r="M46" s="58"/>
      <c r="N46" s="55">
        <f t="shared" si="4"/>
        <v>0</v>
      </c>
      <c r="O46" s="58"/>
      <c r="P46" s="55">
        <f t="shared" si="4"/>
        <v>0</v>
      </c>
      <c r="Q46" s="58"/>
      <c r="R46" s="55">
        <f t="shared" si="4"/>
        <v>0</v>
      </c>
      <c r="S46" s="58"/>
      <c r="T46" s="55">
        <f t="shared" si="4"/>
        <v>39826486.526349396</v>
      </c>
      <c r="U46" s="58"/>
      <c r="V46" s="55">
        <f>+V37+V43</f>
        <v>14224471.593650607</v>
      </c>
    </row>
    <row r="47" spans="1:22" ht="15.75" thickTop="1">
      <c r="B47" s="49"/>
      <c r="C47" s="58"/>
      <c r="D47" s="49"/>
      <c r="E47" s="58"/>
      <c r="F47" s="49"/>
      <c r="G47" s="58"/>
      <c r="H47" s="49"/>
      <c r="I47" s="58"/>
      <c r="J47" s="49"/>
      <c r="K47" s="58"/>
      <c r="L47" s="49"/>
      <c r="M47" s="58"/>
      <c r="N47" s="49"/>
      <c r="O47" s="58"/>
      <c r="P47" s="49"/>
      <c r="Q47" s="58"/>
      <c r="R47" s="49"/>
      <c r="S47" s="58"/>
      <c r="T47" s="49"/>
      <c r="U47" s="58"/>
      <c r="V47" s="49"/>
    </row>
    <row r="48" spans="1:22">
      <c r="B48" s="49"/>
      <c r="C48" s="58"/>
      <c r="D48" s="49"/>
      <c r="E48" s="58"/>
      <c r="F48" s="49"/>
      <c r="G48" s="58"/>
      <c r="H48" s="49"/>
      <c r="I48" s="58"/>
      <c r="J48" s="49"/>
      <c r="K48" s="58"/>
      <c r="L48" s="49"/>
      <c r="M48" s="58"/>
      <c r="N48" s="49"/>
      <c r="O48" s="58"/>
      <c r="P48" s="49"/>
      <c r="Q48" s="58"/>
      <c r="R48" s="49"/>
      <c r="S48" s="58"/>
      <c r="T48" s="49"/>
      <c r="U48" s="58"/>
      <c r="V48" s="49"/>
    </row>
  </sheetData>
  <pageMargins left="0.25" right="0.25" top="0.75" bottom="0.75" header="0.3" footer="0.3"/>
  <pageSetup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W43"/>
  <sheetViews>
    <sheetView topLeftCell="B16" zoomScaleNormal="100" zoomScaleSheetLayoutView="80" workbookViewId="0">
      <selection activeCell="P21" sqref="P21:P22"/>
    </sheetView>
  </sheetViews>
  <sheetFormatPr defaultColWidth="9.140625" defaultRowHeight="15"/>
  <cols>
    <col min="1" max="1" width="47.28515625" style="44" customWidth="1"/>
    <col min="2" max="2" width="17.5703125" style="44" customWidth="1"/>
    <col min="3" max="3" width="4.7109375" style="59" customWidth="1"/>
    <col min="4" max="4" width="17" style="44" bestFit="1" customWidth="1"/>
    <col min="5" max="5" width="4.7109375" style="59" customWidth="1"/>
    <col min="6" max="6" width="18.42578125" style="44" customWidth="1"/>
    <col min="7" max="7" width="4.7109375" style="59" customWidth="1"/>
    <col min="8" max="8" width="15.5703125" style="44" bestFit="1" customWidth="1"/>
    <col min="9" max="9" width="4.7109375" style="59" customWidth="1"/>
    <col min="10" max="10" width="16.28515625" style="44" bestFit="1" customWidth="1"/>
    <col min="11" max="11" width="4.7109375" style="59" customWidth="1"/>
    <col min="12" max="12" width="17.28515625" style="44" customWidth="1"/>
    <col min="13" max="13" width="4.7109375" style="59" customWidth="1"/>
    <col min="14" max="14" width="14" style="44" customWidth="1"/>
    <col min="15" max="15" width="4.7109375" style="59" customWidth="1"/>
    <col min="16" max="16" width="19.42578125" style="44" customWidth="1"/>
    <col min="17" max="17" width="4.7109375" style="44" customWidth="1"/>
    <col min="18" max="18" width="12.85546875" style="44" customWidth="1"/>
    <col min="19" max="19" width="4.7109375" style="44" customWidth="1"/>
    <col min="20" max="20" width="13" style="44" customWidth="1"/>
    <col min="21" max="21" width="4.7109375" style="44" customWidth="1"/>
    <col min="22" max="22" width="13.42578125" style="44" customWidth="1"/>
    <col min="23" max="23" width="12.85546875" style="44" customWidth="1"/>
    <col min="24" max="16384" width="9.140625" style="44"/>
  </cols>
  <sheetData>
    <row r="1" spans="1:23">
      <c r="A1" s="43" t="str">
        <f>'Report Summary'!A1</f>
        <v>FLORIDA PUBLIC UTILITIES COMPANY</v>
      </c>
      <c r="B1" s="43"/>
      <c r="C1" s="56"/>
      <c r="D1" s="43"/>
      <c r="E1" s="56"/>
      <c r="F1" s="43"/>
      <c r="G1" s="56"/>
      <c r="H1" s="43"/>
      <c r="I1" s="56"/>
      <c r="J1" s="43"/>
      <c r="K1" s="56"/>
      <c r="L1" s="43"/>
      <c r="M1" s="56"/>
      <c r="N1" s="100"/>
      <c r="O1" s="56"/>
      <c r="P1" s="43" t="s">
        <v>502</v>
      </c>
      <c r="Q1" s="43"/>
      <c r="R1" s="43"/>
      <c r="S1" s="43"/>
      <c r="T1" s="43"/>
      <c r="U1" s="43"/>
      <c r="W1" s="43"/>
    </row>
    <row r="2" spans="1:23">
      <c r="A2" s="43" t="str">
        <f>'Report Summary'!A2</f>
        <v>NATURAL GAS</v>
      </c>
      <c r="B2" s="43"/>
      <c r="C2" s="56"/>
      <c r="D2" s="43"/>
      <c r="E2" s="56"/>
      <c r="F2" s="43"/>
      <c r="G2" s="56"/>
      <c r="H2" s="43"/>
      <c r="I2" s="56"/>
      <c r="J2" s="43"/>
      <c r="K2" s="56"/>
      <c r="L2" s="43"/>
      <c r="M2" s="56"/>
      <c r="N2" s="43"/>
      <c r="O2" s="56"/>
      <c r="P2" s="43" t="s">
        <v>229</v>
      </c>
      <c r="Q2" s="43"/>
      <c r="R2" s="43"/>
      <c r="S2" s="43"/>
      <c r="T2" s="43"/>
      <c r="U2" s="43"/>
      <c r="W2" s="43"/>
    </row>
    <row r="3" spans="1:23">
      <c r="A3" s="43" t="s">
        <v>282</v>
      </c>
      <c r="B3" s="43"/>
      <c r="C3" s="56"/>
      <c r="D3" s="43"/>
      <c r="E3" s="56"/>
      <c r="F3" s="43"/>
      <c r="G3" s="56"/>
      <c r="H3" s="43"/>
      <c r="I3" s="56"/>
      <c r="J3" s="43"/>
      <c r="K3" s="56"/>
      <c r="L3" s="43"/>
      <c r="M3" s="56"/>
      <c r="N3" s="43"/>
      <c r="O3" s="56"/>
      <c r="P3" s="43"/>
      <c r="Q3" s="43"/>
      <c r="R3" s="43"/>
      <c r="S3" s="43"/>
      <c r="T3" s="43"/>
      <c r="U3" s="43"/>
      <c r="V3" s="43"/>
      <c r="W3" s="43"/>
    </row>
    <row r="4" spans="1:23">
      <c r="A4" s="43" t="str">
        <f>+'Avg ROR'!A4</f>
        <v>For the 12 Months Ending December 31, 2020</v>
      </c>
      <c r="B4" s="43"/>
      <c r="C4" s="56"/>
      <c r="D4" s="43"/>
      <c r="E4" s="56"/>
      <c r="F4" s="43"/>
      <c r="G4" s="56"/>
      <c r="H4" s="43"/>
      <c r="I4" s="56"/>
      <c r="J4" s="43"/>
      <c r="K4" s="56"/>
      <c r="L4" s="43"/>
      <c r="M4" s="56"/>
      <c r="N4" s="43"/>
      <c r="O4" s="56"/>
      <c r="P4" s="43"/>
      <c r="Q4" s="43"/>
      <c r="R4" s="43"/>
      <c r="S4" s="43"/>
      <c r="T4" s="43"/>
      <c r="U4" s="43"/>
      <c r="V4" s="43"/>
      <c r="W4" s="43"/>
    </row>
    <row r="5" spans="1:23">
      <c r="A5" s="43" t="s">
        <v>230</v>
      </c>
      <c r="B5" s="43"/>
      <c r="C5" s="56"/>
      <c r="D5" s="43"/>
      <c r="E5" s="56"/>
      <c r="F5" s="43"/>
      <c r="G5" s="56"/>
      <c r="H5" s="43"/>
      <c r="I5" s="56"/>
      <c r="J5" s="43"/>
      <c r="K5" s="56"/>
      <c r="L5" s="43"/>
      <c r="M5" s="56"/>
      <c r="N5" s="43"/>
      <c r="O5" s="56"/>
      <c r="P5" s="43"/>
      <c r="Q5" s="43"/>
      <c r="R5" s="43"/>
      <c r="S5" s="43"/>
      <c r="T5" s="43"/>
      <c r="U5" s="43"/>
      <c r="V5" s="43"/>
      <c r="W5" s="43"/>
    </row>
    <row r="6" spans="1:23">
      <c r="A6" s="43"/>
      <c r="B6" s="43"/>
      <c r="C6" s="56"/>
      <c r="D6" s="43"/>
      <c r="E6" s="56"/>
      <c r="F6" s="43"/>
      <c r="G6" s="56"/>
      <c r="H6" s="43"/>
      <c r="I6" s="56"/>
      <c r="J6" s="43"/>
      <c r="K6" s="56"/>
      <c r="L6" s="43"/>
      <c r="M6" s="56"/>
      <c r="N6" s="43"/>
      <c r="O6" s="56"/>
      <c r="P6" s="43"/>
      <c r="Q6" s="43"/>
      <c r="R6" s="43"/>
      <c r="S6" s="43"/>
      <c r="T6" s="43"/>
      <c r="U6" s="43"/>
      <c r="V6" s="43"/>
      <c r="W6" s="43"/>
    </row>
    <row r="7" spans="1:23">
      <c r="A7" s="43"/>
      <c r="B7" s="43"/>
      <c r="C7" s="56"/>
      <c r="D7" s="43"/>
      <c r="E7" s="56"/>
      <c r="F7" s="43"/>
      <c r="G7" s="56"/>
      <c r="H7" s="43"/>
      <c r="I7" s="56"/>
      <c r="J7" s="43"/>
      <c r="K7" s="56"/>
      <c r="L7" s="43"/>
      <c r="M7" s="56"/>
      <c r="N7" s="43"/>
      <c r="O7" s="56"/>
      <c r="P7" s="43"/>
      <c r="Q7" s="43"/>
      <c r="R7" s="43"/>
      <c r="S7" s="43"/>
      <c r="T7" s="43"/>
      <c r="U7" s="43"/>
      <c r="V7" s="43"/>
      <c r="W7" s="43"/>
    </row>
    <row r="8" spans="1:23">
      <c r="A8" s="43"/>
      <c r="B8" s="48" t="s">
        <v>121</v>
      </c>
      <c r="C8" s="57"/>
      <c r="D8" s="48" t="s">
        <v>227</v>
      </c>
      <c r="E8" s="57"/>
      <c r="F8" s="48" t="s">
        <v>124</v>
      </c>
      <c r="G8" s="57"/>
      <c r="H8" s="48" t="s">
        <v>123</v>
      </c>
      <c r="I8" s="57"/>
      <c r="J8" s="48" t="s">
        <v>122</v>
      </c>
      <c r="K8" s="57"/>
      <c r="L8" s="48" t="s">
        <v>254</v>
      </c>
      <c r="M8" s="57"/>
      <c r="N8" s="48" t="s">
        <v>255</v>
      </c>
      <c r="O8" s="57"/>
      <c r="P8" s="48" t="s">
        <v>256</v>
      </c>
      <c r="Q8" s="43"/>
      <c r="R8" s="43"/>
      <c r="S8" s="43"/>
      <c r="T8" s="43"/>
      <c r="U8" s="43"/>
      <c r="V8" s="43"/>
      <c r="W8" s="43"/>
    </row>
    <row r="9" spans="1:23">
      <c r="A9" s="43"/>
      <c r="B9" s="48"/>
      <c r="C9" s="57"/>
      <c r="D9" s="48" t="s">
        <v>231</v>
      </c>
      <c r="E9" s="57"/>
      <c r="F9" s="48"/>
      <c r="G9" s="57"/>
      <c r="H9" s="48" t="s">
        <v>232</v>
      </c>
      <c r="I9" s="57"/>
      <c r="J9" s="48" t="s">
        <v>233</v>
      </c>
      <c r="K9" s="57"/>
      <c r="L9" s="48" t="s">
        <v>234</v>
      </c>
      <c r="M9" s="57"/>
      <c r="N9" s="48"/>
      <c r="O9" s="57"/>
      <c r="P9" s="48"/>
      <c r="Q9" s="43"/>
      <c r="R9" s="43"/>
      <c r="S9" s="43"/>
      <c r="T9" s="43"/>
      <c r="U9" s="43"/>
      <c r="V9" s="43"/>
      <c r="W9" s="43"/>
    </row>
    <row r="10" spans="1:23">
      <c r="A10" s="43"/>
      <c r="B10" s="48" t="s">
        <v>235</v>
      </c>
      <c r="C10" s="57"/>
      <c r="D10" s="48" t="s">
        <v>236</v>
      </c>
      <c r="E10" s="57"/>
      <c r="F10" s="48" t="s">
        <v>235</v>
      </c>
      <c r="G10" s="57"/>
      <c r="H10" s="48" t="s">
        <v>237</v>
      </c>
      <c r="I10" s="57"/>
      <c r="J10" s="48" t="s">
        <v>238</v>
      </c>
      <c r="K10" s="57"/>
      <c r="L10" s="48" t="s">
        <v>239</v>
      </c>
      <c r="M10" s="57"/>
      <c r="N10" s="48" t="s">
        <v>240</v>
      </c>
      <c r="O10" s="57"/>
      <c r="P10" s="48" t="s">
        <v>241</v>
      </c>
      <c r="Q10" s="43"/>
      <c r="R10" s="43"/>
      <c r="S10" s="43"/>
      <c r="T10" s="43"/>
      <c r="U10" s="43"/>
      <c r="V10" s="43"/>
      <c r="W10" s="43"/>
    </row>
    <row r="11" spans="1:23">
      <c r="A11" s="43"/>
      <c r="B11" s="60" t="s">
        <v>242</v>
      </c>
      <c r="C11" s="57"/>
      <c r="D11" s="60" t="s">
        <v>243</v>
      </c>
      <c r="E11" s="57"/>
      <c r="F11" s="60" t="s">
        <v>242</v>
      </c>
      <c r="G11" s="57"/>
      <c r="H11" s="60" t="s">
        <v>244</v>
      </c>
      <c r="I11" s="57"/>
      <c r="J11" s="60" t="s">
        <v>245</v>
      </c>
      <c r="K11" s="57"/>
      <c r="L11" s="60" t="s">
        <v>246</v>
      </c>
      <c r="M11" s="57"/>
      <c r="N11" s="60" t="s">
        <v>247</v>
      </c>
      <c r="O11" s="57"/>
      <c r="P11" s="60" t="s">
        <v>230</v>
      </c>
      <c r="Q11" s="43"/>
      <c r="R11" s="43"/>
      <c r="S11" s="43"/>
      <c r="T11" s="43"/>
      <c r="U11" s="43"/>
      <c r="V11" s="43"/>
      <c r="W11" s="43"/>
    </row>
    <row r="12" spans="1:23">
      <c r="A12" s="43"/>
      <c r="B12" s="43"/>
      <c r="C12" s="56"/>
      <c r="D12" s="43"/>
      <c r="E12" s="56"/>
      <c r="F12" s="43"/>
      <c r="G12" s="56"/>
      <c r="H12" s="43"/>
      <c r="I12" s="56"/>
      <c r="J12" s="43"/>
      <c r="K12" s="56"/>
      <c r="L12" s="43"/>
      <c r="M12" s="56"/>
      <c r="N12" s="43"/>
      <c r="O12" s="56"/>
      <c r="P12" s="43"/>
      <c r="Q12" s="43"/>
      <c r="R12" s="43"/>
      <c r="S12" s="43"/>
      <c r="T12" s="43"/>
      <c r="U12" s="43"/>
      <c r="V12" s="43"/>
      <c r="W12" s="43"/>
    </row>
    <row r="13" spans="1:23">
      <c r="A13" s="43"/>
      <c r="B13" s="43"/>
      <c r="C13" s="56"/>
      <c r="D13" s="43"/>
      <c r="E13" s="56"/>
      <c r="F13" s="43"/>
      <c r="G13" s="56"/>
      <c r="H13" s="43"/>
      <c r="I13" s="56"/>
      <c r="J13" s="43"/>
      <c r="K13" s="56"/>
      <c r="L13" s="43"/>
      <c r="M13" s="56"/>
      <c r="N13" s="43"/>
      <c r="O13" s="56"/>
      <c r="P13" s="43"/>
      <c r="Q13" s="43"/>
      <c r="R13" s="43"/>
      <c r="S13" s="43"/>
      <c r="T13" s="43"/>
      <c r="U13" s="43"/>
      <c r="V13" s="43"/>
      <c r="W13" s="43"/>
    </row>
    <row r="14" spans="1:23">
      <c r="A14" s="43" t="s">
        <v>248</v>
      </c>
      <c r="B14" s="51">
        <v>380508287.74150002</v>
      </c>
      <c r="C14" s="58"/>
      <c r="D14" s="51">
        <v>-95308355.26380001</v>
      </c>
      <c r="E14" s="58"/>
      <c r="F14" s="51">
        <f>+B14+D14</f>
        <v>285199932.4777</v>
      </c>
      <c r="G14" s="58"/>
      <c r="H14" s="51">
        <v>0</v>
      </c>
      <c r="I14" s="58"/>
      <c r="J14" s="51">
        <v>3989961</v>
      </c>
      <c r="K14" s="58"/>
      <c r="L14" s="51">
        <f>+F14+J14</f>
        <v>289189893.4777</v>
      </c>
      <c r="M14" s="58"/>
      <c r="N14" s="51">
        <v>-964081.98909999942</v>
      </c>
      <c r="O14" s="58"/>
      <c r="P14" s="51">
        <f>+L14+N14</f>
        <v>288225811.48860002</v>
      </c>
      <c r="Q14" s="43"/>
      <c r="R14" s="43"/>
      <c r="S14" s="43"/>
      <c r="T14" s="43"/>
      <c r="U14" s="43"/>
      <c r="V14" s="43"/>
      <c r="W14" s="43"/>
    </row>
    <row r="15" spans="1:23">
      <c r="A15" s="43"/>
      <c r="B15" s="49"/>
      <c r="C15" s="58"/>
      <c r="D15" s="49"/>
      <c r="E15" s="58"/>
      <c r="F15" s="49"/>
      <c r="G15" s="58"/>
      <c r="H15" s="49"/>
      <c r="I15" s="58"/>
      <c r="J15" s="49"/>
      <c r="K15" s="58"/>
      <c r="L15" s="49"/>
      <c r="M15" s="58"/>
      <c r="N15" s="49"/>
      <c r="O15" s="58"/>
      <c r="P15" s="49"/>
      <c r="Q15" s="43"/>
      <c r="R15" s="43"/>
      <c r="S15" s="43"/>
      <c r="T15" s="43"/>
      <c r="U15" s="43"/>
      <c r="V15" s="43"/>
      <c r="W15" s="43"/>
    </row>
    <row r="16" spans="1:23">
      <c r="A16" s="43" t="s">
        <v>249</v>
      </c>
      <c r="B16" s="49"/>
      <c r="C16" s="58"/>
      <c r="D16" s="49"/>
      <c r="E16" s="58"/>
      <c r="F16" s="49"/>
      <c r="G16" s="58"/>
      <c r="H16" s="49"/>
      <c r="I16" s="58"/>
      <c r="J16" s="49"/>
      <c r="K16" s="58"/>
      <c r="L16" s="49"/>
      <c r="M16" s="58"/>
      <c r="N16" s="49"/>
      <c r="O16" s="58"/>
      <c r="P16" s="49"/>
      <c r="Q16" s="43"/>
      <c r="R16" s="43"/>
      <c r="S16" s="43"/>
      <c r="T16" s="43"/>
      <c r="U16" s="43"/>
      <c r="V16" s="43"/>
      <c r="W16" s="43"/>
    </row>
    <row r="17" spans="1:23">
      <c r="A17" s="43"/>
      <c r="B17" s="49"/>
      <c r="C17" s="58"/>
      <c r="D17" s="49"/>
      <c r="E17" s="58"/>
      <c r="F17" s="49"/>
      <c r="G17" s="58"/>
      <c r="H17" s="49"/>
      <c r="I17" s="58"/>
      <c r="J17" s="49"/>
      <c r="K17" s="58"/>
      <c r="L17" s="49"/>
      <c r="M17" s="58"/>
      <c r="N17" s="49"/>
      <c r="O17" s="58"/>
      <c r="P17" s="49"/>
      <c r="Q17" s="43"/>
      <c r="R17" s="43"/>
      <c r="S17" s="43"/>
      <c r="T17" s="43"/>
      <c r="U17" s="43"/>
      <c r="V17" s="43"/>
      <c r="W17" s="43"/>
    </row>
    <row r="18" spans="1:23">
      <c r="A18" s="43" t="str">
        <f>'Avg ROR'!A18</f>
        <v>1) ELIMINATIONS TO NON-UTILITY MATERIALS</v>
      </c>
      <c r="B18" s="49">
        <v>0</v>
      </c>
      <c r="C18" s="58"/>
      <c r="D18" s="49">
        <v>0</v>
      </c>
      <c r="E18" s="58"/>
      <c r="F18" s="49">
        <f>B18+D18</f>
        <v>0</v>
      </c>
      <c r="G18" s="58"/>
      <c r="H18" s="49"/>
      <c r="I18" s="58"/>
      <c r="J18" s="49"/>
      <c r="K18" s="58"/>
      <c r="L18" s="49">
        <f t="shared" ref="L18:L24" si="0">+F18+J18</f>
        <v>0</v>
      </c>
      <c r="M18" s="58"/>
      <c r="N18" s="49">
        <v>392253.68</v>
      </c>
      <c r="O18" s="58"/>
      <c r="P18" s="49">
        <f t="shared" ref="P18:P24" si="1">+L18+N18</f>
        <v>392253.68</v>
      </c>
      <c r="Q18" s="43"/>
      <c r="R18" s="43"/>
      <c r="S18" s="43"/>
      <c r="T18" s="43"/>
      <c r="U18" s="43"/>
      <c r="V18" s="43"/>
      <c r="W18" s="43"/>
    </row>
    <row r="19" spans="1:23">
      <c r="A19" s="43" t="str">
        <f>'Avg ROR'!A19</f>
        <v>2)   ELIMINATE GOODWILL</v>
      </c>
      <c r="B19" s="49">
        <v>-2469682</v>
      </c>
      <c r="C19" s="58"/>
      <c r="D19" s="49">
        <v>0</v>
      </c>
      <c r="E19" s="58"/>
      <c r="F19" s="49">
        <f>B19+D19</f>
        <v>-2469682</v>
      </c>
      <c r="G19" s="58"/>
      <c r="H19" s="49"/>
      <c r="I19" s="58"/>
      <c r="J19" s="49"/>
      <c r="K19" s="58"/>
      <c r="L19" s="49">
        <f t="shared" si="0"/>
        <v>-2469682</v>
      </c>
      <c r="M19" s="58"/>
      <c r="N19" s="49"/>
      <c r="O19" s="58"/>
      <c r="P19" s="49">
        <f t="shared" si="1"/>
        <v>-2469682</v>
      </c>
      <c r="Q19" s="43"/>
      <c r="R19" s="43"/>
      <c r="S19" s="43"/>
      <c r="T19" s="43"/>
      <c r="U19" s="43"/>
      <c r="V19" s="43"/>
      <c r="W19" s="43"/>
    </row>
    <row r="20" spans="1:23">
      <c r="A20" s="96" t="s">
        <v>550</v>
      </c>
      <c r="B20" s="49">
        <v>-1020000</v>
      </c>
      <c r="C20" s="58"/>
      <c r="D20" s="49">
        <v>133249.99999999994</v>
      </c>
      <c r="E20" s="58"/>
      <c r="F20" s="49">
        <f>+B20+D20</f>
        <v>-886750</v>
      </c>
      <c r="G20" s="58"/>
      <c r="H20" s="49"/>
      <c r="I20" s="58"/>
      <c r="J20" s="49"/>
      <c r="K20" s="58"/>
      <c r="L20" s="49">
        <f t="shared" si="0"/>
        <v>-886750</v>
      </c>
      <c r="M20" s="58"/>
      <c r="N20" s="49"/>
      <c r="O20" s="58"/>
      <c r="P20" s="49">
        <f t="shared" si="1"/>
        <v>-886750</v>
      </c>
      <c r="Q20" s="43"/>
      <c r="R20" s="43"/>
      <c r="S20" s="43"/>
      <c r="T20" s="43"/>
      <c r="U20" s="43"/>
      <c r="V20" s="43"/>
      <c r="W20" s="43"/>
    </row>
    <row r="21" spans="1:23">
      <c r="A21" s="96" t="s">
        <v>551</v>
      </c>
      <c r="B21" s="49">
        <v>-4141012.3437999999</v>
      </c>
      <c r="C21" s="58"/>
      <c r="D21" s="49">
        <v>1275643.3313999998</v>
      </c>
      <c r="E21" s="58"/>
      <c r="F21" s="49">
        <f>+B21+D21</f>
        <v>-2865369.0124000004</v>
      </c>
      <c r="G21" s="58"/>
      <c r="H21" s="49"/>
      <c r="I21" s="58"/>
      <c r="J21" s="49"/>
      <c r="K21" s="58"/>
      <c r="L21" s="49">
        <f t="shared" si="0"/>
        <v>-2865369.0124000004</v>
      </c>
      <c r="M21" s="58"/>
      <c r="N21" s="49"/>
      <c r="O21" s="58"/>
      <c r="P21" s="49">
        <f t="shared" si="1"/>
        <v>-2865369.0124000004</v>
      </c>
      <c r="Q21" s="43"/>
      <c r="R21" s="43"/>
      <c r="S21" s="43"/>
      <c r="T21" s="43"/>
      <c r="U21" s="43"/>
      <c r="V21" s="43"/>
      <c r="W21" s="43"/>
    </row>
    <row r="22" spans="1:23">
      <c r="A22" s="96" t="s">
        <v>552</v>
      </c>
      <c r="B22" s="49">
        <v>0</v>
      </c>
      <c r="C22" s="58"/>
      <c r="D22" s="49">
        <v>0</v>
      </c>
      <c r="E22" s="58"/>
      <c r="F22" s="49">
        <f>+B22+D22</f>
        <v>0</v>
      </c>
      <c r="G22" s="58"/>
      <c r="H22" s="49"/>
      <c r="I22" s="58"/>
      <c r="J22" s="49"/>
      <c r="K22" s="58"/>
      <c r="M22" s="58"/>
      <c r="N22" s="49">
        <v>0</v>
      </c>
      <c r="O22" s="58"/>
      <c r="P22" s="49">
        <f t="shared" si="1"/>
        <v>0</v>
      </c>
      <c r="Q22" s="43"/>
      <c r="R22" s="43"/>
      <c r="S22" s="43"/>
      <c r="T22" s="43"/>
      <c r="U22" s="43"/>
      <c r="V22" s="43"/>
      <c r="W22" s="43"/>
    </row>
    <row r="23" spans="1:23">
      <c r="A23" s="96" t="s">
        <v>553</v>
      </c>
      <c r="B23" s="49">
        <v>0</v>
      </c>
      <c r="C23" s="58"/>
      <c r="D23" s="49">
        <v>0</v>
      </c>
      <c r="E23" s="58"/>
      <c r="F23" s="49">
        <f>+B23+D23</f>
        <v>0</v>
      </c>
      <c r="G23" s="58"/>
      <c r="H23" s="49"/>
      <c r="I23" s="58"/>
      <c r="J23" s="49"/>
      <c r="K23" s="58"/>
      <c r="L23" s="49">
        <f t="shared" si="0"/>
        <v>0</v>
      </c>
      <c r="M23" s="58"/>
      <c r="N23" s="49">
        <v>0</v>
      </c>
      <c r="O23" s="58"/>
      <c r="P23" s="49">
        <f t="shared" si="1"/>
        <v>0</v>
      </c>
      <c r="Q23" s="43"/>
      <c r="R23" s="43"/>
      <c r="S23" s="43"/>
      <c r="T23" s="43"/>
      <c r="U23" s="43"/>
      <c r="V23" s="43"/>
      <c r="W23" s="43"/>
    </row>
    <row r="24" spans="1:23">
      <c r="A24" s="96" t="s">
        <v>554</v>
      </c>
      <c r="B24" s="49"/>
      <c r="C24" s="58"/>
      <c r="D24" s="49"/>
      <c r="E24" s="58"/>
      <c r="F24" s="49"/>
      <c r="G24" s="58"/>
      <c r="H24" s="49"/>
      <c r="I24" s="58"/>
      <c r="J24" s="49"/>
      <c r="K24" s="58"/>
      <c r="L24" s="49">
        <f t="shared" si="0"/>
        <v>0</v>
      </c>
      <c r="M24" s="58"/>
      <c r="N24" s="49">
        <v>5611069</v>
      </c>
      <c r="O24" s="58"/>
      <c r="P24" s="49">
        <f t="shared" si="1"/>
        <v>5611069</v>
      </c>
      <c r="Q24" s="43"/>
      <c r="R24" s="43"/>
      <c r="S24" s="43"/>
      <c r="T24" s="43"/>
      <c r="U24" s="43"/>
      <c r="V24" s="43"/>
      <c r="W24" s="43"/>
    </row>
    <row r="25" spans="1:23">
      <c r="A25" s="43" t="s">
        <v>250</v>
      </c>
      <c r="B25" s="53">
        <f>SUM(B18:B24)</f>
        <v>-7630694.3437999999</v>
      </c>
      <c r="C25" s="58"/>
      <c r="D25" s="53">
        <f>SUM(D18:D24)</f>
        <v>1408893.3313999998</v>
      </c>
      <c r="E25" s="58"/>
      <c r="F25" s="53">
        <f>SUM(F18:F24)</f>
        <v>-6221801.0124000004</v>
      </c>
      <c r="G25" s="58"/>
      <c r="H25" s="53">
        <f>SUM(H18:H24)</f>
        <v>0</v>
      </c>
      <c r="I25" s="58"/>
      <c r="J25" s="53">
        <f>SUM(J18:J24)</f>
        <v>0</v>
      </c>
      <c r="K25" s="58"/>
      <c r="L25" s="53">
        <f>SUM(L18:L24)</f>
        <v>-6221801.0124000004</v>
      </c>
      <c r="M25" s="58"/>
      <c r="N25" s="53">
        <f>SUM(N18:N24)</f>
        <v>6003322.6799999997</v>
      </c>
      <c r="O25" s="58"/>
      <c r="P25" s="53">
        <f>SUM(P18:P24)</f>
        <v>-218478.33240000065</v>
      </c>
      <c r="Q25" s="43"/>
      <c r="R25" s="43"/>
      <c r="S25" s="43"/>
      <c r="T25" s="43"/>
      <c r="U25" s="43"/>
      <c r="V25" s="43"/>
      <c r="W25" s="43"/>
    </row>
    <row r="26" spans="1:23">
      <c r="A26" s="43"/>
      <c r="B26" s="49"/>
      <c r="C26" s="58"/>
      <c r="D26" s="49"/>
      <c r="E26" s="58"/>
      <c r="F26" s="49"/>
      <c r="G26" s="58"/>
      <c r="H26" s="49"/>
      <c r="I26" s="58"/>
      <c r="J26" s="49"/>
      <c r="K26" s="58"/>
      <c r="L26" s="49"/>
      <c r="M26" s="58"/>
      <c r="N26" s="49"/>
      <c r="O26" s="58"/>
      <c r="P26" s="49"/>
      <c r="Q26" s="43"/>
      <c r="R26" s="43"/>
      <c r="S26" s="43"/>
      <c r="T26" s="43"/>
      <c r="U26" s="43"/>
      <c r="V26" s="43"/>
      <c r="W26" s="43"/>
    </row>
    <row r="27" spans="1:23">
      <c r="A27" s="43"/>
      <c r="B27" s="49"/>
      <c r="C27" s="58"/>
      <c r="D27" s="49"/>
      <c r="E27" s="58"/>
      <c r="F27" s="49"/>
      <c r="G27" s="58"/>
      <c r="H27" s="49"/>
      <c r="I27" s="58"/>
      <c r="J27" s="49"/>
      <c r="K27" s="58"/>
      <c r="L27" s="49"/>
      <c r="M27" s="58"/>
      <c r="N27" s="49"/>
      <c r="O27" s="58"/>
      <c r="P27" s="49"/>
      <c r="Q27" s="43"/>
      <c r="R27" s="43"/>
      <c r="S27" s="43"/>
      <c r="T27" s="43"/>
      <c r="U27" s="43"/>
      <c r="V27" s="43"/>
      <c r="W27" s="43"/>
    </row>
    <row r="28" spans="1:23">
      <c r="A28" s="43" t="s">
        <v>251</v>
      </c>
      <c r="B28" s="51">
        <f>+B14+B25</f>
        <v>372877593.39770001</v>
      </c>
      <c r="C28" s="58"/>
      <c r="D28" s="51">
        <f>+D14+D25</f>
        <v>-93899461.932400003</v>
      </c>
      <c r="E28" s="58"/>
      <c r="F28" s="51">
        <f>+F14+F25</f>
        <v>278978131.46530002</v>
      </c>
      <c r="G28" s="58"/>
      <c r="H28" s="51">
        <f>+H14+H25</f>
        <v>0</v>
      </c>
      <c r="I28" s="58"/>
      <c r="J28" s="51">
        <f>+J14+J25</f>
        <v>3989961</v>
      </c>
      <c r="K28" s="58"/>
      <c r="L28" s="51">
        <f>+L14+L25</f>
        <v>282968092.46530002</v>
      </c>
      <c r="M28" s="58"/>
      <c r="N28" s="51">
        <f>+N14+N25</f>
        <v>5039240.6908999998</v>
      </c>
      <c r="O28" s="58"/>
      <c r="P28" s="51">
        <f>+P14+P25</f>
        <v>288007333.15619999</v>
      </c>
      <c r="Q28" s="43"/>
      <c r="R28" s="43"/>
      <c r="S28" s="43"/>
      <c r="T28" s="43"/>
      <c r="U28" s="43"/>
      <c r="V28" s="43"/>
      <c r="W28" s="43"/>
    </row>
    <row r="29" spans="1:23">
      <c r="A29" s="43"/>
      <c r="B29" s="49"/>
      <c r="C29" s="58"/>
      <c r="D29" s="49"/>
      <c r="E29" s="58"/>
      <c r="F29" s="49"/>
      <c r="G29" s="58"/>
      <c r="H29" s="49"/>
      <c r="I29" s="58"/>
      <c r="J29" s="49"/>
      <c r="K29" s="58"/>
      <c r="L29" s="49"/>
      <c r="M29" s="58"/>
      <c r="N29" s="49"/>
      <c r="O29" s="58"/>
      <c r="P29" s="49"/>
      <c r="Q29" s="43"/>
      <c r="R29" s="43"/>
      <c r="S29" s="43"/>
      <c r="T29" s="43"/>
      <c r="U29" s="43"/>
      <c r="V29" s="43"/>
      <c r="W29" s="43"/>
    </row>
    <row r="30" spans="1:23">
      <c r="A30" s="96"/>
      <c r="B30" s="51"/>
      <c r="C30" s="58"/>
      <c r="D30" s="51"/>
      <c r="E30" s="58"/>
      <c r="F30" s="51">
        <f>+B30+D30</f>
        <v>0</v>
      </c>
      <c r="G30" s="58"/>
      <c r="H30" s="51"/>
      <c r="I30" s="58"/>
      <c r="J30" s="51"/>
      <c r="K30" s="58"/>
      <c r="L30" s="51">
        <f t="shared" ref="L30" si="2">+F30+J30</f>
        <v>0</v>
      </c>
      <c r="M30" s="58"/>
      <c r="N30" s="51"/>
      <c r="O30" s="58"/>
      <c r="P30" s="51">
        <f t="shared" ref="P30" si="3">+L30+N30</f>
        <v>0</v>
      </c>
      <c r="Q30" s="96"/>
      <c r="R30" s="43"/>
      <c r="S30" s="43"/>
      <c r="T30" s="43"/>
      <c r="U30" s="43"/>
      <c r="V30" s="43"/>
      <c r="W30" s="43"/>
    </row>
    <row r="31" spans="1:23">
      <c r="A31" s="43"/>
      <c r="B31" s="49"/>
      <c r="C31" s="58"/>
      <c r="D31" s="49"/>
      <c r="E31" s="58"/>
      <c r="F31" s="49"/>
      <c r="G31" s="58"/>
      <c r="H31" s="49"/>
      <c r="I31" s="58"/>
      <c r="J31" s="49"/>
      <c r="K31" s="58"/>
      <c r="L31" s="49"/>
      <c r="M31" s="58"/>
      <c r="N31" s="49"/>
      <c r="O31" s="58"/>
      <c r="P31" s="49"/>
      <c r="Q31" s="43"/>
      <c r="R31" s="43"/>
      <c r="S31" s="43"/>
      <c r="T31" s="43"/>
      <c r="U31" s="43"/>
      <c r="V31" s="43"/>
      <c r="W31" s="43"/>
    </row>
    <row r="32" spans="1:23" ht="15.75" thickBot="1">
      <c r="A32" s="43" t="s">
        <v>555</v>
      </c>
      <c r="B32" s="55">
        <f>SUM(B28:B30)</f>
        <v>372877593.39770001</v>
      </c>
      <c r="C32" s="58"/>
      <c r="D32" s="55">
        <f>SUM(D28:D30)</f>
        <v>-93899461.932400003</v>
      </c>
      <c r="E32" s="58"/>
      <c r="F32" s="55">
        <f>SUM(F28:F30)</f>
        <v>278978131.46530002</v>
      </c>
      <c r="G32" s="58"/>
      <c r="H32" s="55">
        <f>SUM(H28:H30)</f>
        <v>0</v>
      </c>
      <c r="I32" s="58"/>
      <c r="J32" s="55">
        <f>SUM(J28:J30)</f>
        <v>3989961</v>
      </c>
      <c r="K32" s="58"/>
      <c r="L32" s="55">
        <f>SUM(L28:L30)</f>
        <v>282968092.46530002</v>
      </c>
      <c r="M32" s="58"/>
      <c r="N32" s="55">
        <f>SUM(N28:N30)</f>
        <v>5039240.6908999998</v>
      </c>
      <c r="O32" s="58"/>
      <c r="P32" s="55">
        <f>SUM(P28:P30)</f>
        <v>288007333.15619999</v>
      </c>
      <c r="Q32" s="43"/>
      <c r="R32" s="43"/>
      <c r="S32" s="43"/>
      <c r="T32" s="43"/>
      <c r="U32" s="43"/>
      <c r="V32" s="43"/>
      <c r="W32" s="43"/>
    </row>
    <row r="33" spans="1:23" ht="15.75" thickTop="1">
      <c r="A33" s="43" t="str">
        <f>'Avg ROR'!A34</f>
        <v>PROFORMA ADJUSTMENTS</v>
      </c>
      <c r="B33" s="49"/>
      <c r="C33" s="58"/>
      <c r="D33" s="49"/>
      <c r="E33" s="58"/>
      <c r="F33" s="49"/>
      <c r="G33" s="58"/>
      <c r="H33" s="49"/>
      <c r="I33" s="58"/>
      <c r="J33" s="49"/>
      <c r="K33" s="58"/>
      <c r="L33" s="49"/>
      <c r="M33" s="58"/>
      <c r="N33" s="49"/>
      <c r="O33" s="58"/>
      <c r="P33" s="49"/>
      <c r="Q33" s="43"/>
      <c r="R33" s="43"/>
      <c r="S33" s="43"/>
      <c r="T33" s="43"/>
      <c r="U33" s="43"/>
      <c r="V33" s="43"/>
      <c r="W33" s="43"/>
    </row>
    <row r="34" spans="1:23">
      <c r="A34" s="43"/>
      <c r="B34" s="49"/>
      <c r="C34" s="58"/>
      <c r="D34" s="49"/>
      <c r="E34" s="58"/>
      <c r="F34" s="49"/>
      <c r="G34" s="58"/>
      <c r="H34" s="49"/>
      <c r="I34" s="58"/>
      <c r="J34" s="49"/>
      <c r="K34" s="58"/>
      <c r="L34" s="49"/>
      <c r="M34" s="58"/>
      <c r="N34" s="49"/>
      <c r="O34" s="58"/>
      <c r="P34" s="49"/>
      <c r="Q34" s="43"/>
      <c r="R34" s="43"/>
      <c r="S34" s="43"/>
      <c r="T34" s="43"/>
      <c r="U34" s="43"/>
      <c r="V34" s="43"/>
      <c r="W34" s="43"/>
    </row>
    <row r="35" spans="1:23">
      <c r="A35" s="43"/>
      <c r="B35" s="49"/>
      <c r="C35" s="58"/>
      <c r="D35" s="49"/>
      <c r="E35" s="58"/>
      <c r="F35" s="49"/>
      <c r="G35" s="58"/>
      <c r="H35" s="49"/>
      <c r="I35" s="58"/>
      <c r="J35" s="49"/>
      <c r="K35" s="58"/>
      <c r="L35" s="49"/>
      <c r="M35" s="58"/>
      <c r="N35" s="49"/>
      <c r="O35" s="58"/>
      <c r="P35" s="49"/>
      <c r="Q35" s="43"/>
      <c r="R35" s="43"/>
      <c r="S35" s="43"/>
      <c r="T35" s="43"/>
      <c r="U35" s="43"/>
      <c r="V35" s="43"/>
      <c r="W35" s="43"/>
    </row>
    <row r="36" spans="1:23">
      <c r="A36" s="43" t="str">
        <f>+'Avg ROR'!A37</f>
        <v xml:space="preserve">  ELIM. ACQUISITION ADJUSTMENT</v>
      </c>
      <c r="B36" s="49">
        <v>-34192493</v>
      </c>
      <c r="C36" s="58"/>
      <c r="D36" s="49">
        <v>12727205.800000004</v>
      </c>
      <c r="E36" s="58"/>
      <c r="F36" s="49">
        <f>B36+D36</f>
        <v>-21465287.199999996</v>
      </c>
      <c r="G36" s="58"/>
      <c r="H36" s="49"/>
      <c r="I36" s="58"/>
      <c r="J36" s="49"/>
      <c r="K36" s="58"/>
      <c r="L36" s="49">
        <f>+F36+J36</f>
        <v>-21465287.199999996</v>
      </c>
      <c r="M36" s="58"/>
      <c r="N36" s="49"/>
      <c r="O36" s="58"/>
      <c r="P36" s="49">
        <f>+L36+N36</f>
        <v>-21465287.199999996</v>
      </c>
      <c r="Q36" s="43"/>
      <c r="R36" s="43"/>
      <c r="S36" s="43"/>
      <c r="T36" s="43"/>
      <c r="U36" s="43"/>
      <c r="V36" s="43"/>
      <c r="W36" s="43"/>
    </row>
    <row r="37" spans="1:23">
      <c r="A37" s="43" t="str">
        <f>+'Avg ROR'!A38</f>
        <v xml:space="preserve">   ELIM. REG ASSET-TRNSCTN &amp; TRNSITN CSTS</v>
      </c>
      <c r="B37" s="49"/>
      <c r="C37" s="58"/>
      <c r="D37" s="49"/>
      <c r="E37" s="58"/>
      <c r="F37" s="49"/>
      <c r="G37" s="58"/>
      <c r="H37" s="49"/>
      <c r="I37" s="58"/>
      <c r="J37" s="49"/>
      <c r="K37" s="58"/>
      <c r="L37" s="49"/>
      <c r="M37" s="58"/>
      <c r="N37" s="49"/>
      <c r="O37" s="58"/>
      <c r="P37" s="49">
        <f>+L37+N37</f>
        <v>0</v>
      </c>
      <c r="Q37" s="43"/>
      <c r="R37" s="43"/>
      <c r="S37" s="43"/>
      <c r="T37" s="43"/>
      <c r="U37" s="43"/>
      <c r="V37" s="43"/>
      <c r="W37" s="43"/>
    </row>
    <row r="38" spans="1:23">
      <c r="A38" s="43" t="str">
        <f>'Avg ROR'!A39</f>
        <v>TOTAL PRO FORMA ADJUSTMENTS</v>
      </c>
      <c r="B38" s="53">
        <f>SUM(B36:B37)</f>
        <v>-34192493</v>
      </c>
      <c r="C38" s="58"/>
      <c r="D38" s="53">
        <f>SUM(D36:D37)</f>
        <v>12727205.800000004</v>
      </c>
      <c r="E38" s="58"/>
      <c r="F38" s="53">
        <f>B38+D38</f>
        <v>-21465287.199999996</v>
      </c>
      <c r="G38" s="58"/>
      <c r="H38" s="53">
        <f>SUM(H36:H37)</f>
        <v>0</v>
      </c>
      <c r="I38" s="58"/>
      <c r="J38" s="53">
        <f>SUM(J36:J37)</f>
        <v>0</v>
      </c>
      <c r="K38" s="58"/>
      <c r="L38" s="53">
        <f>+F38+J38</f>
        <v>-21465287.199999996</v>
      </c>
      <c r="M38" s="58"/>
      <c r="N38" s="53">
        <f>SUM(N36:N37)</f>
        <v>0</v>
      </c>
      <c r="O38" s="58"/>
      <c r="P38" s="53">
        <f>+L38+N38</f>
        <v>-21465287.199999996</v>
      </c>
      <c r="Q38" s="43"/>
      <c r="R38" s="43"/>
      <c r="S38" s="43"/>
      <c r="T38" s="43"/>
      <c r="U38" s="43"/>
      <c r="V38" s="43"/>
      <c r="W38" s="43"/>
    </row>
    <row r="39" spans="1:23">
      <c r="A39" s="43"/>
      <c r="B39" s="49"/>
      <c r="C39" s="58"/>
      <c r="D39" s="49"/>
      <c r="E39" s="58"/>
      <c r="F39" s="49"/>
      <c r="G39" s="58"/>
      <c r="H39" s="49"/>
      <c r="I39" s="58"/>
      <c r="J39" s="49"/>
      <c r="K39" s="58"/>
      <c r="L39" s="49"/>
      <c r="M39" s="58"/>
      <c r="N39" s="49"/>
      <c r="O39" s="58"/>
      <c r="P39" s="49"/>
      <c r="Q39" s="43"/>
      <c r="R39" s="43"/>
      <c r="S39" s="43"/>
      <c r="T39" s="43"/>
      <c r="U39" s="43"/>
      <c r="V39" s="43"/>
      <c r="W39" s="43"/>
    </row>
    <row r="40" spans="1:23">
      <c r="A40" s="43"/>
      <c r="B40" s="49"/>
      <c r="C40" s="58"/>
      <c r="D40" s="49"/>
      <c r="E40" s="58"/>
      <c r="F40" s="49"/>
      <c r="G40" s="58"/>
      <c r="H40" s="49"/>
      <c r="I40" s="58"/>
      <c r="J40" s="49"/>
      <c r="K40" s="58"/>
      <c r="L40" s="49"/>
      <c r="M40" s="58"/>
      <c r="N40" s="49"/>
      <c r="O40" s="58"/>
      <c r="P40" s="49"/>
      <c r="Q40" s="43"/>
      <c r="R40" s="43"/>
      <c r="S40" s="43"/>
      <c r="T40" s="43"/>
      <c r="U40" s="43"/>
      <c r="V40" s="43"/>
      <c r="W40" s="43"/>
    </row>
    <row r="41" spans="1:23" ht="15.75" thickBot="1">
      <c r="A41" s="43" t="s">
        <v>253</v>
      </c>
      <c r="B41" s="55">
        <f>+B32+B38</f>
        <v>338685100.39770001</v>
      </c>
      <c r="C41" s="58"/>
      <c r="D41" s="55">
        <f>+D32+D38</f>
        <v>-81172256.132400006</v>
      </c>
      <c r="E41" s="58"/>
      <c r="F41" s="55">
        <f>+F32+F38</f>
        <v>257512844.26530004</v>
      </c>
      <c r="G41" s="58"/>
      <c r="H41" s="55">
        <f>+H32+H38</f>
        <v>0</v>
      </c>
      <c r="I41" s="58"/>
      <c r="J41" s="55">
        <f>+J32+J38</f>
        <v>3989961</v>
      </c>
      <c r="K41" s="58"/>
      <c r="L41" s="55">
        <f>+L32+L38</f>
        <v>261502805.26530004</v>
      </c>
      <c r="M41" s="58"/>
      <c r="N41" s="55">
        <f>+N32+N38</f>
        <v>5039240.6908999998</v>
      </c>
      <c r="O41" s="58"/>
      <c r="P41" s="55">
        <f>+P32+P38</f>
        <v>266542045.9562</v>
      </c>
      <c r="Q41" s="43"/>
      <c r="R41" s="43"/>
      <c r="S41" s="43"/>
      <c r="T41" s="43"/>
      <c r="U41" s="43"/>
      <c r="V41" s="43"/>
      <c r="W41" s="43"/>
    </row>
    <row r="42" spans="1:23" ht="15.75" thickTop="1">
      <c r="A42" s="43"/>
      <c r="B42" s="49"/>
      <c r="C42" s="58"/>
      <c r="D42" s="49"/>
      <c r="E42" s="58"/>
      <c r="F42" s="49"/>
      <c r="G42" s="58"/>
      <c r="H42" s="49"/>
      <c r="I42" s="58"/>
      <c r="J42" s="49"/>
      <c r="K42" s="58"/>
      <c r="L42" s="49"/>
      <c r="M42" s="58"/>
      <c r="N42" s="49"/>
      <c r="O42" s="58"/>
      <c r="P42" s="49"/>
      <c r="Q42" s="43"/>
      <c r="R42" s="43"/>
      <c r="S42" s="43"/>
      <c r="T42" s="43"/>
      <c r="U42" s="43"/>
      <c r="V42" s="43"/>
      <c r="W42" s="43"/>
    </row>
    <row r="43" spans="1:23">
      <c r="B43" s="61"/>
      <c r="C43" s="62"/>
      <c r="D43" s="61"/>
      <c r="E43" s="62"/>
      <c r="F43" s="61"/>
      <c r="G43" s="62"/>
      <c r="H43" s="61"/>
      <c r="I43" s="62"/>
      <c r="J43" s="61"/>
      <c r="K43" s="62"/>
      <c r="L43" s="61"/>
      <c r="M43" s="62"/>
      <c r="N43" s="61"/>
      <c r="O43" s="62"/>
      <c r="P43" s="61"/>
    </row>
  </sheetData>
  <phoneticPr fontId="0" type="noConversion"/>
  <pageMargins left="0.25" right="0.25" top="0.75" bottom="0.75" header="0.3" footer="0.3"/>
  <pageSetup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FF0000"/>
  </sheetPr>
  <dimension ref="A1:U115"/>
  <sheetViews>
    <sheetView view="pageBreakPreview" topLeftCell="A71" zoomScaleNormal="100" zoomScaleSheetLayoutView="100" workbookViewId="0">
      <selection activeCell="A76" sqref="A76"/>
    </sheetView>
  </sheetViews>
  <sheetFormatPr defaultColWidth="9.140625" defaultRowHeight="11.25"/>
  <cols>
    <col min="1" max="1" width="9.140625" style="4"/>
    <col min="2" max="2" width="4.5703125" style="4" customWidth="1"/>
    <col min="3" max="3" width="46" style="4" customWidth="1"/>
    <col min="4" max="4" width="3.7109375" style="4" customWidth="1"/>
    <col min="5" max="5" width="14.7109375" style="4" customWidth="1"/>
    <col min="6" max="7" width="9.140625" style="4"/>
    <col min="8" max="8" width="11.5703125" style="4" customWidth="1"/>
    <col min="9" max="10" width="9.140625" style="4"/>
    <col min="11" max="11" width="13" style="4" customWidth="1"/>
    <col min="12" max="13" width="9.140625" style="4"/>
    <col min="14" max="14" width="12.28515625" style="4" customWidth="1"/>
    <col min="15" max="16" width="9.140625" style="4"/>
    <col min="17" max="17" width="11.5703125" style="4" customWidth="1"/>
    <col min="18" max="20" width="9.140625" style="4"/>
    <col min="21" max="21" width="9.85546875" style="4" bestFit="1" customWidth="1"/>
    <col min="22" max="16384" width="9.140625" style="4"/>
  </cols>
  <sheetData>
    <row r="1" spans="1:17" ht="12.75">
      <c r="A1"/>
      <c r="B1"/>
      <c r="C1"/>
      <c r="D1"/>
      <c r="E1"/>
      <c r="F1"/>
      <c r="G1" t="s">
        <v>127</v>
      </c>
      <c r="H1"/>
      <c r="I1"/>
      <c r="J1"/>
      <c r="K1"/>
      <c r="L1"/>
      <c r="M1"/>
      <c r="N1" t="s">
        <v>128</v>
      </c>
      <c r="O1"/>
      <c r="P1"/>
      <c r="Q1"/>
    </row>
    <row r="2" spans="1:17" ht="12.7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2.75">
      <c r="A3" t="s">
        <v>129</v>
      </c>
      <c r="B3"/>
      <c r="C3"/>
      <c r="D3" t="s">
        <v>130</v>
      </c>
      <c r="E3"/>
      <c r="F3"/>
      <c r="G3"/>
      <c r="H3"/>
      <c r="I3"/>
      <c r="J3"/>
      <c r="K3"/>
      <c r="L3"/>
      <c r="M3"/>
      <c r="N3"/>
      <c r="O3"/>
      <c r="P3"/>
      <c r="Q3"/>
    </row>
    <row r="4" spans="1:17" ht="12.75">
      <c r="A4"/>
      <c r="B4"/>
      <c r="C4"/>
      <c r="D4"/>
      <c r="E4" t="s">
        <v>0</v>
      </c>
      <c r="F4"/>
      <c r="G4"/>
      <c r="H4"/>
      <c r="I4"/>
      <c r="J4"/>
      <c r="K4"/>
      <c r="L4"/>
      <c r="M4"/>
      <c r="N4" t="e">
        <f>+'BS-13MO'!P4</f>
        <v>#REF!</v>
      </c>
      <c r="O4"/>
      <c r="P4"/>
      <c r="Q4"/>
    </row>
    <row r="5" spans="1:17" ht="12.75">
      <c r="A5" t="s">
        <v>471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2.75">
      <c r="A6"/>
      <c r="B6"/>
      <c r="C6"/>
      <c r="D6"/>
      <c r="E6" t="s">
        <v>199</v>
      </c>
      <c r="F6"/>
      <c r="G6"/>
      <c r="H6"/>
      <c r="I6"/>
      <c r="J6"/>
      <c r="K6"/>
      <c r="L6"/>
      <c r="M6"/>
      <c r="N6"/>
      <c r="O6"/>
      <c r="P6"/>
      <c r="Q6"/>
    </row>
    <row r="7" spans="1:17" ht="12.75">
      <c r="A7"/>
      <c r="B7"/>
      <c r="C7"/>
      <c r="D7"/>
      <c r="E7"/>
      <c r="F7"/>
      <c r="G7"/>
      <c r="H7" t="s">
        <v>199</v>
      </c>
      <c r="I7"/>
      <c r="J7" t="s">
        <v>199</v>
      </c>
      <c r="K7" t="s">
        <v>199</v>
      </c>
      <c r="L7" t="s">
        <v>199</v>
      </c>
      <c r="M7" t="s">
        <v>199</v>
      </c>
      <c r="N7"/>
      <c r="O7"/>
      <c r="P7"/>
      <c r="Q7"/>
    </row>
    <row r="8" spans="1:17" ht="12.7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ht="12.7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ht="12.75">
      <c r="A10" t="s">
        <v>132</v>
      </c>
      <c r="B10"/>
      <c r="C10"/>
      <c r="D10"/>
      <c r="E10" t="s">
        <v>294</v>
      </c>
      <c r="F10" t="s">
        <v>199</v>
      </c>
      <c r="G10"/>
      <c r="H10"/>
      <c r="I10"/>
      <c r="J10"/>
      <c r="K10"/>
      <c r="L10"/>
      <c r="M10"/>
      <c r="N10"/>
      <c r="O10"/>
      <c r="P10"/>
      <c r="Q10" t="s">
        <v>295</v>
      </c>
    </row>
    <row r="11" spans="1:17" ht="12.75">
      <c r="A11" t="s">
        <v>133</v>
      </c>
      <c r="B11"/>
      <c r="C11" t="s">
        <v>134</v>
      </c>
      <c r="D11"/>
      <c r="E11" t="s">
        <v>248</v>
      </c>
      <c r="F11" t="s">
        <v>199</v>
      </c>
      <c r="G11"/>
      <c r="H11"/>
      <c r="I11"/>
      <c r="J11"/>
      <c r="K11" t="s">
        <v>135</v>
      </c>
      <c r="L11"/>
      <c r="M11"/>
      <c r="N11"/>
      <c r="O11"/>
      <c r="P11"/>
      <c r="Q11" t="s">
        <v>294</v>
      </c>
    </row>
    <row r="12" spans="1:17" ht="12.7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ht="12.75">
      <c r="A13"/>
      <c r="B13"/>
      <c r="C13"/>
      <c r="D13"/>
      <c r="E13"/>
      <c r="F13"/>
      <c r="G13"/>
      <c r="H13"/>
      <c r="I13"/>
      <c r="J13"/>
      <c r="K13" t="s">
        <v>491</v>
      </c>
      <c r="L13"/>
      <c r="M13"/>
      <c r="N13"/>
      <c r="O13"/>
      <c r="P13"/>
      <c r="Q13"/>
    </row>
    <row r="14" spans="1:17" ht="12.75">
      <c r="A14"/>
      <c r="B14"/>
      <c r="C14" t="s">
        <v>136</v>
      </c>
      <c r="D14"/>
      <c r="E14"/>
      <c r="F14"/>
      <c r="G14"/>
      <c r="H14" t="s">
        <v>137</v>
      </c>
      <c r="I14"/>
      <c r="J14"/>
      <c r="K14" t="s">
        <v>492</v>
      </c>
      <c r="L14"/>
      <c r="M14"/>
      <c r="N14" t="s">
        <v>272</v>
      </c>
      <c r="O14"/>
      <c r="P14"/>
      <c r="Q14"/>
    </row>
    <row r="15" spans="1:17" ht="12.7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2.75">
      <c r="A16">
        <v>1</v>
      </c>
      <c r="B16"/>
      <c r="C16" t="s">
        <v>180</v>
      </c>
      <c r="D16"/>
      <c r="E16">
        <f>+'BS-13MO'!P34</f>
        <v>908178.69230769225</v>
      </c>
      <c r="F16"/>
      <c r="G16"/>
      <c r="H16"/>
      <c r="I16"/>
      <c r="J16"/>
      <c r="K16"/>
      <c r="L16"/>
      <c r="M16"/>
      <c r="N16"/>
      <c r="O16"/>
      <c r="P16"/>
      <c r="Q16">
        <f>SUM(E16:N16)</f>
        <v>908178.69230769225</v>
      </c>
    </row>
    <row r="17" spans="1:17" ht="12.75">
      <c r="A17">
        <f>A16+1</f>
        <v>2</v>
      </c>
      <c r="B17"/>
      <c r="C17" t="s">
        <v>181</v>
      </c>
      <c r="D17"/>
      <c r="E17">
        <f>+'BS-13MO'!P35</f>
        <v>0</v>
      </c>
      <c r="F17"/>
      <c r="G17"/>
      <c r="H17"/>
      <c r="I17"/>
      <c r="J17"/>
      <c r="K17"/>
      <c r="L17"/>
      <c r="M17"/>
      <c r="N17"/>
      <c r="O17"/>
      <c r="P17"/>
      <c r="Q17">
        <f t="shared" ref="Q17:Q35" si="0">SUM(E17:N17)</f>
        <v>0</v>
      </c>
    </row>
    <row r="18" spans="1:17" ht="12.75">
      <c r="A18">
        <f t="shared" ref="A18:A35" si="1">A17+1</f>
        <v>3</v>
      </c>
      <c r="B18"/>
      <c r="C18" t="s">
        <v>461</v>
      </c>
      <c r="D18"/>
      <c r="E18">
        <f>+'BS-13MO'!P36</f>
        <v>0</v>
      </c>
      <c r="F18"/>
      <c r="G18"/>
      <c r="H18"/>
      <c r="I18"/>
      <c r="J18"/>
      <c r="K18"/>
      <c r="L18"/>
      <c r="M18"/>
      <c r="N18"/>
      <c r="O18"/>
      <c r="P18"/>
      <c r="Q18">
        <f t="shared" si="0"/>
        <v>0</v>
      </c>
    </row>
    <row r="19" spans="1:17" ht="12.75">
      <c r="A19">
        <f t="shared" si="1"/>
        <v>4</v>
      </c>
      <c r="B19"/>
      <c r="C19" t="s">
        <v>138</v>
      </c>
      <c r="D19"/>
      <c r="E19">
        <f>+'BS-13MO'!P37</f>
        <v>18382.615384615383</v>
      </c>
      <c r="F19"/>
      <c r="G19"/>
      <c r="H19"/>
      <c r="I19"/>
      <c r="J19"/>
      <c r="K19"/>
      <c r="L19"/>
      <c r="M19"/>
      <c r="N19"/>
      <c r="O19"/>
      <c r="P19"/>
      <c r="Q19">
        <f t="shared" si="0"/>
        <v>18382.615384615383</v>
      </c>
    </row>
    <row r="20" spans="1:17" ht="12.75">
      <c r="A20">
        <f t="shared" si="1"/>
        <v>5</v>
      </c>
      <c r="B20"/>
      <c r="C20" t="s">
        <v>139</v>
      </c>
      <c r="D20"/>
      <c r="E20">
        <f>+'BS-13MO'!P38</f>
        <v>0</v>
      </c>
      <c r="F20"/>
      <c r="G20"/>
      <c r="H20"/>
      <c r="I20"/>
      <c r="J20"/>
      <c r="K20"/>
      <c r="L20"/>
      <c r="M20"/>
      <c r="N20"/>
      <c r="O20"/>
      <c r="P20"/>
      <c r="Q20">
        <f t="shared" si="0"/>
        <v>0</v>
      </c>
    </row>
    <row r="21" spans="1:17" ht="12.75">
      <c r="A21">
        <f t="shared" si="1"/>
        <v>6</v>
      </c>
      <c r="B21"/>
      <c r="C21" t="s">
        <v>184</v>
      </c>
      <c r="D21"/>
      <c r="E21">
        <f>+'BS-13MO'!P39</f>
        <v>0</v>
      </c>
      <c r="F21"/>
      <c r="G21"/>
      <c r="H21"/>
      <c r="I21"/>
      <c r="J21"/>
      <c r="K21"/>
      <c r="L21"/>
      <c r="M21"/>
      <c r="N21"/>
      <c r="O21"/>
      <c r="P21"/>
      <c r="Q21">
        <f t="shared" si="0"/>
        <v>0</v>
      </c>
    </row>
    <row r="22" spans="1:17" ht="12.75">
      <c r="A22">
        <f t="shared" si="1"/>
        <v>7</v>
      </c>
      <c r="B22"/>
      <c r="C22" t="s">
        <v>140</v>
      </c>
      <c r="D22"/>
      <c r="E22">
        <f>+'BS-13MO'!P40</f>
        <v>808858.30769230775</v>
      </c>
      <c r="F22"/>
      <c r="G22"/>
      <c r="H22">
        <f>-E22</f>
        <v>-808858.30769230775</v>
      </c>
      <c r="I22"/>
      <c r="J22"/>
      <c r="K22"/>
      <c r="L22"/>
      <c r="M22"/>
      <c r="N22"/>
      <c r="O22"/>
      <c r="P22"/>
      <c r="Q22">
        <f t="shared" si="0"/>
        <v>0</v>
      </c>
    </row>
    <row r="23" spans="1:17" ht="12.75">
      <c r="A23">
        <f t="shared" si="1"/>
        <v>8</v>
      </c>
      <c r="B23"/>
      <c r="C23" t="s">
        <v>141</v>
      </c>
      <c r="D23"/>
      <c r="E23">
        <f>+'BS-13MO'!P41</f>
        <v>4171780.769230769</v>
      </c>
      <c r="F23"/>
      <c r="G23"/>
      <c r="H23"/>
      <c r="I23"/>
      <c r="J23"/>
      <c r="K23"/>
      <c r="L23"/>
      <c r="M23"/>
      <c r="N23"/>
      <c r="O23"/>
      <c r="P23"/>
      <c r="Q23">
        <f t="shared" si="0"/>
        <v>4171780.769230769</v>
      </c>
    </row>
    <row r="24" spans="1:17" ht="12.75">
      <c r="A24">
        <f t="shared" si="1"/>
        <v>9</v>
      </c>
      <c r="B24"/>
      <c r="C24" t="s">
        <v>142</v>
      </c>
      <c r="D24"/>
      <c r="E24">
        <f>+'BS-13MO'!P42</f>
        <v>1998869.6153846155</v>
      </c>
      <c r="F24"/>
      <c r="G24"/>
      <c r="H24"/>
      <c r="I24"/>
      <c r="J24"/>
      <c r="K24"/>
      <c r="L24"/>
      <c r="M24"/>
      <c r="N24"/>
      <c r="O24"/>
      <c r="P24"/>
      <c r="Q24">
        <f t="shared" si="0"/>
        <v>1998869.6153846155</v>
      </c>
    </row>
    <row r="25" spans="1:17" ht="12.75">
      <c r="A25">
        <f t="shared" si="1"/>
        <v>10</v>
      </c>
      <c r="B25"/>
      <c r="C25" t="s">
        <v>143</v>
      </c>
      <c r="D25"/>
      <c r="E25">
        <f>+'BS-13MO'!P43</f>
        <v>5378.1538461538457</v>
      </c>
      <c r="F25"/>
      <c r="G25"/>
      <c r="H25"/>
      <c r="I25"/>
      <c r="J25"/>
      <c r="K25">
        <f>-E25</f>
        <v>-5378.1538461538457</v>
      </c>
      <c r="L25"/>
      <c r="M25"/>
      <c r="N25"/>
      <c r="O25"/>
      <c r="P25"/>
      <c r="Q25">
        <f t="shared" si="0"/>
        <v>0</v>
      </c>
    </row>
    <row r="26" spans="1:17" ht="12.75">
      <c r="A26">
        <f t="shared" si="1"/>
        <v>11</v>
      </c>
      <c r="B26"/>
      <c r="C26" t="s">
        <v>144</v>
      </c>
      <c r="D26"/>
      <c r="E26">
        <f>+'BS-13MO'!P44</f>
        <v>531000.5384615385</v>
      </c>
      <c r="F26"/>
      <c r="G26"/>
      <c r="H26"/>
      <c r="I26"/>
      <c r="J26"/>
      <c r="K26">
        <f>-E26</f>
        <v>-531000.5384615385</v>
      </c>
      <c r="L26"/>
      <c r="M26"/>
      <c r="N26"/>
      <c r="O26"/>
      <c r="P26"/>
      <c r="Q26">
        <f t="shared" si="0"/>
        <v>0</v>
      </c>
    </row>
    <row r="27" spans="1:17" ht="12.75">
      <c r="A27">
        <f t="shared" si="1"/>
        <v>12</v>
      </c>
      <c r="B27"/>
      <c r="C27" t="s">
        <v>145</v>
      </c>
      <c r="D27"/>
      <c r="E27">
        <f>+'BS-13MO'!P45</f>
        <v>0</v>
      </c>
      <c r="F27"/>
      <c r="G27"/>
      <c r="H27"/>
      <c r="I27"/>
      <c r="J27"/>
      <c r="K27"/>
      <c r="L27"/>
      <c r="M27"/>
      <c r="N27"/>
      <c r="O27"/>
      <c r="P27"/>
      <c r="Q27">
        <f t="shared" si="0"/>
        <v>0</v>
      </c>
    </row>
    <row r="28" spans="1:17" ht="12.75">
      <c r="A28">
        <f t="shared" si="1"/>
        <v>13</v>
      </c>
      <c r="B28"/>
      <c r="C28" t="s">
        <v>146</v>
      </c>
      <c r="D28"/>
      <c r="E28">
        <f>+'BS-13MO'!P46</f>
        <v>-102516.07692307692</v>
      </c>
      <c r="F28"/>
      <c r="G28"/>
      <c r="H28"/>
      <c r="I28"/>
      <c r="J28"/>
      <c r="K28"/>
      <c r="L28"/>
      <c r="M28"/>
      <c r="N28"/>
      <c r="O28"/>
      <c r="P28"/>
      <c r="Q28">
        <f t="shared" si="0"/>
        <v>-102516.07692307692</v>
      </c>
    </row>
    <row r="29" spans="1:17" ht="12.75">
      <c r="A29">
        <f t="shared" si="1"/>
        <v>14</v>
      </c>
      <c r="B29"/>
      <c r="C29" t="s">
        <v>186</v>
      </c>
      <c r="D29"/>
      <c r="E29">
        <f>+'BS-13MO'!P48</f>
        <v>507812.53846153844</v>
      </c>
      <c r="F29"/>
      <c r="G29"/>
      <c r="H29"/>
      <c r="I29"/>
      <c r="J29"/>
      <c r="K29"/>
      <c r="L29"/>
      <c r="M29"/>
      <c r="N29">
        <f>E29*-0.09</f>
        <v>-45703.128461538457</v>
      </c>
      <c r="O29"/>
      <c r="P29"/>
      <c r="Q29">
        <f t="shared" si="0"/>
        <v>462109.41</v>
      </c>
    </row>
    <row r="30" spans="1:17" ht="12.75">
      <c r="A30">
        <f t="shared" si="1"/>
        <v>15</v>
      </c>
      <c r="B30"/>
      <c r="C30" t="s">
        <v>147</v>
      </c>
      <c r="D30"/>
      <c r="E30">
        <f>+'BS-13MO'!P49</f>
        <v>8402.2307692307695</v>
      </c>
      <c r="F30"/>
      <c r="G30"/>
      <c r="H30">
        <f>-E30</f>
        <v>-8402.2307692307695</v>
      </c>
      <c r="I30"/>
      <c r="J30"/>
      <c r="K30"/>
      <c r="L30"/>
      <c r="M30"/>
      <c r="N30"/>
      <c r="O30"/>
      <c r="P30"/>
      <c r="Q30">
        <f t="shared" si="0"/>
        <v>0</v>
      </c>
    </row>
    <row r="31" spans="1:17" ht="12.75">
      <c r="A31">
        <f t="shared" si="1"/>
        <v>16</v>
      </c>
      <c r="B31"/>
      <c r="C31" t="s">
        <v>148</v>
      </c>
      <c r="D31"/>
      <c r="E31">
        <f>+'BS-13MO'!P50</f>
        <v>0</v>
      </c>
      <c r="F31"/>
      <c r="G31"/>
      <c r="H31"/>
      <c r="I31"/>
      <c r="J31"/>
      <c r="K31"/>
      <c r="L31"/>
      <c r="M31"/>
      <c r="N31"/>
      <c r="O31"/>
      <c r="P31"/>
      <c r="Q31">
        <f t="shared" si="0"/>
        <v>0</v>
      </c>
    </row>
    <row r="32" spans="1:17" ht="12.75">
      <c r="A32">
        <f t="shared" si="1"/>
        <v>17</v>
      </c>
      <c r="B32"/>
      <c r="C32" t="s">
        <v>5</v>
      </c>
      <c r="D32"/>
      <c r="E32">
        <f>+'BS-13MO'!P51</f>
        <v>0</v>
      </c>
      <c r="F32"/>
      <c r="G32"/>
      <c r="H32"/>
      <c r="I32"/>
      <c r="J32"/>
      <c r="K32"/>
      <c r="L32"/>
      <c r="M32"/>
      <c r="N32"/>
      <c r="O32"/>
      <c r="P32"/>
      <c r="Q32">
        <f t="shared" si="0"/>
        <v>0</v>
      </c>
    </row>
    <row r="33" spans="1:17" ht="12.75">
      <c r="A33">
        <f t="shared" si="1"/>
        <v>18</v>
      </c>
      <c r="B33"/>
      <c r="C33" t="s">
        <v>4</v>
      </c>
      <c r="D33"/>
      <c r="E33">
        <f>+'BS-13MO'!P53</f>
        <v>68978.076923076922</v>
      </c>
      <c r="F33"/>
      <c r="G33"/>
      <c r="H33"/>
      <c r="I33"/>
      <c r="J33"/>
      <c r="K33"/>
      <c r="L33"/>
      <c r="M33"/>
      <c r="N33"/>
      <c r="O33"/>
      <c r="P33"/>
      <c r="Q33">
        <f t="shared" si="0"/>
        <v>68978.076923076922</v>
      </c>
    </row>
    <row r="34" spans="1:17" ht="12.75">
      <c r="A34">
        <f t="shared" si="1"/>
        <v>19</v>
      </c>
      <c r="B34"/>
      <c r="C34" t="s">
        <v>149</v>
      </c>
      <c r="D34"/>
      <c r="E34">
        <f>+'BS-13MO'!P52</f>
        <v>0</v>
      </c>
      <c r="F34"/>
      <c r="G34"/>
      <c r="H34"/>
      <c r="I34"/>
      <c r="J34"/>
      <c r="K34"/>
      <c r="L34"/>
      <c r="M34"/>
      <c r="N34"/>
      <c r="O34"/>
      <c r="P34"/>
      <c r="Q34">
        <f t="shared" si="0"/>
        <v>0</v>
      </c>
    </row>
    <row r="35" spans="1:17" ht="12.75">
      <c r="A35">
        <f t="shared" si="1"/>
        <v>20</v>
      </c>
      <c r="B35"/>
      <c r="C35" t="s">
        <v>150</v>
      </c>
      <c r="D35"/>
      <c r="E35">
        <f>+'BS-13MO'!P54</f>
        <v>186789.07692307694</v>
      </c>
      <c r="F35"/>
      <c r="G35"/>
      <c r="H35"/>
      <c r="I35"/>
      <c r="J35"/>
      <c r="K35"/>
      <c r="L35"/>
      <c r="M35"/>
      <c r="N35"/>
      <c r="O35"/>
      <c r="P35"/>
      <c r="Q35">
        <f t="shared" si="0"/>
        <v>186789.07692307694</v>
      </c>
    </row>
    <row r="36" spans="1:17" ht="12.7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ht="12.7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ht="12.75">
      <c r="A38">
        <f>A35+1</f>
        <v>21</v>
      </c>
      <c r="B38"/>
      <c r="C38" t="s">
        <v>151</v>
      </c>
      <c r="D38"/>
      <c r="E38">
        <f>SUM(E16:E37)</f>
        <v>9111914.5384615362</v>
      </c>
      <c r="F38"/>
      <c r="G38"/>
      <c r="H38">
        <f>SUM(H16:H37)</f>
        <v>-817260.5384615385</v>
      </c>
      <c r="I38"/>
      <c r="J38"/>
      <c r="K38">
        <f>SUM(K16:K37)</f>
        <v>-536378.69230769237</v>
      </c>
      <c r="L38"/>
      <c r="M38"/>
      <c r="N38">
        <f>SUM(N16:N37)</f>
        <v>-45703.128461538457</v>
      </c>
      <c r="O38"/>
      <c r="P38"/>
      <c r="Q38">
        <f>SUM(Q16:Q37)</f>
        <v>7712572.1792307692</v>
      </c>
    </row>
    <row r="39" spans="1:17" ht="12.7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ht="12.75">
      <c r="A40"/>
      <c r="B40"/>
      <c r="C40"/>
      <c r="D40"/>
      <c r="E40" t="s">
        <v>199</v>
      </c>
      <c r="F40" t="s">
        <v>199</v>
      </c>
      <c r="G40" t="s">
        <v>199</v>
      </c>
      <c r="H40" t="s">
        <v>199</v>
      </c>
      <c r="I40" t="s">
        <v>199</v>
      </c>
      <c r="J40"/>
      <c r="K40"/>
      <c r="L40"/>
      <c r="M40"/>
      <c r="N40"/>
      <c r="O40"/>
      <c r="P40"/>
      <c r="Q40"/>
    </row>
    <row r="41" spans="1:17" ht="12.75">
      <c r="A41"/>
      <c r="B41"/>
      <c r="C41" t="s">
        <v>152</v>
      </c>
      <c r="D41"/>
      <c r="E41"/>
      <c r="F41" t="s">
        <v>199</v>
      </c>
      <c r="G41"/>
      <c r="H41"/>
      <c r="I41"/>
      <c r="J41"/>
      <c r="K41"/>
      <c r="L41"/>
      <c r="M41"/>
      <c r="N41"/>
      <c r="O41"/>
      <c r="P41"/>
      <c r="Q41"/>
    </row>
    <row r="42" spans="1:17" ht="12.7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ht="12.75">
      <c r="A43">
        <f>A38+1</f>
        <v>22</v>
      </c>
      <c r="B43"/>
      <c r="C43" t="s">
        <v>479</v>
      </c>
      <c r="D43"/>
      <c r="E43">
        <f>+'BS-13MO'!P58+'BS-13MO'!P59</f>
        <v>11526001.769230768</v>
      </c>
      <c r="F43"/>
      <c r="G43"/>
      <c r="H43"/>
      <c r="I43"/>
      <c r="J43"/>
      <c r="K43"/>
      <c r="L43"/>
      <c r="M43"/>
      <c r="N43"/>
      <c r="O43"/>
      <c r="P43"/>
      <c r="Q43">
        <f t="shared" ref="Q43:Q53" si="2">SUM(E43:N43)</f>
        <v>11526001.769230768</v>
      </c>
    </row>
    <row r="44" spans="1:17" ht="12.75">
      <c r="A44">
        <f>A43+1</f>
        <v>23</v>
      </c>
      <c r="B44"/>
      <c r="C44" t="s">
        <v>480</v>
      </c>
      <c r="D44"/>
      <c r="E44">
        <v>0</v>
      </c>
      <c r="F44"/>
      <c r="G44"/>
      <c r="H44"/>
      <c r="I44"/>
      <c r="J44"/>
      <c r="K44"/>
      <c r="L44"/>
      <c r="M44"/>
      <c r="N44"/>
      <c r="O44"/>
      <c r="P44"/>
      <c r="Q44">
        <f t="shared" si="2"/>
        <v>0</v>
      </c>
    </row>
    <row r="45" spans="1:17" ht="12.75">
      <c r="A45">
        <f t="shared" ref="A45:A53" si="3">A44+1</f>
        <v>24</v>
      </c>
      <c r="B45"/>
      <c r="C45" t="s">
        <v>481</v>
      </c>
      <c r="D45"/>
      <c r="E45">
        <f>+'BS-13MO'!P60</f>
        <v>0</v>
      </c>
      <c r="F45"/>
      <c r="G45"/>
      <c r="H45"/>
      <c r="I45"/>
      <c r="J45"/>
      <c r="K45"/>
      <c r="L45"/>
      <c r="M45"/>
      <c r="N45"/>
      <c r="O45"/>
      <c r="P45"/>
      <c r="Q45">
        <f t="shared" si="2"/>
        <v>0</v>
      </c>
    </row>
    <row r="46" spans="1:17" ht="12.75">
      <c r="A46">
        <f t="shared" si="3"/>
        <v>25</v>
      </c>
      <c r="B46"/>
      <c r="C46" t="s">
        <v>190</v>
      </c>
      <c r="D46"/>
      <c r="E46">
        <f>+'BS-13MO'!P61</f>
        <v>118054.15384615384</v>
      </c>
      <c r="F46"/>
      <c r="G46"/>
      <c r="H46"/>
      <c r="I46"/>
      <c r="J46"/>
      <c r="K46"/>
      <c r="L46"/>
      <c r="M46"/>
      <c r="N46"/>
      <c r="O46"/>
      <c r="P46"/>
      <c r="Q46">
        <f t="shared" si="2"/>
        <v>118054.15384615384</v>
      </c>
    </row>
    <row r="47" spans="1:17" ht="12.75">
      <c r="A47">
        <f t="shared" si="3"/>
        <v>26</v>
      </c>
      <c r="B47"/>
      <c r="C47" t="s">
        <v>478</v>
      </c>
      <c r="D47"/>
      <c r="E47">
        <f>+'BS-13MO'!P62</f>
        <v>0</v>
      </c>
      <c r="F47"/>
      <c r="G47"/>
      <c r="H47"/>
      <c r="I47"/>
      <c r="J47"/>
      <c r="K47"/>
      <c r="L47"/>
      <c r="M47"/>
      <c r="N47"/>
      <c r="O47"/>
      <c r="P47"/>
      <c r="Q47">
        <f t="shared" si="2"/>
        <v>0</v>
      </c>
    </row>
    <row r="48" spans="1:17" ht="12.75">
      <c r="A48">
        <f t="shared" si="3"/>
        <v>27</v>
      </c>
      <c r="B48"/>
      <c r="C48" t="s">
        <v>188</v>
      </c>
      <c r="D48"/>
      <c r="E48">
        <f>+'BS-13MO'!P63</f>
        <v>72866.923076923078</v>
      </c>
      <c r="F48"/>
      <c r="G48"/>
      <c r="H48"/>
      <c r="I48"/>
      <c r="J48"/>
      <c r="K48"/>
      <c r="L48"/>
      <c r="M48"/>
      <c r="N48"/>
      <c r="O48"/>
      <c r="P48"/>
      <c r="Q48">
        <f t="shared" si="2"/>
        <v>72866.923076923078</v>
      </c>
    </row>
    <row r="49" spans="1:19" ht="12.75">
      <c r="A49">
        <f t="shared" si="3"/>
        <v>28</v>
      </c>
      <c r="B49"/>
      <c r="C49" t="s">
        <v>482</v>
      </c>
      <c r="D49"/>
      <c r="E49">
        <f>+'BS-13MO'!P64</f>
        <v>877607.92307692312</v>
      </c>
      <c r="F49"/>
      <c r="G49"/>
      <c r="H49"/>
      <c r="I49"/>
      <c r="J49"/>
      <c r="K49"/>
      <c r="L49"/>
      <c r="M49"/>
      <c r="N49"/>
      <c r="O49"/>
      <c r="P49"/>
      <c r="Q49">
        <f t="shared" si="2"/>
        <v>877607.92307692312</v>
      </c>
    </row>
    <row r="50" spans="1:19" ht="12.75">
      <c r="A50">
        <f t="shared" si="3"/>
        <v>29</v>
      </c>
      <c r="B50"/>
      <c r="C50" t="s">
        <v>189</v>
      </c>
      <c r="D50"/>
      <c r="E50">
        <f>+'BS-13MO'!P65</f>
        <v>0</v>
      </c>
      <c r="F50"/>
      <c r="G50"/>
      <c r="H50"/>
      <c r="I50"/>
      <c r="J50"/>
      <c r="K50"/>
      <c r="L50"/>
      <c r="M50"/>
      <c r="N50"/>
      <c r="O50"/>
      <c r="P50"/>
      <c r="Q50">
        <f t="shared" si="2"/>
        <v>0</v>
      </c>
    </row>
    <row r="51" spans="1:19" ht="12.75">
      <c r="A51">
        <f t="shared" si="3"/>
        <v>30</v>
      </c>
      <c r="B51"/>
      <c r="C51" t="str">
        <f>'BS-13MO'!B66</f>
        <v>OTHER WIP-ENVIROMENTAL MATTERS</v>
      </c>
      <c r="D51"/>
      <c r="E51">
        <f>+'BS-13MO'!P66</f>
        <v>0</v>
      </c>
      <c r="F51"/>
      <c r="G51"/>
      <c r="H51"/>
      <c r="I51"/>
      <c r="J51"/>
      <c r="K51"/>
      <c r="L51"/>
      <c r="M51"/>
      <c r="N51"/>
      <c r="O51"/>
      <c r="P51"/>
      <c r="Q51">
        <f t="shared" si="2"/>
        <v>0</v>
      </c>
    </row>
    <row r="52" spans="1:19" ht="12.75">
      <c r="A52">
        <f t="shared" si="3"/>
        <v>31</v>
      </c>
      <c r="B52"/>
      <c r="C52" t="s">
        <v>483</v>
      </c>
      <c r="D52"/>
      <c r="E52">
        <f>+'BS-13MO'!P67</f>
        <v>289244.53846153844</v>
      </c>
      <c r="F52"/>
      <c r="G52"/>
      <c r="H52"/>
      <c r="I52"/>
      <c r="J52"/>
      <c r="K52">
        <f>-E52</f>
        <v>-289244.53846153844</v>
      </c>
      <c r="L52"/>
      <c r="M52"/>
      <c r="N52"/>
      <c r="O52"/>
      <c r="P52"/>
      <c r="Q52">
        <f t="shared" si="2"/>
        <v>0</v>
      </c>
    </row>
    <row r="53" spans="1:19" ht="12.75">
      <c r="A53">
        <f t="shared" si="3"/>
        <v>32</v>
      </c>
      <c r="B53"/>
      <c r="C53" t="s">
        <v>192</v>
      </c>
      <c r="D53"/>
      <c r="E53">
        <f>+'BS-13MO'!P68</f>
        <v>0</v>
      </c>
      <c r="F53"/>
      <c r="G53"/>
      <c r="H53"/>
      <c r="I53"/>
      <c r="J53"/>
      <c r="K53"/>
      <c r="L53"/>
      <c r="M53"/>
      <c r="N53"/>
      <c r="O53"/>
      <c r="P53"/>
      <c r="Q53">
        <f t="shared" si="2"/>
        <v>0</v>
      </c>
    </row>
    <row r="54" spans="1:19" ht="12.7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9" ht="12.75">
      <c r="A55">
        <f>A53+1</f>
        <v>33</v>
      </c>
      <c r="B55"/>
      <c r="C55" t="s">
        <v>153</v>
      </c>
      <c r="D55"/>
      <c r="E55">
        <f>SUM(E43:E54)</f>
        <v>12883775.307692308</v>
      </c>
      <c r="F55"/>
      <c r="G55"/>
      <c r="H55">
        <f>SUM(H43:H54)</f>
        <v>0</v>
      </c>
      <c r="I55"/>
      <c r="J55"/>
      <c r="K55">
        <f>SUM(K43:K54)</f>
        <v>-289244.53846153844</v>
      </c>
      <c r="L55"/>
      <c r="M55"/>
      <c r="N55">
        <f>SUM(N42:N54)</f>
        <v>0</v>
      </c>
      <c r="O55"/>
      <c r="P55"/>
      <c r="Q55">
        <f>SUM(Q43:Q54)</f>
        <v>12594530.76923077</v>
      </c>
    </row>
    <row r="56" spans="1:19" ht="12.7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9" ht="13.5" thickBot="1">
      <c r="A57">
        <f>A55+1</f>
        <v>34</v>
      </c>
      <c r="B57"/>
      <c r="C57" t="s">
        <v>154</v>
      </c>
      <c r="D57"/>
      <c r="E57">
        <f>+E38+E55</f>
        <v>21995689.846153844</v>
      </c>
      <c r="F57"/>
      <c r="G57"/>
      <c r="H57">
        <f>+H38+H55</f>
        <v>-817260.5384615385</v>
      </c>
      <c r="I57"/>
      <c r="J57"/>
      <c r="K57">
        <f>+K38+K55</f>
        <v>-825623.23076923075</v>
      </c>
      <c r="L57"/>
      <c r="M57"/>
      <c r="N57">
        <f>+N38+N55</f>
        <v>-45703.128461538457</v>
      </c>
      <c r="O57"/>
      <c r="P57"/>
      <c r="Q57">
        <f>+Q38+Q55</f>
        <v>20307102.94846154</v>
      </c>
    </row>
    <row r="58" spans="1:19" ht="13.5" thickTop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9" ht="12.7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S59" s="29"/>
    </row>
    <row r="60" spans="1:19" ht="12.7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9" ht="12.7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9" ht="12.7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9" ht="12.75">
      <c r="A63"/>
      <c r="B63"/>
      <c r="C63"/>
      <c r="D63"/>
      <c r="E63"/>
      <c r="F63"/>
      <c r="G63" t="s">
        <v>127</v>
      </c>
      <c r="H63"/>
      <c r="I63"/>
      <c r="J63"/>
      <c r="K63"/>
      <c r="L63"/>
      <c r="M63"/>
      <c r="N63" t="s">
        <v>155</v>
      </c>
      <c r="O63"/>
      <c r="P63"/>
      <c r="Q63"/>
    </row>
    <row r="64" spans="1:19" ht="12.7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ht="12.75">
      <c r="A65" t="s">
        <v>129</v>
      </c>
      <c r="B65"/>
      <c r="C65"/>
      <c r="D65" t="s">
        <v>130</v>
      </c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ht="12.75">
      <c r="A66"/>
      <c r="B66"/>
      <c r="C66"/>
      <c r="D66"/>
      <c r="E66" t="s">
        <v>131</v>
      </c>
      <c r="F66"/>
      <c r="G66"/>
      <c r="H66"/>
      <c r="I66"/>
      <c r="J66"/>
      <c r="K66"/>
      <c r="L66"/>
      <c r="M66"/>
      <c r="N66" t="e">
        <f>+N4</f>
        <v>#REF!</v>
      </c>
      <c r="O66"/>
      <c r="P66"/>
      <c r="Q66"/>
    </row>
    <row r="67" spans="1:17" ht="12.75">
      <c r="A67" t="str">
        <f>A5</f>
        <v>COMPANY:  FLORIDA PUBLIC UTILITIES COMPANY</v>
      </c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ht="12.75">
      <c r="A68"/>
      <c r="B68"/>
      <c r="C68"/>
      <c r="D68"/>
      <c r="E68" t="s">
        <v>199</v>
      </c>
      <c r="F68"/>
      <c r="G68"/>
      <c r="H68"/>
      <c r="I68"/>
      <c r="J68"/>
      <c r="K68"/>
      <c r="L68"/>
      <c r="M68"/>
      <c r="N68"/>
      <c r="O68"/>
      <c r="P68"/>
      <c r="Q68"/>
    </row>
    <row r="69" spans="1:17" ht="12.75">
      <c r="A69"/>
      <c r="B69"/>
      <c r="C69"/>
      <c r="D69"/>
      <c r="E69"/>
      <c r="F69"/>
      <c r="G69"/>
      <c r="H69" t="s">
        <v>199</v>
      </c>
      <c r="I69"/>
      <c r="J69" t="s">
        <v>199</v>
      </c>
      <c r="K69" t="s">
        <v>199</v>
      </c>
      <c r="L69" t="s">
        <v>199</v>
      </c>
      <c r="M69" t="s">
        <v>199</v>
      </c>
      <c r="N69"/>
      <c r="O69"/>
      <c r="P69"/>
      <c r="Q69"/>
    </row>
    <row r="70" spans="1:17" ht="12.7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ht="12.7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ht="12.75">
      <c r="A72" t="s">
        <v>132</v>
      </c>
      <c r="B72"/>
      <c r="C72"/>
      <c r="D72"/>
      <c r="E72" t="s">
        <v>294</v>
      </c>
      <c r="F72" t="s">
        <v>199</v>
      </c>
      <c r="G72"/>
      <c r="H72"/>
      <c r="I72"/>
      <c r="J72"/>
      <c r="K72"/>
      <c r="L72"/>
      <c r="M72"/>
      <c r="N72"/>
      <c r="O72"/>
      <c r="P72"/>
      <c r="Q72" t="s">
        <v>295</v>
      </c>
    </row>
    <row r="73" spans="1:17" ht="12.75">
      <c r="A73" t="s">
        <v>133</v>
      </c>
      <c r="B73"/>
      <c r="C73" t="s">
        <v>134</v>
      </c>
      <c r="D73"/>
      <c r="E73" t="s">
        <v>248</v>
      </c>
      <c r="F73" t="s">
        <v>199</v>
      </c>
      <c r="G73"/>
      <c r="H73"/>
      <c r="I73"/>
      <c r="J73"/>
      <c r="K73" t="s">
        <v>135</v>
      </c>
      <c r="L73"/>
      <c r="M73"/>
      <c r="N73"/>
      <c r="O73"/>
      <c r="P73"/>
      <c r="Q73" t="s">
        <v>294</v>
      </c>
    </row>
    <row r="74" spans="1:17" ht="12.7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ht="12.75">
      <c r="A75"/>
      <c r="B75"/>
      <c r="C75"/>
      <c r="D75"/>
      <c r="E75"/>
      <c r="F75"/>
      <c r="G75"/>
      <c r="H75"/>
      <c r="I75"/>
      <c r="J75"/>
      <c r="K75" t="s">
        <v>491</v>
      </c>
      <c r="L75"/>
      <c r="M75"/>
      <c r="N75"/>
      <c r="O75"/>
      <c r="P75"/>
      <c r="Q75"/>
    </row>
    <row r="76" spans="1:17" ht="12.75">
      <c r="A76"/>
      <c r="B76"/>
      <c r="C76" t="s">
        <v>156</v>
      </c>
      <c r="D76"/>
      <c r="E76"/>
      <c r="F76"/>
      <c r="G76"/>
      <c r="H76" t="s">
        <v>137</v>
      </c>
      <c r="I76"/>
      <c r="J76"/>
      <c r="K76" t="s">
        <v>492</v>
      </c>
      <c r="L76"/>
      <c r="M76"/>
      <c r="N76" t="s">
        <v>272</v>
      </c>
      <c r="O76"/>
      <c r="P76"/>
      <c r="Q76"/>
    </row>
    <row r="77" spans="1:17" ht="12.7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ht="12.75">
      <c r="A78">
        <v>1</v>
      </c>
      <c r="B78"/>
      <c r="C78" t="s">
        <v>205</v>
      </c>
      <c r="D78"/>
      <c r="E78">
        <f>-'BS-13MO'!P98</f>
        <v>0</v>
      </c>
      <c r="F78"/>
      <c r="G78"/>
      <c r="H78"/>
      <c r="I78"/>
      <c r="J78"/>
      <c r="K78"/>
      <c r="L78"/>
      <c r="M78"/>
      <c r="N78"/>
      <c r="O78"/>
      <c r="P78"/>
      <c r="Q78">
        <f t="shared" ref="Q78:Q90" si="4">SUM(E78:N78)</f>
        <v>0</v>
      </c>
    </row>
    <row r="79" spans="1:17" ht="12.75">
      <c r="A79">
        <f>A78+1</f>
        <v>2</v>
      </c>
      <c r="B79"/>
      <c r="C79" t="s">
        <v>206</v>
      </c>
      <c r="D79"/>
      <c r="E79">
        <f>-'BS-13MO'!P99</f>
        <v>4267579.230769231</v>
      </c>
      <c r="F79"/>
      <c r="G79"/>
      <c r="H79"/>
      <c r="I79"/>
      <c r="J79"/>
      <c r="K79"/>
      <c r="L79"/>
      <c r="M79"/>
      <c r="N79"/>
      <c r="O79"/>
      <c r="P79"/>
      <c r="Q79">
        <f t="shared" si="4"/>
        <v>4267579.230769231</v>
      </c>
    </row>
    <row r="80" spans="1:17" ht="12.75">
      <c r="A80">
        <f>A79+1</f>
        <v>3</v>
      </c>
      <c r="B80"/>
      <c r="C80" t="s">
        <v>157</v>
      </c>
      <c r="D80"/>
      <c r="E80">
        <f>-'BS-13MO'!P100</f>
        <v>0</v>
      </c>
      <c r="F80"/>
      <c r="G80"/>
      <c r="H80"/>
      <c r="I80"/>
      <c r="J80"/>
      <c r="K80"/>
      <c r="L80"/>
      <c r="M80"/>
      <c r="N80"/>
      <c r="O80"/>
      <c r="P80"/>
      <c r="Q80">
        <f t="shared" si="4"/>
        <v>0</v>
      </c>
    </row>
    <row r="81" spans="1:21" ht="12.75">
      <c r="A81">
        <f>A80+1</f>
        <v>4</v>
      </c>
      <c r="B81"/>
      <c r="C81" t="str">
        <f>'BS-13MO'!B101</f>
        <v>OVER RECOVERED PGA</v>
      </c>
      <c r="D81"/>
      <c r="E81">
        <f>-'BS-13MO'!P101</f>
        <v>1719704.5384615385</v>
      </c>
      <c r="F81"/>
      <c r="G81"/>
      <c r="H81"/>
      <c r="I81"/>
      <c r="J81"/>
      <c r="K81">
        <f>-E81</f>
        <v>-1719704.5384615385</v>
      </c>
      <c r="L81"/>
      <c r="M81"/>
      <c r="N81"/>
      <c r="O81"/>
      <c r="P81"/>
      <c r="Q81">
        <f t="shared" si="4"/>
        <v>0</v>
      </c>
    </row>
    <row r="82" spans="1:21" ht="12.75">
      <c r="A82">
        <f>A81+1</f>
        <v>5</v>
      </c>
      <c r="B82"/>
      <c r="C82" t="str">
        <f>'BS-13MO'!B103</f>
        <v>MERCHANDISE DOWN PAYMENTS</v>
      </c>
      <c r="D82"/>
      <c r="E82">
        <f>-'BS-13MO'!P103</f>
        <v>0</v>
      </c>
      <c r="F82"/>
      <c r="G82"/>
      <c r="H82">
        <f>-E82</f>
        <v>0</v>
      </c>
      <c r="I82"/>
      <c r="J82"/>
      <c r="K82"/>
      <c r="L82"/>
      <c r="M82"/>
      <c r="N82"/>
      <c r="O82"/>
      <c r="P82"/>
      <c r="Q82">
        <f t="shared" si="4"/>
        <v>0</v>
      </c>
    </row>
    <row r="83" spans="1:21" ht="12.75">
      <c r="A83">
        <f t="shared" ref="A83:A90" si="5">A82+1</f>
        <v>6</v>
      </c>
      <c r="B83"/>
      <c r="C83" t="s">
        <v>208</v>
      </c>
      <c r="D83"/>
      <c r="E83">
        <f>-'BS-13MO'!P104</f>
        <v>1801131.076923077</v>
      </c>
      <c r="F83"/>
      <c r="G83"/>
      <c r="H83"/>
      <c r="I83"/>
      <c r="J83"/>
      <c r="K83"/>
      <c r="L83"/>
      <c r="M83"/>
      <c r="N83"/>
      <c r="O83"/>
      <c r="P83"/>
      <c r="Q83">
        <f t="shared" si="4"/>
        <v>1801131.076923077</v>
      </c>
    </row>
    <row r="84" spans="1:21" ht="12.75">
      <c r="A84">
        <f t="shared" si="5"/>
        <v>7</v>
      </c>
      <c r="B84"/>
      <c r="C84" t="s">
        <v>209</v>
      </c>
      <c r="D84"/>
      <c r="E84">
        <f>-'BS-13MO'!P105</f>
        <v>410394.30769230769</v>
      </c>
      <c r="F84"/>
      <c r="G84"/>
      <c r="H84"/>
      <c r="I84"/>
      <c r="J84"/>
      <c r="K84"/>
      <c r="L84"/>
      <c r="M84"/>
      <c r="N84"/>
      <c r="O84"/>
      <c r="P84"/>
      <c r="Q84">
        <f t="shared" si="4"/>
        <v>410394.30769230769</v>
      </c>
    </row>
    <row r="85" spans="1:21" ht="12.75">
      <c r="A85">
        <f t="shared" si="5"/>
        <v>8</v>
      </c>
      <c r="B85"/>
      <c r="C85" t="s">
        <v>493</v>
      </c>
      <c r="D85"/>
      <c r="E85">
        <f>-'BS-13MO'!P106</f>
        <v>239620.38461538462</v>
      </c>
      <c r="F85"/>
      <c r="G85"/>
      <c r="H85"/>
      <c r="I85"/>
      <c r="J85"/>
      <c r="K85"/>
      <c r="L85"/>
      <c r="M85"/>
      <c r="N85"/>
      <c r="O85"/>
      <c r="P85"/>
      <c r="Q85">
        <f t="shared" si="4"/>
        <v>239620.38461538462</v>
      </c>
      <c r="S85" s="8"/>
    </row>
    <row r="86" spans="1:21" ht="12.75">
      <c r="A86">
        <f t="shared" si="5"/>
        <v>9</v>
      </c>
      <c r="B86"/>
      <c r="C86" t="s">
        <v>494</v>
      </c>
      <c r="D86"/>
      <c r="E86">
        <f>-'BS-13MO'!P107</f>
        <v>197026.84</v>
      </c>
      <c r="F86"/>
      <c r="G86"/>
      <c r="H86"/>
      <c r="I86"/>
      <c r="J86"/>
      <c r="K86"/>
      <c r="L86"/>
      <c r="M86"/>
      <c r="N86">
        <f>-230119+187849</f>
        <v>-42270</v>
      </c>
      <c r="O86"/>
      <c r="P86"/>
      <c r="Q86">
        <f t="shared" si="4"/>
        <v>154756.84</v>
      </c>
      <c r="T86" s="29"/>
      <c r="U86" s="8"/>
    </row>
    <row r="87" spans="1:21" ht="12.75">
      <c r="A87">
        <f t="shared" si="5"/>
        <v>10</v>
      </c>
      <c r="B87"/>
      <c r="C87" t="s">
        <v>158</v>
      </c>
      <c r="D87"/>
      <c r="E87">
        <f>-'BS-13MO'!P109</f>
        <v>256358.61538461538</v>
      </c>
      <c r="F87"/>
      <c r="G87"/>
      <c r="H87"/>
      <c r="I87"/>
      <c r="J87"/>
      <c r="K87"/>
      <c r="L87"/>
      <c r="M87"/>
      <c r="N87"/>
      <c r="O87"/>
      <c r="P87"/>
      <c r="Q87">
        <f>SUM(E87:N87)</f>
        <v>256358.61538461538</v>
      </c>
      <c r="U87"/>
    </row>
    <row r="88" spans="1:21" ht="12.75">
      <c r="A88">
        <f t="shared" si="5"/>
        <v>11</v>
      </c>
      <c r="B88"/>
      <c r="C88" t="s">
        <v>190</v>
      </c>
      <c r="D88"/>
      <c r="E88">
        <f>-'BS-13MO'!P110</f>
        <v>87505.153846153844</v>
      </c>
      <c r="F88"/>
      <c r="G88"/>
      <c r="H88"/>
      <c r="I88"/>
      <c r="J88"/>
      <c r="K88">
        <f>-E88</f>
        <v>-87505.153846153844</v>
      </c>
      <c r="L88"/>
      <c r="M88"/>
      <c r="N88"/>
      <c r="O88"/>
      <c r="P88"/>
      <c r="Q88">
        <f t="shared" si="4"/>
        <v>0</v>
      </c>
    </row>
    <row r="89" spans="1:21" ht="12.75">
      <c r="A89">
        <f t="shared" si="5"/>
        <v>12</v>
      </c>
      <c r="B89"/>
      <c r="C89" t="s">
        <v>126</v>
      </c>
      <c r="D89"/>
      <c r="E89">
        <f>-'BS-13MO'!P111</f>
        <v>11278882.384615384</v>
      </c>
      <c r="F89"/>
      <c r="G89"/>
      <c r="H89"/>
      <c r="I89"/>
      <c r="J89"/>
      <c r="K89"/>
      <c r="L89"/>
      <c r="M89"/>
      <c r="N89"/>
      <c r="O89"/>
      <c r="P89"/>
      <c r="Q89">
        <f t="shared" si="4"/>
        <v>11278882.384615384</v>
      </c>
    </row>
    <row r="90" spans="1:21" ht="12.75">
      <c r="A90">
        <f t="shared" si="5"/>
        <v>13</v>
      </c>
      <c r="B90"/>
      <c r="C90" t="s">
        <v>159</v>
      </c>
      <c r="D90"/>
      <c r="E90">
        <f>-'BS-13MO'!P112</f>
        <v>1260375.4615384615</v>
      </c>
      <c r="F90"/>
      <c r="G90"/>
      <c r="H90"/>
      <c r="I90"/>
      <c r="J90"/>
      <c r="K90"/>
      <c r="L90"/>
      <c r="M90"/>
      <c r="N90"/>
      <c r="O90"/>
      <c r="P90"/>
      <c r="Q90">
        <f t="shared" si="4"/>
        <v>1260375.4615384615</v>
      </c>
    </row>
    <row r="91" spans="1:21" ht="12.7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21" ht="12.7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21" ht="12.75">
      <c r="A93">
        <f>A90+1</f>
        <v>14</v>
      </c>
      <c r="B93"/>
      <c r="C93" t="s">
        <v>78</v>
      </c>
      <c r="D93"/>
      <c r="E93">
        <f>SUM(E78:E92)</f>
        <v>21518577.993846152</v>
      </c>
      <c r="F93"/>
      <c r="G93"/>
      <c r="H93">
        <f>SUM(H78:H92)</f>
        <v>0</v>
      </c>
      <c r="I93"/>
      <c r="J93"/>
      <c r="K93">
        <f>SUM(K78:K92)</f>
        <v>-1807209.6923076923</v>
      </c>
      <c r="L93"/>
      <c r="M93"/>
      <c r="N93">
        <f>SUM(N78:N92)</f>
        <v>-42270</v>
      </c>
      <c r="O93"/>
      <c r="P93"/>
      <c r="Q93">
        <f>SUM(Q78:Q92)</f>
        <v>19669098.30153846</v>
      </c>
    </row>
    <row r="94" spans="1:21" ht="12.7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21" ht="12.7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21" ht="12.75">
      <c r="A96"/>
      <c r="B96"/>
      <c r="C96" t="s">
        <v>79</v>
      </c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ht="12.7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ht="12.75">
      <c r="A98">
        <f>A93+1</f>
        <v>15</v>
      </c>
      <c r="B98"/>
      <c r="C98" t="str">
        <f>'BS-13MO'!B117</f>
        <v>STORM RESERVE</v>
      </c>
      <c r="D98"/>
      <c r="E98">
        <f>-'BS-13MO'!P117</f>
        <v>802809.23076923075</v>
      </c>
      <c r="F98"/>
      <c r="G98"/>
      <c r="H98"/>
      <c r="I98"/>
      <c r="J98"/>
      <c r="K98"/>
      <c r="L98"/>
      <c r="M98"/>
      <c r="N98"/>
      <c r="O98"/>
      <c r="P98"/>
      <c r="Q98">
        <f>SUM(E98:N98)</f>
        <v>802809.23076923075</v>
      </c>
    </row>
    <row r="99" spans="1:17" ht="12.75">
      <c r="A99">
        <f>A98+1</f>
        <v>16</v>
      </c>
      <c r="B99"/>
      <c r="C99" t="s">
        <v>80</v>
      </c>
      <c r="D99"/>
      <c r="E99">
        <f>-'BS-13MO'!P118</f>
        <v>0</v>
      </c>
      <c r="F99"/>
      <c r="G99"/>
      <c r="H99"/>
      <c r="I99"/>
      <c r="J99"/>
      <c r="K99"/>
      <c r="L99"/>
      <c r="M99"/>
      <c r="N99"/>
      <c r="O99"/>
      <c r="P99"/>
      <c r="Q99">
        <f>SUM(E99:N99)</f>
        <v>0</v>
      </c>
    </row>
    <row r="100" spans="1:17" ht="12.75">
      <c r="A100">
        <f>A99+1</f>
        <v>17</v>
      </c>
      <c r="B100"/>
      <c r="C100" t="s">
        <v>81</v>
      </c>
      <c r="D100"/>
      <c r="E100">
        <f>-'BS-13MO'!P119</f>
        <v>8143165.769230769</v>
      </c>
      <c r="F100"/>
      <c r="G100"/>
      <c r="H100"/>
      <c r="I100"/>
      <c r="J100"/>
      <c r="K100"/>
      <c r="L100"/>
      <c r="M100"/>
      <c r="N100"/>
      <c r="O100"/>
      <c r="P100"/>
      <c r="Q100">
        <f>SUM(E100:N100)</f>
        <v>8143165.769230769</v>
      </c>
    </row>
    <row r="101" spans="1:17" ht="12.75">
      <c r="A101">
        <f>A100+1</f>
        <v>18</v>
      </c>
      <c r="B101"/>
      <c r="C101" t="s">
        <v>82</v>
      </c>
      <c r="D101"/>
      <c r="E101">
        <v>0</v>
      </c>
      <c r="F101"/>
      <c r="G101"/>
      <c r="H101"/>
      <c r="I101"/>
      <c r="J101"/>
      <c r="K101"/>
      <c r="L101"/>
      <c r="M101"/>
      <c r="N101"/>
      <c r="O101"/>
      <c r="P101"/>
      <c r="Q101">
        <f>SUM(E101:N101)</f>
        <v>0</v>
      </c>
    </row>
    <row r="102" spans="1:17" ht="12.75">
      <c r="A102">
        <f>A101+1</f>
        <v>19</v>
      </c>
      <c r="B102"/>
      <c r="C102" t="s">
        <v>83</v>
      </c>
      <c r="D102"/>
      <c r="E102">
        <v>0</v>
      </c>
      <c r="F102"/>
      <c r="G102"/>
      <c r="H102"/>
      <c r="I102"/>
      <c r="J102"/>
      <c r="K102"/>
      <c r="L102"/>
      <c r="M102"/>
      <c r="N102"/>
      <c r="O102"/>
      <c r="P102"/>
      <c r="Q102">
        <f>SUM(E102:N102)</f>
        <v>0</v>
      </c>
    </row>
    <row r="103" spans="1:17" ht="12.7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ht="12.75">
      <c r="A104">
        <f>A102+1</f>
        <v>20</v>
      </c>
      <c r="B104"/>
      <c r="C104" t="s">
        <v>84</v>
      </c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ht="12.75">
      <c r="A105"/>
      <c r="B105"/>
      <c r="C105" t="s">
        <v>85</v>
      </c>
      <c r="D105"/>
      <c r="E105">
        <f>SUM(E98:E104)</f>
        <v>8945975</v>
      </c>
      <c r="F105"/>
      <c r="G105"/>
      <c r="H105">
        <f>SUM(H99:H104)</f>
        <v>0</v>
      </c>
      <c r="I105"/>
      <c r="J105"/>
      <c r="K105">
        <f>SUM(K101:K104)</f>
        <v>0</v>
      </c>
      <c r="L105"/>
      <c r="M105"/>
      <c r="N105">
        <f>SUM(N98:N103)</f>
        <v>0</v>
      </c>
      <c r="O105"/>
      <c r="P105"/>
      <c r="Q105">
        <f>SUM(Q98:Q104)</f>
        <v>8945975</v>
      </c>
    </row>
    <row r="106" spans="1:17" ht="12.7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ht="12.7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ht="13.5" thickBot="1">
      <c r="A108">
        <f>A104+1</f>
        <v>21</v>
      </c>
      <c r="B108"/>
      <c r="C108" t="s">
        <v>86</v>
      </c>
      <c r="D108"/>
      <c r="E108">
        <f>+E105+E93</f>
        <v>30464552.993846152</v>
      </c>
      <c r="F108"/>
      <c r="G108"/>
      <c r="H108">
        <f>+H105+H93</f>
        <v>0</v>
      </c>
      <c r="I108"/>
      <c r="J108"/>
      <c r="K108">
        <f>+K105+K93</f>
        <v>-1807209.6923076923</v>
      </c>
      <c r="L108"/>
      <c r="M108"/>
      <c r="N108">
        <f>+N105+N93</f>
        <v>-42270</v>
      </c>
      <c r="O108"/>
      <c r="P108"/>
      <c r="Q108">
        <f>+Q105+Q93</f>
        <v>28615073.30153846</v>
      </c>
    </row>
    <row r="109" spans="1:17" ht="13.5" thickTop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ht="12.7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ht="13.5" thickBot="1">
      <c r="A111">
        <f>A108+1</f>
        <v>22</v>
      </c>
      <c r="B111"/>
      <c r="C111" t="s">
        <v>87</v>
      </c>
      <c r="D111"/>
      <c r="E111">
        <f>+E57-E108</f>
        <v>-8468863.1476923078</v>
      </c>
      <c r="F111"/>
      <c r="G111"/>
      <c r="H111">
        <f>+H57-H108</f>
        <v>-817260.5384615385</v>
      </c>
      <c r="I111"/>
      <c r="J111"/>
      <c r="K111">
        <f>+K57-K108</f>
        <v>981586.4615384615</v>
      </c>
      <c r="L111"/>
      <c r="M111"/>
      <c r="N111">
        <f>+N57-N108</f>
        <v>-3433.1284615384575</v>
      </c>
      <c r="O111"/>
      <c r="P111"/>
      <c r="Q111">
        <f>+Q57-Q108</f>
        <v>-8307970.3530769199</v>
      </c>
    </row>
    <row r="112" spans="1:17" ht="13.5" thickTop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ht="12.7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ht="13.5" thickBot="1">
      <c r="A114">
        <v>30</v>
      </c>
      <c r="B114"/>
      <c r="C114" t="s">
        <v>88</v>
      </c>
      <c r="D114"/>
      <c r="E114">
        <f>+E111</f>
        <v>-8468863.1476923078</v>
      </c>
      <c r="F114"/>
      <c r="G114"/>
      <c r="H114">
        <f>+H111</f>
        <v>-817260.5384615385</v>
      </c>
      <c r="I114"/>
      <c r="J114"/>
      <c r="K114">
        <f>+K111</f>
        <v>981586.4615384615</v>
      </c>
      <c r="L114"/>
      <c r="M114"/>
      <c r="N114">
        <f>+N111</f>
        <v>-3433.1284615384575</v>
      </c>
      <c r="O114"/>
      <c r="P114"/>
      <c r="Q114">
        <f>+Q111</f>
        <v>-8307970.3530769199</v>
      </c>
    </row>
    <row r="115" spans="1:17" ht="13.5" thickTop="1">
      <c r="A115"/>
      <c r="B115"/>
      <c r="C115" t="s">
        <v>89</v>
      </c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</sheetData>
  <phoneticPr fontId="0" type="noConversion"/>
  <printOptions horizontalCentered="1" gridLines="1"/>
  <pageMargins left="0.2" right="0.19" top="0.56000000000000005" bottom="0.53" header="0.5" footer="0.5"/>
  <pageSetup scale="62" fitToHeight="2" orientation="landscape" r:id="rId1"/>
  <headerFooter alignWithMargins="0"/>
  <rowBreaks count="1" manualBreakCount="1">
    <brk id="59" max="16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FF0000"/>
    <pageSetUpPr fitToPage="1"/>
  </sheetPr>
  <dimension ref="A1:U115"/>
  <sheetViews>
    <sheetView view="pageBreakPreview" topLeftCell="A73" zoomScaleNormal="100" zoomScaleSheetLayoutView="100" workbookViewId="0">
      <selection activeCell="E112" sqref="E112"/>
    </sheetView>
  </sheetViews>
  <sheetFormatPr defaultColWidth="9.140625" defaultRowHeight="11.25"/>
  <cols>
    <col min="1" max="1" width="9.140625" style="4"/>
    <col min="2" max="2" width="4.5703125" style="4" customWidth="1"/>
    <col min="3" max="3" width="36.140625" style="4" bestFit="1" customWidth="1"/>
    <col min="4" max="4" width="3.7109375" style="4" customWidth="1"/>
    <col min="5" max="5" width="14.7109375" style="4" customWidth="1"/>
    <col min="6" max="7" width="9.140625" style="4"/>
    <col min="8" max="8" width="11.5703125" style="4" customWidth="1"/>
    <col min="9" max="10" width="9.140625" style="4"/>
    <col min="11" max="11" width="13" style="4" customWidth="1"/>
    <col min="12" max="13" width="9.140625" style="4"/>
    <col min="14" max="14" width="12.28515625" style="4" customWidth="1"/>
    <col min="15" max="16" width="9.140625" style="4"/>
    <col min="17" max="17" width="11.5703125" style="4" customWidth="1"/>
    <col min="18" max="16384" width="9.140625" style="4"/>
  </cols>
  <sheetData>
    <row r="1" spans="1:17" ht="12.75">
      <c r="A1"/>
      <c r="B1"/>
      <c r="C1"/>
      <c r="D1"/>
      <c r="E1"/>
      <c r="F1"/>
      <c r="G1" t="s">
        <v>127</v>
      </c>
      <c r="H1"/>
      <c r="I1"/>
      <c r="J1"/>
      <c r="K1"/>
      <c r="L1"/>
      <c r="M1"/>
      <c r="N1" t="s">
        <v>128</v>
      </c>
      <c r="O1"/>
      <c r="P1"/>
      <c r="Q1"/>
    </row>
    <row r="2" spans="1:17" ht="12.7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2.75">
      <c r="A3" t="s">
        <v>129</v>
      </c>
      <c r="B3"/>
      <c r="C3"/>
      <c r="D3"/>
      <c r="E3" t="s">
        <v>92</v>
      </c>
      <c r="F3"/>
      <c r="G3"/>
      <c r="H3"/>
      <c r="I3"/>
      <c r="J3"/>
      <c r="K3"/>
      <c r="L3"/>
      <c r="M3"/>
      <c r="N3"/>
      <c r="O3"/>
      <c r="P3"/>
      <c r="Q3"/>
    </row>
    <row r="4" spans="1:17" ht="12.75">
      <c r="A4"/>
      <c r="B4"/>
      <c r="C4"/>
      <c r="D4"/>
      <c r="E4" t="s">
        <v>91</v>
      </c>
      <c r="F4"/>
      <c r="G4"/>
      <c r="H4"/>
      <c r="I4"/>
      <c r="J4"/>
      <c r="K4"/>
      <c r="L4"/>
      <c r="M4"/>
      <c r="N4" t="e">
        <f>'Work Cap-Avg'!N4</f>
        <v>#REF!</v>
      </c>
      <c r="O4"/>
      <c r="P4"/>
      <c r="Q4"/>
    </row>
    <row r="5" spans="1:17" ht="12.75">
      <c r="A5" t="str">
        <f>'Work Cap-Avg'!A5</f>
        <v>COMPANY:  FLORIDA PUBLIC UTILITIES COMPANY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2.75">
      <c r="A6"/>
      <c r="B6"/>
      <c r="C6"/>
      <c r="D6"/>
      <c r="E6" t="s">
        <v>199</v>
      </c>
      <c r="F6"/>
      <c r="G6"/>
      <c r="H6"/>
      <c r="I6"/>
      <c r="J6"/>
      <c r="K6"/>
      <c r="L6"/>
      <c r="M6"/>
      <c r="N6"/>
      <c r="O6"/>
      <c r="P6"/>
      <c r="Q6"/>
    </row>
    <row r="7" spans="1:17" ht="12.75">
      <c r="A7"/>
      <c r="B7"/>
      <c r="C7"/>
      <c r="D7"/>
      <c r="E7"/>
      <c r="F7"/>
      <c r="G7"/>
      <c r="H7" t="s">
        <v>199</v>
      </c>
      <c r="I7"/>
      <c r="J7" t="s">
        <v>199</v>
      </c>
      <c r="K7" t="s">
        <v>199</v>
      </c>
      <c r="L7" t="s">
        <v>199</v>
      </c>
      <c r="M7" t="s">
        <v>199</v>
      </c>
      <c r="N7"/>
      <c r="O7"/>
      <c r="P7"/>
      <c r="Q7"/>
    </row>
    <row r="8" spans="1:17" ht="12.7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ht="12.7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ht="12.75">
      <c r="A10" t="s">
        <v>132</v>
      </c>
      <c r="B10"/>
      <c r="C10"/>
      <c r="D10"/>
      <c r="E10" t="s">
        <v>90</v>
      </c>
      <c r="F10" t="s">
        <v>199</v>
      </c>
      <c r="G10"/>
      <c r="H10"/>
      <c r="I10"/>
      <c r="J10"/>
      <c r="K10"/>
      <c r="L10"/>
      <c r="M10"/>
      <c r="N10"/>
      <c r="O10"/>
      <c r="P10"/>
      <c r="Q10" t="s">
        <v>295</v>
      </c>
    </row>
    <row r="11" spans="1:17" ht="12.75">
      <c r="A11" t="s">
        <v>133</v>
      </c>
      <c r="B11"/>
      <c r="C11" t="s">
        <v>134</v>
      </c>
      <c r="D11"/>
      <c r="E11" t="s">
        <v>248</v>
      </c>
      <c r="F11" t="s">
        <v>199</v>
      </c>
      <c r="G11"/>
      <c r="H11"/>
      <c r="I11"/>
      <c r="J11"/>
      <c r="K11" t="s">
        <v>135</v>
      </c>
      <c r="L11"/>
      <c r="M11"/>
      <c r="N11"/>
      <c r="O11"/>
      <c r="P11"/>
      <c r="Q11" t="s">
        <v>294</v>
      </c>
    </row>
    <row r="12" spans="1:17" ht="12.7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ht="12.75">
      <c r="A13"/>
      <c r="B13"/>
      <c r="C13"/>
      <c r="D13"/>
      <c r="E13"/>
      <c r="F13"/>
      <c r="G13"/>
      <c r="H13"/>
      <c r="I13"/>
      <c r="J13"/>
      <c r="K13" t="s">
        <v>491</v>
      </c>
      <c r="L13"/>
      <c r="M13"/>
      <c r="N13"/>
      <c r="O13"/>
      <c r="P13"/>
      <c r="Q13"/>
    </row>
    <row r="14" spans="1:17" ht="12.75">
      <c r="A14"/>
      <c r="B14"/>
      <c r="C14" t="s">
        <v>136</v>
      </c>
      <c r="D14"/>
      <c r="E14"/>
      <c r="F14"/>
      <c r="G14"/>
      <c r="H14" t="s">
        <v>137</v>
      </c>
      <c r="I14"/>
      <c r="J14"/>
      <c r="K14" t="s">
        <v>492</v>
      </c>
      <c r="L14"/>
      <c r="M14"/>
      <c r="N14" t="s">
        <v>272</v>
      </c>
      <c r="O14"/>
      <c r="P14"/>
      <c r="Q14"/>
    </row>
    <row r="15" spans="1:17" ht="12.7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2.75">
      <c r="A16">
        <v>1</v>
      </c>
      <c r="B16"/>
      <c r="C16" t="s">
        <v>180</v>
      </c>
      <c r="D16"/>
      <c r="E16">
        <f>+'BS-13MO'!O34</f>
        <v>926886</v>
      </c>
      <c r="F16"/>
      <c r="G16"/>
      <c r="H16"/>
      <c r="I16"/>
      <c r="J16"/>
      <c r="K16"/>
      <c r="L16"/>
      <c r="M16"/>
      <c r="N16"/>
      <c r="O16"/>
      <c r="P16"/>
      <c r="Q16">
        <f>SUM(E16:N16)</f>
        <v>926886</v>
      </c>
    </row>
    <row r="17" spans="1:17" ht="12.75">
      <c r="A17">
        <f>A16+1</f>
        <v>2</v>
      </c>
      <c r="B17"/>
      <c r="C17" t="s">
        <v>181</v>
      </c>
      <c r="D17"/>
      <c r="E17">
        <f>+'BS-13MO'!O35</f>
        <v>0</v>
      </c>
      <c r="F17"/>
      <c r="G17"/>
      <c r="H17"/>
      <c r="I17"/>
      <c r="J17"/>
      <c r="K17"/>
      <c r="L17"/>
      <c r="M17"/>
      <c r="N17"/>
      <c r="O17"/>
      <c r="P17"/>
      <c r="Q17">
        <f t="shared" ref="Q17:Q35" si="0">SUM(E17:N17)</f>
        <v>0</v>
      </c>
    </row>
    <row r="18" spans="1:17" ht="12.75">
      <c r="A18">
        <f t="shared" ref="A18:A35" si="1">A17+1</f>
        <v>3</v>
      </c>
      <c r="B18"/>
      <c r="C18" t="s">
        <v>182</v>
      </c>
      <c r="D18"/>
      <c r="E18">
        <f>+'BS-13MO'!O36</f>
        <v>0</v>
      </c>
      <c r="F18"/>
      <c r="G18"/>
      <c r="H18"/>
      <c r="I18"/>
      <c r="J18"/>
      <c r="K18"/>
      <c r="L18"/>
      <c r="M18"/>
      <c r="N18"/>
      <c r="O18"/>
      <c r="P18"/>
      <c r="Q18">
        <f t="shared" si="0"/>
        <v>0</v>
      </c>
    </row>
    <row r="19" spans="1:17" ht="12.75">
      <c r="A19">
        <f t="shared" si="1"/>
        <v>4</v>
      </c>
      <c r="B19"/>
      <c r="C19" t="s">
        <v>138</v>
      </c>
      <c r="D19"/>
      <c r="E19">
        <f>+'BS-13MO'!O37</f>
        <v>19100</v>
      </c>
      <c r="F19"/>
      <c r="G19"/>
      <c r="H19"/>
      <c r="I19"/>
      <c r="J19"/>
      <c r="K19"/>
      <c r="L19"/>
      <c r="M19"/>
      <c r="N19"/>
      <c r="O19"/>
      <c r="P19"/>
      <c r="Q19">
        <f t="shared" si="0"/>
        <v>19100</v>
      </c>
    </row>
    <row r="20" spans="1:17" ht="12.75">
      <c r="A20">
        <f t="shared" si="1"/>
        <v>5</v>
      </c>
      <c r="B20"/>
      <c r="C20" t="s">
        <v>139</v>
      </c>
      <c r="D20"/>
      <c r="E20">
        <f>+'BS-13MO'!O38</f>
        <v>0</v>
      </c>
      <c r="F20"/>
      <c r="G20"/>
      <c r="H20"/>
      <c r="I20"/>
      <c r="J20"/>
      <c r="K20"/>
      <c r="L20"/>
      <c r="M20"/>
      <c r="N20"/>
      <c r="O20"/>
      <c r="P20"/>
      <c r="Q20">
        <f t="shared" si="0"/>
        <v>0</v>
      </c>
    </row>
    <row r="21" spans="1:17" ht="12.75">
      <c r="A21">
        <f t="shared" si="1"/>
        <v>6</v>
      </c>
      <c r="B21"/>
      <c r="C21" t="s">
        <v>184</v>
      </c>
      <c r="D21"/>
      <c r="E21">
        <f>+'BS-13MO'!O39</f>
        <v>0</v>
      </c>
      <c r="F21"/>
      <c r="G21"/>
      <c r="H21"/>
      <c r="I21"/>
      <c r="J21"/>
      <c r="K21"/>
      <c r="L21"/>
      <c r="M21"/>
      <c r="N21"/>
      <c r="O21"/>
      <c r="P21"/>
      <c r="Q21">
        <f t="shared" si="0"/>
        <v>0</v>
      </c>
    </row>
    <row r="22" spans="1:17" ht="12.75">
      <c r="A22">
        <f t="shared" si="1"/>
        <v>7</v>
      </c>
      <c r="B22"/>
      <c r="C22" t="s">
        <v>140</v>
      </c>
      <c r="D22"/>
      <c r="E22">
        <f>+'BS-13MO'!O40</f>
        <v>0</v>
      </c>
      <c r="F22"/>
      <c r="G22"/>
      <c r="H22">
        <f>-E22</f>
        <v>0</v>
      </c>
      <c r="I22"/>
      <c r="J22"/>
      <c r="K22"/>
      <c r="L22"/>
      <c r="M22"/>
      <c r="N22"/>
      <c r="O22"/>
      <c r="P22"/>
      <c r="Q22">
        <f t="shared" si="0"/>
        <v>0</v>
      </c>
    </row>
    <row r="23" spans="1:17" ht="12.75">
      <c r="A23">
        <f t="shared" si="1"/>
        <v>8</v>
      </c>
      <c r="B23"/>
      <c r="C23" t="s">
        <v>141</v>
      </c>
      <c r="D23"/>
      <c r="E23">
        <f>+'BS-13MO'!O41</f>
        <v>6176922</v>
      </c>
      <c r="F23"/>
      <c r="G23"/>
      <c r="H23"/>
      <c r="I23"/>
      <c r="J23"/>
      <c r="K23"/>
      <c r="L23"/>
      <c r="M23"/>
      <c r="N23"/>
      <c r="O23"/>
      <c r="P23"/>
      <c r="Q23">
        <f t="shared" si="0"/>
        <v>6176922</v>
      </c>
    </row>
    <row r="24" spans="1:17" ht="12.75">
      <c r="A24">
        <f t="shared" si="1"/>
        <v>9</v>
      </c>
      <c r="B24"/>
      <c r="C24" t="s">
        <v>142</v>
      </c>
      <c r="D24"/>
      <c r="E24">
        <f>+'BS-13MO'!O42</f>
        <v>1927681</v>
      </c>
      <c r="F24"/>
      <c r="G24"/>
      <c r="H24"/>
      <c r="I24"/>
      <c r="J24"/>
      <c r="K24"/>
      <c r="L24"/>
      <c r="M24"/>
      <c r="N24"/>
      <c r="O24"/>
      <c r="P24"/>
      <c r="Q24">
        <f t="shared" si="0"/>
        <v>1927681</v>
      </c>
    </row>
    <row r="25" spans="1:17" ht="12.75">
      <c r="A25">
        <f t="shared" si="1"/>
        <v>10</v>
      </c>
      <c r="B25"/>
      <c r="C25" t="s">
        <v>143</v>
      </c>
      <c r="D25"/>
      <c r="E25">
        <f>+'BS-13MO'!O43</f>
        <v>-44686</v>
      </c>
      <c r="F25"/>
      <c r="G25"/>
      <c r="H25"/>
      <c r="I25"/>
      <c r="J25"/>
      <c r="K25">
        <f>-E25</f>
        <v>44686</v>
      </c>
      <c r="L25"/>
      <c r="M25"/>
      <c r="N25"/>
      <c r="O25"/>
      <c r="P25"/>
      <c r="Q25">
        <f t="shared" si="0"/>
        <v>0</v>
      </c>
    </row>
    <row r="26" spans="1:17" ht="12.75">
      <c r="A26">
        <f t="shared" si="1"/>
        <v>11</v>
      </c>
      <c r="B26"/>
      <c r="C26" t="s">
        <v>144</v>
      </c>
      <c r="D26"/>
      <c r="E26">
        <f>+'BS-13MO'!O44</f>
        <v>354072</v>
      </c>
      <c r="F26"/>
      <c r="G26"/>
      <c r="H26"/>
      <c r="I26"/>
      <c r="J26"/>
      <c r="K26">
        <f>-E26</f>
        <v>-354072</v>
      </c>
      <c r="L26"/>
      <c r="M26"/>
      <c r="N26"/>
      <c r="O26"/>
      <c r="P26"/>
      <c r="Q26">
        <f t="shared" si="0"/>
        <v>0</v>
      </c>
    </row>
    <row r="27" spans="1:17" ht="12.75">
      <c r="A27">
        <f t="shared" si="1"/>
        <v>12</v>
      </c>
      <c r="B27"/>
      <c r="C27" t="s">
        <v>145</v>
      </c>
      <c r="D27"/>
      <c r="E27">
        <f>+'BS-13MO'!O45</f>
        <v>0</v>
      </c>
      <c r="F27"/>
      <c r="G27"/>
      <c r="H27"/>
      <c r="I27"/>
      <c r="J27"/>
      <c r="K27"/>
      <c r="L27"/>
      <c r="M27"/>
      <c r="N27"/>
      <c r="O27"/>
      <c r="P27"/>
      <c r="Q27">
        <f t="shared" si="0"/>
        <v>0</v>
      </c>
    </row>
    <row r="28" spans="1:17" ht="12.75">
      <c r="A28">
        <f t="shared" si="1"/>
        <v>13</v>
      </c>
      <c r="B28"/>
      <c r="C28" t="s">
        <v>146</v>
      </c>
      <c r="D28"/>
      <c r="E28">
        <f>+'BS-13MO'!O46</f>
        <v>-140542</v>
      </c>
      <c r="F28"/>
      <c r="G28"/>
      <c r="H28"/>
      <c r="I28"/>
      <c r="J28"/>
      <c r="K28"/>
      <c r="L28"/>
      <c r="M28"/>
      <c r="N28"/>
      <c r="O28"/>
      <c r="P28"/>
      <c r="Q28">
        <f t="shared" si="0"/>
        <v>-140542</v>
      </c>
    </row>
    <row r="29" spans="1:17" ht="12.75">
      <c r="A29">
        <f t="shared" si="1"/>
        <v>14</v>
      </c>
      <c r="B29"/>
      <c r="C29" t="s">
        <v>186</v>
      </c>
      <c r="D29"/>
      <c r="E29">
        <f>+'BS-13MO'!O48</f>
        <v>734081</v>
      </c>
      <c r="F29"/>
      <c r="G29"/>
      <c r="H29"/>
      <c r="I29"/>
      <c r="J29"/>
      <c r="K29"/>
      <c r="L29"/>
      <c r="M29"/>
      <c r="N29">
        <f>E29*-0.09</f>
        <v>-66067.289999999994</v>
      </c>
      <c r="O29"/>
      <c r="P29"/>
      <c r="Q29">
        <f t="shared" si="0"/>
        <v>668013.71</v>
      </c>
    </row>
    <row r="30" spans="1:17" ht="12.75">
      <c r="A30">
        <f t="shared" si="1"/>
        <v>15</v>
      </c>
      <c r="B30"/>
      <c r="C30" t="s">
        <v>147</v>
      </c>
      <c r="D30"/>
      <c r="E30">
        <f>+'BS-13MO'!O49</f>
        <v>0</v>
      </c>
      <c r="F30"/>
      <c r="G30"/>
      <c r="H30">
        <f>-E30</f>
        <v>0</v>
      </c>
      <c r="I30"/>
      <c r="J30"/>
      <c r="K30"/>
      <c r="L30"/>
      <c r="M30"/>
      <c r="N30"/>
      <c r="O30"/>
      <c r="P30"/>
      <c r="Q30">
        <f t="shared" si="0"/>
        <v>0</v>
      </c>
    </row>
    <row r="31" spans="1:17" ht="12.75">
      <c r="A31">
        <f t="shared" si="1"/>
        <v>16</v>
      </c>
      <c r="B31"/>
      <c r="C31" t="s">
        <v>148</v>
      </c>
      <c r="D31"/>
      <c r="E31">
        <f>+'BS-13MO'!O50</f>
        <v>0</v>
      </c>
      <c r="F31"/>
      <c r="G31"/>
      <c r="H31"/>
      <c r="I31"/>
      <c r="J31"/>
      <c r="K31"/>
      <c r="L31"/>
      <c r="M31"/>
      <c r="N31"/>
      <c r="O31"/>
      <c r="P31"/>
      <c r="Q31">
        <f t="shared" si="0"/>
        <v>0</v>
      </c>
    </row>
    <row r="32" spans="1:17" ht="12.75">
      <c r="A32">
        <f t="shared" si="1"/>
        <v>17</v>
      </c>
      <c r="B32"/>
      <c r="C32" t="s">
        <v>5</v>
      </c>
      <c r="D32"/>
      <c r="E32">
        <f>+'BS-13MO'!O51</f>
        <v>0</v>
      </c>
      <c r="F32"/>
      <c r="G32"/>
      <c r="H32"/>
      <c r="I32"/>
      <c r="J32"/>
      <c r="K32"/>
      <c r="L32"/>
      <c r="M32"/>
      <c r="N32"/>
      <c r="O32"/>
      <c r="P32"/>
      <c r="Q32">
        <f t="shared" si="0"/>
        <v>0</v>
      </c>
    </row>
    <row r="33" spans="1:17" ht="12.75">
      <c r="A33">
        <f t="shared" si="1"/>
        <v>18</v>
      </c>
      <c r="B33"/>
      <c r="C33" t="s">
        <v>4</v>
      </c>
      <c r="D33"/>
      <c r="E33">
        <f>+'BS-13MO'!O53</f>
        <v>54320</v>
      </c>
      <c r="F33"/>
      <c r="G33"/>
      <c r="H33"/>
      <c r="I33"/>
      <c r="J33"/>
      <c r="K33"/>
      <c r="L33"/>
      <c r="M33"/>
      <c r="N33"/>
      <c r="O33"/>
      <c r="P33"/>
      <c r="Q33">
        <f t="shared" si="0"/>
        <v>54320</v>
      </c>
    </row>
    <row r="34" spans="1:17" ht="12.75">
      <c r="A34">
        <f t="shared" si="1"/>
        <v>19</v>
      </c>
      <c r="B34"/>
      <c r="C34" t="s">
        <v>149</v>
      </c>
      <c r="D34"/>
      <c r="E34">
        <f>+'BS-13MO'!O52</f>
        <v>0</v>
      </c>
      <c r="F34"/>
      <c r="G34"/>
      <c r="H34"/>
      <c r="I34"/>
      <c r="J34"/>
      <c r="K34"/>
      <c r="L34"/>
      <c r="M34"/>
      <c r="N34"/>
      <c r="O34"/>
      <c r="P34"/>
      <c r="Q34">
        <f t="shared" si="0"/>
        <v>0</v>
      </c>
    </row>
    <row r="35" spans="1:17" ht="12.75">
      <c r="A35">
        <f t="shared" si="1"/>
        <v>20</v>
      </c>
      <c r="B35"/>
      <c r="C35" t="s">
        <v>150</v>
      </c>
      <c r="D35"/>
      <c r="E35">
        <f>+'BS-13MO'!O54</f>
        <v>318442</v>
      </c>
      <c r="F35"/>
      <c r="G35"/>
      <c r="H35"/>
      <c r="I35"/>
      <c r="J35"/>
      <c r="K35"/>
      <c r="L35"/>
      <c r="M35"/>
      <c r="N35"/>
      <c r="O35"/>
      <c r="P35"/>
      <c r="Q35">
        <f t="shared" si="0"/>
        <v>318442</v>
      </c>
    </row>
    <row r="36" spans="1:17" ht="12.7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ht="12.75">
      <c r="A37">
        <f>A35+1</f>
        <v>21</v>
      </c>
      <c r="B37"/>
      <c r="C37" t="s">
        <v>151</v>
      </c>
      <c r="D37"/>
      <c r="E37">
        <f>SUM(E16:E36)</f>
        <v>10326276</v>
      </c>
      <c r="F37"/>
      <c r="G37"/>
      <c r="H37">
        <f>SUM(H16:H36)</f>
        <v>0</v>
      </c>
      <c r="I37"/>
      <c r="J37"/>
      <c r="K37">
        <f>SUM(K16:K36)</f>
        <v>-309386</v>
      </c>
      <c r="L37"/>
      <c r="M37"/>
      <c r="N37">
        <f>SUM(N16:N36)</f>
        <v>-66067.289999999994</v>
      </c>
      <c r="O37"/>
      <c r="P37"/>
      <c r="Q37">
        <f>SUM(Q16:Q36)</f>
        <v>9950822.7100000009</v>
      </c>
    </row>
    <row r="38" spans="1:17" ht="12.7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ht="12.75">
      <c r="A39"/>
      <c r="B39"/>
      <c r="C39"/>
      <c r="D39"/>
      <c r="E39" t="s">
        <v>199</v>
      </c>
      <c r="F39" t="s">
        <v>199</v>
      </c>
      <c r="G39" t="s">
        <v>199</v>
      </c>
      <c r="H39" t="s">
        <v>199</v>
      </c>
      <c r="I39" t="s">
        <v>199</v>
      </c>
      <c r="J39"/>
      <c r="K39"/>
      <c r="L39"/>
      <c r="M39"/>
      <c r="N39"/>
      <c r="O39"/>
      <c r="P39"/>
      <c r="Q39"/>
    </row>
    <row r="40" spans="1:17" ht="12.75">
      <c r="A40"/>
      <c r="B40"/>
      <c r="C40" t="s">
        <v>152</v>
      </c>
      <c r="D40"/>
      <c r="E40"/>
      <c r="F40" t="s">
        <v>199</v>
      </c>
      <c r="G40"/>
      <c r="H40"/>
      <c r="I40"/>
      <c r="J40"/>
      <c r="K40"/>
      <c r="L40"/>
      <c r="M40"/>
      <c r="N40"/>
      <c r="O40"/>
      <c r="P40"/>
      <c r="Q40"/>
    </row>
    <row r="41" spans="1:17" ht="12.7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ht="12.75">
      <c r="A42">
        <f>A37+1</f>
        <v>22</v>
      </c>
      <c r="B42"/>
      <c r="C42" t="str">
        <f>'Work Cap-Avg'!C43</f>
        <v>OTHER REGULATORY ASSETS</v>
      </c>
      <c r="D42"/>
      <c r="E42">
        <f>+'BS-13MO'!O58+'BS-13MO'!O59</f>
        <v>17483683</v>
      </c>
      <c r="F42"/>
      <c r="G42"/>
      <c r="H42"/>
      <c r="I42"/>
      <c r="J42"/>
      <c r="K42"/>
      <c r="L42"/>
      <c r="M42"/>
      <c r="N42"/>
      <c r="O42"/>
      <c r="P42"/>
      <c r="Q42">
        <f t="shared" ref="Q42:Q52" si="2">SUM(E42:N42)</f>
        <v>17483683</v>
      </c>
    </row>
    <row r="43" spans="1:17" ht="12.75">
      <c r="A43">
        <f>A42+1</f>
        <v>23</v>
      </c>
      <c r="B43"/>
      <c r="C43" t="str">
        <f>'Work Cap-Avg'!C44</f>
        <v>TEMPORARY FACILITIES</v>
      </c>
      <c r="D43"/>
      <c r="E43">
        <v>0</v>
      </c>
      <c r="F43"/>
      <c r="G43"/>
      <c r="H43"/>
      <c r="I43"/>
      <c r="J43"/>
      <c r="K43"/>
      <c r="L43"/>
      <c r="M43"/>
      <c r="N43"/>
      <c r="O43"/>
      <c r="P43"/>
      <c r="Q43">
        <f t="shared" si="2"/>
        <v>0</v>
      </c>
    </row>
    <row r="44" spans="1:17" ht="12.75">
      <c r="A44">
        <f t="shared" ref="A44:A52" si="3">A43+1</f>
        <v>24</v>
      </c>
      <c r="B44"/>
      <c r="C44" t="str">
        <f>'Work Cap-Avg'!C45</f>
        <v>UNDISTRIBUTED CAPITAL</v>
      </c>
      <c r="D44"/>
      <c r="E44">
        <f>+'BS-13MO'!O60</f>
        <v>0</v>
      </c>
      <c r="F44"/>
      <c r="G44"/>
      <c r="H44"/>
      <c r="I44"/>
      <c r="J44"/>
      <c r="K44"/>
      <c r="L44"/>
      <c r="M44"/>
      <c r="N44"/>
      <c r="O44"/>
      <c r="P44"/>
      <c r="Q44">
        <f t="shared" si="2"/>
        <v>0</v>
      </c>
    </row>
    <row r="45" spans="1:17" ht="12.75">
      <c r="A45">
        <f t="shared" si="3"/>
        <v>25</v>
      </c>
      <c r="B45"/>
      <c r="C45" t="str">
        <f>'Work Cap-Avg'!C46</f>
        <v>CONSERVATION</v>
      </c>
      <c r="D45"/>
      <c r="E45">
        <f>+'BS-13MO'!O61</f>
        <v>557459</v>
      </c>
      <c r="F45"/>
      <c r="G45"/>
      <c r="H45"/>
      <c r="I45"/>
      <c r="J45"/>
      <c r="K45"/>
      <c r="L45"/>
      <c r="M45"/>
      <c r="N45">
        <f>IF(E45=0," ",(IF(E45&lt;0," ",-E45)))</f>
        <v>-557459</v>
      </c>
      <c r="O45"/>
      <c r="P45"/>
      <c r="Q45">
        <f t="shared" si="2"/>
        <v>0</v>
      </c>
    </row>
    <row r="46" spans="1:17" ht="12.75">
      <c r="A46">
        <f t="shared" si="3"/>
        <v>26</v>
      </c>
      <c r="B46"/>
      <c r="C46" t="str">
        <f>'Work Cap-Avg'!C47</f>
        <v>AEP</v>
      </c>
      <c r="D46"/>
      <c r="E46">
        <f>+'BS-13MO'!O62</f>
        <v>0</v>
      </c>
      <c r="F46"/>
      <c r="G46"/>
      <c r="H46"/>
      <c r="I46"/>
      <c r="J46"/>
      <c r="K46"/>
      <c r="L46"/>
      <c r="M46"/>
      <c r="N46"/>
      <c r="O46"/>
      <c r="P46"/>
      <c r="Q46">
        <f t="shared" si="2"/>
        <v>0</v>
      </c>
    </row>
    <row r="47" spans="1:17" ht="12.75">
      <c r="A47">
        <f t="shared" si="3"/>
        <v>27</v>
      </c>
      <c r="B47"/>
      <c r="C47" t="str">
        <f>'Work Cap-Avg'!C48</f>
        <v>MISC DEFERRED DEBITS</v>
      </c>
      <c r="D47"/>
      <c r="E47">
        <f>+'BS-13MO'!O63</f>
        <v>36948</v>
      </c>
      <c r="F47"/>
      <c r="G47"/>
      <c r="H47"/>
      <c r="I47"/>
      <c r="J47"/>
      <c r="K47"/>
      <c r="L47"/>
      <c r="M47"/>
      <c r="N47"/>
      <c r="O47"/>
      <c r="P47"/>
      <c r="Q47">
        <f t="shared" si="2"/>
        <v>36948</v>
      </c>
    </row>
    <row r="48" spans="1:17" ht="12.75">
      <c r="A48">
        <f t="shared" si="3"/>
        <v>28</v>
      </c>
      <c r="B48"/>
      <c r="C48" t="str">
        <f>'Work Cap-Avg'!C49</f>
        <v>DEFERRED PIPING &amp; CONVERSION</v>
      </c>
      <c r="D48"/>
      <c r="E48">
        <f>+'BS-13MO'!O64</f>
        <v>788504</v>
      </c>
      <c r="F48"/>
      <c r="G48"/>
      <c r="H48"/>
      <c r="I48"/>
      <c r="J48"/>
      <c r="K48"/>
      <c r="L48"/>
      <c r="M48"/>
      <c r="N48"/>
      <c r="O48"/>
      <c r="P48"/>
      <c r="Q48">
        <f t="shared" si="2"/>
        <v>788504</v>
      </c>
    </row>
    <row r="49" spans="1:17" ht="12.75">
      <c r="A49">
        <f t="shared" si="3"/>
        <v>29</v>
      </c>
      <c r="B49"/>
      <c r="C49" t="str">
        <f>'Work Cap-Avg'!C50</f>
        <v>DEFERRED RATE CASE</v>
      </c>
      <c r="D49"/>
      <c r="E49">
        <f>+'BS-13MO'!O65</f>
        <v>0</v>
      </c>
      <c r="F49"/>
      <c r="G49"/>
      <c r="H49"/>
      <c r="I49"/>
      <c r="J49"/>
      <c r="K49"/>
      <c r="L49"/>
      <c r="M49"/>
      <c r="N49"/>
      <c r="O49"/>
      <c r="P49"/>
      <c r="Q49">
        <f t="shared" si="2"/>
        <v>0</v>
      </c>
    </row>
    <row r="50" spans="1:17" ht="12.75">
      <c r="A50">
        <f t="shared" si="3"/>
        <v>30</v>
      </c>
      <c r="B50"/>
      <c r="C50" t="str">
        <f>'Work Cap-Avg'!C51</f>
        <v>OTHER WIP-ENVIROMENTAL MATTERS</v>
      </c>
      <c r="D50"/>
      <c r="E50">
        <f>+'BS-13MO'!O66</f>
        <v>0</v>
      </c>
      <c r="F50"/>
      <c r="G50"/>
      <c r="H50"/>
      <c r="I50"/>
      <c r="J50"/>
      <c r="K50"/>
      <c r="L50"/>
      <c r="M50"/>
      <c r="N50"/>
      <c r="O50"/>
      <c r="P50"/>
      <c r="Q50">
        <f t="shared" si="2"/>
        <v>0</v>
      </c>
    </row>
    <row r="51" spans="1:17" ht="12.75">
      <c r="A51">
        <f t="shared" si="3"/>
        <v>31</v>
      </c>
      <c r="B51"/>
      <c r="C51" t="str">
        <f>'Work Cap-Avg'!C52</f>
        <v>UNAMORT RATE CASE</v>
      </c>
      <c r="D51"/>
      <c r="E51">
        <f>+'BS-13MO'!O67</f>
        <v>213787</v>
      </c>
      <c r="F51"/>
      <c r="G51"/>
      <c r="H51"/>
      <c r="I51"/>
      <c r="J51"/>
      <c r="K51">
        <f>-E51</f>
        <v>-213787</v>
      </c>
      <c r="L51"/>
      <c r="M51"/>
      <c r="N51"/>
      <c r="O51"/>
      <c r="P51"/>
      <c r="Q51">
        <f t="shared" si="2"/>
        <v>0</v>
      </c>
    </row>
    <row r="52" spans="1:17" ht="12.75">
      <c r="A52">
        <f t="shared" si="3"/>
        <v>32</v>
      </c>
      <c r="B52"/>
      <c r="C52" t="str">
        <f>'Work Cap-Avg'!C53</f>
        <v>UNRECOVERED GAS COST</v>
      </c>
      <c r="D52"/>
      <c r="E52">
        <f>+'BS-13MO'!O68</f>
        <v>0</v>
      </c>
      <c r="F52"/>
      <c r="G52"/>
      <c r="H52"/>
      <c r="I52"/>
      <c r="J52"/>
      <c r="K52"/>
      <c r="L52"/>
      <c r="M52"/>
      <c r="N52"/>
      <c r="O52"/>
      <c r="P52"/>
      <c r="Q52">
        <f t="shared" si="2"/>
        <v>0</v>
      </c>
    </row>
    <row r="53" spans="1:17" ht="12.7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ht="12.75">
      <c r="A54">
        <f>A52+1</f>
        <v>33</v>
      </c>
      <c r="B54"/>
      <c r="C54" t="s">
        <v>153</v>
      </c>
      <c r="D54"/>
      <c r="E54">
        <f>SUM(E42:E53)</f>
        <v>19080381</v>
      </c>
      <c r="F54"/>
      <c r="G54"/>
      <c r="H54">
        <f>SUM(H42:H53)</f>
        <v>0</v>
      </c>
      <c r="I54"/>
      <c r="J54"/>
      <c r="K54">
        <f>SUM(K42:K53)</f>
        <v>-213787</v>
      </c>
      <c r="L54"/>
      <c r="M54"/>
      <c r="N54">
        <f>SUM(N42:N53)</f>
        <v>-557459</v>
      </c>
      <c r="O54"/>
      <c r="P54"/>
      <c r="Q54">
        <f>SUM(Q42:Q53)</f>
        <v>18309135</v>
      </c>
    </row>
    <row r="55" spans="1:17" ht="12.7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ht="13.5" thickBot="1">
      <c r="A56">
        <f>A54+1</f>
        <v>34</v>
      </c>
      <c r="B56"/>
      <c r="C56" t="s">
        <v>154</v>
      </c>
      <c r="D56"/>
      <c r="E56">
        <f>+E37+E54</f>
        <v>29406657</v>
      </c>
      <c r="F56"/>
      <c r="G56"/>
      <c r="H56">
        <f>+H37+H54</f>
        <v>0</v>
      </c>
      <c r="I56"/>
      <c r="J56"/>
      <c r="K56">
        <f>+K37+K54</f>
        <v>-523173</v>
      </c>
      <c r="L56"/>
      <c r="M56"/>
      <c r="N56">
        <f>+N37+N54</f>
        <v>-623526.29</v>
      </c>
      <c r="O56"/>
      <c r="P56"/>
      <c r="Q56">
        <f>+Q37+Q54</f>
        <v>28259957.710000001</v>
      </c>
    </row>
    <row r="57" spans="1:17" ht="13.5" thickTop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ht="12.7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ht="12.7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ht="12.7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ht="12.7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ht="12.7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ht="12.75">
      <c r="A63"/>
      <c r="B63"/>
      <c r="C63"/>
      <c r="D63"/>
      <c r="E63"/>
      <c r="F63"/>
      <c r="G63" t="s">
        <v>127</v>
      </c>
      <c r="H63"/>
      <c r="I63"/>
      <c r="J63"/>
      <c r="K63"/>
      <c r="L63"/>
      <c r="M63"/>
      <c r="N63" t="s">
        <v>155</v>
      </c>
      <c r="O63"/>
      <c r="P63"/>
      <c r="Q63"/>
    </row>
    <row r="64" spans="1:17" ht="12.7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ht="12.75">
      <c r="A65" t="s">
        <v>129</v>
      </c>
      <c r="B65"/>
      <c r="C65"/>
      <c r="D65"/>
      <c r="E65" t="s">
        <v>93</v>
      </c>
      <c r="F65"/>
      <c r="G65"/>
      <c r="H65"/>
      <c r="I65"/>
      <c r="J65"/>
      <c r="K65"/>
      <c r="L65"/>
      <c r="M65"/>
      <c r="N65"/>
      <c r="O65"/>
      <c r="P65"/>
      <c r="Q65"/>
    </row>
    <row r="66" spans="1:17" ht="12.75">
      <c r="A66"/>
      <c r="B66"/>
      <c r="C66"/>
      <c r="D66"/>
      <c r="E66" t="s">
        <v>94</v>
      </c>
      <c r="F66"/>
      <c r="G66"/>
      <c r="H66"/>
      <c r="I66"/>
      <c r="J66"/>
      <c r="K66"/>
      <c r="L66"/>
      <c r="M66"/>
      <c r="N66" t="e">
        <f>+N4</f>
        <v>#REF!</v>
      </c>
      <c r="O66"/>
      <c r="P66"/>
      <c r="Q66"/>
    </row>
    <row r="67" spans="1:17" ht="12.75">
      <c r="A67" t="str">
        <f>A5</f>
        <v>COMPANY:  FLORIDA PUBLIC UTILITIES COMPANY</v>
      </c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ht="12.75">
      <c r="A68"/>
      <c r="B68"/>
      <c r="C68"/>
      <c r="D68"/>
      <c r="E68" t="s">
        <v>199</v>
      </c>
      <c r="F68"/>
      <c r="G68"/>
      <c r="H68"/>
      <c r="I68"/>
      <c r="J68"/>
      <c r="K68"/>
      <c r="L68"/>
      <c r="M68"/>
      <c r="N68"/>
      <c r="O68"/>
      <c r="P68"/>
      <c r="Q68"/>
    </row>
    <row r="69" spans="1:17" ht="12.75">
      <c r="A69"/>
      <c r="B69"/>
      <c r="C69"/>
      <c r="D69"/>
      <c r="E69"/>
      <c r="F69"/>
      <c r="G69"/>
      <c r="H69" t="s">
        <v>199</v>
      </c>
      <c r="I69"/>
      <c r="J69" t="s">
        <v>199</v>
      </c>
      <c r="K69" t="s">
        <v>199</v>
      </c>
      <c r="L69" t="s">
        <v>199</v>
      </c>
      <c r="M69" t="s">
        <v>199</v>
      </c>
      <c r="N69"/>
      <c r="O69"/>
      <c r="P69"/>
      <c r="Q69"/>
    </row>
    <row r="70" spans="1:17" ht="12.7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ht="12.7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ht="12.75">
      <c r="A72" t="s">
        <v>132</v>
      </c>
      <c r="B72"/>
      <c r="C72"/>
      <c r="D72"/>
      <c r="E72" t="s">
        <v>90</v>
      </c>
      <c r="F72" t="s">
        <v>199</v>
      </c>
      <c r="G72"/>
      <c r="H72"/>
      <c r="I72"/>
      <c r="J72"/>
      <c r="K72"/>
      <c r="L72"/>
      <c r="M72"/>
      <c r="N72"/>
      <c r="O72"/>
      <c r="P72"/>
      <c r="Q72" t="s">
        <v>295</v>
      </c>
    </row>
    <row r="73" spans="1:17" ht="12.75">
      <c r="A73" t="s">
        <v>133</v>
      </c>
      <c r="B73"/>
      <c r="C73" t="s">
        <v>134</v>
      </c>
      <c r="D73"/>
      <c r="E73" t="s">
        <v>248</v>
      </c>
      <c r="F73" t="s">
        <v>199</v>
      </c>
      <c r="G73"/>
      <c r="H73"/>
      <c r="I73"/>
      <c r="J73"/>
      <c r="K73" t="s">
        <v>135</v>
      </c>
      <c r="L73"/>
      <c r="M73"/>
      <c r="N73"/>
      <c r="O73"/>
      <c r="P73"/>
      <c r="Q73" t="s">
        <v>294</v>
      </c>
    </row>
    <row r="74" spans="1:17" ht="12.7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ht="12.75">
      <c r="A75"/>
      <c r="B75"/>
      <c r="C75"/>
      <c r="D75"/>
      <c r="E75"/>
      <c r="F75"/>
      <c r="G75"/>
      <c r="H75"/>
      <c r="I75"/>
      <c r="J75"/>
      <c r="K75" t="s">
        <v>491</v>
      </c>
      <c r="L75"/>
      <c r="M75"/>
      <c r="N75"/>
      <c r="O75"/>
      <c r="P75"/>
      <c r="Q75"/>
    </row>
    <row r="76" spans="1:17" ht="12.75">
      <c r="A76"/>
      <c r="B76"/>
      <c r="C76" t="s">
        <v>156</v>
      </c>
      <c r="D76"/>
      <c r="E76"/>
      <c r="F76"/>
      <c r="G76"/>
      <c r="H76" t="s">
        <v>137</v>
      </c>
      <c r="I76"/>
      <c r="J76"/>
      <c r="K76" t="s">
        <v>492</v>
      </c>
      <c r="L76"/>
      <c r="M76"/>
      <c r="N76" t="s">
        <v>272</v>
      </c>
      <c r="O76"/>
      <c r="P76"/>
      <c r="Q76"/>
    </row>
    <row r="77" spans="1:17" ht="12.7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ht="12.75">
      <c r="A78">
        <v>1</v>
      </c>
      <c r="B78"/>
      <c r="C78" t="s">
        <v>205</v>
      </c>
      <c r="D78"/>
      <c r="E78">
        <f>-'BS-13MO'!O98</f>
        <v>0</v>
      </c>
      <c r="F78"/>
      <c r="G78"/>
      <c r="H78"/>
      <c r="I78"/>
      <c r="J78"/>
      <c r="K78"/>
      <c r="L78"/>
      <c r="M78"/>
      <c r="N78"/>
      <c r="O78"/>
      <c r="P78"/>
      <c r="Q78">
        <f t="shared" ref="Q78:Q90" si="4">SUM(E78:N78)</f>
        <v>0</v>
      </c>
    </row>
    <row r="79" spans="1:17" ht="12.75">
      <c r="A79">
        <f>A78+1</f>
        <v>2</v>
      </c>
      <c r="B79"/>
      <c r="C79" t="s">
        <v>206</v>
      </c>
      <c r="D79"/>
      <c r="E79">
        <f>-'BS-13MO'!O99</f>
        <v>4681881</v>
      </c>
      <c r="F79"/>
      <c r="G79"/>
      <c r="H79"/>
      <c r="I79"/>
      <c r="J79"/>
      <c r="K79"/>
      <c r="L79"/>
      <c r="M79"/>
      <c r="N79"/>
      <c r="O79"/>
      <c r="P79"/>
      <c r="Q79">
        <f t="shared" si="4"/>
        <v>4681881</v>
      </c>
    </row>
    <row r="80" spans="1:17" ht="12.75">
      <c r="A80">
        <f t="shared" ref="A80:A90" si="5">A79+1</f>
        <v>3</v>
      </c>
      <c r="B80"/>
      <c r="C80" t="s">
        <v>157</v>
      </c>
      <c r="D80"/>
      <c r="E80">
        <f>-'BS-13MO'!O100</f>
        <v>0</v>
      </c>
      <c r="F80"/>
      <c r="G80"/>
      <c r="H80"/>
      <c r="I80"/>
      <c r="J80"/>
      <c r="K80"/>
      <c r="L80"/>
      <c r="M80"/>
      <c r="N80"/>
      <c r="O80"/>
      <c r="P80"/>
      <c r="Q80">
        <f t="shared" si="4"/>
        <v>0</v>
      </c>
    </row>
    <row r="81" spans="1:21" ht="12.75">
      <c r="A81">
        <f t="shared" si="5"/>
        <v>4</v>
      </c>
      <c r="B81"/>
      <c r="C81" t="str">
        <f>'BS-13MO'!B101</f>
        <v>OVER RECOVERED PGA</v>
      </c>
      <c r="D81"/>
      <c r="E81">
        <f>-'BS-13MO'!O101</f>
        <v>734160</v>
      </c>
      <c r="F81"/>
      <c r="G81"/>
      <c r="H81"/>
      <c r="I81"/>
      <c r="J81"/>
      <c r="K81">
        <f>-E81</f>
        <v>-734160</v>
      </c>
      <c r="L81"/>
      <c r="M81"/>
      <c r="N81"/>
      <c r="O81"/>
      <c r="P81"/>
      <c r="Q81">
        <f t="shared" si="4"/>
        <v>0</v>
      </c>
    </row>
    <row r="82" spans="1:21" ht="12.75">
      <c r="A82">
        <f t="shared" si="5"/>
        <v>5</v>
      </c>
      <c r="B82"/>
      <c r="C82" t="str">
        <f>'BS-13MO'!B103</f>
        <v>MERCHANDISE DOWN PAYMENTS</v>
      </c>
      <c r="D82"/>
      <c r="E82">
        <f>-'BS-13MO'!O103</f>
        <v>0</v>
      </c>
      <c r="F82"/>
      <c r="G82"/>
      <c r="H82">
        <f>-E82</f>
        <v>0</v>
      </c>
      <c r="I82"/>
      <c r="J82"/>
      <c r="K82"/>
      <c r="L82"/>
      <c r="M82"/>
      <c r="N82"/>
      <c r="O82"/>
      <c r="P82"/>
      <c r="Q82">
        <f t="shared" si="4"/>
        <v>0</v>
      </c>
    </row>
    <row r="83" spans="1:21" ht="12.75">
      <c r="A83">
        <f t="shared" si="5"/>
        <v>6</v>
      </c>
      <c r="B83"/>
      <c r="C83" t="s">
        <v>208</v>
      </c>
      <c r="D83"/>
      <c r="E83">
        <f>-'BS-13MO'!O104</f>
        <v>1107778</v>
      </c>
      <c r="F83"/>
      <c r="G83"/>
      <c r="H83"/>
      <c r="I83"/>
      <c r="J83"/>
      <c r="K83"/>
      <c r="L83"/>
      <c r="M83"/>
      <c r="N83"/>
      <c r="O83"/>
      <c r="P83"/>
      <c r="Q83">
        <f t="shared" si="4"/>
        <v>1107778</v>
      </c>
    </row>
    <row r="84" spans="1:21" ht="12.75">
      <c r="A84">
        <f t="shared" si="5"/>
        <v>7</v>
      </c>
      <c r="B84"/>
      <c r="C84" t="s">
        <v>209</v>
      </c>
      <c r="D84"/>
      <c r="E84">
        <f>-'BS-13MO'!O105</f>
        <v>36782</v>
      </c>
      <c r="F84"/>
      <c r="G84"/>
      <c r="H84"/>
      <c r="I84"/>
      <c r="J84"/>
      <c r="K84"/>
      <c r="L84"/>
      <c r="M84"/>
      <c r="N84"/>
      <c r="O84"/>
      <c r="P84"/>
      <c r="Q84">
        <f t="shared" si="4"/>
        <v>36782</v>
      </c>
    </row>
    <row r="85" spans="1:21" ht="12.75">
      <c r="A85">
        <f t="shared" si="5"/>
        <v>8</v>
      </c>
      <c r="B85"/>
      <c r="C85" t="s">
        <v>493</v>
      </c>
      <c r="D85"/>
      <c r="E85">
        <f>-'BS-13MO'!O106</f>
        <v>332737</v>
      </c>
      <c r="F85"/>
      <c r="G85"/>
      <c r="H85"/>
      <c r="I85"/>
      <c r="J85"/>
      <c r="K85"/>
      <c r="L85"/>
      <c r="M85"/>
      <c r="N85"/>
      <c r="O85"/>
      <c r="P85"/>
      <c r="Q85">
        <f t="shared" si="4"/>
        <v>332737</v>
      </c>
    </row>
    <row r="86" spans="1:21" ht="12.75">
      <c r="A86">
        <f t="shared" si="5"/>
        <v>9</v>
      </c>
      <c r="B86"/>
      <c r="C86" t="s">
        <v>494</v>
      </c>
      <c r="D86"/>
      <c r="E86">
        <f>-'BS-13MO'!O107</f>
        <v>114684.44</v>
      </c>
      <c r="F86"/>
      <c r="G86"/>
      <c r="H86"/>
      <c r="I86"/>
      <c r="J86"/>
      <c r="K86"/>
      <c r="L86"/>
      <c r="M86"/>
      <c r="N86">
        <f>-370635+293119</f>
        <v>-77516</v>
      </c>
      <c r="O86"/>
      <c r="P86"/>
      <c r="Q86">
        <f t="shared" si="4"/>
        <v>37168.44</v>
      </c>
      <c r="T86" s="29"/>
      <c r="U86" s="29"/>
    </row>
    <row r="87" spans="1:21" ht="12.75">
      <c r="A87">
        <f t="shared" si="5"/>
        <v>10</v>
      </c>
      <c r="B87"/>
      <c r="C87" t="s">
        <v>158</v>
      </c>
      <c r="D87"/>
      <c r="E87">
        <f>-'BS-13MO'!O109</f>
        <v>438405</v>
      </c>
      <c r="F87"/>
      <c r="G87"/>
      <c r="H87"/>
      <c r="I87"/>
      <c r="J87"/>
      <c r="K87"/>
      <c r="L87"/>
      <c r="M87"/>
      <c r="N87"/>
      <c r="O87"/>
      <c r="P87"/>
      <c r="Q87">
        <f t="shared" si="4"/>
        <v>438405</v>
      </c>
      <c r="U87"/>
    </row>
    <row r="88" spans="1:21" ht="12.75">
      <c r="A88">
        <f t="shared" si="5"/>
        <v>11</v>
      </c>
      <c r="B88"/>
      <c r="C88" t="s">
        <v>190</v>
      </c>
      <c r="D88"/>
      <c r="E88">
        <f>-'BS-13MO'!O110</f>
        <v>0</v>
      </c>
      <c r="F88"/>
      <c r="G88"/>
      <c r="H88"/>
      <c r="I88"/>
      <c r="J88"/>
      <c r="K88"/>
      <c r="L88"/>
      <c r="M88"/>
      <c r="N88"/>
      <c r="O88"/>
      <c r="P88"/>
      <c r="Q88">
        <f t="shared" si="4"/>
        <v>0</v>
      </c>
    </row>
    <row r="89" spans="1:21" ht="12.75">
      <c r="A89">
        <f t="shared" si="5"/>
        <v>12</v>
      </c>
      <c r="B89"/>
      <c r="C89" t="s">
        <v>126</v>
      </c>
      <c r="D89"/>
      <c r="E89">
        <f>-'BS-13MO'!O111</f>
        <v>11040868</v>
      </c>
      <c r="F89"/>
      <c r="G89"/>
      <c r="H89"/>
      <c r="I89"/>
      <c r="J89"/>
      <c r="K89"/>
      <c r="L89"/>
      <c r="M89"/>
      <c r="N89"/>
      <c r="O89"/>
      <c r="P89"/>
      <c r="Q89">
        <f t="shared" si="4"/>
        <v>11040868</v>
      </c>
    </row>
    <row r="90" spans="1:21" ht="12.75">
      <c r="A90">
        <f t="shared" si="5"/>
        <v>13</v>
      </c>
      <c r="B90"/>
      <c r="C90" t="s">
        <v>159</v>
      </c>
      <c r="D90"/>
      <c r="E90">
        <f>-'BS-13MO'!O112</f>
        <v>1301955</v>
      </c>
      <c r="F90"/>
      <c r="G90"/>
      <c r="H90"/>
      <c r="I90"/>
      <c r="J90"/>
      <c r="K90"/>
      <c r="L90"/>
      <c r="M90"/>
      <c r="N90"/>
      <c r="O90"/>
      <c r="P90"/>
      <c r="Q90">
        <f t="shared" si="4"/>
        <v>1301955</v>
      </c>
    </row>
    <row r="91" spans="1:21" ht="12.7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21" ht="12.7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21" ht="12.75">
      <c r="A93">
        <f>A90+1</f>
        <v>14</v>
      </c>
      <c r="B93"/>
      <c r="C93" t="s">
        <v>78</v>
      </c>
      <c r="D93"/>
      <c r="E93">
        <f>SUM(E78:E92)</f>
        <v>19789250.440000001</v>
      </c>
      <c r="F93"/>
      <c r="G93"/>
      <c r="H93">
        <f>SUM(H78:H92)</f>
        <v>0</v>
      </c>
      <c r="I93"/>
      <c r="J93"/>
      <c r="K93">
        <f>SUM(K78:K92)</f>
        <v>-734160</v>
      </c>
      <c r="L93"/>
      <c r="M93"/>
      <c r="N93">
        <f>SUM(N78:N92)</f>
        <v>-77516</v>
      </c>
      <c r="O93"/>
      <c r="P93"/>
      <c r="Q93">
        <f>SUM(Q78:Q92)</f>
        <v>18977574.440000001</v>
      </c>
    </row>
    <row r="94" spans="1:21" ht="12.7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21" ht="12.7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21" ht="12.75">
      <c r="A96"/>
      <c r="B96"/>
      <c r="C96" t="s">
        <v>79</v>
      </c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ht="12.7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ht="12.75">
      <c r="A98">
        <f>A93+1</f>
        <v>15</v>
      </c>
      <c r="B98"/>
      <c r="C98" t="str">
        <f>'BS-13MO'!B117</f>
        <v>STORM RESERVE</v>
      </c>
      <c r="D98"/>
      <c r="E98">
        <f>-'BS-13MO'!O117</f>
        <v>805943</v>
      </c>
      <c r="F98"/>
      <c r="G98"/>
      <c r="H98"/>
      <c r="I98"/>
      <c r="J98"/>
      <c r="K98"/>
      <c r="L98"/>
      <c r="M98"/>
      <c r="N98"/>
      <c r="O98"/>
      <c r="P98"/>
      <c r="Q98">
        <f>SUM(E98:N98)</f>
        <v>805943</v>
      </c>
    </row>
    <row r="99" spans="1:17" ht="12.75">
      <c r="A99">
        <f>A98+1</f>
        <v>16</v>
      </c>
      <c r="B99"/>
      <c r="C99" t="s">
        <v>80</v>
      </c>
      <c r="D99"/>
      <c r="E99">
        <f>-'BS-13MO'!O118</f>
        <v>0</v>
      </c>
      <c r="F99"/>
      <c r="G99"/>
      <c r="H99"/>
      <c r="I99"/>
      <c r="J99"/>
      <c r="K99"/>
      <c r="L99"/>
      <c r="M99"/>
      <c r="N99"/>
      <c r="O99"/>
      <c r="P99"/>
      <c r="Q99">
        <f>SUM(E99:N99)</f>
        <v>0</v>
      </c>
    </row>
    <row r="100" spans="1:17" ht="12.75">
      <c r="A100">
        <f>A99+1</f>
        <v>17</v>
      </c>
      <c r="B100"/>
      <c r="C100" t="s">
        <v>81</v>
      </c>
      <c r="D100"/>
      <c r="E100">
        <f>-'BS-13MO'!O119</f>
        <v>12667632</v>
      </c>
      <c r="F100"/>
      <c r="G100"/>
      <c r="H100"/>
      <c r="I100"/>
      <c r="J100"/>
      <c r="K100"/>
      <c r="L100"/>
      <c r="M100"/>
      <c r="N100"/>
      <c r="O100"/>
      <c r="P100"/>
      <c r="Q100">
        <f>SUM(E100:N100)</f>
        <v>12667632</v>
      </c>
    </row>
    <row r="101" spans="1:17" ht="12.75">
      <c r="A101">
        <f>A100+1</f>
        <v>18</v>
      </c>
      <c r="B101"/>
      <c r="C101" t="s">
        <v>82</v>
      </c>
      <c r="D101"/>
      <c r="E101">
        <v>0</v>
      </c>
      <c r="F101"/>
      <c r="G101"/>
      <c r="H101"/>
      <c r="I101"/>
      <c r="J101"/>
      <c r="K101"/>
      <c r="L101"/>
      <c r="M101"/>
      <c r="N101"/>
      <c r="O101"/>
      <c r="P101"/>
      <c r="Q101">
        <f>SUM(E101:N101)</f>
        <v>0</v>
      </c>
    </row>
    <row r="102" spans="1:17" ht="12.75">
      <c r="A102">
        <f>A101+1</f>
        <v>19</v>
      </c>
      <c r="B102"/>
      <c r="C102" t="s">
        <v>83</v>
      </c>
      <c r="D102"/>
      <c r="E102">
        <v>0</v>
      </c>
      <c r="F102"/>
      <c r="G102"/>
      <c r="H102"/>
      <c r="I102"/>
      <c r="J102"/>
      <c r="K102"/>
      <c r="L102"/>
      <c r="M102"/>
      <c r="N102"/>
      <c r="O102"/>
      <c r="P102"/>
      <c r="Q102">
        <f>SUM(E102:N102)</f>
        <v>0</v>
      </c>
    </row>
    <row r="103" spans="1:17" ht="12.7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ht="12.75">
      <c r="A104">
        <f>A102+1</f>
        <v>20</v>
      </c>
      <c r="B104"/>
      <c r="C104" t="s">
        <v>84</v>
      </c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ht="12.75">
      <c r="A105"/>
      <c r="B105"/>
      <c r="C105" t="s">
        <v>85</v>
      </c>
      <c r="D105"/>
      <c r="E105">
        <f>SUM(E98:E104)</f>
        <v>13473575</v>
      </c>
      <c r="F105"/>
      <c r="G105"/>
      <c r="H105">
        <f>SUM(H98:H104)</f>
        <v>0</v>
      </c>
      <c r="I105"/>
      <c r="J105"/>
      <c r="K105">
        <f>SUM(K98:K104)</f>
        <v>0</v>
      </c>
      <c r="L105"/>
      <c r="M105"/>
      <c r="N105">
        <f>SUM(N98:N104)</f>
        <v>0</v>
      </c>
      <c r="O105"/>
      <c r="P105"/>
      <c r="Q105">
        <f>SUM(Q94:Q104)</f>
        <v>13473575</v>
      </c>
    </row>
    <row r="106" spans="1:17" ht="12.7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ht="12.7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ht="13.5" thickBot="1">
      <c r="A108">
        <f>A104+1</f>
        <v>21</v>
      </c>
      <c r="B108"/>
      <c r="C108" t="s">
        <v>86</v>
      </c>
      <c r="D108"/>
      <c r="E108">
        <f>+E105+E93</f>
        <v>33262825.440000001</v>
      </c>
      <c r="F108"/>
      <c r="G108"/>
      <c r="H108">
        <f>+H105+H93</f>
        <v>0</v>
      </c>
      <c r="I108"/>
      <c r="J108"/>
      <c r="K108">
        <f>+K105+K93</f>
        <v>-734160</v>
      </c>
      <c r="L108"/>
      <c r="M108"/>
      <c r="N108">
        <f>+N105+N93</f>
        <v>-77516</v>
      </c>
      <c r="O108"/>
      <c r="P108"/>
      <c r="Q108">
        <f>+Q105+Q93</f>
        <v>32451149.440000001</v>
      </c>
    </row>
    <row r="109" spans="1:17" ht="13.5" thickTop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ht="12.7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ht="13.5" thickBot="1">
      <c r="A111">
        <f>A108+1</f>
        <v>22</v>
      </c>
      <c r="B111"/>
      <c r="C111" t="s">
        <v>87</v>
      </c>
      <c r="D111"/>
      <c r="E111">
        <f>+E56-E108</f>
        <v>-3856168.4400000013</v>
      </c>
      <c r="F111"/>
      <c r="G111"/>
      <c r="H111">
        <f>+H56-H108</f>
        <v>0</v>
      </c>
      <c r="I111"/>
      <c r="J111"/>
      <c r="K111">
        <f>+K56-K108</f>
        <v>210987</v>
      </c>
      <c r="L111"/>
      <c r="M111"/>
      <c r="N111">
        <f>+N56-N108</f>
        <v>-546010.29</v>
      </c>
      <c r="O111"/>
      <c r="P111"/>
      <c r="Q111">
        <f>+Q56-Q108</f>
        <v>-4191191.7300000004</v>
      </c>
    </row>
    <row r="112" spans="1:17" ht="13.5" thickTop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ht="12.7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ht="13.5" thickBot="1">
      <c r="A114">
        <f>A111+1</f>
        <v>23</v>
      </c>
      <c r="B114"/>
      <c r="C114" t="s">
        <v>88</v>
      </c>
      <c r="D114"/>
      <c r="E114">
        <f>+E111</f>
        <v>-3856168.4400000013</v>
      </c>
      <c r="F114"/>
      <c r="G114"/>
      <c r="H114">
        <f>+H111</f>
        <v>0</v>
      </c>
      <c r="I114"/>
      <c r="J114"/>
      <c r="K114">
        <f>+K111</f>
        <v>210987</v>
      </c>
      <c r="L114"/>
      <c r="M114"/>
      <c r="N114">
        <f>+N111</f>
        <v>-546010.29</v>
      </c>
      <c r="O114"/>
      <c r="P114"/>
      <c r="Q114">
        <f>+Q111</f>
        <v>-4191191.7300000004</v>
      </c>
    </row>
    <row r="115" spans="1:17" ht="13.5" thickTop="1">
      <c r="A115"/>
      <c r="B115"/>
      <c r="C115" t="s">
        <v>89</v>
      </c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</sheetData>
  <phoneticPr fontId="0" type="noConversion"/>
  <printOptions horizontalCentered="1"/>
  <pageMargins left="0.75" right="0.75" top="1" bottom="1" header="0.5" footer="0.5"/>
  <pageSetup scale="64" fitToHeight="2" orientation="landscape" r:id="rId1"/>
  <headerFooter alignWithMargins="0"/>
  <legacyDrawing r:id="rId2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 A C T I V E ! 1 5 6 7 6 6 5 6 . 1 < / d o c u m e n t i d >  
     < s e n d e r i d > K E A B E T < / s e n d e r i d >  
     < s e n d e r e m a i l > B K E A T I N G @ G U N S T E R . C O M < / s e n d e r e m a i l >  
     < l a s t m o d i f i e d > 2 0 2 1 - 0 3 - 2 9 T 0 7 : 5 4 : 3 7 . 0 0 0 0 0 0 0 - 0 4 : 0 0 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INSTRUCTIONS</vt:lpstr>
      <vt:lpstr>Work_cap</vt:lpstr>
      <vt:lpstr>BS-13MO</vt:lpstr>
      <vt:lpstr>Report Summary</vt:lpstr>
      <vt:lpstr>Avg ROR</vt:lpstr>
      <vt:lpstr>NOI SCH 2 P 2</vt:lpstr>
      <vt:lpstr>Year End ROR</vt:lpstr>
      <vt:lpstr>Work Cap-Avg</vt:lpstr>
      <vt:lpstr>Work Cap-Yr End</vt:lpstr>
      <vt:lpstr>NOI SCH 3 P 2</vt:lpstr>
      <vt:lpstr>Capital Structure</vt:lpstr>
      <vt:lpstr>Rate Base Calc</vt:lpstr>
      <vt:lpstr>Rate Refund</vt:lpstr>
      <vt:lpstr>Comp Cost Rate of Debt</vt:lpstr>
      <vt:lpstr>'Avg ROR'!Print_Area</vt:lpstr>
      <vt:lpstr>'BS-13MO'!Print_Area</vt:lpstr>
      <vt:lpstr>'Capital Structure'!Print_Area</vt:lpstr>
      <vt:lpstr>'Comp Cost Rate of Debt'!Print_Area</vt:lpstr>
      <vt:lpstr>'Rate Base Calc'!Print_Area</vt:lpstr>
      <vt:lpstr>'Rate Refund'!Print_Area</vt:lpstr>
      <vt:lpstr>'Report Summary'!Print_Area</vt:lpstr>
      <vt:lpstr>'Work Cap-Avg'!Print_Area</vt:lpstr>
      <vt:lpstr>'Work Cap-Yr End'!Print_Area</vt:lpstr>
      <vt:lpstr>Work_cap!Print_Area</vt:lpstr>
      <vt:lpstr>'Year End ROR'!Print_Area</vt:lpstr>
      <vt:lpstr>Work_cap!Print_Titles</vt:lpstr>
    </vt:vector>
  </TitlesOfParts>
  <Company>CHPK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Bates</dc:creator>
  <cp:lastModifiedBy>Welch, Kathy</cp:lastModifiedBy>
  <cp:lastPrinted>2020-11-13T18:28:47Z</cp:lastPrinted>
  <dcterms:created xsi:type="dcterms:W3CDTF">2001-03-09T20:34:29Z</dcterms:created>
  <dcterms:modified xsi:type="dcterms:W3CDTF">2021-03-29T11:54:37Z</dcterms:modified>
</cp:coreProperties>
</file>