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Rate Proceedings\2022 Natural Gas\MFR Backup\G Schedules\G-2 NOI\G2-22 Common Depreciation\"/>
    </mc:Choice>
  </mc:AlternateContent>
  <bookViews>
    <workbookView xWindow="0" yWindow="0" windowWidth="19200" windowHeight="5250" tabRatio="813" firstSheet="5" activeTab="7"/>
  </bookViews>
  <sheets>
    <sheet name="working capital and def tax 21" sheetId="1" r:id="rId1"/>
    <sheet name="WC def tax 22" sheetId="6" r:id="rId2"/>
    <sheet name="WC def tax 23" sheetId="7" r:id="rId3"/>
    <sheet name="FC common plant 21" sheetId="3" r:id="rId4"/>
    <sheet name="FC Common pl 22" sheetId="8" r:id="rId5"/>
    <sheet name="FC common pl 23" sheetId="9" r:id="rId6"/>
    <sheet name="FC depreciation adjustment 21" sheetId="4" r:id="rId7"/>
    <sheet name="FC depreciation adjustment 22" sheetId="10" r:id="rId8"/>
    <sheet name="FC depreciation adjustment 23" sheetId="11" r:id="rId9"/>
    <sheet name="Corporate and Skipjack Alloc 21" sheetId="5" r:id="rId10"/>
    <sheet name="CU and Skipjack 22" sheetId="12" r:id="rId11"/>
    <sheet name="CU and Skipjack 23" sheetId="13" r:id="rId12"/>
    <sheet name="Allocation Factors 21" sheetId="14" r:id="rId13"/>
    <sheet name="Allocation Factors 22" sheetId="15" r:id="rId14"/>
    <sheet name="Allocation Factors 23" sheetId="16" r:id="rId15"/>
  </sheets>
  <externalReferences>
    <externalReference r:id="rId1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9" l="1"/>
  <c r="D94" i="9"/>
  <c r="D85" i="9"/>
  <c r="D76" i="9"/>
  <c r="D67" i="9"/>
  <c r="D58" i="9"/>
  <c r="V3" i="11"/>
  <c r="U3" i="11"/>
  <c r="T3" i="11"/>
  <c r="S3" i="11"/>
  <c r="R3" i="11"/>
  <c r="Q3" i="11"/>
  <c r="G4" i="16"/>
  <c r="F4" i="16"/>
  <c r="E4" i="16"/>
  <c r="D4" i="16"/>
  <c r="C4" i="16"/>
  <c r="B4" i="16"/>
  <c r="B8" i="11" l="1"/>
  <c r="B6" i="11"/>
  <c r="B7" i="11"/>
  <c r="B11" i="11"/>
  <c r="B12" i="11"/>
  <c r="B4" i="11"/>
  <c r="D7" i="10" l="1"/>
  <c r="D5" i="10"/>
  <c r="F4" i="10"/>
  <c r="G4" i="10" s="1"/>
  <c r="H4" i="10" s="1"/>
  <c r="I4" i="10" s="1"/>
  <c r="J4" i="10" s="1"/>
  <c r="K4" i="10" s="1"/>
  <c r="L4" i="10" s="1"/>
  <c r="M4" i="10" s="1"/>
  <c r="F6" i="10"/>
  <c r="G6" i="10" s="1"/>
  <c r="H6" i="10" s="1"/>
  <c r="I6" i="10" s="1"/>
  <c r="J6" i="10" s="1"/>
  <c r="K6" i="10" s="1"/>
  <c r="L6" i="10" s="1"/>
  <c r="M6" i="10" s="1"/>
  <c r="F8" i="10"/>
  <c r="G8" i="10" s="1"/>
  <c r="H8" i="10" s="1"/>
  <c r="I8" i="10" s="1"/>
  <c r="J8" i="10" s="1"/>
  <c r="K8" i="10" s="1"/>
  <c r="L8" i="10" s="1"/>
  <c r="M8" i="10" s="1"/>
  <c r="F9" i="10"/>
  <c r="G9" i="10" s="1"/>
  <c r="H9" i="10" s="1"/>
  <c r="I9" i="10" s="1"/>
  <c r="J9" i="10" s="1"/>
  <c r="K9" i="10" s="1"/>
  <c r="L9" i="10" s="1"/>
  <c r="M9" i="10" s="1"/>
  <c r="F10" i="10"/>
  <c r="G10" i="10" s="1"/>
  <c r="H10" i="10" s="1"/>
  <c r="I10" i="10" s="1"/>
  <c r="J10" i="10" s="1"/>
  <c r="K10" i="10" s="1"/>
  <c r="L10" i="10" s="1"/>
  <c r="M10" i="10" s="1"/>
  <c r="F11" i="10"/>
  <c r="G11" i="10" s="1"/>
  <c r="H11" i="10" s="1"/>
  <c r="I11" i="10" s="1"/>
  <c r="J11" i="10" s="1"/>
  <c r="K11" i="10" s="1"/>
  <c r="L11" i="10" s="1"/>
  <c r="M11" i="10" s="1"/>
  <c r="F12" i="10"/>
  <c r="G12" i="10" s="1"/>
  <c r="H12" i="10" s="1"/>
  <c r="I12" i="10" s="1"/>
  <c r="J12" i="10" s="1"/>
  <c r="K12" i="10" s="1"/>
  <c r="L12" i="10" s="1"/>
  <c r="M12" i="10" s="1"/>
  <c r="E5" i="10"/>
  <c r="F5" i="10" s="1"/>
  <c r="G5" i="10" s="1"/>
  <c r="H5" i="10" s="1"/>
  <c r="I5" i="10" s="1"/>
  <c r="J5" i="10" s="1"/>
  <c r="K5" i="10" s="1"/>
  <c r="L5" i="10" s="1"/>
  <c r="M5" i="10" s="1"/>
  <c r="E6" i="10"/>
  <c r="E7" i="10"/>
  <c r="F7" i="10" s="1"/>
  <c r="G7" i="10" s="1"/>
  <c r="H7" i="10" s="1"/>
  <c r="I7" i="10" s="1"/>
  <c r="J7" i="10" s="1"/>
  <c r="K7" i="10" s="1"/>
  <c r="L7" i="10" s="1"/>
  <c r="M7" i="10" s="1"/>
  <c r="E8" i="10"/>
  <c r="E9" i="10"/>
  <c r="E10" i="10"/>
  <c r="E11" i="10"/>
  <c r="E12" i="10"/>
  <c r="E4" i="10"/>
  <c r="D4" i="10"/>
  <c r="S18" i="8"/>
  <c r="R18" i="8"/>
  <c r="Q18" i="8"/>
  <c r="P18" i="8"/>
  <c r="O18" i="8"/>
  <c r="N18" i="8"/>
  <c r="M18" i="8"/>
  <c r="L18" i="8"/>
  <c r="K18" i="8"/>
  <c r="J18" i="8"/>
  <c r="S16" i="8"/>
  <c r="R16" i="8"/>
  <c r="Q16" i="8"/>
  <c r="P16" i="8"/>
  <c r="O16" i="8"/>
  <c r="N16" i="8"/>
  <c r="M16" i="8"/>
  <c r="L16" i="8"/>
  <c r="K16" i="8"/>
  <c r="J16" i="8"/>
  <c r="S15" i="8"/>
  <c r="R15" i="8"/>
  <c r="Q15" i="8"/>
  <c r="P15" i="8"/>
  <c r="O15" i="8"/>
  <c r="N15" i="8"/>
  <c r="M15" i="8"/>
  <c r="L15" i="8"/>
  <c r="K15" i="8"/>
  <c r="J15" i="8"/>
  <c r="I18" i="8"/>
  <c r="I16" i="8"/>
  <c r="I15" i="8"/>
  <c r="E169" i="7" l="1"/>
  <c r="F169" i="7"/>
  <c r="G169" i="7"/>
  <c r="H169" i="7"/>
  <c r="I169" i="7"/>
  <c r="J169" i="7"/>
  <c r="K169" i="7"/>
  <c r="L169" i="7"/>
  <c r="M169" i="7"/>
  <c r="N169" i="7"/>
  <c r="O169" i="7"/>
  <c r="E170" i="7"/>
  <c r="F170" i="7"/>
  <c r="G170" i="7"/>
  <c r="H170" i="7"/>
  <c r="I170" i="7"/>
  <c r="J170" i="7"/>
  <c r="K170" i="7"/>
  <c r="L170" i="7"/>
  <c r="M170" i="7"/>
  <c r="N170" i="7"/>
  <c r="O170" i="7"/>
  <c r="E171" i="7"/>
  <c r="F171" i="7"/>
  <c r="G171" i="7"/>
  <c r="H171" i="7"/>
  <c r="I171" i="7"/>
  <c r="J171" i="7"/>
  <c r="K171" i="7"/>
  <c r="L171" i="7"/>
  <c r="M171" i="7"/>
  <c r="N171" i="7"/>
  <c r="O171" i="7"/>
  <c r="E172" i="7"/>
  <c r="F172" i="7"/>
  <c r="G172" i="7"/>
  <c r="H172" i="7"/>
  <c r="I172" i="7"/>
  <c r="J172" i="7"/>
  <c r="K172" i="7"/>
  <c r="L172" i="7"/>
  <c r="M172" i="7"/>
  <c r="N172" i="7"/>
  <c r="O172" i="7"/>
  <c r="E173" i="7"/>
  <c r="F173" i="7"/>
  <c r="G173" i="7"/>
  <c r="H173" i="7"/>
  <c r="I173" i="7"/>
  <c r="J173" i="7"/>
  <c r="K173" i="7"/>
  <c r="L173" i="7"/>
  <c r="M173" i="7"/>
  <c r="N173" i="7"/>
  <c r="O173" i="7"/>
  <c r="E174" i="7"/>
  <c r="F174" i="7"/>
  <c r="G174" i="7"/>
  <c r="H174" i="7"/>
  <c r="I174" i="7"/>
  <c r="J174" i="7"/>
  <c r="K174" i="7"/>
  <c r="L174" i="7"/>
  <c r="M174" i="7"/>
  <c r="N174" i="7"/>
  <c r="O174" i="7"/>
  <c r="E175" i="7"/>
  <c r="F175" i="7"/>
  <c r="G175" i="7"/>
  <c r="H175" i="7"/>
  <c r="I175" i="7"/>
  <c r="J175" i="7"/>
  <c r="K175" i="7"/>
  <c r="L175" i="7"/>
  <c r="M175" i="7"/>
  <c r="N175" i="7"/>
  <c r="O175" i="7"/>
  <c r="E176" i="7"/>
  <c r="F176" i="7"/>
  <c r="G176" i="7"/>
  <c r="H176" i="7"/>
  <c r="I176" i="7"/>
  <c r="J176" i="7"/>
  <c r="K176" i="7"/>
  <c r="L176" i="7"/>
  <c r="M176" i="7"/>
  <c r="N176" i="7"/>
  <c r="O176" i="7"/>
  <c r="D170" i="7"/>
  <c r="D171" i="7"/>
  <c r="D172" i="7"/>
  <c r="D173" i="7"/>
  <c r="D174" i="7"/>
  <c r="D175" i="7"/>
  <c r="D176" i="7"/>
  <c r="D169" i="7"/>
  <c r="Q170" i="7"/>
  <c r="P170" i="7" s="1"/>
  <c r="Q171" i="7"/>
  <c r="P171" i="7" s="1"/>
  <c r="Q172" i="7"/>
  <c r="P172" i="7" s="1"/>
  <c r="Q173" i="7"/>
  <c r="P173" i="7" s="1"/>
  <c r="Q174" i="7"/>
  <c r="P174" i="7" s="1"/>
  <c r="Q175" i="7"/>
  <c r="P175" i="7" s="1"/>
  <c r="Q176" i="7"/>
  <c r="P176" i="7" s="1"/>
  <c r="P169" i="7"/>
  <c r="Q169" i="7"/>
  <c r="P99" i="6"/>
  <c r="Q99" i="6" s="1"/>
  <c r="D169" i="6"/>
  <c r="E169" i="6"/>
  <c r="F169" i="6"/>
  <c r="G169" i="6"/>
  <c r="H169" i="6"/>
  <c r="I169" i="6"/>
  <c r="J169" i="6"/>
  <c r="K169" i="6"/>
  <c r="L169" i="6"/>
  <c r="M169" i="6"/>
  <c r="N169" i="6"/>
  <c r="D170" i="6"/>
  <c r="E170" i="6"/>
  <c r="F170" i="6"/>
  <c r="G170" i="6"/>
  <c r="H170" i="6"/>
  <c r="I170" i="6"/>
  <c r="J170" i="6"/>
  <c r="K170" i="6"/>
  <c r="L170" i="6"/>
  <c r="M170" i="6"/>
  <c r="N170" i="6"/>
  <c r="D171" i="6"/>
  <c r="E171" i="6"/>
  <c r="F171" i="6"/>
  <c r="G171" i="6"/>
  <c r="H171" i="6"/>
  <c r="I171" i="6"/>
  <c r="J171" i="6"/>
  <c r="K171" i="6"/>
  <c r="L171" i="6"/>
  <c r="M171" i="6"/>
  <c r="N171" i="6"/>
  <c r="D172" i="6"/>
  <c r="E172" i="6"/>
  <c r="F172" i="6"/>
  <c r="G172" i="6"/>
  <c r="H172" i="6"/>
  <c r="I172" i="6"/>
  <c r="J172" i="6"/>
  <c r="K172" i="6"/>
  <c r="L172" i="6"/>
  <c r="M172" i="6"/>
  <c r="N172" i="6"/>
  <c r="D173" i="6"/>
  <c r="E173" i="6"/>
  <c r="F173" i="6"/>
  <c r="G173" i="6"/>
  <c r="H173" i="6"/>
  <c r="I173" i="6"/>
  <c r="J173" i="6"/>
  <c r="K173" i="6"/>
  <c r="L173" i="6"/>
  <c r="M173" i="6"/>
  <c r="N173" i="6"/>
  <c r="D174" i="6"/>
  <c r="E174" i="6"/>
  <c r="F174" i="6"/>
  <c r="G174" i="6"/>
  <c r="H174" i="6"/>
  <c r="I174" i="6"/>
  <c r="J174" i="6"/>
  <c r="K174" i="6"/>
  <c r="L174" i="6"/>
  <c r="M174" i="6"/>
  <c r="N174" i="6"/>
  <c r="D175" i="6"/>
  <c r="E175" i="6"/>
  <c r="F175" i="6"/>
  <c r="G175" i="6"/>
  <c r="H175" i="6"/>
  <c r="I175" i="6"/>
  <c r="J175" i="6"/>
  <c r="K175" i="6"/>
  <c r="L175" i="6"/>
  <c r="M175" i="6"/>
  <c r="N175" i="6"/>
  <c r="D176" i="6"/>
  <c r="E176" i="6"/>
  <c r="F176" i="6"/>
  <c r="G176" i="6"/>
  <c r="H176" i="6"/>
  <c r="I176" i="6"/>
  <c r="J176" i="6"/>
  <c r="K176" i="6"/>
  <c r="L176" i="6"/>
  <c r="M176" i="6"/>
  <c r="N176" i="6"/>
  <c r="O170" i="6"/>
  <c r="O171" i="6"/>
  <c r="O172" i="6"/>
  <c r="O173" i="6"/>
  <c r="O174" i="6"/>
  <c r="O175" i="6"/>
  <c r="O176" i="6"/>
  <c r="O169" i="6"/>
  <c r="P170" i="6"/>
  <c r="P171" i="6"/>
  <c r="P172" i="6"/>
  <c r="P173" i="6"/>
  <c r="P174" i="6"/>
  <c r="P175" i="6"/>
  <c r="P176" i="6"/>
  <c r="P169" i="6"/>
  <c r="Q170" i="6"/>
  <c r="Q171" i="6"/>
  <c r="Q172" i="6"/>
  <c r="Q173" i="6"/>
  <c r="Q174" i="6"/>
  <c r="Q175" i="6"/>
  <c r="Q176" i="6"/>
  <c r="Q169" i="6"/>
  <c r="D252" i="7"/>
  <c r="E252" i="7"/>
  <c r="F252" i="7"/>
  <c r="G252" i="7"/>
  <c r="H252" i="7"/>
  <c r="I252" i="7"/>
  <c r="J252" i="7"/>
  <c r="K252" i="7"/>
  <c r="L252" i="7"/>
  <c r="M252" i="7"/>
  <c r="N252" i="7"/>
  <c r="O252" i="7"/>
  <c r="C252" i="7"/>
  <c r="E252" i="6"/>
  <c r="F252" i="6"/>
  <c r="G252" i="6"/>
  <c r="H252" i="6"/>
  <c r="I252" i="6"/>
  <c r="J252" i="6"/>
  <c r="K252" i="6"/>
  <c r="L252" i="6"/>
  <c r="M252" i="6"/>
  <c r="N252" i="6"/>
  <c r="O252" i="6"/>
  <c r="D252" i="6"/>
  <c r="E246" i="6"/>
  <c r="F246" i="6" s="1"/>
  <c r="G246" i="6" s="1"/>
  <c r="H246" i="6" s="1"/>
  <c r="I246" i="6" s="1"/>
  <c r="J246" i="6" s="1"/>
  <c r="K246" i="6" s="1"/>
  <c r="L246" i="6" s="1"/>
  <c r="M246" i="6" s="1"/>
  <c r="N246" i="6" s="1"/>
  <c r="O246" i="6" s="1"/>
  <c r="D246" i="6"/>
  <c r="E244" i="6"/>
  <c r="F244" i="6" s="1"/>
  <c r="G244" i="6" s="1"/>
  <c r="H244" i="6" s="1"/>
  <c r="I244" i="6" s="1"/>
  <c r="J244" i="6" s="1"/>
  <c r="K244" i="6" s="1"/>
  <c r="L244" i="6" s="1"/>
  <c r="M244" i="6" s="1"/>
  <c r="N244" i="6" s="1"/>
  <c r="O244" i="6" s="1"/>
  <c r="D244" i="6"/>
  <c r="D205" i="7"/>
  <c r="D74" i="7"/>
  <c r="E74" i="7"/>
  <c r="F74" i="7"/>
  <c r="G74" i="7"/>
  <c r="H74" i="7"/>
  <c r="I74" i="7"/>
  <c r="J74" i="7"/>
  <c r="K74" i="7"/>
  <c r="L74" i="7"/>
  <c r="M74" i="7"/>
  <c r="N74" i="7"/>
  <c r="O74" i="7"/>
  <c r="Q74" i="7"/>
  <c r="D74" i="6"/>
  <c r="E74" i="6"/>
  <c r="F74" i="6"/>
  <c r="G74" i="6"/>
  <c r="H74" i="6"/>
  <c r="I74" i="6"/>
  <c r="J74" i="6"/>
  <c r="K74" i="6"/>
  <c r="L74" i="6"/>
  <c r="M74" i="6"/>
  <c r="N74" i="6"/>
  <c r="O74" i="6"/>
  <c r="R79" i="6"/>
  <c r="Q73" i="6"/>
  <c r="Q74" i="6"/>
  <c r="Q75" i="6"/>
  <c r="Q76" i="6"/>
  <c r="Q77" i="6"/>
  <c r="Y205" i="6" l="1"/>
  <c r="AG205" i="6"/>
  <c r="AH205" i="6"/>
  <c r="AC205" i="6"/>
  <c r="AD205" i="6"/>
  <c r="AE205" i="6"/>
  <c r="AF205" i="6"/>
  <c r="AB205" i="6"/>
  <c r="U205" i="6"/>
  <c r="V205" i="6"/>
  <c r="W205" i="6"/>
  <c r="X205" i="6"/>
  <c r="T205" i="6"/>
  <c r="P77" i="1"/>
  <c r="P96" i="7" l="1"/>
  <c r="P97" i="7"/>
  <c r="P98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2" i="7"/>
  <c r="P113" i="7"/>
  <c r="P114" i="7"/>
  <c r="P115" i="7"/>
  <c r="P116" i="7"/>
  <c r="P117" i="7"/>
  <c r="P118" i="7"/>
  <c r="P119" i="7"/>
  <c r="P120" i="7"/>
  <c r="P121" i="7"/>
  <c r="P122" i="7"/>
  <c r="P123" i="7"/>
  <c r="P124" i="7"/>
  <c r="P125" i="7"/>
  <c r="P126" i="7"/>
  <c r="P127" i="7"/>
  <c r="P128" i="7"/>
  <c r="P129" i="7"/>
  <c r="AC204" i="1" l="1"/>
  <c r="AD204" i="1"/>
  <c r="AE204" i="1"/>
  <c r="AF204" i="1"/>
  <c r="AG204" i="1"/>
  <c r="AB204" i="1"/>
  <c r="U204" i="1"/>
  <c r="V204" i="1"/>
  <c r="W204" i="1"/>
  <c r="X204" i="1"/>
  <c r="Y204" i="1"/>
  <c r="T204" i="1"/>
  <c r="E245" i="7" l="1"/>
  <c r="F245" i="7" s="1"/>
  <c r="G245" i="7" s="1"/>
  <c r="H245" i="7" s="1"/>
  <c r="I245" i="7" s="1"/>
  <c r="J245" i="7" s="1"/>
  <c r="K245" i="7" s="1"/>
  <c r="L245" i="7" s="1"/>
  <c r="M245" i="7" s="1"/>
  <c r="N245" i="7" s="1"/>
  <c r="O245" i="7" s="1"/>
  <c r="E247" i="7"/>
  <c r="F247" i="7"/>
  <c r="G247" i="7"/>
  <c r="H247" i="7" s="1"/>
  <c r="I247" i="7" s="1"/>
  <c r="J247" i="7" s="1"/>
  <c r="K247" i="7" s="1"/>
  <c r="L247" i="7" s="1"/>
  <c r="M247" i="7" s="1"/>
  <c r="N247" i="7" s="1"/>
  <c r="O247" i="7" s="1"/>
  <c r="E248" i="7"/>
  <c r="F248" i="7" s="1"/>
  <c r="G248" i="7" s="1"/>
  <c r="H248" i="7" s="1"/>
  <c r="I248" i="7" s="1"/>
  <c r="J248" i="7" s="1"/>
  <c r="K248" i="7" s="1"/>
  <c r="L248" i="7" s="1"/>
  <c r="M248" i="7" s="1"/>
  <c r="N248" i="7" s="1"/>
  <c r="O248" i="7" s="1"/>
  <c r="E249" i="7"/>
  <c r="F249" i="7" s="1"/>
  <c r="G249" i="7" s="1"/>
  <c r="H249" i="7" s="1"/>
  <c r="I249" i="7" s="1"/>
  <c r="J249" i="7" s="1"/>
  <c r="K249" i="7" s="1"/>
  <c r="L249" i="7" s="1"/>
  <c r="M249" i="7" s="1"/>
  <c r="N249" i="7" s="1"/>
  <c r="O249" i="7" s="1"/>
  <c r="D245" i="7"/>
  <c r="D247" i="7"/>
  <c r="D248" i="7"/>
  <c r="D249" i="7"/>
  <c r="D210" i="7"/>
  <c r="E210" i="7" s="1"/>
  <c r="F210" i="7" s="1"/>
  <c r="G210" i="7" s="1"/>
  <c r="H210" i="7" s="1"/>
  <c r="I210" i="7" s="1"/>
  <c r="J210" i="7" s="1"/>
  <c r="K210" i="7" s="1"/>
  <c r="L210" i="7" s="1"/>
  <c r="M210" i="7" s="1"/>
  <c r="N210" i="7" s="1"/>
  <c r="O210" i="7" s="1"/>
  <c r="D209" i="7"/>
  <c r="E209" i="7" s="1"/>
  <c r="F209" i="7" s="1"/>
  <c r="G209" i="7" s="1"/>
  <c r="H209" i="7" s="1"/>
  <c r="I209" i="7" s="1"/>
  <c r="J209" i="7" s="1"/>
  <c r="K209" i="7" s="1"/>
  <c r="L209" i="7" s="1"/>
  <c r="M209" i="7" s="1"/>
  <c r="N209" i="7" s="1"/>
  <c r="O209" i="7" s="1"/>
  <c r="D208" i="7"/>
  <c r="E208" i="7" s="1"/>
  <c r="F208" i="7" s="1"/>
  <c r="G208" i="7" s="1"/>
  <c r="H208" i="7" s="1"/>
  <c r="I208" i="7" s="1"/>
  <c r="J208" i="7" s="1"/>
  <c r="K208" i="7" s="1"/>
  <c r="L208" i="7" s="1"/>
  <c r="M208" i="7" s="1"/>
  <c r="N208" i="7" s="1"/>
  <c r="O208" i="7" s="1"/>
  <c r="D207" i="7"/>
  <c r="E207" i="7" s="1"/>
  <c r="F207" i="7" s="1"/>
  <c r="G207" i="7" s="1"/>
  <c r="H207" i="7" s="1"/>
  <c r="I207" i="7" s="1"/>
  <c r="J207" i="7" s="1"/>
  <c r="K207" i="7" s="1"/>
  <c r="L207" i="7" s="1"/>
  <c r="M207" i="7" s="1"/>
  <c r="N207" i="7" s="1"/>
  <c r="O207" i="7" s="1"/>
  <c r="E205" i="7"/>
  <c r="F205" i="7" s="1"/>
  <c r="G205" i="7" s="1"/>
  <c r="H205" i="7" s="1"/>
  <c r="I205" i="7" s="1"/>
  <c r="J205" i="7" s="1"/>
  <c r="K205" i="7" s="1"/>
  <c r="L205" i="7" s="1"/>
  <c r="M205" i="7" s="1"/>
  <c r="N205" i="7" s="1"/>
  <c r="O205" i="7" s="1"/>
  <c r="E197" i="7"/>
  <c r="F197" i="7" s="1"/>
  <c r="G197" i="7" s="1"/>
  <c r="H197" i="7" s="1"/>
  <c r="I197" i="7" s="1"/>
  <c r="J197" i="7" s="1"/>
  <c r="K197" i="7" s="1"/>
  <c r="L197" i="7" s="1"/>
  <c r="M197" i="7" s="1"/>
  <c r="N197" i="7" s="1"/>
  <c r="O197" i="7" s="1"/>
  <c r="E198" i="7"/>
  <c r="F198" i="7" s="1"/>
  <c r="G198" i="7" s="1"/>
  <c r="H198" i="7" s="1"/>
  <c r="I198" i="7" s="1"/>
  <c r="J198" i="7" s="1"/>
  <c r="K198" i="7" s="1"/>
  <c r="L198" i="7" s="1"/>
  <c r="M198" i="7" s="1"/>
  <c r="N198" i="7" s="1"/>
  <c r="O198" i="7" s="1"/>
  <c r="E199" i="7"/>
  <c r="F199" i="7"/>
  <c r="G199" i="7" s="1"/>
  <c r="H199" i="7" s="1"/>
  <c r="I199" i="7" s="1"/>
  <c r="J199" i="7" s="1"/>
  <c r="K199" i="7" s="1"/>
  <c r="L199" i="7" s="1"/>
  <c r="M199" i="7" s="1"/>
  <c r="N199" i="7" s="1"/>
  <c r="O199" i="7" s="1"/>
  <c r="E200" i="7"/>
  <c r="F200" i="7"/>
  <c r="G200" i="7"/>
  <c r="H200" i="7" s="1"/>
  <c r="I200" i="7" s="1"/>
  <c r="J200" i="7" s="1"/>
  <c r="K200" i="7" s="1"/>
  <c r="L200" i="7" s="1"/>
  <c r="M200" i="7" s="1"/>
  <c r="N200" i="7" s="1"/>
  <c r="O200" i="7" s="1"/>
  <c r="D198" i="7"/>
  <c r="D199" i="7"/>
  <c r="D200" i="7"/>
  <c r="D197" i="7"/>
  <c r="E95" i="7"/>
  <c r="F95" i="7" s="1"/>
  <c r="G95" i="7" s="1"/>
  <c r="H95" i="7"/>
  <c r="I95" i="7" s="1"/>
  <c r="J95" i="7" s="1"/>
  <c r="K95" i="7" s="1"/>
  <c r="L95" i="7"/>
  <c r="M95" i="7" s="1"/>
  <c r="N95" i="7" s="1"/>
  <c r="O95" i="7" s="1"/>
  <c r="E96" i="7"/>
  <c r="F96" i="7" s="1"/>
  <c r="G96" i="7" s="1"/>
  <c r="H96" i="7" s="1"/>
  <c r="I96" i="7" s="1"/>
  <c r="J96" i="7" s="1"/>
  <c r="K96" i="7" s="1"/>
  <c r="L96" i="7" s="1"/>
  <c r="M96" i="7" s="1"/>
  <c r="N96" i="7" s="1"/>
  <c r="O96" i="7" s="1"/>
  <c r="E97" i="7"/>
  <c r="F97" i="7"/>
  <c r="G97" i="7" s="1"/>
  <c r="H97" i="7" s="1"/>
  <c r="I97" i="7" s="1"/>
  <c r="J97" i="7" s="1"/>
  <c r="K97" i="7" s="1"/>
  <c r="L97" i="7" s="1"/>
  <c r="M97" i="7" s="1"/>
  <c r="N97" i="7" s="1"/>
  <c r="O97" i="7" s="1"/>
  <c r="E98" i="7"/>
  <c r="F98" i="7"/>
  <c r="G98" i="7"/>
  <c r="H98" i="7" s="1"/>
  <c r="I98" i="7" s="1"/>
  <c r="J98" i="7" s="1"/>
  <c r="K98" i="7"/>
  <c r="L98" i="7" s="1"/>
  <c r="M98" i="7" s="1"/>
  <c r="N98" i="7" s="1"/>
  <c r="O98" i="7" s="1"/>
  <c r="E100" i="7"/>
  <c r="F100" i="7" s="1"/>
  <c r="G100" i="7" s="1"/>
  <c r="H100" i="7" s="1"/>
  <c r="I100" i="7"/>
  <c r="J100" i="7" s="1"/>
  <c r="K100" i="7" s="1"/>
  <c r="L100" i="7" s="1"/>
  <c r="M100" i="7" s="1"/>
  <c r="N100" i="7" s="1"/>
  <c r="O100" i="7" s="1"/>
  <c r="E101" i="7"/>
  <c r="F101" i="7"/>
  <c r="G101" i="7" s="1"/>
  <c r="H101" i="7" s="1"/>
  <c r="I101" i="7" s="1"/>
  <c r="J101" i="7"/>
  <c r="K101" i="7" s="1"/>
  <c r="L101" i="7" s="1"/>
  <c r="M101" i="7" s="1"/>
  <c r="N101" i="7" s="1"/>
  <c r="O101" i="7" s="1"/>
  <c r="E102" i="7"/>
  <c r="F102" i="7"/>
  <c r="G102" i="7"/>
  <c r="H102" i="7" s="1"/>
  <c r="I102" i="7" s="1"/>
  <c r="J102" i="7" s="1"/>
  <c r="K102" i="7" s="1"/>
  <c r="L102" i="7" s="1"/>
  <c r="M102" i="7" s="1"/>
  <c r="N102" i="7" s="1"/>
  <c r="O102" i="7" s="1"/>
  <c r="E103" i="7"/>
  <c r="F103" i="7" s="1"/>
  <c r="G103" i="7" s="1"/>
  <c r="H103" i="7"/>
  <c r="I103" i="7" s="1"/>
  <c r="J103" i="7" s="1"/>
  <c r="K103" i="7" s="1"/>
  <c r="L103" i="7" s="1"/>
  <c r="M103" i="7" s="1"/>
  <c r="N103" i="7" s="1"/>
  <c r="O103" i="7" s="1"/>
  <c r="E104" i="7"/>
  <c r="F104" i="7" s="1"/>
  <c r="G104" i="7" s="1"/>
  <c r="H104" i="7" s="1"/>
  <c r="I104" i="7"/>
  <c r="J104" i="7" s="1"/>
  <c r="K104" i="7" s="1"/>
  <c r="L104" i="7" s="1"/>
  <c r="M104" i="7"/>
  <c r="N104" i="7" s="1"/>
  <c r="O104" i="7" s="1"/>
  <c r="E105" i="7"/>
  <c r="F105" i="7"/>
  <c r="G105" i="7" s="1"/>
  <c r="H105" i="7" s="1"/>
  <c r="I105" i="7" s="1"/>
  <c r="J105" i="7"/>
  <c r="K105" i="7" s="1"/>
  <c r="L105" i="7" s="1"/>
  <c r="M105" i="7" s="1"/>
  <c r="N105" i="7"/>
  <c r="O105" i="7" s="1"/>
  <c r="E106" i="7"/>
  <c r="F106" i="7" s="1"/>
  <c r="G106" i="7"/>
  <c r="H106" i="7" s="1"/>
  <c r="I106" i="7" s="1"/>
  <c r="J106" i="7" s="1"/>
  <c r="K106" i="7"/>
  <c r="L106" i="7" s="1"/>
  <c r="M106" i="7" s="1"/>
  <c r="N106" i="7" s="1"/>
  <c r="O106" i="7"/>
  <c r="E107" i="7"/>
  <c r="F107" i="7" s="1"/>
  <c r="G107" i="7" s="1"/>
  <c r="H107" i="7"/>
  <c r="I107" i="7" s="1"/>
  <c r="J107" i="7" s="1"/>
  <c r="K107" i="7" s="1"/>
  <c r="L107" i="7"/>
  <c r="M107" i="7" s="1"/>
  <c r="N107" i="7" s="1"/>
  <c r="O107" i="7" s="1"/>
  <c r="E108" i="7"/>
  <c r="F108" i="7" s="1"/>
  <c r="G108" i="7" s="1"/>
  <c r="H108" i="7" s="1"/>
  <c r="I108" i="7" s="1"/>
  <c r="J108" i="7" s="1"/>
  <c r="K108" i="7" s="1"/>
  <c r="L108" i="7" s="1"/>
  <c r="M108" i="7" s="1"/>
  <c r="N108" i="7" s="1"/>
  <c r="O108" i="7" s="1"/>
  <c r="E109" i="7"/>
  <c r="F109" i="7"/>
  <c r="G109" i="7" s="1"/>
  <c r="H109" i="7" s="1"/>
  <c r="I109" i="7" s="1"/>
  <c r="J109" i="7" s="1"/>
  <c r="K109" i="7" s="1"/>
  <c r="L109" i="7" s="1"/>
  <c r="M109" i="7" s="1"/>
  <c r="N109" i="7" s="1"/>
  <c r="O109" i="7" s="1"/>
  <c r="E110" i="7"/>
  <c r="F110" i="7" s="1"/>
  <c r="G110" i="7"/>
  <c r="H110" i="7" s="1"/>
  <c r="I110" i="7" s="1"/>
  <c r="J110" i="7" s="1"/>
  <c r="K110" i="7" s="1"/>
  <c r="L110" i="7" s="1"/>
  <c r="M110" i="7" s="1"/>
  <c r="N110" i="7" s="1"/>
  <c r="O110" i="7" s="1"/>
  <c r="E111" i="7"/>
  <c r="F111" i="7" s="1"/>
  <c r="G111" i="7" s="1"/>
  <c r="H111" i="7"/>
  <c r="I111" i="7" s="1"/>
  <c r="J111" i="7" s="1"/>
  <c r="K111" i="7" s="1"/>
  <c r="L111" i="7" s="1"/>
  <c r="M111" i="7" s="1"/>
  <c r="N111" i="7" s="1"/>
  <c r="O111" i="7" s="1"/>
  <c r="E112" i="7"/>
  <c r="F112" i="7" s="1"/>
  <c r="G112" i="7" s="1"/>
  <c r="H112" i="7" s="1"/>
  <c r="I112" i="7"/>
  <c r="J112" i="7" s="1"/>
  <c r="K112" i="7" s="1"/>
  <c r="L112" i="7" s="1"/>
  <c r="M112" i="7"/>
  <c r="N112" i="7" s="1"/>
  <c r="O112" i="7" s="1"/>
  <c r="E113" i="7"/>
  <c r="F113" i="7"/>
  <c r="G113" i="7" s="1"/>
  <c r="H113" i="7" s="1"/>
  <c r="I113" i="7" s="1"/>
  <c r="J113" i="7"/>
  <c r="K113" i="7" s="1"/>
  <c r="L113" i="7" s="1"/>
  <c r="M113" i="7" s="1"/>
  <c r="N113" i="7"/>
  <c r="O113" i="7" s="1"/>
  <c r="E114" i="7"/>
  <c r="F114" i="7"/>
  <c r="G114" i="7"/>
  <c r="H114" i="7" s="1"/>
  <c r="I114" i="7" s="1"/>
  <c r="J114" i="7" s="1"/>
  <c r="K114" i="7"/>
  <c r="L114" i="7" s="1"/>
  <c r="M114" i="7" s="1"/>
  <c r="N114" i="7" s="1"/>
  <c r="O114" i="7" s="1"/>
  <c r="E115" i="7"/>
  <c r="F115" i="7" s="1"/>
  <c r="G115" i="7" s="1"/>
  <c r="H115" i="7"/>
  <c r="I115" i="7" s="1"/>
  <c r="J115" i="7" s="1"/>
  <c r="K115" i="7" s="1"/>
  <c r="L115" i="7"/>
  <c r="M115" i="7" s="1"/>
  <c r="N115" i="7" s="1"/>
  <c r="O115" i="7" s="1"/>
  <c r="E116" i="7"/>
  <c r="F116" i="7" s="1"/>
  <c r="G116" i="7" s="1"/>
  <c r="H116" i="7" s="1"/>
  <c r="I116" i="7"/>
  <c r="J116" i="7" s="1"/>
  <c r="K116" i="7" s="1"/>
  <c r="L116" i="7" s="1"/>
  <c r="M116" i="7"/>
  <c r="N116" i="7" s="1"/>
  <c r="O116" i="7" s="1"/>
  <c r="E117" i="7"/>
  <c r="F117" i="7"/>
  <c r="G117" i="7" s="1"/>
  <c r="H117" i="7" s="1"/>
  <c r="I117" i="7" s="1"/>
  <c r="J117" i="7"/>
  <c r="K117" i="7" s="1"/>
  <c r="L117" i="7" s="1"/>
  <c r="M117" i="7" s="1"/>
  <c r="N117" i="7"/>
  <c r="O117" i="7" s="1"/>
  <c r="E118" i="7"/>
  <c r="F118" i="7"/>
  <c r="G118" i="7"/>
  <c r="H118" i="7" s="1"/>
  <c r="I118" i="7" s="1"/>
  <c r="J118" i="7" s="1"/>
  <c r="K118" i="7"/>
  <c r="L118" i="7" s="1"/>
  <c r="M118" i="7" s="1"/>
  <c r="N118" i="7" s="1"/>
  <c r="O118" i="7"/>
  <c r="E119" i="7"/>
  <c r="F119" i="7" s="1"/>
  <c r="G119" i="7" s="1"/>
  <c r="H119" i="7"/>
  <c r="I119" i="7" s="1"/>
  <c r="J119" i="7" s="1"/>
  <c r="K119" i="7" s="1"/>
  <c r="L119" i="7"/>
  <c r="M119" i="7" s="1"/>
  <c r="N119" i="7" s="1"/>
  <c r="O119" i="7" s="1"/>
  <c r="E120" i="7"/>
  <c r="F120" i="7" s="1"/>
  <c r="G120" i="7" s="1"/>
  <c r="H120" i="7" s="1"/>
  <c r="I120" i="7" s="1"/>
  <c r="J120" i="7" s="1"/>
  <c r="K120" i="7" s="1"/>
  <c r="L120" i="7" s="1"/>
  <c r="M120" i="7" s="1"/>
  <c r="N120" i="7" s="1"/>
  <c r="O120" i="7" s="1"/>
  <c r="E121" i="7"/>
  <c r="F121" i="7"/>
  <c r="G121" i="7" s="1"/>
  <c r="H121" i="7" s="1"/>
  <c r="I121" i="7" s="1"/>
  <c r="J121" i="7" s="1"/>
  <c r="K121" i="7" s="1"/>
  <c r="L121" i="7" s="1"/>
  <c r="M121" i="7" s="1"/>
  <c r="N121" i="7" s="1"/>
  <c r="O121" i="7" s="1"/>
  <c r="E122" i="7"/>
  <c r="F122" i="7" s="1"/>
  <c r="G122" i="7"/>
  <c r="H122" i="7" s="1"/>
  <c r="I122" i="7" s="1"/>
  <c r="J122" i="7" s="1"/>
  <c r="K122" i="7" s="1"/>
  <c r="L122" i="7" s="1"/>
  <c r="M122" i="7" s="1"/>
  <c r="N122" i="7" s="1"/>
  <c r="O122" i="7" s="1"/>
  <c r="E123" i="7"/>
  <c r="F123" i="7"/>
  <c r="G123" i="7" s="1"/>
  <c r="H123" i="7" s="1"/>
  <c r="I123" i="7" s="1"/>
  <c r="J123" i="7" s="1"/>
  <c r="K123" i="7" s="1"/>
  <c r="L123" i="7" s="1"/>
  <c r="M123" i="7" s="1"/>
  <c r="N123" i="7" s="1"/>
  <c r="O123" i="7" s="1"/>
  <c r="E124" i="7"/>
  <c r="F124" i="7" s="1"/>
  <c r="G124" i="7" s="1"/>
  <c r="H124" i="7" s="1"/>
  <c r="I124" i="7"/>
  <c r="J124" i="7" s="1"/>
  <c r="K124" i="7" s="1"/>
  <c r="L124" i="7" s="1"/>
  <c r="M124" i="7" s="1"/>
  <c r="N124" i="7" s="1"/>
  <c r="O124" i="7" s="1"/>
  <c r="E125" i="7"/>
  <c r="F125" i="7"/>
  <c r="G125" i="7" s="1"/>
  <c r="H125" i="7" s="1"/>
  <c r="I125" i="7" s="1"/>
  <c r="J125" i="7"/>
  <c r="K125" i="7" s="1"/>
  <c r="L125" i="7" s="1"/>
  <c r="M125" i="7" s="1"/>
  <c r="N125" i="7" s="1"/>
  <c r="O125" i="7" s="1"/>
  <c r="E126" i="7"/>
  <c r="F126" i="7" s="1"/>
  <c r="G126" i="7"/>
  <c r="H126" i="7" s="1"/>
  <c r="I126" i="7" s="1"/>
  <c r="J126" i="7" s="1"/>
  <c r="K126" i="7"/>
  <c r="L126" i="7" s="1"/>
  <c r="M126" i="7" s="1"/>
  <c r="N126" i="7" s="1"/>
  <c r="O126" i="7" s="1"/>
  <c r="E127" i="7"/>
  <c r="F127" i="7" s="1"/>
  <c r="G127" i="7" s="1"/>
  <c r="H127" i="7"/>
  <c r="I127" i="7" s="1"/>
  <c r="J127" i="7" s="1"/>
  <c r="K127" i="7" s="1"/>
  <c r="L127" i="7"/>
  <c r="M127" i="7" s="1"/>
  <c r="N127" i="7" s="1"/>
  <c r="O127" i="7" s="1"/>
  <c r="E128" i="7"/>
  <c r="F128" i="7" s="1"/>
  <c r="G128" i="7" s="1"/>
  <c r="H128" i="7" s="1"/>
  <c r="I128" i="7"/>
  <c r="J128" i="7" s="1"/>
  <c r="K128" i="7" s="1"/>
  <c r="L128" i="7" s="1"/>
  <c r="M128" i="7"/>
  <c r="N128" i="7" s="1"/>
  <c r="O128" i="7" s="1"/>
  <c r="E129" i="7"/>
  <c r="F129" i="7"/>
  <c r="G129" i="7"/>
  <c r="H129" i="7"/>
  <c r="I129" i="7"/>
  <c r="J129" i="7" s="1"/>
  <c r="K129" i="7" s="1"/>
  <c r="L129" i="7" s="1"/>
  <c r="M129" i="7" s="1"/>
  <c r="N129" i="7" s="1"/>
  <c r="O129" i="7" s="1"/>
  <c r="D96" i="7"/>
  <c r="D97" i="7"/>
  <c r="D98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95" i="7"/>
  <c r="E261" i="7"/>
  <c r="F261" i="7" s="1"/>
  <c r="G261" i="7" s="1"/>
  <c r="H261" i="7" s="1"/>
  <c r="I261" i="7" s="1"/>
  <c r="J261" i="7" s="1"/>
  <c r="K261" i="7" s="1"/>
  <c r="L261" i="7" s="1"/>
  <c r="M261" i="7" s="1"/>
  <c r="N261" i="7" s="1"/>
  <c r="O261" i="7" s="1"/>
  <c r="E262" i="7"/>
  <c r="F262" i="7" s="1"/>
  <c r="G262" i="7" s="1"/>
  <c r="H262" i="7" s="1"/>
  <c r="I262" i="7" s="1"/>
  <c r="J262" i="7" s="1"/>
  <c r="K262" i="7" s="1"/>
  <c r="L262" i="7" s="1"/>
  <c r="M262" i="7" s="1"/>
  <c r="N262" i="7" s="1"/>
  <c r="O262" i="7" s="1"/>
  <c r="E263" i="7"/>
  <c r="F263" i="7"/>
  <c r="G263" i="7" s="1"/>
  <c r="H263" i="7" s="1"/>
  <c r="I263" i="7" s="1"/>
  <c r="J263" i="7" s="1"/>
  <c r="K263" i="7" s="1"/>
  <c r="L263" i="7" s="1"/>
  <c r="M263" i="7" s="1"/>
  <c r="N263" i="7" s="1"/>
  <c r="O263" i="7" s="1"/>
  <c r="D262" i="7"/>
  <c r="D263" i="7"/>
  <c r="D261" i="7"/>
  <c r="D192" i="7"/>
  <c r="E192" i="7" s="1"/>
  <c r="F192" i="7" s="1"/>
  <c r="G192" i="7" s="1"/>
  <c r="H192" i="7" s="1"/>
  <c r="I192" i="7" s="1"/>
  <c r="J192" i="7" s="1"/>
  <c r="K192" i="7" s="1"/>
  <c r="L192" i="7" s="1"/>
  <c r="M192" i="7" s="1"/>
  <c r="N192" i="7" s="1"/>
  <c r="O192" i="7" s="1"/>
  <c r="D191" i="7"/>
  <c r="E191" i="7" s="1"/>
  <c r="F191" i="7" s="1"/>
  <c r="G191" i="7" s="1"/>
  <c r="H191" i="7" s="1"/>
  <c r="I191" i="7" s="1"/>
  <c r="J191" i="7" s="1"/>
  <c r="K191" i="7" s="1"/>
  <c r="L191" i="7" s="1"/>
  <c r="M191" i="7" s="1"/>
  <c r="N191" i="7" s="1"/>
  <c r="O191" i="7" s="1"/>
  <c r="D190" i="7"/>
  <c r="E190" i="7" s="1"/>
  <c r="F190" i="7" s="1"/>
  <c r="G190" i="7" s="1"/>
  <c r="H190" i="7" s="1"/>
  <c r="I190" i="7" s="1"/>
  <c r="J190" i="7" s="1"/>
  <c r="K190" i="7" s="1"/>
  <c r="L190" i="7" s="1"/>
  <c r="M190" i="7" s="1"/>
  <c r="N190" i="7" s="1"/>
  <c r="O190" i="7" s="1"/>
  <c r="D189" i="7"/>
  <c r="E189" i="7" s="1"/>
  <c r="F189" i="7" s="1"/>
  <c r="G189" i="7" s="1"/>
  <c r="H189" i="7" s="1"/>
  <c r="I189" i="7" s="1"/>
  <c r="J189" i="7" s="1"/>
  <c r="K189" i="7" s="1"/>
  <c r="L189" i="7" s="1"/>
  <c r="M189" i="7" s="1"/>
  <c r="N189" i="7" s="1"/>
  <c r="O189" i="7" s="1"/>
  <c r="D188" i="7"/>
  <c r="E188" i="7" s="1"/>
  <c r="F188" i="7" s="1"/>
  <c r="G188" i="7" s="1"/>
  <c r="H188" i="7" s="1"/>
  <c r="I188" i="7" s="1"/>
  <c r="J188" i="7" s="1"/>
  <c r="K188" i="7" s="1"/>
  <c r="L188" i="7" s="1"/>
  <c r="M188" i="7" s="1"/>
  <c r="N188" i="7" s="1"/>
  <c r="O188" i="7" s="1"/>
  <c r="D187" i="7"/>
  <c r="E187" i="7" s="1"/>
  <c r="F187" i="7" s="1"/>
  <c r="G187" i="7" s="1"/>
  <c r="H187" i="7" s="1"/>
  <c r="I187" i="7" s="1"/>
  <c r="J187" i="7" s="1"/>
  <c r="K187" i="7" s="1"/>
  <c r="L187" i="7" s="1"/>
  <c r="M187" i="7" s="1"/>
  <c r="N187" i="7" s="1"/>
  <c r="O187" i="7" s="1"/>
  <c r="D182" i="7"/>
  <c r="E182" i="7" s="1"/>
  <c r="F182" i="7" s="1"/>
  <c r="G182" i="7" s="1"/>
  <c r="H182" i="7" s="1"/>
  <c r="I182" i="7" s="1"/>
  <c r="J182" i="7" s="1"/>
  <c r="K182" i="7" s="1"/>
  <c r="L182" i="7" s="1"/>
  <c r="M182" i="7" s="1"/>
  <c r="N182" i="7" s="1"/>
  <c r="O182" i="7" s="1"/>
  <c r="D181" i="7"/>
  <c r="E181" i="7" s="1"/>
  <c r="F181" i="7" s="1"/>
  <c r="G181" i="7" s="1"/>
  <c r="H181" i="7" s="1"/>
  <c r="I181" i="7" s="1"/>
  <c r="J181" i="7" s="1"/>
  <c r="K181" i="7" s="1"/>
  <c r="L181" i="7" s="1"/>
  <c r="M181" i="7" s="1"/>
  <c r="N181" i="7" s="1"/>
  <c r="O181" i="7" s="1"/>
  <c r="D135" i="7"/>
  <c r="E135" i="7" s="1"/>
  <c r="F135" i="7" s="1"/>
  <c r="G135" i="7" s="1"/>
  <c r="H135" i="7" s="1"/>
  <c r="I135" i="7" s="1"/>
  <c r="J135" i="7" s="1"/>
  <c r="K135" i="7" s="1"/>
  <c r="L135" i="7" s="1"/>
  <c r="M135" i="7" s="1"/>
  <c r="N135" i="7" s="1"/>
  <c r="O135" i="7" s="1"/>
  <c r="D134" i="7"/>
  <c r="E134" i="7" s="1"/>
  <c r="F134" i="7" s="1"/>
  <c r="G134" i="7" s="1"/>
  <c r="H134" i="7" s="1"/>
  <c r="I134" i="7" s="1"/>
  <c r="J134" i="7" s="1"/>
  <c r="K134" i="7" s="1"/>
  <c r="L134" i="7" s="1"/>
  <c r="M134" i="7" s="1"/>
  <c r="N134" i="7" s="1"/>
  <c r="O134" i="7" s="1"/>
  <c r="D90" i="7"/>
  <c r="E90" i="7" s="1"/>
  <c r="F90" i="7" s="1"/>
  <c r="G90" i="7" s="1"/>
  <c r="H90" i="7" s="1"/>
  <c r="I90" i="7" s="1"/>
  <c r="J90" i="7" s="1"/>
  <c r="K90" i="7" s="1"/>
  <c r="L90" i="7" s="1"/>
  <c r="M90" i="7" s="1"/>
  <c r="N90" i="7" s="1"/>
  <c r="O90" i="7" s="1"/>
  <c r="D89" i="7"/>
  <c r="E89" i="7" s="1"/>
  <c r="F89" i="7" s="1"/>
  <c r="G89" i="7" s="1"/>
  <c r="H89" i="7" s="1"/>
  <c r="I89" i="7" s="1"/>
  <c r="J89" i="7" s="1"/>
  <c r="K89" i="7" s="1"/>
  <c r="L89" i="7" s="1"/>
  <c r="M89" i="7" s="1"/>
  <c r="N89" i="7" s="1"/>
  <c r="O89" i="7" s="1"/>
  <c r="D84" i="7"/>
  <c r="E84" i="7" s="1"/>
  <c r="F84" i="7" s="1"/>
  <c r="G84" i="7" s="1"/>
  <c r="H84" i="7" s="1"/>
  <c r="I84" i="7" s="1"/>
  <c r="J84" i="7" s="1"/>
  <c r="K84" i="7" s="1"/>
  <c r="L84" i="7" s="1"/>
  <c r="M84" i="7" s="1"/>
  <c r="N84" i="7" s="1"/>
  <c r="O84" i="7" s="1"/>
  <c r="D83" i="7"/>
  <c r="E83" i="7" s="1"/>
  <c r="F83" i="7" s="1"/>
  <c r="G83" i="7" s="1"/>
  <c r="H83" i="7" s="1"/>
  <c r="I83" i="7" s="1"/>
  <c r="J83" i="7" s="1"/>
  <c r="K83" i="7" s="1"/>
  <c r="L83" i="7" s="1"/>
  <c r="M83" i="7" s="1"/>
  <c r="N83" i="7" s="1"/>
  <c r="O83" i="7" s="1"/>
  <c r="D82" i="7"/>
  <c r="E82" i="7" s="1"/>
  <c r="F82" i="7" s="1"/>
  <c r="G82" i="7" s="1"/>
  <c r="H82" i="7" s="1"/>
  <c r="I82" i="7" s="1"/>
  <c r="J82" i="7" s="1"/>
  <c r="K82" i="7" s="1"/>
  <c r="L82" i="7" s="1"/>
  <c r="M82" i="7" s="1"/>
  <c r="N82" i="7" s="1"/>
  <c r="O82" i="7" s="1"/>
  <c r="R35" i="7"/>
  <c r="AF205" i="7" l="1"/>
  <c r="AC205" i="7"/>
  <c r="AG205" i="7"/>
  <c r="AD205" i="7"/>
  <c r="AB205" i="7"/>
  <c r="AE205" i="7"/>
  <c r="O202" i="6"/>
  <c r="N202" i="6"/>
  <c r="M202" i="6"/>
  <c r="L202" i="6"/>
  <c r="K202" i="6"/>
  <c r="J202" i="6"/>
  <c r="I202" i="6"/>
  <c r="H202" i="6"/>
  <c r="G202" i="6"/>
  <c r="F202" i="6"/>
  <c r="E202" i="6"/>
  <c r="D202" i="6"/>
  <c r="E95" i="6" l="1"/>
  <c r="F95" i="6"/>
  <c r="G95" i="6"/>
  <c r="H95" i="6"/>
  <c r="I95" i="6" s="1"/>
  <c r="J95" i="6" s="1"/>
  <c r="K95" i="6" s="1"/>
  <c r="L95" i="6" s="1"/>
  <c r="M95" i="6" s="1"/>
  <c r="N95" i="6" s="1"/>
  <c r="O95" i="6" s="1"/>
  <c r="E96" i="6"/>
  <c r="F96" i="6" s="1"/>
  <c r="G96" i="6"/>
  <c r="H96" i="6"/>
  <c r="I96" i="6" s="1"/>
  <c r="J96" i="6" s="1"/>
  <c r="K96" i="6" s="1"/>
  <c r="L96" i="6" s="1"/>
  <c r="M96" i="6" s="1"/>
  <c r="N96" i="6" s="1"/>
  <c r="O96" i="6" s="1"/>
  <c r="E97" i="6"/>
  <c r="F97" i="6"/>
  <c r="G97" i="6" s="1"/>
  <c r="H97" i="6"/>
  <c r="I97" i="6" s="1"/>
  <c r="J97" i="6" s="1"/>
  <c r="K97" i="6" s="1"/>
  <c r="L97" i="6" s="1"/>
  <c r="M97" i="6" s="1"/>
  <c r="N97" i="6" s="1"/>
  <c r="O97" i="6" s="1"/>
  <c r="E98" i="6"/>
  <c r="F98" i="6"/>
  <c r="G98" i="6"/>
  <c r="H98" i="6" s="1"/>
  <c r="I98" i="6" s="1"/>
  <c r="J98" i="6" s="1"/>
  <c r="K98" i="6" s="1"/>
  <c r="L98" i="6" s="1"/>
  <c r="M98" i="6" s="1"/>
  <c r="N98" i="6" s="1"/>
  <c r="O98" i="6" s="1"/>
  <c r="E100" i="6"/>
  <c r="F100" i="6" s="1"/>
  <c r="G100" i="6" s="1"/>
  <c r="H100" i="6" s="1"/>
  <c r="I100" i="6" s="1"/>
  <c r="J100" i="6" s="1"/>
  <c r="K100" i="6"/>
  <c r="L100" i="6" s="1"/>
  <c r="M100" i="6" s="1"/>
  <c r="N100" i="6" s="1"/>
  <c r="O100" i="6" s="1"/>
  <c r="E101" i="6"/>
  <c r="F101" i="6" s="1"/>
  <c r="G101" i="6" s="1"/>
  <c r="H101" i="6" s="1"/>
  <c r="I101" i="6" s="1"/>
  <c r="J101" i="6"/>
  <c r="K101" i="6" s="1"/>
  <c r="L101" i="6" s="1"/>
  <c r="M101" i="6" s="1"/>
  <c r="N101" i="6" s="1"/>
  <c r="O101" i="6" s="1"/>
  <c r="E102" i="6"/>
  <c r="F102" i="6" s="1"/>
  <c r="G102" i="6" s="1"/>
  <c r="H102" i="6" s="1"/>
  <c r="I102" i="6" s="1"/>
  <c r="J102" i="6"/>
  <c r="K102" i="6" s="1"/>
  <c r="L102" i="6" s="1"/>
  <c r="M102" i="6" s="1"/>
  <c r="N102" i="6" s="1"/>
  <c r="O102" i="6"/>
  <c r="E103" i="6"/>
  <c r="F103" i="6"/>
  <c r="G103" i="6"/>
  <c r="H103" i="6"/>
  <c r="I103" i="6" s="1"/>
  <c r="J103" i="6" s="1"/>
  <c r="K103" i="6" s="1"/>
  <c r="L103" i="6" s="1"/>
  <c r="M103" i="6" s="1"/>
  <c r="N103" i="6"/>
  <c r="O103" i="6" s="1"/>
  <c r="E104" i="6"/>
  <c r="F104" i="6" s="1"/>
  <c r="G104" i="6"/>
  <c r="H104" i="6"/>
  <c r="I104" i="6" s="1"/>
  <c r="J104" i="6" s="1"/>
  <c r="K104" i="6" s="1"/>
  <c r="L104" i="6" s="1"/>
  <c r="M104" i="6"/>
  <c r="N104" i="6" s="1"/>
  <c r="O104" i="6" s="1"/>
  <c r="E105" i="6"/>
  <c r="F105" i="6"/>
  <c r="G105" i="6" s="1"/>
  <c r="H105" i="6"/>
  <c r="I105" i="6" s="1"/>
  <c r="J105" i="6" s="1"/>
  <c r="K105" i="6" s="1"/>
  <c r="L105" i="6" s="1"/>
  <c r="M105" i="6"/>
  <c r="N105" i="6" s="1"/>
  <c r="O105" i="6" s="1"/>
  <c r="E106" i="6"/>
  <c r="F106" i="6"/>
  <c r="G106" i="6"/>
  <c r="H106" i="6" s="1"/>
  <c r="I106" i="6" s="1"/>
  <c r="J106" i="6" s="1"/>
  <c r="K106" i="6" s="1"/>
  <c r="L106" i="6" s="1"/>
  <c r="M106" i="6"/>
  <c r="N106" i="6" s="1"/>
  <c r="O106" i="6" s="1"/>
  <c r="E107" i="6"/>
  <c r="F107" i="6"/>
  <c r="G107" i="6" s="1"/>
  <c r="H107" i="6" s="1"/>
  <c r="I107" i="6" s="1"/>
  <c r="J107" i="6" s="1"/>
  <c r="K107" i="6"/>
  <c r="L107" i="6" s="1"/>
  <c r="M107" i="6" s="1"/>
  <c r="N107" i="6" s="1"/>
  <c r="O107" i="6" s="1"/>
  <c r="E108" i="6"/>
  <c r="F108" i="6" s="1"/>
  <c r="G108" i="6" s="1"/>
  <c r="H108" i="6" s="1"/>
  <c r="I108" i="6" s="1"/>
  <c r="J108" i="6" s="1"/>
  <c r="K108" i="6" s="1"/>
  <c r="L108" i="6" s="1"/>
  <c r="M108" i="6" s="1"/>
  <c r="N108" i="6" s="1"/>
  <c r="O108" i="6" s="1"/>
  <c r="E109" i="6"/>
  <c r="F109" i="6" s="1"/>
  <c r="G109" i="6" s="1"/>
  <c r="H109" i="6" s="1"/>
  <c r="I109" i="6" s="1"/>
  <c r="J109" i="6"/>
  <c r="K109" i="6" s="1"/>
  <c r="L109" i="6" s="1"/>
  <c r="M109" i="6" s="1"/>
  <c r="N109" i="6" s="1"/>
  <c r="O109" i="6" s="1"/>
  <c r="E110" i="6"/>
  <c r="F110" i="6" s="1"/>
  <c r="G110" i="6" s="1"/>
  <c r="H110" i="6" s="1"/>
  <c r="I110" i="6" s="1"/>
  <c r="J110" i="6" s="1"/>
  <c r="K110" i="6" s="1"/>
  <c r="L110" i="6" s="1"/>
  <c r="M110" i="6" s="1"/>
  <c r="N110" i="6" s="1"/>
  <c r="O110" i="6" s="1"/>
  <c r="E111" i="6"/>
  <c r="F111" i="6"/>
  <c r="G111" i="6"/>
  <c r="H111" i="6"/>
  <c r="I111" i="6" s="1"/>
  <c r="J111" i="6" s="1"/>
  <c r="K111" i="6" s="1"/>
  <c r="L111" i="6" s="1"/>
  <c r="M111" i="6" s="1"/>
  <c r="N111" i="6"/>
  <c r="O111" i="6" s="1"/>
  <c r="E112" i="6"/>
  <c r="F112" i="6" s="1"/>
  <c r="G112" i="6"/>
  <c r="H112" i="6"/>
  <c r="I112" i="6" s="1"/>
  <c r="J112" i="6" s="1"/>
  <c r="K112" i="6" s="1"/>
  <c r="L112" i="6" s="1"/>
  <c r="M112" i="6"/>
  <c r="N112" i="6" s="1"/>
  <c r="O112" i="6" s="1"/>
  <c r="E113" i="6"/>
  <c r="F113" i="6"/>
  <c r="G113" i="6" s="1"/>
  <c r="H113" i="6"/>
  <c r="I113" i="6" s="1"/>
  <c r="J113" i="6" s="1"/>
  <c r="K113" i="6" s="1"/>
  <c r="L113" i="6" s="1"/>
  <c r="M113" i="6"/>
  <c r="N113" i="6" s="1"/>
  <c r="O113" i="6" s="1"/>
  <c r="E114" i="6"/>
  <c r="F114" i="6"/>
  <c r="G114" i="6"/>
  <c r="H114" i="6" s="1"/>
  <c r="I114" i="6" s="1"/>
  <c r="J114" i="6" s="1"/>
  <c r="K114" i="6" s="1"/>
  <c r="L114" i="6" s="1"/>
  <c r="M114" i="6"/>
  <c r="N114" i="6" s="1"/>
  <c r="O114" i="6" s="1"/>
  <c r="E115" i="6"/>
  <c r="F115" i="6"/>
  <c r="G115" i="6" s="1"/>
  <c r="H115" i="6" s="1"/>
  <c r="I115" i="6" s="1"/>
  <c r="J115" i="6" s="1"/>
  <c r="K115" i="6"/>
  <c r="L115" i="6" s="1"/>
  <c r="M115" i="6" s="1"/>
  <c r="N115" i="6" s="1"/>
  <c r="O115" i="6" s="1"/>
  <c r="E116" i="6"/>
  <c r="F116" i="6" s="1"/>
  <c r="G116" i="6" s="1"/>
  <c r="H116" i="6" s="1"/>
  <c r="I116" i="6" s="1"/>
  <c r="J116" i="6" s="1"/>
  <c r="K116" i="6"/>
  <c r="L116" i="6" s="1"/>
  <c r="M116" i="6" s="1"/>
  <c r="N116" i="6" s="1"/>
  <c r="O116" i="6" s="1"/>
  <c r="E117" i="6"/>
  <c r="F117" i="6" s="1"/>
  <c r="G117" i="6" s="1"/>
  <c r="H117" i="6" s="1"/>
  <c r="I117" i="6" s="1"/>
  <c r="J117" i="6"/>
  <c r="K117" i="6" s="1"/>
  <c r="L117" i="6" s="1"/>
  <c r="M117" i="6" s="1"/>
  <c r="N117" i="6" s="1"/>
  <c r="O117" i="6" s="1"/>
  <c r="E118" i="6"/>
  <c r="F118" i="6" s="1"/>
  <c r="G118" i="6" s="1"/>
  <c r="H118" i="6" s="1"/>
  <c r="I118" i="6" s="1"/>
  <c r="J118" i="6"/>
  <c r="K118" i="6" s="1"/>
  <c r="L118" i="6" s="1"/>
  <c r="M118" i="6" s="1"/>
  <c r="N118" i="6" s="1"/>
  <c r="O118" i="6" s="1"/>
  <c r="E119" i="6"/>
  <c r="F119" i="6"/>
  <c r="G119" i="6"/>
  <c r="H119" i="6"/>
  <c r="I119" i="6" s="1"/>
  <c r="J119" i="6" s="1"/>
  <c r="K119" i="6" s="1"/>
  <c r="L119" i="6" s="1"/>
  <c r="M119" i="6" s="1"/>
  <c r="N119" i="6"/>
  <c r="O119" i="6" s="1"/>
  <c r="E120" i="6"/>
  <c r="F120" i="6" s="1"/>
  <c r="G120" i="6"/>
  <c r="H120" i="6"/>
  <c r="I120" i="6" s="1"/>
  <c r="J120" i="6" s="1"/>
  <c r="K120" i="6" s="1"/>
  <c r="L120" i="6" s="1"/>
  <c r="M120" i="6"/>
  <c r="N120" i="6" s="1"/>
  <c r="O120" i="6" s="1"/>
  <c r="E121" i="6"/>
  <c r="F121" i="6"/>
  <c r="G121" i="6" s="1"/>
  <c r="H121" i="6"/>
  <c r="I121" i="6" s="1"/>
  <c r="J121" i="6" s="1"/>
  <c r="K121" i="6" s="1"/>
  <c r="L121" i="6" s="1"/>
  <c r="M121" i="6"/>
  <c r="N121" i="6" s="1"/>
  <c r="O121" i="6" s="1"/>
  <c r="E122" i="6"/>
  <c r="F122" i="6"/>
  <c r="G122" i="6"/>
  <c r="H122" i="6" s="1"/>
  <c r="I122" i="6" s="1"/>
  <c r="J122" i="6" s="1"/>
  <c r="K122" i="6" s="1"/>
  <c r="L122" i="6" s="1"/>
  <c r="M122" i="6"/>
  <c r="N122" i="6" s="1"/>
  <c r="O122" i="6" s="1"/>
  <c r="E123" i="6"/>
  <c r="F123" i="6"/>
  <c r="G123" i="6" s="1"/>
  <c r="H123" i="6" s="1"/>
  <c r="I123" i="6" s="1"/>
  <c r="J123" i="6" s="1"/>
  <c r="K123" i="6" s="1"/>
  <c r="L123" i="6" s="1"/>
  <c r="M123" i="6" s="1"/>
  <c r="N123" i="6" s="1"/>
  <c r="O123" i="6" s="1"/>
  <c r="E124" i="6"/>
  <c r="F124" i="6" s="1"/>
  <c r="G124" i="6" s="1"/>
  <c r="H124" i="6" s="1"/>
  <c r="I124" i="6" s="1"/>
  <c r="J124" i="6" s="1"/>
  <c r="K124" i="6"/>
  <c r="L124" i="6" s="1"/>
  <c r="M124" i="6" s="1"/>
  <c r="N124" i="6" s="1"/>
  <c r="O124" i="6" s="1"/>
  <c r="E125" i="6"/>
  <c r="F125" i="6" s="1"/>
  <c r="G125" i="6" s="1"/>
  <c r="H125" i="6" s="1"/>
  <c r="I125" i="6" s="1"/>
  <c r="J125" i="6" s="1"/>
  <c r="K125" i="6" s="1"/>
  <c r="L125" i="6" s="1"/>
  <c r="M125" i="6" s="1"/>
  <c r="N125" i="6" s="1"/>
  <c r="O125" i="6" s="1"/>
  <c r="E126" i="6"/>
  <c r="F126" i="6" s="1"/>
  <c r="G126" i="6" s="1"/>
  <c r="H126" i="6" s="1"/>
  <c r="I126" i="6" s="1"/>
  <c r="J126" i="6" s="1"/>
  <c r="K126" i="6" s="1"/>
  <c r="L126" i="6" s="1"/>
  <c r="M126" i="6" s="1"/>
  <c r="N126" i="6" s="1"/>
  <c r="O126" i="6" s="1"/>
  <c r="E127" i="6"/>
  <c r="F127" i="6"/>
  <c r="G127" i="6"/>
  <c r="H127" i="6"/>
  <c r="I127" i="6" s="1"/>
  <c r="J127" i="6" s="1"/>
  <c r="K127" i="6" s="1"/>
  <c r="L127" i="6" s="1"/>
  <c r="M127" i="6" s="1"/>
  <c r="N127" i="6" s="1"/>
  <c r="O127" i="6" s="1"/>
  <c r="E128" i="6"/>
  <c r="F128" i="6" s="1"/>
  <c r="G128" i="6"/>
  <c r="H128" i="6" s="1"/>
  <c r="I128" i="6" s="1"/>
  <c r="J128" i="6" s="1"/>
  <c r="K128" i="6" s="1"/>
  <c r="L128" i="6" s="1"/>
  <c r="M128" i="6" s="1"/>
  <c r="N128" i="6" s="1"/>
  <c r="O128" i="6" s="1"/>
  <c r="E129" i="6"/>
  <c r="F129" i="6"/>
  <c r="G129" i="6"/>
  <c r="H129" i="6" s="1"/>
  <c r="I129" i="6" s="1"/>
  <c r="J129" i="6"/>
  <c r="K129" i="6"/>
  <c r="L129" i="6" s="1"/>
  <c r="M129" i="6" s="1"/>
  <c r="N129" i="6" s="1"/>
  <c r="O129" i="6" s="1"/>
  <c r="D96" i="6"/>
  <c r="D97" i="6"/>
  <c r="D98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95" i="6"/>
  <c r="D249" i="6"/>
  <c r="E249" i="6" s="1"/>
  <c r="F249" i="6" s="1"/>
  <c r="G249" i="6" s="1"/>
  <c r="H249" i="6" s="1"/>
  <c r="I249" i="6" s="1"/>
  <c r="J249" i="6" s="1"/>
  <c r="K249" i="6" s="1"/>
  <c r="L249" i="6" s="1"/>
  <c r="M249" i="6" s="1"/>
  <c r="N249" i="6" s="1"/>
  <c r="O249" i="6" s="1"/>
  <c r="D248" i="6"/>
  <c r="E248" i="6" s="1"/>
  <c r="F248" i="6" s="1"/>
  <c r="G248" i="6" s="1"/>
  <c r="H248" i="6" s="1"/>
  <c r="I248" i="6" s="1"/>
  <c r="J248" i="6" s="1"/>
  <c r="K248" i="6" s="1"/>
  <c r="L248" i="6" s="1"/>
  <c r="M248" i="6" s="1"/>
  <c r="N248" i="6" s="1"/>
  <c r="O248" i="6" s="1"/>
  <c r="D247" i="6"/>
  <c r="E247" i="6" s="1"/>
  <c r="F247" i="6" s="1"/>
  <c r="G247" i="6" s="1"/>
  <c r="H247" i="6" s="1"/>
  <c r="I247" i="6" s="1"/>
  <c r="J247" i="6" s="1"/>
  <c r="K247" i="6" s="1"/>
  <c r="L247" i="6" s="1"/>
  <c r="M247" i="6" s="1"/>
  <c r="N247" i="6" s="1"/>
  <c r="O247" i="6" s="1"/>
  <c r="D245" i="6"/>
  <c r="E245" i="6" s="1"/>
  <c r="F245" i="6" s="1"/>
  <c r="G245" i="6" s="1"/>
  <c r="H245" i="6" s="1"/>
  <c r="I245" i="6" s="1"/>
  <c r="J245" i="6" s="1"/>
  <c r="K245" i="6" s="1"/>
  <c r="L245" i="6" s="1"/>
  <c r="M245" i="6" s="1"/>
  <c r="N245" i="6" s="1"/>
  <c r="O245" i="6" s="1"/>
  <c r="D210" i="6"/>
  <c r="E210" i="6" s="1"/>
  <c r="F210" i="6" s="1"/>
  <c r="G210" i="6" s="1"/>
  <c r="H210" i="6" s="1"/>
  <c r="I210" i="6" s="1"/>
  <c r="J210" i="6" s="1"/>
  <c r="K210" i="6" s="1"/>
  <c r="L210" i="6" s="1"/>
  <c r="M210" i="6" s="1"/>
  <c r="N210" i="6" s="1"/>
  <c r="O210" i="6" s="1"/>
  <c r="D209" i="6"/>
  <c r="E209" i="6" s="1"/>
  <c r="F209" i="6" s="1"/>
  <c r="G209" i="6" s="1"/>
  <c r="H209" i="6" s="1"/>
  <c r="I209" i="6" s="1"/>
  <c r="J209" i="6" s="1"/>
  <c r="K209" i="6" s="1"/>
  <c r="L209" i="6" s="1"/>
  <c r="M209" i="6" s="1"/>
  <c r="N209" i="6" s="1"/>
  <c r="O209" i="6" s="1"/>
  <c r="D208" i="6"/>
  <c r="E208" i="6" s="1"/>
  <c r="F208" i="6" s="1"/>
  <c r="G208" i="6" s="1"/>
  <c r="H208" i="6" s="1"/>
  <c r="I208" i="6" s="1"/>
  <c r="J208" i="6" s="1"/>
  <c r="K208" i="6" s="1"/>
  <c r="L208" i="6" s="1"/>
  <c r="M208" i="6" s="1"/>
  <c r="N208" i="6" s="1"/>
  <c r="O208" i="6" s="1"/>
  <c r="D207" i="6"/>
  <c r="E207" i="6" s="1"/>
  <c r="F207" i="6" s="1"/>
  <c r="G207" i="6" s="1"/>
  <c r="H207" i="6" s="1"/>
  <c r="I207" i="6" s="1"/>
  <c r="J207" i="6" s="1"/>
  <c r="K207" i="6" s="1"/>
  <c r="L207" i="6" s="1"/>
  <c r="M207" i="6" s="1"/>
  <c r="N207" i="6" s="1"/>
  <c r="O207" i="6" s="1"/>
  <c r="D205" i="6"/>
  <c r="E205" i="6" s="1"/>
  <c r="F205" i="6" s="1"/>
  <c r="G205" i="6" s="1"/>
  <c r="H205" i="6" s="1"/>
  <c r="I205" i="6" s="1"/>
  <c r="J205" i="6" s="1"/>
  <c r="K205" i="6" s="1"/>
  <c r="L205" i="6" s="1"/>
  <c r="M205" i="6" s="1"/>
  <c r="N205" i="6" s="1"/>
  <c r="O205" i="6" s="1"/>
  <c r="D198" i="6"/>
  <c r="E198" i="6" s="1"/>
  <c r="F198" i="6" s="1"/>
  <c r="G198" i="6" s="1"/>
  <c r="H198" i="6" s="1"/>
  <c r="I198" i="6" s="1"/>
  <c r="J198" i="6" s="1"/>
  <c r="K198" i="6" s="1"/>
  <c r="L198" i="6" s="1"/>
  <c r="M198" i="6" s="1"/>
  <c r="N198" i="6" s="1"/>
  <c r="O198" i="6" s="1"/>
  <c r="D199" i="6"/>
  <c r="E199" i="6" s="1"/>
  <c r="F199" i="6" s="1"/>
  <c r="G199" i="6" s="1"/>
  <c r="H199" i="6" s="1"/>
  <c r="I199" i="6" s="1"/>
  <c r="J199" i="6" s="1"/>
  <c r="K199" i="6" s="1"/>
  <c r="L199" i="6" s="1"/>
  <c r="M199" i="6" s="1"/>
  <c r="N199" i="6" s="1"/>
  <c r="O199" i="6" s="1"/>
  <c r="D200" i="6"/>
  <c r="E200" i="6" s="1"/>
  <c r="F200" i="6" s="1"/>
  <c r="G200" i="6" s="1"/>
  <c r="H200" i="6" s="1"/>
  <c r="I200" i="6" s="1"/>
  <c r="J200" i="6" s="1"/>
  <c r="K200" i="6" s="1"/>
  <c r="L200" i="6" s="1"/>
  <c r="M200" i="6" s="1"/>
  <c r="N200" i="6" s="1"/>
  <c r="O200" i="6" s="1"/>
  <c r="E197" i="6"/>
  <c r="F197" i="6" s="1"/>
  <c r="G197" i="6" s="1"/>
  <c r="H197" i="6" s="1"/>
  <c r="I197" i="6" s="1"/>
  <c r="J197" i="6" s="1"/>
  <c r="K197" i="6" s="1"/>
  <c r="L197" i="6" s="1"/>
  <c r="M197" i="6" s="1"/>
  <c r="N197" i="6" s="1"/>
  <c r="O197" i="6" s="1"/>
  <c r="D197" i="6"/>
  <c r="E192" i="6"/>
  <c r="F192" i="6" s="1"/>
  <c r="G192" i="6" s="1"/>
  <c r="H192" i="6" s="1"/>
  <c r="I192" i="6" s="1"/>
  <c r="J192" i="6" s="1"/>
  <c r="K192" i="6" s="1"/>
  <c r="L192" i="6" s="1"/>
  <c r="M192" i="6" s="1"/>
  <c r="N192" i="6" s="1"/>
  <c r="O192" i="6" s="1"/>
  <c r="D192" i="6"/>
  <c r="F191" i="6"/>
  <c r="G191" i="6" s="1"/>
  <c r="H191" i="6" s="1"/>
  <c r="I191" i="6" s="1"/>
  <c r="J191" i="6" s="1"/>
  <c r="K191" i="6" s="1"/>
  <c r="L191" i="6" s="1"/>
  <c r="M191" i="6" s="1"/>
  <c r="N191" i="6" s="1"/>
  <c r="O191" i="6" s="1"/>
  <c r="E191" i="6"/>
  <c r="D191" i="6"/>
  <c r="D190" i="6"/>
  <c r="E190" i="6" s="1"/>
  <c r="F190" i="6" s="1"/>
  <c r="G190" i="6" s="1"/>
  <c r="H190" i="6" s="1"/>
  <c r="I190" i="6" s="1"/>
  <c r="J190" i="6" s="1"/>
  <c r="K190" i="6" s="1"/>
  <c r="L190" i="6" s="1"/>
  <c r="M190" i="6" s="1"/>
  <c r="N190" i="6" s="1"/>
  <c r="O190" i="6" s="1"/>
  <c r="D189" i="6"/>
  <c r="E188" i="6"/>
  <c r="F188" i="6" s="1"/>
  <c r="G188" i="6" s="1"/>
  <c r="H188" i="6" s="1"/>
  <c r="I188" i="6" s="1"/>
  <c r="J188" i="6" s="1"/>
  <c r="K188" i="6" s="1"/>
  <c r="L188" i="6" s="1"/>
  <c r="M188" i="6" s="1"/>
  <c r="N188" i="6" s="1"/>
  <c r="O188" i="6" s="1"/>
  <c r="D188" i="6"/>
  <c r="F187" i="6"/>
  <c r="G187" i="6" s="1"/>
  <c r="H187" i="6" s="1"/>
  <c r="I187" i="6" s="1"/>
  <c r="J187" i="6" s="1"/>
  <c r="K187" i="6" s="1"/>
  <c r="L187" i="6" s="1"/>
  <c r="M187" i="6" s="1"/>
  <c r="N187" i="6" s="1"/>
  <c r="O187" i="6" s="1"/>
  <c r="E187" i="6"/>
  <c r="D187" i="6"/>
  <c r="P187" i="6" s="1"/>
  <c r="D182" i="6"/>
  <c r="E181" i="6"/>
  <c r="F181" i="6" s="1"/>
  <c r="G181" i="6" s="1"/>
  <c r="H181" i="6" s="1"/>
  <c r="I181" i="6" s="1"/>
  <c r="J181" i="6" s="1"/>
  <c r="K181" i="6" s="1"/>
  <c r="L181" i="6" s="1"/>
  <c r="M181" i="6" s="1"/>
  <c r="N181" i="6" s="1"/>
  <c r="O181" i="6" s="1"/>
  <c r="D181" i="6"/>
  <c r="D140" i="6"/>
  <c r="D135" i="6"/>
  <c r="E135" i="6" s="1"/>
  <c r="F135" i="6" s="1"/>
  <c r="G135" i="6" s="1"/>
  <c r="H135" i="6" s="1"/>
  <c r="I135" i="6" s="1"/>
  <c r="J135" i="6" s="1"/>
  <c r="K135" i="6" s="1"/>
  <c r="L135" i="6" s="1"/>
  <c r="M135" i="6" s="1"/>
  <c r="N135" i="6" s="1"/>
  <c r="O135" i="6" s="1"/>
  <c r="E134" i="6"/>
  <c r="F134" i="6" s="1"/>
  <c r="G134" i="6" s="1"/>
  <c r="H134" i="6" s="1"/>
  <c r="I134" i="6" s="1"/>
  <c r="J134" i="6" s="1"/>
  <c r="K134" i="6" s="1"/>
  <c r="L134" i="6" s="1"/>
  <c r="M134" i="6" s="1"/>
  <c r="N134" i="6" s="1"/>
  <c r="O134" i="6" s="1"/>
  <c r="D134" i="6"/>
  <c r="P134" i="6" s="1"/>
  <c r="E90" i="6"/>
  <c r="F90" i="6" s="1"/>
  <c r="G90" i="6" s="1"/>
  <c r="H90" i="6" s="1"/>
  <c r="I90" i="6" s="1"/>
  <c r="J90" i="6" s="1"/>
  <c r="K90" i="6" s="1"/>
  <c r="L90" i="6" s="1"/>
  <c r="M90" i="6" s="1"/>
  <c r="N90" i="6" s="1"/>
  <c r="O90" i="6" s="1"/>
  <c r="D90" i="6"/>
  <c r="P90" i="6" s="1"/>
  <c r="F89" i="6"/>
  <c r="G89" i="6" s="1"/>
  <c r="H89" i="6" s="1"/>
  <c r="I89" i="6" s="1"/>
  <c r="J89" i="6" s="1"/>
  <c r="K89" i="6" s="1"/>
  <c r="L89" i="6" s="1"/>
  <c r="M89" i="6" s="1"/>
  <c r="N89" i="6" s="1"/>
  <c r="O89" i="6" s="1"/>
  <c r="E89" i="6"/>
  <c r="D89" i="6"/>
  <c r="E261" i="6"/>
  <c r="F261" i="6" s="1"/>
  <c r="G261" i="6" s="1"/>
  <c r="H261" i="6" s="1"/>
  <c r="I261" i="6" s="1"/>
  <c r="J261" i="6" s="1"/>
  <c r="K261" i="6" s="1"/>
  <c r="L261" i="6" s="1"/>
  <c r="M261" i="6" s="1"/>
  <c r="N261" i="6" s="1"/>
  <c r="O261" i="6" s="1"/>
  <c r="E262" i="6"/>
  <c r="F262" i="6" s="1"/>
  <c r="G262" i="6" s="1"/>
  <c r="H262" i="6" s="1"/>
  <c r="I262" i="6" s="1"/>
  <c r="J262" i="6" s="1"/>
  <c r="K262" i="6" s="1"/>
  <c r="L262" i="6" s="1"/>
  <c r="M262" i="6" s="1"/>
  <c r="N262" i="6" s="1"/>
  <c r="O262" i="6" s="1"/>
  <c r="E263" i="6"/>
  <c r="F263" i="6"/>
  <c r="G263" i="6" s="1"/>
  <c r="H263" i="6" s="1"/>
  <c r="I263" i="6" s="1"/>
  <c r="J263" i="6" s="1"/>
  <c r="K263" i="6" s="1"/>
  <c r="L263" i="6" s="1"/>
  <c r="M263" i="6" s="1"/>
  <c r="N263" i="6" s="1"/>
  <c r="O263" i="6" s="1"/>
  <c r="D262" i="6"/>
  <c r="D263" i="6"/>
  <c r="D261" i="6"/>
  <c r="D83" i="6"/>
  <c r="E83" i="6" s="1"/>
  <c r="F83" i="6" s="1"/>
  <c r="G83" i="6" s="1"/>
  <c r="H83" i="6" s="1"/>
  <c r="I83" i="6" s="1"/>
  <c r="J83" i="6" s="1"/>
  <c r="K83" i="6" s="1"/>
  <c r="L83" i="6" s="1"/>
  <c r="M83" i="6" s="1"/>
  <c r="N83" i="6" s="1"/>
  <c r="O83" i="6" s="1"/>
  <c r="D84" i="6"/>
  <c r="E84" i="6" s="1"/>
  <c r="F84" i="6" s="1"/>
  <c r="G84" i="6" s="1"/>
  <c r="H84" i="6" s="1"/>
  <c r="I84" i="6" s="1"/>
  <c r="J84" i="6" s="1"/>
  <c r="K84" i="6" s="1"/>
  <c r="L84" i="6" s="1"/>
  <c r="M84" i="6" s="1"/>
  <c r="N84" i="6" s="1"/>
  <c r="O84" i="6" s="1"/>
  <c r="D82" i="6"/>
  <c r="E82" i="6" s="1"/>
  <c r="F82" i="6" s="1"/>
  <c r="G82" i="6" s="1"/>
  <c r="H82" i="6" s="1"/>
  <c r="I82" i="6" s="1"/>
  <c r="J82" i="6" s="1"/>
  <c r="K82" i="6" s="1"/>
  <c r="L82" i="6" s="1"/>
  <c r="M82" i="6" s="1"/>
  <c r="N82" i="6" s="1"/>
  <c r="O82" i="6" s="1"/>
  <c r="P192" i="6" l="1"/>
  <c r="P189" i="6"/>
  <c r="P188" i="6"/>
  <c r="P191" i="6"/>
  <c r="E189" i="6"/>
  <c r="F189" i="6" s="1"/>
  <c r="G189" i="6" s="1"/>
  <c r="H189" i="6" s="1"/>
  <c r="I189" i="6" s="1"/>
  <c r="J189" i="6" s="1"/>
  <c r="K189" i="6" s="1"/>
  <c r="L189" i="6" s="1"/>
  <c r="M189" i="6" s="1"/>
  <c r="N189" i="6" s="1"/>
  <c r="O189" i="6" s="1"/>
  <c r="P190" i="6"/>
  <c r="P181" i="6"/>
  <c r="E182" i="6"/>
  <c r="F182" i="6" s="1"/>
  <c r="G182" i="6" s="1"/>
  <c r="H182" i="6" s="1"/>
  <c r="I182" i="6" s="1"/>
  <c r="J182" i="6" s="1"/>
  <c r="K182" i="6" s="1"/>
  <c r="L182" i="6" s="1"/>
  <c r="M182" i="6" s="1"/>
  <c r="N182" i="6" s="1"/>
  <c r="O182" i="6" s="1"/>
  <c r="E140" i="6"/>
  <c r="F140" i="6" s="1"/>
  <c r="G140" i="6" s="1"/>
  <c r="H140" i="6" s="1"/>
  <c r="I140" i="6" s="1"/>
  <c r="J140" i="6" s="1"/>
  <c r="K140" i="6" s="1"/>
  <c r="L140" i="6" s="1"/>
  <c r="M140" i="6" s="1"/>
  <c r="N140" i="6" s="1"/>
  <c r="O140" i="6" s="1"/>
  <c r="P135" i="6"/>
  <c r="P89" i="6"/>
  <c r="P197" i="6" l="1"/>
  <c r="P182" i="6"/>
  <c r="P140" i="6"/>
  <c r="C131" i="6" l="1"/>
  <c r="D131" i="6"/>
  <c r="E131" i="6"/>
  <c r="F131" i="6"/>
  <c r="G131" i="6"/>
  <c r="H131" i="6"/>
  <c r="I131" i="6"/>
  <c r="J131" i="6"/>
  <c r="K131" i="6"/>
  <c r="L131" i="6"/>
  <c r="M131" i="6"/>
  <c r="N131" i="6"/>
  <c r="O131" i="6"/>
  <c r="C263" i="7" l="1"/>
  <c r="C262" i="7"/>
  <c r="P262" i="7" s="1"/>
  <c r="Q262" i="7" s="1"/>
  <c r="C261" i="7"/>
  <c r="C265" i="7" s="1"/>
  <c r="C254" i="7"/>
  <c r="P254" i="7" s="1"/>
  <c r="Q254" i="7" s="1"/>
  <c r="C249" i="7"/>
  <c r="C248" i="7"/>
  <c r="C247" i="7"/>
  <c r="P247" i="7" s="1"/>
  <c r="Q247" i="7" s="1"/>
  <c r="C246" i="7"/>
  <c r="C245" i="7"/>
  <c r="C244" i="7"/>
  <c r="D244" i="7" s="1"/>
  <c r="C233" i="7"/>
  <c r="D233" i="7" s="1"/>
  <c r="E233" i="7" s="1"/>
  <c r="F233" i="7" s="1"/>
  <c r="G233" i="7" s="1"/>
  <c r="H233" i="7" s="1"/>
  <c r="I233" i="7" s="1"/>
  <c r="J233" i="7" s="1"/>
  <c r="K233" i="7" s="1"/>
  <c r="L233" i="7" s="1"/>
  <c r="M233" i="7" s="1"/>
  <c r="N233" i="7" s="1"/>
  <c r="O233" i="7" s="1"/>
  <c r="C232" i="7"/>
  <c r="C231" i="7"/>
  <c r="C230" i="7"/>
  <c r="C229" i="7"/>
  <c r="C228" i="7"/>
  <c r="C227" i="7"/>
  <c r="C226" i="7"/>
  <c r="C225" i="7"/>
  <c r="D225" i="7" s="1"/>
  <c r="E225" i="7" s="1"/>
  <c r="F225" i="7" s="1"/>
  <c r="G225" i="7" s="1"/>
  <c r="H225" i="7" s="1"/>
  <c r="I225" i="7" s="1"/>
  <c r="J225" i="7" s="1"/>
  <c r="K225" i="7" s="1"/>
  <c r="L225" i="7" s="1"/>
  <c r="M225" i="7" s="1"/>
  <c r="N225" i="7" s="1"/>
  <c r="O225" i="7" s="1"/>
  <c r="C224" i="7"/>
  <c r="C223" i="7"/>
  <c r="D223" i="7" s="1"/>
  <c r="E223" i="7" s="1"/>
  <c r="F223" i="7" s="1"/>
  <c r="G223" i="7" s="1"/>
  <c r="H223" i="7" s="1"/>
  <c r="I223" i="7" s="1"/>
  <c r="J223" i="7" s="1"/>
  <c r="K223" i="7" s="1"/>
  <c r="L223" i="7" s="1"/>
  <c r="M223" i="7" s="1"/>
  <c r="N223" i="7" s="1"/>
  <c r="O223" i="7" s="1"/>
  <c r="C222" i="7"/>
  <c r="C221" i="7"/>
  <c r="C220" i="7"/>
  <c r="C219" i="7"/>
  <c r="D219" i="7" s="1"/>
  <c r="E219" i="7" s="1"/>
  <c r="F219" i="7" s="1"/>
  <c r="G219" i="7" s="1"/>
  <c r="H219" i="7" s="1"/>
  <c r="I219" i="7" s="1"/>
  <c r="J219" i="7" s="1"/>
  <c r="K219" i="7" s="1"/>
  <c r="L219" i="7" s="1"/>
  <c r="M219" i="7" s="1"/>
  <c r="N219" i="7" s="1"/>
  <c r="O219" i="7" s="1"/>
  <c r="C218" i="7"/>
  <c r="C210" i="7"/>
  <c r="P210" i="7" s="1"/>
  <c r="Q210" i="7" s="1"/>
  <c r="X210" i="7" s="1"/>
  <c r="C209" i="7"/>
  <c r="P209" i="7" s="1"/>
  <c r="Q209" i="7" s="1"/>
  <c r="C208" i="7"/>
  <c r="C207" i="7"/>
  <c r="P207" i="7" s="1"/>
  <c r="Q207" i="7" s="1"/>
  <c r="C206" i="7"/>
  <c r="P206" i="7" s="1"/>
  <c r="Q206" i="7" s="1"/>
  <c r="W206" i="7" s="1"/>
  <c r="C205" i="7"/>
  <c r="P205" i="7" s="1"/>
  <c r="Q205" i="7" s="1"/>
  <c r="C200" i="7"/>
  <c r="C199" i="7"/>
  <c r="P199" i="7" s="1"/>
  <c r="Q199" i="7" s="1"/>
  <c r="C198" i="7"/>
  <c r="P198" i="7" s="1"/>
  <c r="Q198" i="7" s="1"/>
  <c r="C197" i="7"/>
  <c r="C192" i="7"/>
  <c r="C191" i="7"/>
  <c r="P191" i="7" s="1"/>
  <c r="Q191" i="7" s="1"/>
  <c r="X191" i="7" s="1"/>
  <c r="C190" i="7"/>
  <c r="P190" i="7" s="1"/>
  <c r="Q190" i="7" s="1"/>
  <c r="W190" i="7" s="1"/>
  <c r="C189" i="7"/>
  <c r="C188" i="7"/>
  <c r="C187" i="7"/>
  <c r="P187" i="7" s="1"/>
  <c r="Q187" i="7" s="1"/>
  <c r="C182" i="7"/>
  <c r="C181" i="7"/>
  <c r="P181" i="7" s="1"/>
  <c r="C176" i="7"/>
  <c r="C175" i="7"/>
  <c r="C174" i="7"/>
  <c r="C173" i="7"/>
  <c r="C172" i="7"/>
  <c r="C171" i="7"/>
  <c r="C170" i="7"/>
  <c r="AE170" i="7" s="1"/>
  <c r="C169" i="7"/>
  <c r="C155" i="7"/>
  <c r="C154" i="7"/>
  <c r="P154" i="7" s="1"/>
  <c r="Q154" i="7" s="1"/>
  <c r="C140" i="7"/>
  <c r="P140" i="7" s="1"/>
  <c r="P142" i="7" s="1"/>
  <c r="C135" i="7"/>
  <c r="P135" i="7" s="1"/>
  <c r="Q135" i="7" s="1"/>
  <c r="C134" i="7"/>
  <c r="C129" i="7"/>
  <c r="C128" i="7"/>
  <c r="C127" i="7"/>
  <c r="Q127" i="7" s="1"/>
  <c r="C126" i="7"/>
  <c r="Q126" i="7" s="1"/>
  <c r="C125" i="7"/>
  <c r="C124" i="7"/>
  <c r="Q124" i="7" s="1"/>
  <c r="C123" i="7"/>
  <c r="Q123" i="7" s="1"/>
  <c r="C122" i="7"/>
  <c r="Q122" i="7" s="1"/>
  <c r="C121" i="7"/>
  <c r="C120" i="7"/>
  <c r="Q120" i="7" s="1"/>
  <c r="C119" i="7"/>
  <c r="Q119" i="7" s="1"/>
  <c r="C118" i="7"/>
  <c r="Q118" i="7" s="1"/>
  <c r="C117" i="7"/>
  <c r="C116" i="7"/>
  <c r="Q116" i="7" s="1"/>
  <c r="C115" i="7"/>
  <c r="Q115" i="7" s="1"/>
  <c r="C114" i="7"/>
  <c r="Q114" i="7" s="1"/>
  <c r="C113" i="7"/>
  <c r="Q113" i="7" s="1"/>
  <c r="C112" i="7"/>
  <c r="Q112" i="7" s="1"/>
  <c r="C111" i="7"/>
  <c r="Q111" i="7" s="1"/>
  <c r="C110" i="7"/>
  <c r="Q110" i="7" s="1"/>
  <c r="C109" i="7"/>
  <c r="C108" i="7"/>
  <c r="C107" i="7"/>
  <c r="Q107" i="7" s="1"/>
  <c r="C106" i="7"/>
  <c r="Q106" i="7" s="1"/>
  <c r="C105" i="7"/>
  <c r="C104" i="7"/>
  <c r="Q104" i="7" s="1"/>
  <c r="C103" i="7"/>
  <c r="Q103" i="7" s="1"/>
  <c r="C102" i="7"/>
  <c r="Q102" i="7" s="1"/>
  <c r="C101" i="7"/>
  <c r="C100" i="7"/>
  <c r="Q100" i="7" s="1"/>
  <c r="C99" i="7"/>
  <c r="C98" i="7"/>
  <c r="C97" i="7"/>
  <c r="Q97" i="7" s="1"/>
  <c r="C96" i="7"/>
  <c r="Q96" i="7" s="1"/>
  <c r="C95" i="7"/>
  <c r="C90" i="7"/>
  <c r="C89" i="7"/>
  <c r="C92" i="7" s="1"/>
  <c r="C84" i="7"/>
  <c r="P84" i="7" s="1"/>
  <c r="Q84" i="7" s="1"/>
  <c r="C83" i="7"/>
  <c r="P83" i="7" s="1"/>
  <c r="Q83" i="7" s="1"/>
  <c r="C82" i="7"/>
  <c r="C77" i="7"/>
  <c r="C76" i="7"/>
  <c r="C75" i="7"/>
  <c r="C73" i="7"/>
  <c r="C64" i="7"/>
  <c r="C63" i="7"/>
  <c r="C62" i="7"/>
  <c r="C61" i="7"/>
  <c r="C60" i="7"/>
  <c r="P60" i="7" s="1"/>
  <c r="Q60" i="7" s="1"/>
  <c r="C59" i="7"/>
  <c r="P59" i="7" s="1"/>
  <c r="C51" i="7"/>
  <c r="C50" i="7"/>
  <c r="C49" i="7"/>
  <c r="P49" i="7" s="1"/>
  <c r="Q49" i="7" s="1"/>
  <c r="C48" i="7"/>
  <c r="P48" i="7" s="1"/>
  <c r="Q48" i="7" s="1"/>
  <c r="C47" i="7"/>
  <c r="C46" i="7"/>
  <c r="C45" i="7"/>
  <c r="P45" i="7" s="1"/>
  <c r="Q45" i="7" s="1"/>
  <c r="C44" i="7"/>
  <c r="P44" i="7" s="1"/>
  <c r="Q44" i="7" s="1"/>
  <c r="C43" i="7"/>
  <c r="C42" i="7"/>
  <c r="C41" i="7"/>
  <c r="P41" i="7" s="1"/>
  <c r="Q41" i="7" s="1"/>
  <c r="C40" i="7"/>
  <c r="P40" i="7" s="1"/>
  <c r="Q40" i="7" s="1"/>
  <c r="C39" i="7"/>
  <c r="C33" i="7"/>
  <c r="C17" i="7"/>
  <c r="C18" i="7"/>
  <c r="P18" i="7" s="1"/>
  <c r="Q18" i="7" s="1"/>
  <c r="C19" i="7"/>
  <c r="C20" i="7"/>
  <c r="P20" i="7" s="1"/>
  <c r="Q20" i="7" s="1"/>
  <c r="C21" i="7"/>
  <c r="P21" i="7" s="1"/>
  <c r="Q21" i="7" s="1"/>
  <c r="C22" i="7"/>
  <c r="P22" i="7" s="1"/>
  <c r="Q22" i="7" s="1"/>
  <c r="C23" i="7"/>
  <c r="P23" i="7" s="1"/>
  <c r="Q23" i="7" s="1"/>
  <c r="C24" i="7"/>
  <c r="P24" i="7" s="1"/>
  <c r="Q24" i="7" s="1"/>
  <c r="C25" i="7"/>
  <c r="P25" i="7" s="1"/>
  <c r="Q25" i="7" s="1"/>
  <c r="C26" i="7"/>
  <c r="P26" i="7" s="1"/>
  <c r="Q26" i="7" s="1"/>
  <c r="C27" i="7"/>
  <c r="P27" i="7" s="1"/>
  <c r="Q27" i="7" s="1"/>
  <c r="C28" i="7"/>
  <c r="P28" i="7" s="1"/>
  <c r="Q28" i="7" s="1"/>
  <c r="C16" i="7"/>
  <c r="O265" i="7"/>
  <c r="N265" i="7"/>
  <c r="M265" i="7"/>
  <c r="L265" i="7"/>
  <c r="K265" i="7"/>
  <c r="J265" i="7"/>
  <c r="I265" i="7"/>
  <c r="H265" i="7"/>
  <c r="G265" i="7"/>
  <c r="F265" i="7"/>
  <c r="E265" i="7"/>
  <c r="D265" i="7"/>
  <c r="P263" i="7"/>
  <c r="Q263" i="7" s="1"/>
  <c r="AG254" i="7"/>
  <c r="AF254" i="7"/>
  <c r="AE254" i="7"/>
  <c r="AD254" i="7"/>
  <c r="AC254" i="7"/>
  <c r="AB254" i="7"/>
  <c r="AG249" i="7"/>
  <c r="AF249" i="7"/>
  <c r="AE249" i="7"/>
  <c r="AD249" i="7"/>
  <c r="AC249" i="7"/>
  <c r="AB249" i="7"/>
  <c r="P249" i="7"/>
  <c r="Q249" i="7" s="1"/>
  <c r="V249" i="7" s="1"/>
  <c r="AG248" i="7"/>
  <c r="AF248" i="7"/>
  <c r="AE248" i="7"/>
  <c r="AD248" i="7"/>
  <c r="AC248" i="7"/>
  <c r="AB248" i="7"/>
  <c r="P248" i="7"/>
  <c r="Q248" i="7" s="1"/>
  <c r="V248" i="7" s="1"/>
  <c r="AG247" i="7"/>
  <c r="AF247" i="7"/>
  <c r="AE247" i="7"/>
  <c r="AD247" i="7"/>
  <c r="AC247" i="7"/>
  <c r="AB247" i="7"/>
  <c r="AG245" i="7"/>
  <c r="AF245" i="7"/>
  <c r="AE245" i="7"/>
  <c r="AD245" i="7"/>
  <c r="AC245" i="7"/>
  <c r="AB245" i="7"/>
  <c r="P245" i="7"/>
  <c r="Q245" i="7" s="1"/>
  <c r="AG233" i="7"/>
  <c r="AF233" i="7"/>
  <c r="AE233" i="7"/>
  <c r="AD233" i="7"/>
  <c r="AC233" i="7"/>
  <c r="AB233" i="7"/>
  <c r="P233" i="7"/>
  <c r="Q233" i="7" s="1"/>
  <c r="Y233" i="7" s="1"/>
  <c r="AG225" i="7"/>
  <c r="AF225" i="7"/>
  <c r="AE225" i="7"/>
  <c r="AD225" i="7"/>
  <c r="AC225" i="7"/>
  <c r="AB225" i="7"/>
  <c r="P225" i="7"/>
  <c r="Q225" i="7" s="1"/>
  <c r="AG223" i="7"/>
  <c r="AF223" i="7"/>
  <c r="AE223" i="7"/>
  <c r="AD223" i="7"/>
  <c r="AC223" i="7"/>
  <c r="AB223" i="7"/>
  <c r="P223" i="7"/>
  <c r="Q223" i="7" s="1"/>
  <c r="X223" i="7" s="1"/>
  <c r="AG219" i="7"/>
  <c r="AF219" i="7"/>
  <c r="AE219" i="7"/>
  <c r="AD219" i="7"/>
  <c r="AC219" i="7"/>
  <c r="AB219" i="7"/>
  <c r="P219" i="7"/>
  <c r="Q219" i="7" s="1"/>
  <c r="O212" i="7"/>
  <c r="N212" i="7"/>
  <c r="M212" i="7"/>
  <c r="L212" i="7"/>
  <c r="K212" i="7"/>
  <c r="J212" i="7"/>
  <c r="I212" i="7"/>
  <c r="H212" i="7"/>
  <c r="G212" i="7"/>
  <c r="F212" i="7"/>
  <c r="E212" i="7"/>
  <c r="D212" i="7"/>
  <c r="AG210" i="7"/>
  <c r="AF210" i="7"/>
  <c r="AE210" i="7"/>
  <c r="AD210" i="7"/>
  <c r="AC210" i="7"/>
  <c r="AB210" i="7"/>
  <c r="AG209" i="7"/>
  <c r="AF209" i="7"/>
  <c r="AE209" i="7"/>
  <c r="AD209" i="7"/>
  <c r="AC209" i="7"/>
  <c r="AB209" i="7"/>
  <c r="AG208" i="7"/>
  <c r="AF208" i="7"/>
  <c r="AE208" i="7"/>
  <c r="AD208" i="7"/>
  <c r="AC208" i="7"/>
  <c r="AB208" i="7"/>
  <c r="P208" i="7"/>
  <c r="Q208" i="7" s="1"/>
  <c r="AG207" i="7"/>
  <c r="AF207" i="7"/>
  <c r="AE207" i="7"/>
  <c r="AD207" i="7"/>
  <c r="AC207" i="7"/>
  <c r="AB207" i="7"/>
  <c r="AG206" i="7"/>
  <c r="AF206" i="7"/>
  <c r="AE206" i="7"/>
  <c r="AD206" i="7"/>
  <c r="AC206" i="7"/>
  <c r="AB206" i="7"/>
  <c r="O202" i="7"/>
  <c r="N202" i="7"/>
  <c r="M202" i="7"/>
  <c r="L202" i="7"/>
  <c r="K202" i="7"/>
  <c r="J202" i="7"/>
  <c r="I202" i="7"/>
  <c r="H202" i="7"/>
  <c r="G202" i="7"/>
  <c r="F202" i="7"/>
  <c r="E202" i="7"/>
  <c r="D202" i="7"/>
  <c r="AG200" i="7"/>
  <c r="AF200" i="7"/>
  <c r="AE200" i="7"/>
  <c r="AD200" i="7"/>
  <c r="AC200" i="7"/>
  <c r="AB200" i="7"/>
  <c r="P200" i="7"/>
  <c r="Q200" i="7" s="1"/>
  <c r="AG199" i="7"/>
  <c r="AF199" i="7"/>
  <c r="AE199" i="7"/>
  <c r="AD199" i="7"/>
  <c r="AC199" i="7"/>
  <c r="AB199" i="7"/>
  <c r="AG198" i="7"/>
  <c r="AF198" i="7"/>
  <c r="AE198" i="7"/>
  <c r="AD198" i="7"/>
  <c r="AC198" i="7"/>
  <c r="AB198" i="7"/>
  <c r="AG197" i="7"/>
  <c r="AF197" i="7"/>
  <c r="AE197" i="7"/>
  <c r="AD197" i="7"/>
  <c r="AC197" i="7"/>
  <c r="AB197" i="7"/>
  <c r="O194" i="7"/>
  <c r="N194" i="7"/>
  <c r="M194" i="7"/>
  <c r="L194" i="7"/>
  <c r="K194" i="7"/>
  <c r="J194" i="7"/>
  <c r="I194" i="7"/>
  <c r="H194" i="7"/>
  <c r="G194" i="7"/>
  <c r="F194" i="7"/>
  <c r="E194" i="7"/>
  <c r="D194" i="7"/>
  <c r="AG192" i="7"/>
  <c r="AF192" i="7"/>
  <c r="AE192" i="7"/>
  <c r="AD192" i="7"/>
  <c r="AC192" i="7"/>
  <c r="AB192" i="7"/>
  <c r="P192" i="7"/>
  <c r="Q192" i="7" s="1"/>
  <c r="W192" i="7" s="1"/>
  <c r="AG191" i="7"/>
  <c r="AF191" i="7"/>
  <c r="AE191" i="7"/>
  <c r="AD191" i="7"/>
  <c r="AC191" i="7"/>
  <c r="AB191" i="7"/>
  <c r="AG190" i="7"/>
  <c r="AF190" i="7"/>
  <c r="AE190" i="7"/>
  <c r="AD190" i="7"/>
  <c r="AC190" i="7"/>
  <c r="AB190" i="7"/>
  <c r="AG189" i="7"/>
  <c r="AF189" i="7"/>
  <c r="AE189" i="7"/>
  <c r="AD189" i="7"/>
  <c r="AC189" i="7"/>
  <c r="AB189" i="7"/>
  <c r="AG188" i="7"/>
  <c r="AF188" i="7"/>
  <c r="AE188" i="7"/>
  <c r="AD188" i="7"/>
  <c r="AC188" i="7"/>
  <c r="AB188" i="7"/>
  <c r="P188" i="7"/>
  <c r="Q188" i="7" s="1"/>
  <c r="Y188" i="7" s="1"/>
  <c r="AG187" i="7"/>
  <c r="AF187" i="7"/>
  <c r="AE187" i="7"/>
  <c r="AD187" i="7"/>
  <c r="AC187" i="7"/>
  <c r="AB187" i="7"/>
  <c r="O184" i="7"/>
  <c r="N184" i="7"/>
  <c r="M184" i="7"/>
  <c r="L184" i="7"/>
  <c r="K184" i="7"/>
  <c r="J184" i="7"/>
  <c r="I184" i="7"/>
  <c r="H184" i="7"/>
  <c r="G184" i="7"/>
  <c r="F184" i="7"/>
  <c r="E184" i="7"/>
  <c r="D184" i="7"/>
  <c r="P182" i="7"/>
  <c r="Q182" i="7" s="1"/>
  <c r="AG176" i="7"/>
  <c r="AF176" i="7"/>
  <c r="AE176" i="7"/>
  <c r="AD176" i="7"/>
  <c r="AC176" i="7"/>
  <c r="AB176" i="7"/>
  <c r="AG172" i="7"/>
  <c r="AF172" i="7"/>
  <c r="AE172" i="7"/>
  <c r="AD172" i="7"/>
  <c r="AC172" i="7"/>
  <c r="AB172" i="7"/>
  <c r="AG171" i="7"/>
  <c r="AF171" i="7"/>
  <c r="AE171" i="7"/>
  <c r="AD171" i="7"/>
  <c r="AC171" i="7"/>
  <c r="AB171" i="7"/>
  <c r="W171" i="7"/>
  <c r="AG170" i="7"/>
  <c r="AC170" i="7"/>
  <c r="AG169" i="7"/>
  <c r="AF169" i="7"/>
  <c r="AE169" i="7"/>
  <c r="AD169" i="7"/>
  <c r="AC169" i="7"/>
  <c r="AB169" i="7"/>
  <c r="O157" i="7"/>
  <c r="N157" i="7"/>
  <c r="M157" i="7"/>
  <c r="L157" i="7"/>
  <c r="K157" i="7"/>
  <c r="J157" i="7"/>
  <c r="I157" i="7"/>
  <c r="H157" i="7"/>
  <c r="G157" i="7"/>
  <c r="F157" i="7"/>
  <c r="E157" i="7"/>
  <c r="D157" i="7"/>
  <c r="AG155" i="7"/>
  <c r="AF155" i="7"/>
  <c r="AE155" i="7"/>
  <c r="AD155" i="7"/>
  <c r="AC155" i="7"/>
  <c r="AB155" i="7"/>
  <c r="P155" i="7"/>
  <c r="Q155" i="7" s="1"/>
  <c r="Y155" i="7" s="1"/>
  <c r="AG154" i="7"/>
  <c r="AF154" i="7"/>
  <c r="AE154" i="7"/>
  <c r="AD154" i="7"/>
  <c r="AC154" i="7"/>
  <c r="AB154" i="7"/>
  <c r="O142" i="7"/>
  <c r="N142" i="7"/>
  <c r="M142" i="7"/>
  <c r="L142" i="7"/>
  <c r="K142" i="7"/>
  <c r="J142" i="7"/>
  <c r="I142" i="7"/>
  <c r="H142" i="7"/>
  <c r="G142" i="7"/>
  <c r="F142" i="7"/>
  <c r="E142" i="7"/>
  <c r="D142" i="7"/>
  <c r="C142" i="7"/>
  <c r="AG140" i="7"/>
  <c r="AF140" i="7"/>
  <c r="AE140" i="7"/>
  <c r="AD140" i="7"/>
  <c r="AC140" i="7"/>
  <c r="AB140" i="7"/>
  <c r="O137" i="7"/>
  <c r="AD137" i="7" s="1"/>
  <c r="N137" i="7"/>
  <c r="M137" i="7"/>
  <c r="L137" i="7"/>
  <c r="K137" i="7"/>
  <c r="J137" i="7"/>
  <c r="I137" i="7"/>
  <c r="H137" i="7"/>
  <c r="G137" i="7"/>
  <c r="F137" i="7"/>
  <c r="E137" i="7"/>
  <c r="D137" i="7"/>
  <c r="O131" i="7"/>
  <c r="N131" i="7"/>
  <c r="M131" i="7"/>
  <c r="L131" i="7"/>
  <c r="K131" i="7"/>
  <c r="J131" i="7"/>
  <c r="I131" i="7"/>
  <c r="H131" i="7"/>
  <c r="G131" i="7"/>
  <c r="F131" i="7"/>
  <c r="E131" i="7"/>
  <c r="D131" i="7"/>
  <c r="Q129" i="7"/>
  <c r="Q128" i="7"/>
  <c r="Q125" i="7"/>
  <c r="Q121" i="7"/>
  <c r="Q117" i="7"/>
  <c r="Q109" i="7"/>
  <c r="Q108" i="7"/>
  <c r="Q105" i="7"/>
  <c r="Q101" i="7"/>
  <c r="Q98" i="7"/>
  <c r="O92" i="7"/>
  <c r="N92" i="7"/>
  <c r="M92" i="7"/>
  <c r="L92" i="7"/>
  <c r="K92" i="7"/>
  <c r="J92" i="7"/>
  <c r="I92" i="7"/>
  <c r="H92" i="7"/>
  <c r="G92" i="7"/>
  <c r="F92" i="7"/>
  <c r="E92" i="7"/>
  <c r="D92" i="7"/>
  <c r="P90" i="7"/>
  <c r="Q90" i="7" s="1"/>
  <c r="P89" i="7"/>
  <c r="O86" i="7"/>
  <c r="AD86" i="7" s="1"/>
  <c r="N86" i="7"/>
  <c r="M86" i="7"/>
  <c r="L86" i="7"/>
  <c r="K86" i="7"/>
  <c r="J86" i="7"/>
  <c r="I86" i="7"/>
  <c r="H86" i="7"/>
  <c r="G86" i="7"/>
  <c r="F86" i="7"/>
  <c r="E86" i="7"/>
  <c r="D86" i="7"/>
  <c r="P82" i="7"/>
  <c r="Q82" i="7" s="1"/>
  <c r="P77" i="7"/>
  <c r="Q77" i="7" s="1"/>
  <c r="P73" i="7"/>
  <c r="Q68" i="7"/>
  <c r="O66" i="7"/>
  <c r="O68" i="7" s="1"/>
  <c r="N66" i="7"/>
  <c r="N68" i="7" s="1"/>
  <c r="M66" i="7"/>
  <c r="M68" i="7" s="1"/>
  <c r="L66" i="7"/>
  <c r="L68" i="7" s="1"/>
  <c r="K66" i="7"/>
  <c r="K68" i="7" s="1"/>
  <c r="J66" i="7"/>
  <c r="J68" i="7" s="1"/>
  <c r="I66" i="7"/>
  <c r="I68" i="7" s="1"/>
  <c r="H66" i="7"/>
  <c r="H68" i="7" s="1"/>
  <c r="G66" i="7"/>
  <c r="G68" i="7" s="1"/>
  <c r="F66" i="7"/>
  <c r="F68" i="7" s="1"/>
  <c r="E66" i="7"/>
  <c r="E68" i="7" s="1"/>
  <c r="D66" i="7"/>
  <c r="D68" i="7" s="1"/>
  <c r="P64" i="7"/>
  <c r="Q64" i="7" s="1"/>
  <c r="P63" i="7"/>
  <c r="Q63" i="7" s="1"/>
  <c r="P62" i="7"/>
  <c r="Q62" i="7" s="1"/>
  <c r="P51" i="7"/>
  <c r="Q51" i="7" s="1"/>
  <c r="P50" i="7"/>
  <c r="Q50" i="7" s="1"/>
  <c r="P47" i="7"/>
  <c r="Q47" i="7" s="1"/>
  <c r="P46" i="7"/>
  <c r="Q46" i="7" s="1"/>
  <c r="P43" i="7"/>
  <c r="Q43" i="7" s="1"/>
  <c r="P42" i="7"/>
  <c r="Q42" i="7" s="1"/>
  <c r="P39" i="7"/>
  <c r="Q39" i="7" s="1"/>
  <c r="O35" i="7"/>
  <c r="N35" i="7"/>
  <c r="M35" i="7"/>
  <c r="L35" i="7"/>
  <c r="K35" i="7"/>
  <c r="J35" i="7"/>
  <c r="I35" i="7"/>
  <c r="H35" i="7"/>
  <c r="G35" i="7"/>
  <c r="F35" i="7"/>
  <c r="E35" i="7"/>
  <c r="D35" i="7"/>
  <c r="P33" i="7"/>
  <c r="O30" i="7"/>
  <c r="N30" i="7"/>
  <c r="M30" i="7"/>
  <c r="L30" i="7"/>
  <c r="K30" i="7"/>
  <c r="J30" i="7"/>
  <c r="I30" i="7"/>
  <c r="H30" i="7"/>
  <c r="G30" i="7"/>
  <c r="F30" i="7"/>
  <c r="E30" i="7"/>
  <c r="D30" i="7"/>
  <c r="P17" i="7"/>
  <c r="Q17" i="7" s="1"/>
  <c r="P16" i="7"/>
  <c r="I14" i="9"/>
  <c r="J14" i="9" s="1"/>
  <c r="K14" i="9" s="1"/>
  <c r="L14" i="9" s="1"/>
  <c r="M14" i="9" s="1"/>
  <c r="N14" i="9" s="1"/>
  <c r="O14" i="9" s="1"/>
  <c r="P14" i="9" s="1"/>
  <c r="Q14" i="9" s="1"/>
  <c r="R14" i="9" s="1"/>
  <c r="S14" i="9" s="1"/>
  <c r="I19" i="9"/>
  <c r="J19" i="9" s="1"/>
  <c r="K19" i="9" s="1"/>
  <c r="L19" i="9" s="1"/>
  <c r="M19" i="9" s="1"/>
  <c r="N19" i="9" s="1"/>
  <c r="O19" i="9" s="1"/>
  <c r="P19" i="9" s="1"/>
  <c r="Q19" i="9" s="1"/>
  <c r="R19" i="9" s="1"/>
  <c r="S19" i="9" s="1"/>
  <c r="I20" i="9"/>
  <c r="J20" i="9"/>
  <c r="K20" i="9" s="1"/>
  <c r="L20" i="9" s="1"/>
  <c r="M20" i="9" s="1"/>
  <c r="N20" i="9" s="1"/>
  <c r="O20" i="9" s="1"/>
  <c r="P20" i="9" s="1"/>
  <c r="Q20" i="9" s="1"/>
  <c r="R20" i="9" s="1"/>
  <c r="S20" i="9" s="1"/>
  <c r="I21" i="9"/>
  <c r="J21" i="9" s="1"/>
  <c r="K21" i="9" s="1"/>
  <c r="L21" i="9" s="1"/>
  <c r="M21" i="9" s="1"/>
  <c r="N21" i="9" s="1"/>
  <c r="O21" i="9" s="1"/>
  <c r="P21" i="9" s="1"/>
  <c r="Q21" i="9" s="1"/>
  <c r="R21" i="9" s="1"/>
  <c r="S21" i="9" s="1"/>
  <c r="I22" i="9"/>
  <c r="J22" i="9" s="1"/>
  <c r="K22" i="9" s="1"/>
  <c r="L22" i="9" s="1"/>
  <c r="M22" i="9" s="1"/>
  <c r="N22" i="9" s="1"/>
  <c r="O22" i="9" s="1"/>
  <c r="P22" i="9" s="1"/>
  <c r="Q22" i="9" s="1"/>
  <c r="R22" i="9" s="1"/>
  <c r="S22" i="9" s="1"/>
  <c r="I23" i="9"/>
  <c r="J23" i="9" s="1"/>
  <c r="K23" i="9" s="1"/>
  <c r="L23" i="9" s="1"/>
  <c r="M23" i="9" s="1"/>
  <c r="N23" i="9" s="1"/>
  <c r="O23" i="9" s="1"/>
  <c r="P23" i="9" s="1"/>
  <c r="Q23" i="9" s="1"/>
  <c r="R23" i="9" s="1"/>
  <c r="S23" i="9" s="1"/>
  <c r="H18" i="9"/>
  <c r="I18" i="9" s="1"/>
  <c r="J18" i="9" s="1"/>
  <c r="K18" i="9" s="1"/>
  <c r="L18" i="9" s="1"/>
  <c r="M18" i="9" s="1"/>
  <c r="N18" i="9" s="1"/>
  <c r="O18" i="9" s="1"/>
  <c r="P18" i="9" s="1"/>
  <c r="Q18" i="9" s="1"/>
  <c r="R18" i="9" s="1"/>
  <c r="S18" i="9" s="1"/>
  <c r="H19" i="9"/>
  <c r="H20" i="9"/>
  <c r="H21" i="9"/>
  <c r="H22" i="9"/>
  <c r="H23" i="9"/>
  <c r="H14" i="9"/>
  <c r="G15" i="9"/>
  <c r="H15" i="9" s="1"/>
  <c r="I15" i="9" s="1"/>
  <c r="J15" i="9" s="1"/>
  <c r="K15" i="9" s="1"/>
  <c r="L15" i="9" s="1"/>
  <c r="M15" i="9" s="1"/>
  <c r="N15" i="9" s="1"/>
  <c r="O15" i="9" s="1"/>
  <c r="P15" i="9" s="1"/>
  <c r="Q15" i="9" s="1"/>
  <c r="R15" i="9" s="1"/>
  <c r="S15" i="9" s="1"/>
  <c r="G16" i="9"/>
  <c r="H16" i="9" s="1"/>
  <c r="I16" i="9" s="1"/>
  <c r="J16" i="9" s="1"/>
  <c r="K16" i="9" s="1"/>
  <c r="L16" i="9" s="1"/>
  <c r="M16" i="9" s="1"/>
  <c r="N16" i="9" s="1"/>
  <c r="O16" i="9" s="1"/>
  <c r="P16" i="9" s="1"/>
  <c r="Q16" i="9" s="1"/>
  <c r="R16" i="9" s="1"/>
  <c r="S16" i="9" s="1"/>
  <c r="G17" i="9"/>
  <c r="H17" i="9" s="1"/>
  <c r="I17" i="9" s="1"/>
  <c r="J17" i="9" s="1"/>
  <c r="K17" i="9" s="1"/>
  <c r="L17" i="9" s="1"/>
  <c r="M17" i="9" s="1"/>
  <c r="N17" i="9" s="1"/>
  <c r="O17" i="9" s="1"/>
  <c r="P17" i="9" s="1"/>
  <c r="Q17" i="9" s="1"/>
  <c r="R17" i="9" s="1"/>
  <c r="S17" i="9" s="1"/>
  <c r="G18" i="9"/>
  <c r="G19" i="9"/>
  <c r="G20" i="9"/>
  <c r="G21" i="9"/>
  <c r="G22" i="9"/>
  <c r="G23" i="9"/>
  <c r="G24" i="9"/>
  <c r="G14" i="9"/>
  <c r="C13" i="10"/>
  <c r="D13" i="10"/>
  <c r="B13" i="10"/>
  <c r="G44" i="8"/>
  <c r="H44" i="8" s="1"/>
  <c r="I44" i="8" s="1"/>
  <c r="J44" i="8" s="1"/>
  <c r="K44" i="8" s="1"/>
  <c r="L44" i="8" s="1"/>
  <c r="M44" i="8" s="1"/>
  <c r="N44" i="8" s="1"/>
  <c r="O44" i="8" s="1"/>
  <c r="P44" i="8" s="1"/>
  <c r="Q44" i="8" s="1"/>
  <c r="R44" i="8" s="1"/>
  <c r="S44" i="8" s="1"/>
  <c r="G44" i="9" s="1"/>
  <c r="B5" i="11"/>
  <c r="C5" i="11" s="1"/>
  <c r="D5" i="11" s="1"/>
  <c r="E5" i="11" s="1"/>
  <c r="F5" i="11" s="1"/>
  <c r="G5" i="11" s="1"/>
  <c r="H5" i="11" s="1"/>
  <c r="I5" i="11" s="1"/>
  <c r="J5" i="11" s="1"/>
  <c r="K5" i="11" s="1"/>
  <c r="L5" i="11" s="1"/>
  <c r="M5" i="11" s="1"/>
  <c r="D6" i="10"/>
  <c r="C6" i="11" s="1"/>
  <c r="D6" i="11" s="1"/>
  <c r="E6" i="11" s="1"/>
  <c r="F6" i="11" s="1"/>
  <c r="G6" i="11" s="1"/>
  <c r="H6" i="11" s="1"/>
  <c r="I6" i="11" s="1"/>
  <c r="J6" i="11" s="1"/>
  <c r="K6" i="11" s="1"/>
  <c r="L6" i="11" s="1"/>
  <c r="M6" i="11" s="1"/>
  <c r="C7" i="11"/>
  <c r="D7" i="11" s="1"/>
  <c r="E7" i="11" s="1"/>
  <c r="F7" i="11" s="1"/>
  <c r="G7" i="11" s="1"/>
  <c r="H7" i="11" s="1"/>
  <c r="I7" i="11" s="1"/>
  <c r="J7" i="11" s="1"/>
  <c r="K7" i="11" s="1"/>
  <c r="L7" i="11" s="1"/>
  <c r="M7" i="11" s="1"/>
  <c r="D8" i="10"/>
  <c r="C8" i="11" s="1"/>
  <c r="D8" i="11" s="1"/>
  <c r="E8" i="11" s="1"/>
  <c r="F8" i="11" s="1"/>
  <c r="G8" i="11" s="1"/>
  <c r="H8" i="11" s="1"/>
  <c r="I8" i="11" s="1"/>
  <c r="J8" i="11" s="1"/>
  <c r="K8" i="11" s="1"/>
  <c r="L8" i="11" s="1"/>
  <c r="M8" i="11" s="1"/>
  <c r="D9" i="10"/>
  <c r="B9" i="11"/>
  <c r="C9" i="11" s="1"/>
  <c r="D9" i="11" s="1"/>
  <c r="E9" i="11" s="1"/>
  <c r="F9" i="11" s="1"/>
  <c r="G9" i="11" s="1"/>
  <c r="H9" i="11" s="1"/>
  <c r="I9" i="11" s="1"/>
  <c r="J9" i="11" s="1"/>
  <c r="K9" i="11" s="1"/>
  <c r="L9" i="11" s="1"/>
  <c r="M9" i="11" s="1"/>
  <c r="D10" i="10"/>
  <c r="B10" i="11" s="1"/>
  <c r="C10" i="11" s="1"/>
  <c r="D10" i="11" s="1"/>
  <c r="E10" i="11" s="1"/>
  <c r="F10" i="11" s="1"/>
  <c r="G10" i="11" s="1"/>
  <c r="H10" i="11" s="1"/>
  <c r="I10" i="11" s="1"/>
  <c r="J10" i="11" s="1"/>
  <c r="K10" i="11" s="1"/>
  <c r="L10" i="11" s="1"/>
  <c r="M10" i="11" s="1"/>
  <c r="D11" i="10"/>
  <c r="C11" i="11"/>
  <c r="D11" i="11" s="1"/>
  <c r="E11" i="11" s="1"/>
  <c r="F11" i="11" s="1"/>
  <c r="G11" i="11" s="1"/>
  <c r="H11" i="11" s="1"/>
  <c r="I11" i="11" s="1"/>
  <c r="J11" i="11" s="1"/>
  <c r="K11" i="11" s="1"/>
  <c r="L11" i="11" s="1"/>
  <c r="M11" i="11" s="1"/>
  <c r="D12" i="10"/>
  <c r="C12" i="11" s="1"/>
  <c r="D12" i="11" s="1"/>
  <c r="E12" i="11" s="1"/>
  <c r="F12" i="11" s="1"/>
  <c r="G12" i="11" s="1"/>
  <c r="H12" i="11" s="1"/>
  <c r="I12" i="11" s="1"/>
  <c r="J12" i="11" s="1"/>
  <c r="K12" i="11" s="1"/>
  <c r="L12" i="11" s="1"/>
  <c r="M12" i="11" s="1"/>
  <c r="C5" i="10"/>
  <c r="C6" i="10"/>
  <c r="C7" i="10"/>
  <c r="C8" i="10"/>
  <c r="C9" i="10"/>
  <c r="C10" i="10"/>
  <c r="C11" i="10"/>
  <c r="C12" i="10"/>
  <c r="C4" i="10"/>
  <c r="B4" i="10"/>
  <c r="B5" i="10"/>
  <c r="B6" i="10"/>
  <c r="B7" i="10"/>
  <c r="B8" i="10"/>
  <c r="B9" i="10"/>
  <c r="B10" i="10"/>
  <c r="B11" i="10"/>
  <c r="B12" i="10"/>
  <c r="B3" i="10"/>
  <c r="M13" i="10" l="1"/>
  <c r="H13" i="10"/>
  <c r="G13" i="10"/>
  <c r="L13" i="10"/>
  <c r="K13" i="10"/>
  <c r="J13" i="10"/>
  <c r="F13" i="10"/>
  <c r="I13" i="10"/>
  <c r="E13" i="10"/>
  <c r="AB170" i="7"/>
  <c r="AF170" i="7"/>
  <c r="AD170" i="7"/>
  <c r="V170" i="7"/>
  <c r="P99" i="7"/>
  <c r="Q99" i="7" s="1"/>
  <c r="D246" i="7"/>
  <c r="E246" i="7" s="1"/>
  <c r="F246" i="7" s="1"/>
  <c r="G246" i="7" s="1"/>
  <c r="H246" i="7" s="1"/>
  <c r="I246" i="7" s="1"/>
  <c r="J246" i="7" s="1"/>
  <c r="K246" i="7" s="1"/>
  <c r="L246" i="7" s="1"/>
  <c r="M246" i="7" s="1"/>
  <c r="N246" i="7" s="1"/>
  <c r="O246" i="7" s="1"/>
  <c r="V205" i="7"/>
  <c r="T205" i="7"/>
  <c r="W205" i="7"/>
  <c r="X205" i="7"/>
  <c r="U205" i="7"/>
  <c r="Y205" i="7"/>
  <c r="P228" i="7"/>
  <c r="Q228" i="7" s="1"/>
  <c r="Y228" i="7" s="1"/>
  <c r="D228" i="7"/>
  <c r="E228" i="7" s="1"/>
  <c r="F228" i="7" s="1"/>
  <c r="G228" i="7" s="1"/>
  <c r="H228" i="7" s="1"/>
  <c r="I228" i="7" s="1"/>
  <c r="J228" i="7" s="1"/>
  <c r="K228" i="7" s="1"/>
  <c r="L228" i="7" s="1"/>
  <c r="M228" i="7" s="1"/>
  <c r="N228" i="7" s="1"/>
  <c r="O228" i="7" s="1"/>
  <c r="D221" i="7"/>
  <c r="E221" i="7" s="1"/>
  <c r="F221" i="7" s="1"/>
  <c r="G221" i="7" s="1"/>
  <c r="H221" i="7" s="1"/>
  <c r="I221" i="7" s="1"/>
  <c r="J221" i="7" s="1"/>
  <c r="K221" i="7" s="1"/>
  <c r="L221" i="7" s="1"/>
  <c r="M221" i="7" s="1"/>
  <c r="N221" i="7" s="1"/>
  <c r="O221" i="7" s="1"/>
  <c r="P229" i="7"/>
  <c r="Q229" i="7" s="1"/>
  <c r="V229" i="7" s="1"/>
  <c r="D229" i="7"/>
  <c r="E229" i="7" s="1"/>
  <c r="F229" i="7" s="1"/>
  <c r="G229" i="7" s="1"/>
  <c r="H229" i="7" s="1"/>
  <c r="I229" i="7" s="1"/>
  <c r="J229" i="7" s="1"/>
  <c r="K229" i="7" s="1"/>
  <c r="L229" i="7" s="1"/>
  <c r="M229" i="7" s="1"/>
  <c r="N229" i="7" s="1"/>
  <c r="O229" i="7" s="1"/>
  <c r="D224" i="7"/>
  <c r="E224" i="7" s="1"/>
  <c r="F224" i="7" s="1"/>
  <c r="G224" i="7" s="1"/>
  <c r="H224" i="7" s="1"/>
  <c r="I224" i="7" s="1"/>
  <c r="J224" i="7" s="1"/>
  <c r="K224" i="7" s="1"/>
  <c r="L224" i="7" s="1"/>
  <c r="M224" i="7" s="1"/>
  <c r="N224" i="7" s="1"/>
  <c r="O224" i="7" s="1"/>
  <c r="D222" i="7"/>
  <c r="E222" i="7" s="1"/>
  <c r="F222" i="7" s="1"/>
  <c r="G222" i="7" s="1"/>
  <c r="H222" i="7" s="1"/>
  <c r="I222" i="7" s="1"/>
  <c r="J222" i="7" s="1"/>
  <c r="K222" i="7" s="1"/>
  <c r="L222" i="7" s="1"/>
  <c r="M222" i="7" s="1"/>
  <c r="N222" i="7" s="1"/>
  <c r="O222" i="7" s="1"/>
  <c r="D226" i="7"/>
  <c r="E226" i="7" s="1"/>
  <c r="F226" i="7" s="1"/>
  <c r="G226" i="7" s="1"/>
  <c r="H226" i="7" s="1"/>
  <c r="I226" i="7" s="1"/>
  <c r="J226" i="7" s="1"/>
  <c r="K226" i="7" s="1"/>
  <c r="L226" i="7" s="1"/>
  <c r="M226" i="7" s="1"/>
  <c r="N226" i="7" s="1"/>
  <c r="O226" i="7" s="1"/>
  <c r="D230" i="7"/>
  <c r="E230" i="7" s="1"/>
  <c r="F230" i="7" s="1"/>
  <c r="G230" i="7" s="1"/>
  <c r="H230" i="7" s="1"/>
  <c r="I230" i="7" s="1"/>
  <c r="J230" i="7" s="1"/>
  <c r="K230" i="7" s="1"/>
  <c r="L230" i="7" s="1"/>
  <c r="M230" i="7" s="1"/>
  <c r="N230" i="7" s="1"/>
  <c r="O230" i="7" s="1"/>
  <c r="D220" i="7"/>
  <c r="E220" i="7" s="1"/>
  <c r="F220" i="7" s="1"/>
  <c r="G220" i="7" s="1"/>
  <c r="H220" i="7" s="1"/>
  <c r="I220" i="7" s="1"/>
  <c r="J220" i="7" s="1"/>
  <c r="K220" i="7" s="1"/>
  <c r="L220" i="7" s="1"/>
  <c r="M220" i="7" s="1"/>
  <c r="N220" i="7" s="1"/>
  <c r="O220" i="7" s="1"/>
  <c r="D232" i="7"/>
  <c r="E232" i="7" s="1"/>
  <c r="F232" i="7" s="1"/>
  <c r="G232" i="7" s="1"/>
  <c r="H232" i="7" s="1"/>
  <c r="I232" i="7" s="1"/>
  <c r="J232" i="7" s="1"/>
  <c r="K232" i="7" s="1"/>
  <c r="L232" i="7" s="1"/>
  <c r="M232" i="7" s="1"/>
  <c r="N232" i="7" s="1"/>
  <c r="O232" i="7" s="1"/>
  <c r="D227" i="7"/>
  <c r="E227" i="7" s="1"/>
  <c r="F227" i="7" s="1"/>
  <c r="G227" i="7" s="1"/>
  <c r="H227" i="7" s="1"/>
  <c r="I227" i="7" s="1"/>
  <c r="J227" i="7" s="1"/>
  <c r="K227" i="7" s="1"/>
  <c r="L227" i="7" s="1"/>
  <c r="M227" i="7" s="1"/>
  <c r="N227" i="7" s="1"/>
  <c r="O227" i="7" s="1"/>
  <c r="D231" i="7"/>
  <c r="E231" i="7" s="1"/>
  <c r="F231" i="7" s="1"/>
  <c r="G231" i="7" s="1"/>
  <c r="H231" i="7" s="1"/>
  <c r="I231" i="7" s="1"/>
  <c r="J231" i="7" s="1"/>
  <c r="K231" i="7" s="1"/>
  <c r="L231" i="7" s="1"/>
  <c r="M231" i="7" s="1"/>
  <c r="N231" i="7" s="1"/>
  <c r="O231" i="7" s="1"/>
  <c r="AE137" i="7"/>
  <c r="AG137" i="7"/>
  <c r="P261" i="7"/>
  <c r="Q261" i="7" s="1"/>
  <c r="Q265" i="7" s="1"/>
  <c r="C184" i="7"/>
  <c r="AC137" i="7"/>
  <c r="C137" i="7"/>
  <c r="C131" i="7"/>
  <c r="C212" i="7"/>
  <c r="P134" i="7"/>
  <c r="P137" i="7" s="1"/>
  <c r="C251" i="7"/>
  <c r="V245" i="7"/>
  <c r="W245" i="7"/>
  <c r="C157" i="7"/>
  <c r="Q140" i="7"/>
  <c r="X140" i="7" s="1"/>
  <c r="U188" i="7"/>
  <c r="C30" i="7"/>
  <c r="C66" i="7"/>
  <c r="C68" i="7" s="1"/>
  <c r="C178" i="7"/>
  <c r="C194" i="7"/>
  <c r="C202" i="7"/>
  <c r="C86" i="7"/>
  <c r="W249" i="7"/>
  <c r="T223" i="7"/>
  <c r="C235" i="7"/>
  <c r="U233" i="7"/>
  <c r="U228" i="7"/>
  <c r="W207" i="7"/>
  <c r="T207" i="7"/>
  <c r="X207" i="7"/>
  <c r="P212" i="7"/>
  <c r="W200" i="7"/>
  <c r="T200" i="7"/>
  <c r="X200" i="7"/>
  <c r="P197" i="7"/>
  <c r="Q197" i="7" s="1"/>
  <c r="X187" i="7"/>
  <c r="T187" i="7"/>
  <c r="U191" i="7"/>
  <c r="P189" i="7"/>
  <c r="Q189" i="7" s="1"/>
  <c r="V189" i="7" s="1"/>
  <c r="Y191" i="7"/>
  <c r="X176" i="7"/>
  <c r="U176" i="7"/>
  <c r="Y176" i="7"/>
  <c r="W172" i="7"/>
  <c r="X172" i="7"/>
  <c r="T172" i="7"/>
  <c r="V154" i="7"/>
  <c r="U154" i="7"/>
  <c r="Y154" i="7"/>
  <c r="P157" i="7"/>
  <c r="P95" i="7"/>
  <c r="P61" i="7"/>
  <c r="Q61" i="7" s="1"/>
  <c r="Q59" i="7"/>
  <c r="P19" i="7"/>
  <c r="Q19" i="7" s="1"/>
  <c r="Q16" i="7"/>
  <c r="Q33" i="7"/>
  <c r="Q35" i="7" s="1"/>
  <c r="P35" i="7"/>
  <c r="AG92" i="7"/>
  <c r="AC92" i="7"/>
  <c r="AF92" i="7"/>
  <c r="AB92" i="7"/>
  <c r="AE92" i="7"/>
  <c r="C35" i="7"/>
  <c r="Q73" i="7"/>
  <c r="V199" i="7"/>
  <c r="Y199" i="7"/>
  <c r="U199" i="7"/>
  <c r="X199" i="7"/>
  <c r="T199" i="7"/>
  <c r="W199" i="7"/>
  <c r="AG86" i="7"/>
  <c r="AC86" i="7"/>
  <c r="AF86" i="7"/>
  <c r="AB86" i="7"/>
  <c r="AE86" i="7"/>
  <c r="P92" i="7"/>
  <c r="Q89" i="7"/>
  <c r="Q92" i="7" s="1"/>
  <c r="X155" i="7"/>
  <c r="V155" i="7"/>
  <c r="W155" i="7"/>
  <c r="U155" i="7"/>
  <c r="T155" i="7"/>
  <c r="Y198" i="7"/>
  <c r="U198" i="7"/>
  <c r="X198" i="7"/>
  <c r="T198" i="7"/>
  <c r="W198" i="7"/>
  <c r="V198" i="7"/>
  <c r="X208" i="7"/>
  <c r="T208" i="7"/>
  <c r="W208" i="7"/>
  <c r="V208" i="7"/>
  <c r="Y208" i="7"/>
  <c r="U208" i="7"/>
  <c r="Q86" i="7"/>
  <c r="AD92" i="7"/>
  <c r="P86" i="7"/>
  <c r="AB137" i="7"/>
  <c r="AF137" i="7"/>
  <c r="P184" i="7"/>
  <c r="P194" i="7"/>
  <c r="U189" i="7"/>
  <c r="T189" i="7"/>
  <c r="V190" i="7"/>
  <c r="Y190" i="7"/>
  <c r="U190" i="7"/>
  <c r="X190" i="7"/>
  <c r="T190" i="7"/>
  <c r="V192" i="7"/>
  <c r="Y192" i="7"/>
  <c r="U192" i="7"/>
  <c r="X192" i="7"/>
  <c r="T192" i="7"/>
  <c r="Q212" i="7"/>
  <c r="V206" i="7"/>
  <c r="Y206" i="7"/>
  <c r="U206" i="7"/>
  <c r="X206" i="7"/>
  <c r="T206" i="7"/>
  <c r="Q157" i="7"/>
  <c r="W154" i="7"/>
  <c r="Y209" i="7"/>
  <c r="U209" i="7"/>
  <c r="X209" i="7"/>
  <c r="T209" i="7"/>
  <c r="W209" i="7"/>
  <c r="W210" i="7"/>
  <c r="V210" i="7"/>
  <c r="Y210" i="7"/>
  <c r="U210" i="7"/>
  <c r="W219" i="7"/>
  <c r="V219" i="7"/>
  <c r="Y219" i="7"/>
  <c r="U219" i="7"/>
  <c r="X219" i="7"/>
  <c r="T219" i="7"/>
  <c r="Y225" i="7"/>
  <c r="U225" i="7"/>
  <c r="X225" i="7"/>
  <c r="T225" i="7"/>
  <c r="W225" i="7"/>
  <c r="V225" i="7"/>
  <c r="X247" i="7"/>
  <c r="T247" i="7"/>
  <c r="W247" i="7"/>
  <c r="V247" i="7"/>
  <c r="Y247" i="7"/>
  <c r="U247" i="7"/>
  <c r="T154" i="7"/>
  <c r="X154" i="7"/>
  <c r="Y170" i="7"/>
  <c r="U170" i="7"/>
  <c r="X170" i="7"/>
  <c r="T170" i="7"/>
  <c r="W170" i="7"/>
  <c r="V171" i="7"/>
  <c r="Y171" i="7"/>
  <c r="U171" i="7"/>
  <c r="X171" i="7"/>
  <c r="T171" i="7"/>
  <c r="X188" i="7"/>
  <c r="T188" i="7"/>
  <c r="W188" i="7"/>
  <c r="V188" i="7"/>
  <c r="V209" i="7"/>
  <c r="T210" i="7"/>
  <c r="U172" i="7"/>
  <c r="Y172" i="7"/>
  <c r="V176" i="7"/>
  <c r="U187" i="7"/>
  <c r="Y187" i="7"/>
  <c r="V191" i="7"/>
  <c r="U200" i="7"/>
  <c r="Y200" i="7"/>
  <c r="U207" i="7"/>
  <c r="Y207" i="7"/>
  <c r="W223" i="7"/>
  <c r="V223" i="7"/>
  <c r="Y223" i="7"/>
  <c r="U223" i="7"/>
  <c r="Y229" i="7"/>
  <c r="U229" i="7"/>
  <c r="X229" i="7"/>
  <c r="T229" i="7"/>
  <c r="W229" i="7"/>
  <c r="X233" i="7"/>
  <c r="T233" i="7"/>
  <c r="W233" i="7"/>
  <c r="V233" i="7"/>
  <c r="X254" i="7"/>
  <c r="T254" i="7"/>
  <c r="W254" i="7"/>
  <c r="V254" i="7"/>
  <c r="V172" i="7"/>
  <c r="W176" i="7"/>
  <c r="V187" i="7"/>
  <c r="W191" i="7"/>
  <c r="V200" i="7"/>
  <c r="V207" i="7"/>
  <c r="Y248" i="7"/>
  <c r="U248" i="7"/>
  <c r="X248" i="7"/>
  <c r="T248" i="7"/>
  <c r="W248" i="7"/>
  <c r="U254" i="7"/>
  <c r="T176" i="7"/>
  <c r="Q181" i="7"/>
  <c r="Q184" i="7" s="1"/>
  <c r="W187" i="7"/>
  <c r="T191" i="7"/>
  <c r="X228" i="7"/>
  <c r="T228" i="7"/>
  <c r="W228" i="7"/>
  <c r="V228" i="7"/>
  <c r="Y254" i="7"/>
  <c r="T245" i="7"/>
  <c r="X245" i="7"/>
  <c r="T249" i="7"/>
  <c r="X249" i="7"/>
  <c r="U245" i="7"/>
  <c r="Y245" i="7"/>
  <c r="U249" i="7"/>
  <c r="Y249" i="7"/>
  <c r="N45" i="13"/>
  <c r="H45" i="13"/>
  <c r="D45" i="13"/>
  <c r="E52" i="13"/>
  <c r="F52" i="13"/>
  <c r="G52" i="13"/>
  <c r="H52" i="13"/>
  <c r="I52" i="13" s="1"/>
  <c r="J52" i="13" s="1"/>
  <c r="K52" i="13" s="1"/>
  <c r="L52" i="13" s="1"/>
  <c r="M52" i="13" s="1"/>
  <c r="N52" i="13" s="1"/>
  <c r="E53" i="13"/>
  <c r="F53" i="13"/>
  <c r="G53" i="13" s="1"/>
  <c r="H53" i="13" s="1"/>
  <c r="I53" i="13" s="1"/>
  <c r="J53" i="13" s="1"/>
  <c r="K53" i="13" s="1"/>
  <c r="L53" i="13" s="1"/>
  <c r="M53" i="13" s="1"/>
  <c r="N53" i="13" s="1"/>
  <c r="D53" i="13"/>
  <c r="D52" i="13"/>
  <c r="E41" i="13"/>
  <c r="F41" i="13" s="1"/>
  <c r="G41" i="13" s="1"/>
  <c r="H41" i="13" s="1"/>
  <c r="I41" i="13" s="1"/>
  <c r="J41" i="13" s="1"/>
  <c r="K41" i="13" s="1"/>
  <c r="L41" i="13" s="1"/>
  <c r="M41" i="13" s="1"/>
  <c r="N41" i="13" s="1"/>
  <c r="E42" i="13"/>
  <c r="F42" i="13"/>
  <c r="G42" i="13" s="1"/>
  <c r="H42" i="13" s="1"/>
  <c r="I42" i="13" s="1"/>
  <c r="J42" i="13" s="1"/>
  <c r="K42" i="13" s="1"/>
  <c r="L42" i="13" s="1"/>
  <c r="M42" i="13" s="1"/>
  <c r="N42" i="13" s="1"/>
  <c r="E43" i="13"/>
  <c r="F43" i="13" s="1"/>
  <c r="G43" i="13" s="1"/>
  <c r="H43" i="13" s="1"/>
  <c r="I43" i="13" s="1"/>
  <c r="J43" i="13" s="1"/>
  <c r="K43" i="13" s="1"/>
  <c r="L43" i="13" s="1"/>
  <c r="M43" i="13" s="1"/>
  <c r="N43" i="13" s="1"/>
  <c r="E44" i="13"/>
  <c r="F44" i="13"/>
  <c r="G44" i="13" s="1"/>
  <c r="H44" i="13" s="1"/>
  <c r="I44" i="13" s="1"/>
  <c r="J44" i="13" s="1"/>
  <c r="K44" i="13" s="1"/>
  <c r="L44" i="13" s="1"/>
  <c r="M44" i="13" s="1"/>
  <c r="N44" i="13" s="1"/>
  <c r="E45" i="13"/>
  <c r="F45" i="13" s="1"/>
  <c r="G45" i="13" s="1"/>
  <c r="I45" i="13" s="1"/>
  <c r="J45" i="13" s="1"/>
  <c r="K45" i="13" s="1"/>
  <c r="L45" i="13" s="1"/>
  <c r="M45" i="13" s="1"/>
  <c r="E46" i="13"/>
  <c r="F46" i="13"/>
  <c r="G46" i="13" s="1"/>
  <c r="H46" i="13" s="1"/>
  <c r="I46" i="13" s="1"/>
  <c r="J46" i="13" s="1"/>
  <c r="K46" i="13" s="1"/>
  <c r="L46" i="13" s="1"/>
  <c r="M46" i="13" s="1"/>
  <c r="N46" i="13" s="1"/>
  <c r="E47" i="13"/>
  <c r="F47" i="13" s="1"/>
  <c r="G47" i="13" s="1"/>
  <c r="H47" i="13" s="1"/>
  <c r="I47" i="13" s="1"/>
  <c r="J47" i="13" s="1"/>
  <c r="K47" i="13" s="1"/>
  <c r="L47" i="13" s="1"/>
  <c r="M47" i="13" s="1"/>
  <c r="N47" i="13" s="1"/>
  <c r="E48" i="13"/>
  <c r="F48" i="13"/>
  <c r="G48" i="13" s="1"/>
  <c r="H48" i="13" s="1"/>
  <c r="I48" i="13" s="1"/>
  <c r="J48" i="13" s="1"/>
  <c r="K48" i="13" s="1"/>
  <c r="L48" i="13" s="1"/>
  <c r="M48" i="13" s="1"/>
  <c r="N48" i="13" s="1"/>
  <c r="E49" i="13"/>
  <c r="F49" i="13" s="1"/>
  <c r="G49" i="13" s="1"/>
  <c r="H49" i="13" s="1"/>
  <c r="I49" i="13" s="1"/>
  <c r="J49" i="13" s="1"/>
  <c r="K49" i="13" s="1"/>
  <c r="L49" i="13" s="1"/>
  <c r="M49" i="13" s="1"/>
  <c r="N49" i="13" s="1"/>
  <c r="E50" i="13"/>
  <c r="F50" i="13"/>
  <c r="G50" i="13" s="1"/>
  <c r="H50" i="13" s="1"/>
  <c r="I50" i="13" s="1"/>
  <c r="J50" i="13" s="1"/>
  <c r="K50" i="13" s="1"/>
  <c r="L50" i="13" s="1"/>
  <c r="M50" i="13" s="1"/>
  <c r="N50" i="13" s="1"/>
  <c r="D42" i="13"/>
  <c r="D43" i="13"/>
  <c r="D44" i="13"/>
  <c r="D46" i="13"/>
  <c r="D47" i="13"/>
  <c r="D48" i="13"/>
  <c r="D49" i="13"/>
  <c r="D50" i="13"/>
  <c r="D41" i="13"/>
  <c r="C53" i="13"/>
  <c r="C52" i="13"/>
  <c r="C42" i="13"/>
  <c r="C43" i="13"/>
  <c r="C44" i="13"/>
  <c r="C27" i="13" s="1"/>
  <c r="D27" i="13" s="1"/>
  <c r="E27" i="13" s="1"/>
  <c r="C45" i="13"/>
  <c r="C28" i="13" s="1"/>
  <c r="D28" i="13" s="1"/>
  <c r="C46" i="13"/>
  <c r="C47" i="13"/>
  <c r="C48" i="13"/>
  <c r="C31" i="13" s="1"/>
  <c r="D31" i="13" s="1"/>
  <c r="E31" i="13" s="1"/>
  <c r="C49" i="13"/>
  <c r="C32" i="13" s="1"/>
  <c r="D32" i="13" s="1"/>
  <c r="E32" i="13" s="1"/>
  <c r="C50" i="13"/>
  <c r="C41" i="13"/>
  <c r="C36" i="13"/>
  <c r="D36" i="13" s="1"/>
  <c r="E36" i="13" s="1"/>
  <c r="F36" i="13" s="1"/>
  <c r="C35" i="13"/>
  <c r="D35" i="13" s="1"/>
  <c r="E35" i="13" s="1"/>
  <c r="F35" i="13" s="1"/>
  <c r="C25" i="13"/>
  <c r="D25" i="13" s="1"/>
  <c r="C26" i="13"/>
  <c r="D26" i="13" s="1"/>
  <c r="E26" i="13" s="1"/>
  <c r="C29" i="13"/>
  <c r="D29" i="13" s="1"/>
  <c r="E29" i="13" s="1"/>
  <c r="C30" i="13"/>
  <c r="D30" i="13" s="1"/>
  <c r="E30" i="13" s="1"/>
  <c r="C33" i="13"/>
  <c r="D33" i="13" s="1"/>
  <c r="C24" i="13"/>
  <c r="D24" i="13" s="1"/>
  <c r="E24" i="13" s="1"/>
  <c r="B36" i="13"/>
  <c r="B35" i="13"/>
  <c r="B25" i="13"/>
  <c r="B26" i="13"/>
  <c r="B27" i="13"/>
  <c r="B28" i="13"/>
  <c r="B29" i="13"/>
  <c r="B30" i="13"/>
  <c r="B31" i="13"/>
  <c r="B32" i="13"/>
  <c r="B33" i="13"/>
  <c r="B24" i="13"/>
  <c r="N45" i="12"/>
  <c r="H45" i="12"/>
  <c r="E45" i="12"/>
  <c r="C45" i="12"/>
  <c r="E52" i="12"/>
  <c r="F52" i="12" s="1"/>
  <c r="G52" i="12" s="1"/>
  <c r="H52" i="12" s="1"/>
  <c r="I52" i="12" s="1"/>
  <c r="J52" i="12" s="1"/>
  <c r="K52" i="12" s="1"/>
  <c r="L52" i="12" s="1"/>
  <c r="M52" i="12" s="1"/>
  <c r="N52" i="12" s="1"/>
  <c r="E53" i="12"/>
  <c r="F53" i="12"/>
  <c r="G53" i="12" s="1"/>
  <c r="H53" i="12" s="1"/>
  <c r="I53" i="12" s="1"/>
  <c r="J53" i="12" s="1"/>
  <c r="K53" i="12" s="1"/>
  <c r="L53" i="12" s="1"/>
  <c r="M53" i="12" s="1"/>
  <c r="N53" i="12" s="1"/>
  <c r="E41" i="12"/>
  <c r="F41" i="12"/>
  <c r="G41" i="12"/>
  <c r="H41" i="12"/>
  <c r="I41" i="12" s="1"/>
  <c r="J41" i="12" s="1"/>
  <c r="K41" i="12" s="1"/>
  <c r="L41" i="12" s="1"/>
  <c r="M41" i="12" s="1"/>
  <c r="N41" i="12" s="1"/>
  <c r="E42" i="12"/>
  <c r="F42" i="12"/>
  <c r="G42" i="12" s="1"/>
  <c r="H42" i="12" s="1"/>
  <c r="I42" i="12" s="1"/>
  <c r="J42" i="12" s="1"/>
  <c r="K42" i="12" s="1"/>
  <c r="L42" i="12" s="1"/>
  <c r="M42" i="12" s="1"/>
  <c r="N42" i="12" s="1"/>
  <c r="E43" i="12"/>
  <c r="F43" i="12"/>
  <c r="G43" i="12"/>
  <c r="H43" i="12"/>
  <c r="I43" i="12" s="1"/>
  <c r="J43" i="12" s="1"/>
  <c r="K43" i="12" s="1"/>
  <c r="L43" i="12" s="1"/>
  <c r="M43" i="12" s="1"/>
  <c r="N43" i="12" s="1"/>
  <c r="E44" i="12"/>
  <c r="F44" i="12"/>
  <c r="G44" i="12" s="1"/>
  <c r="H44" i="12" s="1"/>
  <c r="I44" i="12" s="1"/>
  <c r="J44" i="12" s="1"/>
  <c r="K44" i="12" s="1"/>
  <c r="L44" i="12" s="1"/>
  <c r="M44" i="12" s="1"/>
  <c r="N44" i="12" s="1"/>
  <c r="E46" i="12"/>
  <c r="F46" i="12"/>
  <c r="G46" i="12" s="1"/>
  <c r="H46" i="12" s="1"/>
  <c r="I46" i="12" s="1"/>
  <c r="J46" i="12" s="1"/>
  <c r="K46" i="12" s="1"/>
  <c r="L46" i="12" s="1"/>
  <c r="M46" i="12" s="1"/>
  <c r="N46" i="12" s="1"/>
  <c r="E47" i="12"/>
  <c r="F47" i="12" s="1"/>
  <c r="G47" i="12" s="1"/>
  <c r="H47" i="12" s="1"/>
  <c r="I47" i="12" s="1"/>
  <c r="J47" i="12" s="1"/>
  <c r="K47" i="12" s="1"/>
  <c r="L47" i="12" s="1"/>
  <c r="M47" i="12" s="1"/>
  <c r="N47" i="12" s="1"/>
  <c r="E48" i="12"/>
  <c r="F48" i="12"/>
  <c r="G48" i="12" s="1"/>
  <c r="H48" i="12" s="1"/>
  <c r="I48" i="12" s="1"/>
  <c r="J48" i="12" s="1"/>
  <c r="K48" i="12" s="1"/>
  <c r="L48" i="12" s="1"/>
  <c r="M48" i="12" s="1"/>
  <c r="N48" i="12" s="1"/>
  <c r="E49" i="12"/>
  <c r="F49" i="12" s="1"/>
  <c r="G49" i="12" s="1"/>
  <c r="H49" i="12" s="1"/>
  <c r="I49" i="12" s="1"/>
  <c r="J49" i="12" s="1"/>
  <c r="K49" i="12" s="1"/>
  <c r="L49" i="12" s="1"/>
  <c r="M49" i="12" s="1"/>
  <c r="N49" i="12" s="1"/>
  <c r="E50" i="12"/>
  <c r="F50" i="12"/>
  <c r="G50" i="12" s="1"/>
  <c r="H50" i="12" s="1"/>
  <c r="I50" i="12" s="1"/>
  <c r="J50" i="12" s="1"/>
  <c r="K50" i="12" s="1"/>
  <c r="L50" i="12" s="1"/>
  <c r="M50" i="12" s="1"/>
  <c r="N50" i="12" s="1"/>
  <c r="D53" i="12"/>
  <c r="D52" i="12"/>
  <c r="D42" i="12"/>
  <c r="D43" i="12"/>
  <c r="D44" i="12"/>
  <c r="D45" i="12"/>
  <c r="F45" i="12" s="1"/>
  <c r="G45" i="12" s="1"/>
  <c r="I45" i="12" s="1"/>
  <c r="J45" i="12" s="1"/>
  <c r="K45" i="12" s="1"/>
  <c r="L45" i="12" s="1"/>
  <c r="M45" i="12" s="1"/>
  <c r="D46" i="12"/>
  <c r="D47" i="12"/>
  <c r="D48" i="12"/>
  <c r="D49" i="12"/>
  <c r="D50" i="12"/>
  <c r="D41" i="12"/>
  <c r="D51" i="12"/>
  <c r="C51" i="12"/>
  <c r="C42" i="12"/>
  <c r="C43" i="12"/>
  <c r="C44" i="12"/>
  <c r="C28" i="12"/>
  <c r="C46" i="12"/>
  <c r="C47" i="12"/>
  <c r="C48" i="12"/>
  <c r="C49" i="12"/>
  <c r="C32" i="12" s="1"/>
  <c r="C50" i="12"/>
  <c r="C52" i="12"/>
  <c r="C53" i="12"/>
  <c r="C36" i="12" s="1"/>
  <c r="C41" i="12"/>
  <c r="D24" i="12"/>
  <c r="C25" i="12"/>
  <c r="D25" i="12" s="1"/>
  <c r="E25" i="12" s="1"/>
  <c r="C26" i="12"/>
  <c r="D26" i="12" s="1"/>
  <c r="C27" i="12"/>
  <c r="D27" i="12" s="1"/>
  <c r="C29" i="12"/>
  <c r="C30" i="12"/>
  <c r="D30" i="12" s="1"/>
  <c r="E30" i="12" s="1"/>
  <c r="C31" i="12"/>
  <c r="D31" i="12" s="1"/>
  <c r="C33" i="12"/>
  <c r="D33" i="12" s="1"/>
  <c r="C35" i="12"/>
  <c r="C24" i="12"/>
  <c r="B34" i="12"/>
  <c r="B25" i="12"/>
  <c r="B26" i="12"/>
  <c r="B27" i="12"/>
  <c r="B28" i="12"/>
  <c r="B29" i="12"/>
  <c r="B30" i="12"/>
  <c r="B31" i="12"/>
  <c r="B32" i="12"/>
  <c r="B33" i="12"/>
  <c r="B35" i="12"/>
  <c r="B36" i="12"/>
  <c r="B24" i="12"/>
  <c r="N11" i="13"/>
  <c r="H11" i="13"/>
  <c r="D11" i="13"/>
  <c r="C19" i="13"/>
  <c r="C18" i="13"/>
  <c r="D7" i="13"/>
  <c r="E7" i="13" s="1"/>
  <c r="F7" i="13" s="1"/>
  <c r="G7" i="13" s="1"/>
  <c r="H7" i="13" s="1"/>
  <c r="I7" i="13" s="1"/>
  <c r="J7" i="13" s="1"/>
  <c r="K7" i="13" s="1"/>
  <c r="L7" i="13" s="1"/>
  <c r="M7" i="13" s="1"/>
  <c r="N7" i="13" s="1"/>
  <c r="D8" i="13"/>
  <c r="E8" i="13" s="1"/>
  <c r="F8" i="13" s="1"/>
  <c r="G8" i="13" s="1"/>
  <c r="H8" i="13" s="1"/>
  <c r="I8" i="13" s="1"/>
  <c r="J8" i="13" s="1"/>
  <c r="K8" i="13" s="1"/>
  <c r="L8" i="13" s="1"/>
  <c r="M8" i="13" s="1"/>
  <c r="N8" i="13" s="1"/>
  <c r="D9" i="13"/>
  <c r="E9" i="13"/>
  <c r="F9" i="13" s="1"/>
  <c r="G9" i="13" s="1"/>
  <c r="H9" i="13" s="1"/>
  <c r="I9" i="13" s="1"/>
  <c r="J9" i="13" s="1"/>
  <c r="K9" i="13" s="1"/>
  <c r="L9" i="13" s="1"/>
  <c r="M9" i="13" s="1"/>
  <c r="N9" i="13" s="1"/>
  <c r="D10" i="13"/>
  <c r="E10" i="13"/>
  <c r="F10" i="13"/>
  <c r="G10" i="13" s="1"/>
  <c r="H10" i="13" s="1"/>
  <c r="I10" i="13" s="1"/>
  <c r="J10" i="13" s="1"/>
  <c r="K10" i="13" s="1"/>
  <c r="L10" i="13" s="1"/>
  <c r="M10" i="13" s="1"/>
  <c r="N10" i="13" s="1"/>
  <c r="E11" i="13"/>
  <c r="F11" i="13" s="1"/>
  <c r="G11" i="13" s="1"/>
  <c r="I11" i="13" s="1"/>
  <c r="J11" i="13" s="1"/>
  <c r="K11" i="13" s="1"/>
  <c r="L11" i="13" s="1"/>
  <c r="M11" i="13" s="1"/>
  <c r="D12" i="13"/>
  <c r="E12" i="13" s="1"/>
  <c r="F12" i="13" s="1"/>
  <c r="G12" i="13" s="1"/>
  <c r="H12" i="13" s="1"/>
  <c r="I12" i="13" s="1"/>
  <c r="J12" i="13" s="1"/>
  <c r="K12" i="13" s="1"/>
  <c r="L12" i="13" s="1"/>
  <c r="M12" i="13" s="1"/>
  <c r="N12" i="13" s="1"/>
  <c r="D13" i="13"/>
  <c r="E13" i="13"/>
  <c r="F13" i="13" s="1"/>
  <c r="G13" i="13" s="1"/>
  <c r="H13" i="13" s="1"/>
  <c r="I13" i="13" s="1"/>
  <c r="J13" i="13" s="1"/>
  <c r="K13" i="13" s="1"/>
  <c r="L13" i="13" s="1"/>
  <c r="M13" i="13" s="1"/>
  <c r="N13" i="13" s="1"/>
  <c r="D14" i="13"/>
  <c r="E14" i="13"/>
  <c r="F14" i="13"/>
  <c r="G14" i="13" s="1"/>
  <c r="H14" i="13" s="1"/>
  <c r="I14" i="13" s="1"/>
  <c r="J14" i="13" s="1"/>
  <c r="K14" i="13" s="1"/>
  <c r="L14" i="13" s="1"/>
  <c r="M14" i="13" s="1"/>
  <c r="N14" i="13" s="1"/>
  <c r="D15" i="13"/>
  <c r="E15" i="13" s="1"/>
  <c r="F15" i="13" s="1"/>
  <c r="G15" i="13" s="1"/>
  <c r="H15" i="13" s="1"/>
  <c r="I15" i="13" s="1"/>
  <c r="J15" i="13" s="1"/>
  <c r="K15" i="13" s="1"/>
  <c r="L15" i="13" s="1"/>
  <c r="M15" i="13" s="1"/>
  <c r="N15" i="13" s="1"/>
  <c r="D16" i="13"/>
  <c r="E16" i="13" s="1"/>
  <c r="F16" i="13" s="1"/>
  <c r="G16" i="13" s="1"/>
  <c r="H16" i="13" s="1"/>
  <c r="I16" i="13" s="1"/>
  <c r="J16" i="13" s="1"/>
  <c r="K16" i="13" s="1"/>
  <c r="L16" i="13" s="1"/>
  <c r="M16" i="13" s="1"/>
  <c r="N16" i="13" s="1"/>
  <c r="C8" i="13"/>
  <c r="C9" i="13"/>
  <c r="C10" i="13"/>
  <c r="C11" i="13"/>
  <c r="C12" i="13"/>
  <c r="C13" i="13"/>
  <c r="C14" i="13"/>
  <c r="C15" i="13"/>
  <c r="C16" i="13"/>
  <c r="C7" i="13"/>
  <c r="B19" i="13"/>
  <c r="B18" i="13"/>
  <c r="B7" i="13"/>
  <c r="B8" i="13"/>
  <c r="B9" i="13"/>
  <c r="B10" i="13"/>
  <c r="B11" i="13"/>
  <c r="B12" i="13"/>
  <c r="B13" i="13"/>
  <c r="B14" i="13"/>
  <c r="B15" i="13"/>
  <c r="B16" i="13"/>
  <c r="B6" i="13"/>
  <c r="N11" i="12"/>
  <c r="H11" i="12"/>
  <c r="D5" i="12"/>
  <c r="E5" i="12" s="1"/>
  <c r="F5" i="12" s="1"/>
  <c r="G5" i="12" s="1"/>
  <c r="H5" i="12" s="1"/>
  <c r="I5" i="12" s="1"/>
  <c r="J5" i="12" s="1"/>
  <c r="K5" i="12" s="1"/>
  <c r="L5" i="12" s="1"/>
  <c r="M5" i="12" s="1"/>
  <c r="N5" i="12" s="1"/>
  <c r="C5" i="12"/>
  <c r="E11" i="12"/>
  <c r="C11" i="12"/>
  <c r="D7" i="12"/>
  <c r="E7" i="12" s="1"/>
  <c r="F7" i="12" s="1"/>
  <c r="G7" i="12" s="1"/>
  <c r="H7" i="12" s="1"/>
  <c r="I7" i="12" s="1"/>
  <c r="J7" i="12" s="1"/>
  <c r="K7" i="12" s="1"/>
  <c r="L7" i="12" s="1"/>
  <c r="M7" i="12" s="1"/>
  <c r="N7" i="12" s="1"/>
  <c r="D8" i="12"/>
  <c r="E8" i="12" s="1"/>
  <c r="F8" i="12" s="1"/>
  <c r="G8" i="12" s="1"/>
  <c r="H8" i="12" s="1"/>
  <c r="I8" i="12" s="1"/>
  <c r="J8" i="12" s="1"/>
  <c r="K8" i="12" s="1"/>
  <c r="L8" i="12" s="1"/>
  <c r="M8" i="12" s="1"/>
  <c r="N8" i="12" s="1"/>
  <c r="D9" i="12"/>
  <c r="E9" i="12"/>
  <c r="F9" i="12" s="1"/>
  <c r="G9" i="12" s="1"/>
  <c r="H9" i="12" s="1"/>
  <c r="I9" i="12" s="1"/>
  <c r="J9" i="12" s="1"/>
  <c r="K9" i="12" s="1"/>
  <c r="L9" i="12" s="1"/>
  <c r="M9" i="12" s="1"/>
  <c r="N9" i="12" s="1"/>
  <c r="D10" i="12"/>
  <c r="E10" i="12"/>
  <c r="F10" i="12"/>
  <c r="G10" i="12" s="1"/>
  <c r="H10" i="12" s="1"/>
  <c r="I10" i="12" s="1"/>
  <c r="J10" i="12" s="1"/>
  <c r="K10" i="12" s="1"/>
  <c r="L10" i="12" s="1"/>
  <c r="M10" i="12" s="1"/>
  <c r="N10" i="12" s="1"/>
  <c r="D11" i="12"/>
  <c r="D12" i="12"/>
  <c r="E12" i="12" s="1"/>
  <c r="F12" i="12" s="1"/>
  <c r="G12" i="12" s="1"/>
  <c r="H12" i="12" s="1"/>
  <c r="I12" i="12" s="1"/>
  <c r="J12" i="12" s="1"/>
  <c r="K12" i="12" s="1"/>
  <c r="L12" i="12" s="1"/>
  <c r="M12" i="12" s="1"/>
  <c r="N12" i="12" s="1"/>
  <c r="D13" i="12"/>
  <c r="E13" i="12"/>
  <c r="F13" i="12" s="1"/>
  <c r="G13" i="12" s="1"/>
  <c r="H13" i="12" s="1"/>
  <c r="I13" i="12" s="1"/>
  <c r="J13" i="12" s="1"/>
  <c r="K13" i="12" s="1"/>
  <c r="L13" i="12" s="1"/>
  <c r="M13" i="12" s="1"/>
  <c r="N13" i="12" s="1"/>
  <c r="D14" i="12"/>
  <c r="E14" i="12" s="1"/>
  <c r="F14" i="12" s="1"/>
  <c r="G14" i="12" s="1"/>
  <c r="H14" i="12" s="1"/>
  <c r="I14" i="12" s="1"/>
  <c r="J14" i="12" s="1"/>
  <c r="K14" i="12" s="1"/>
  <c r="L14" i="12" s="1"/>
  <c r="M14" i="12" s="1"/>
  <c r="N14" i="12" s="1"/>
  <c r="D15" i="12"/>
  <c r="E15" i="12"/>
  <c r="F15" i="12" s="1"/>
  <c r="G15" i="12" s="1"/>
  <c r="H15" i="12" s="1"/>
  <c r="I15" i="12" s="1"/>
  <c r="J15" i="12" s="1"/>
  <c r="K15" i="12" s="1"/>
  <c r="L15" i="12" s="1"/>
  <c r="M15" i="12" s="1"/>
  <c r="N15" i="12" s="1"/>
  <c r="D16" i="12"/>
  <c r="E16" i="12" s="1"/>
  <c r="F16" i="12" s="1"/>
  <c r="G16" i="12" s="1"/>
  <c r="H16" i="12" s="1"/>
  <c r="I16" i="12" s="1"/>
  <c r="J16" i="12" s="1"/>
  <c r="K16" i="12" s="1"/>
  <c r="L16" i="12" s="1"/>
  <c r="M16" i="12" s="1"/>
  <c r="N16" i="12" s="1"/>
  <c r="D17" i="12"/>
  <c r="E17" i="12"/>
  <c r="F17" i="12" s="1"/>
  <c r="G17" i="12" s="1"/>
  <c r="H17" i="12" s="1"/>
  <c r="I17" i="12" s="1"/>
  <c r="J17" i="12" s="1"/>
  <c r="K17" i="12" s="1"/>
  <c r="L17" i="12" s="1"/>
  <c r="M17" i="12" s="1"/>
  <c r="N17" i="12" s="1"/>
  <c r="D18" i="12"/>
  <c r="E18" i="12" s="1"/>
  <c r="F18" i="12" s="1"/>
  <c r="G18" i="12" s="1"/>
  <c r="H18" i="12" s="1"/>
  <c r="I18" i="12" s="1"/>
  <c r="J18" i="12" s="1"/>
  <c r="K18" i="12" s="1"/>
  <c r="L18" i="12" s="1"/>
  <c r="M18" i="12" s="1"/>
  <c r="N18" i="12" s="1"/>
  <c r="D19" i="12"/>
  <c r="E19" i="12"/>
  <c r="F19" i="12" s="1"/>
  <c r="G19" i="12" s="1"/>
  <c r="H19" i="12" s="1"/>
  <c r="I19" i="12" s="1"/>
  <c r="J19" i="12" s="1"/>
  <c r="K19" i="12" s="1"/>
  <c r="L19" i="12" s="1"/>
  <c r="M19" i="12" s="1"/>
  <c r="N19" i="12" s="1"/>
  <c r="C8" i="12"/>
  <c r="C9" i="12"/>
  <c r="C10" i="12"/>
  <c r="C12" i="12"/>
  <c r="C13" i="12"/>
  <c r="C14" i="12"/>
  <c r="C15" i="12"/>
  <c r="C16" i="12"/>
  <c r="C17" i="12"/>
  <c r="C18" i="12"/>
  <c r="C19" i="12"/>
  <c r="C7" i="12"/>
  <c r="B20" i="12"/>
  <c r="B17" i="12"/>
  <c r="B18" i="12"/>
  <c r="B19" i="12"/>
  <c r="B8" i="12"/>
  <c r="B9" i="12"/>
  <c r="B10" i="12"/>
  <c r="B11" i="12"/>
  <c r="B12" i="12"/>
  <c r="B13" i="12"/>
  <c r="B14" i="12"/>
  <c r="B15" i="12"/>
  <c r="B16" i="12"/>
  <c r="B7" i="12"/>
  <c r="G29" i="8"/>
  <c r="J5" i="8"/>
  <c r="K5" i="8" s="1"/>
  <c r="L5" i="8" s="1"/>
  <c r="M5" i="8" s="1"/>
  <c r="N5" i="8" s="1"/>
  <c r="O5" i="8" s="1"/>
  <c r="P5" i="8" s="1"/>
  <c r="Q5" i="8" s="1"/>
  <c r="R5" i="8" s="1"/>
  <c r="S5" i="8" s="1"/>
  <c r="I5" i="8"/>
  <c r="E238" i="6"/>
  <c r="F238" i="6" s="1"/>
  <c r="D239" i="6"/>
  <c r="E239" i="6" s="1"/>
  <c r="F239" i="6" s="1"/>
  <c r="G239" i="6" s="1"/>
  <c r="H239" i="6" s="1"/>
  <c r="I239" i="6" s="1"/>
  <c r="J239" i="6" s="1"/>
  <c r="K239" i="6" s="1"/>
  <c r="L239" i="6" s="1"/>
  <c r="M239" i="6" s="1"/>
  <c r="N239" i="6" s="1"/>
  <c r="O239" i="6" s="1"/>
  <c r="C239" i="7" s="1"/>
  <c r="D238" i="6"/>
  <c r="P142" i="6"/>
  <c r="D149" i="6"/>
  <c r="D151" i="6" s="1"/>
  <c r="P263" i="6"/>
  <c r="Q263" i="6" s="1"/>
  <c r="P262" i="6"/>
  <c r="P261" i="6"/>
  <c r="Q261" i="6" s="1"/>
  <c r="P254" i="6"/>
  <c r="Q254" i="6" s="1"/>
  <c r="P249" i="6"/>
  <c r="Q249" i="6" s="1"/>
  <c r="P248" i="6"/>
  <c r="Q248" i="6" s="1"/>
  <c r="P247" i="6"/>
  <c r="Q247" i="6" s="1"/>
  <c r="P246" i="6"/>
  <c r="Q246" i="6" s="1"/>
  <c r="P245" i="6"/>
  <c r="Q245" i="6" s="1"/>
  <c r="P244" i="6"/>
  <c r="Q244" i="6" s="1"/>
  <c r="P233" i="6"/>
  <c r="Q233" i="6" s="1"/>
  <c r="P232" i="6"/>
  <c r="Q232" i="6" s="1"/>
  <c r="P231" i="6"/>
  <c r="Q231" i="6" s="1"/>
  <c r="P230" i="6"/>
  <c r="Q230" i="6" s="1"/>
  <c r="P229" i="6"/>
  <c r="Q229" i="6" s="1"/>
  <c r="P228" i="6"/>
  <c r="Q228" i="6" s="1"/>
  <c r="P227" i="6"/>
  <c r="Q227" i="6" s="1"/>
  <c r="P226" i="6"/>
  <c r="Q226" i="6" s="1"/>
  <c r="P225" i="6"/>
  <c r="Q225" i="6" s="1"/>
  <c r="P224" i="6"/>
  <c r="Q224" i="6" s="1"/>
  <c r="P223" i="6"/>
  <c r="Q223" i="6" s="1"/>
  <c r="P222" i="6"/>
  <c r="Q222" i="6" s="1"/>
  <c r="P221" i="6"/>
  <c r="Q221" i="6" s="1"/>
  <c r="P220" i="6"/>
  <c r="Q220" i="6" s="1"/>
  <c r="P219" i="6"/>
  <c r="Q219" i="6" s="1"/>
  <c r="P218" i="6"/>
  <c r="Q218" i="6" s="1"/>
  <c r="P210" i="6"/>
  <c r="Q210" i="6" s="1"/>
  <c r="P209" i="6"/>
  <c r="Q209" i="6" s="1"/>
  <c r="P208" i="6"/>
  <c r="Q208" i="6" s="1"/>
  <c r="P207" i="6"/>
  <c r="Q207" i="6" s="1"/>
  <c r="P206" i="6"/>
  <c r="Q206" i="6" s="1"/>
  <c r="P205" i="6"/>
  <c r="Q205" i="6" s="1"/>
  <c r="P200" i="6"/>
  <c r="Q200" i="6" s="1"/>
  <c r="P199" i="6"/>
  <c r="Q199" i="6" s="1"/>
  <c r="P198" i="6"/>
  <c r="Q198" i="6" s="1"/>
  <c r="Q192" i="6"/>
  <c r="Q191" i="6"/>
  <c r="Q190" i="6"/>
  <c r="Q189" i="6"/>
  <c r="Q188" i="6"/>
  <c r="Q182" i="6"/>
  <c r="P184" i="6"/>
  <c r="O265" i="6"/>
  <c r="N265" i="6"/>
  <c r="M265" i="6"/>
  <c r="L265" i="6"/>
  <c r="K265" i="6"/>
  <c r="J265" i="6"/>
  <c r="I265" i="6"/>
  <c r="H265" i="6"/>
  <c r="G265" i="6"/>
  <c r="F265" i="6"/>
  <c r="E265" i="6"/>
  <c r="D265" i="6"/>
  <c r="O251" i="6"/>
  <c r="N251" i="6"/>
  <c r="M251" i="6"/>
  <c r="L251" i="6"/>
  <c r="K251" i="6"/>
  <c r="J251" i="6"/>
  <c r="I251" i="6"/>
  <c r="H251" i="6"/>
  <c r="G251" i="6"/>
  <c r="F251" i="6"/>
  <c r="E251" i="6"/>
  <c r="D251" i="6"/>
  <c r="D241" i="6"/>
  <c r="O235" i="6"/>
  <c r="N235" i="6"/>
  <c r="M235" i="6"/>
  <c r="L235" i="6"/>
  <c r="K235" i="6"/>
  <c r="J235" i="6"/>
  <c r="I235" i="6"/>
  <c r="H235" i="6"/>
  <c r="G235" i="6"/>
  <c r="F235" i="6"/>
  <c r="E235" i="6"/>
  <c r="D235" i="6"/>
  <c r="O212" i="6"/>
  <c r="N212" i="6"/>
  <c r="M212" i="6"/>
  <c r="L212" i="6"/>
  <c r="K212" i="6"/>
  <c r="J212" i="6"/>
  <c r="I212" i="6"/>
  <c r="H212" i="6"/>
  <c r="G212" i="6"/>
  <c r="F212" i="6"/>
  <c r="E212" i="6"/>
  <c r="D212" i="6"/>
  <c r="O194" i="6"/>
  <c r="N194" i="6"/>
  <c r="M194" i="6"/>
  <c r="L194" i="6"/>
  <c r="K194" i="6"/>
  <c r="J194" i="6"/>
  <c r="I194" i="6"/>
  <c r="H194" i="6"/>
  <c r="G194" i="6"/>
  <c r="F194" i="6"/>
  <c r="E194" i="6"/>
  <c r="D194" i="6"/>
  <c r="O184" i="6"/>
  <c r="N184" i="6"/>
  <c r="M184" i="6"/>
  <c r="L184" i="6"/>
  <c r="K184" i="6"/>
  <c r="J184" i="6"/>
  <c r="I184" i="6"/>
  <c r="H184" i="6"/>
  <c r="G184" i="6"/>
  <c r="F184" i="6"/>
  <c r="E184" i="6"/>
  <c r="D184" i="6"/>
  <c r="O178" i="6"/>
  <c r="N178" i="6"/>
  <c r="M178" i="6"/>
  <c r="L178" i="6"/>
  <c r="K178" i="6"/>
  <c r="J178" i="6"/>
  <c r="I178" i="6"/>
  <c r="H178" i="6"/>
  <c r="G178" i="6"/>
  <c r="F178" i="6"/>
  <c r="E178" i="6"/>
  <c r="D178" i="6"/>
  <c r="E68" i="6"/>
  <c r="I68" i="6"/>
  <c r="M68" i="6"/>
  <c r="Q68" i="6"/>
  <c r="O157" i="6"/>
  <c r="N157" i="6"/>
  <c r="M157" i="6"/>
  <c r="L157" i="6"/>
  <c r="K157" i="6"/>
  <c r="J157" i="6"/>
  <c r="I157" i="6"/>
  <c r="H157" i="6"/>
  <c r="G157" i="6"/>
  <c r="F157" i="6"/>
  <c r="E157" i="6"/>
  <c r="D157" i="6"/>
  <c r="O142" i="6"/>
  <c r="N142" i="6"/>
  <c r="M142" i="6"/>
  <c r="L142" i="6"/>
  <c r="K142" i="6"/>
  <c r="J142" i="6"/>
  <c r="I142" i="6"/>
  <c r="H142" i="6"/>
  <c r="G142" i="6"/>
  <c r="F142" i="6"/>
  <c r="E142" i="6"/>
  <c r="D142" i="6"/>
  <c r="O137" i="6"/>
  <c r="N137" i="6"/>
  <c r="M137" i="6"/>
  <c r="L137" i="6"/>
  <c r="K137" i="6"/>
  <c r="J137" i="6"/>
  <c r="I137" i="6"/>
  <c r="H137" i="6"/>
  <c r="G137" i="6"/>
  <c r="F137" i="6"/>
  <c r="E137" i="6"/>
  <c r="D137" i="6"/>
  <c r="O92" i="6"/>
  <c r="N92" i="6"/>
  <c r="M92" i="6"/>
  <c r="L92" i="6"/>
  <c r="K92" i="6"/>
  <c r="J92" i="6"/>
  <c r="I92" i="6"/>
  <c r="H92" i="6"/>
  <c r="G92" i="6"/>
  <c r="F92" i="6"/>
  <c r="E92" i="6"/>
  <c r="D92" i="6"/>
  <c r="D86" i="6"/>
  <c r="E86" i="6"/>
  <c r="F86" i="6"/>
  <c r="G86" i="6"/>
  <c r="H86" i="6"/>
  <c r="I86" i="6"/>
  <c r="J86" i="6"/>
  <c r="K86" i="6"/>
  <c r="L86" i="6"/>
  <c r="M86" i="6"/>
  <c r="N86" i="6"/>
  <c r="O86" i="6"/>
  <c r="D79" i="6"/>
  <c r="D66" i="6"/>
  <c r="D68" i="6" s="1"/>
  <c r="E66" i="6"/>
  <c r="F66" i="6"/>
  <c r="F68" i="6" s="1"/>
  <c r="G66" i="6"/>
  <c r="G68" i="6" s="1"/>
  <c r="H66" i="6"/>
  <c r="H68" i="6" s="1"/>
  <c r="I66" i="6"/>
  <c r="J66" i="6"/>
  <c r="J68" i="6" s="1"/>
  <c r="K66" i="6"/>
  <c r="K68" i="6" s="1"/>
  <c r="L66" i="6"/>
  <c r="L68" i="6" s="1"/>
  <c r="M66" i="6"/>
  <c r="N66" i="6"/>
  <c r="N68" i="6" s="1"/>
  <c r="O66" i="6"/>
  <c r="O68" i="6" s="1"/>
  <c r="D35" i="6"/>
  <c r="E35" i="6"/>
  <c r="F35" i="6"/>
  <c r="G35" i="6"/>
  <c r="H35" i="6"/>
  <c r="I35" i="6"/>
  <c r="J35" i="6"/>
  <c r="K35" i="6"/>
  <c r="L35" i="6"/>
  <c r="M35" i="6"/>
  <c r="N35" i="6"/>
  <c r="O35" i="6"/>
  <c r="D30" i="6"/>
  <c r="E30" i="6"/>
  <c r="F30" i="6"/>
  <c r="G30" i="6"/>
  <c r="H30" i="6"/>
  <c r="I30" i="6"/>
  <c r="J30" i="6"/>
  <c r="K30" i="6"/>
  <c r="L30" i="6"/>
  <c r="M30" i="6"/>
  <c r="N30" i="6"/>
  <c r="O30" i="6"/>
  <c r="P155" i="6"/>
  <c r="Q155" i="6" s="1"/>
  <c r="P154" i="6"/>
  <c r="Q154" i="6" s="1"/>
  <c r="Q157" i="6" s="1"/>
  <c r="Q140" i="6"/>
  <c r="Q142" i="6" s="1"/>
  <c r="Q135" i="6"/>
  <c r="Q134" i="6"/>
  <c r="P129" i="6"/>
  <c r="Q129" i="6" s="1"/>
  <c r="P128" i="6"/>
  <c r="Q128" i="6" s="1"/>
  <c r="P127" i="6"/>
  <c r="Q127" i="6" s="1"/>
  <c r="P126" i="6"/>
  <c r="Q126" i="6" s="1"/>
  <c r="P125" i="6"/>
  <c r="Q125" i="6" s="1"/>
  <c r="P124" i="6"/>
  <c r="Q124" i="6" s="1"/>
  <c r="P123" i="6"/>
  <c r="Q123" i="6" s="1"/>
  <c r="P122" i="6"/>
  <c r="Q122" i="6" s="1"/>
  <c r="P121" i="6"/>
  <c r="Q121" i="6" s="1"/>
  <c r="P120" i="6"/>
  <c r="Q120" i="6" s="1"/>
  <c r="P119" i="6"/>
  <c r="Q119" i="6" s="1"/>
  <c r="P118" i="6"/>
  <c r="Q118" i="6" s="1"/>
  <c r="P117" i="6"/>
  <c r="Q117" i="6" s="1"/>
  <c r="P116" i="6"/>
  <c r="Q116" i="6" s="1"/>
  <c r="P115" i="6"/>
  <c r="Q115" i="6" s="1"/>
  <c r="P114" i="6"/>
  <c r="Q114" i="6" s="1"/>
  <c r="P113" i="6"/>
  <c r="Q113" i="6" s="1"/>
  <c r="P112" i="6"/>
  <c r="Q112" i="6" s="1"/>
  <c r="P111" i="6"/>
  <c r="Q111" i="6" s="1"/>
  <c r="P110" i="6"/>
  <c r="Q110" i="6" s="1"/>
  <c r="P109" i="6"/>
  <c r="Q109" i="6" s="1"/>
  <c r="P108" i="6"/>
  <c r="Q108" i="6" s="1"/>
  <c r="P107" i="6"/>
  <c r="Q107" i="6" s="1"/>
  <c r="P106" i="6"/>
  <c r="Q106" i="6" s="1"/>
  <c r="P105" i="6"/>
  <c r="Q105" i="6" s="1"/>
  <c r="P104" i="6"/>
  <c r="Q104" i="6" s="1"/>
  <c r="P103" i="6"/>
  <c r="Q103" i="6" s="1"/>
  <c r="P102" i="6"/>
  <c r="Q102" i="6" s="1"/>
  <c r="P101" i="6"/>
  <c r="Q101" i="6" s="1"/>
  <c r="P100" i="6"/>
  <c r="Q100" i="6" s="1"/>
  <c r="P98" i="6"/>
  <c r="Q98" i="6" s="1"/>
  <c r="P97" i="6"/>
  <c r="Q97" i="6" s="1"/>
  <c r="P96" i="6"/>
  <c r="Q96" i="6" s="1"/>
  <c r="Q90" i="6"/>
  <c r="Q89" i="6"/>
  <c r="Q92" i="6" s="1"/>
  <c r="P84" i="6"/>
  <c r="Q84" i="6" s="1"/>
  <c r="P83" i="6"/>
  <c r="Q83" i="6" s="1"/>
  <c r="P82" i="6"/>
  <c r="Q82" i="6" s="1"/>
  <c r="P76" i="6"/>
  <c r="P75" i="6"/>
  <c r="P73" i="6"/>
  <c r="P64" i="6"/>
  <c r="Q64" i="6" s="1"/>
  <c r="P63" i="6"/>
  <c r="Q63" i="6" s="1"/>
  <c r="P62" i="6"/>
  <c r="Q62" i="6" s="1"/>
  <c r="P61" i="6"/>
  <c r="Q61" i="6" s="1"/>
  <c r="P60" i="6"/>
  <c r="Q60" i="6" s="1"/>
  <c r="P59" i="6"/>
  <c r="Q59" i="6" s="1"/>
  <c r="P51" i="6"/>
  <c r="Q51" i="6" s="1"/>
  <c r="P50" i="6"/>
  <c r="Q50" i="6" s="1"/>
  <c r="P49" i="6"/>
  <c r="Q49" i="6" s="1"/>
  <c r="P48" i="6"/>
  <c r="Q48" i="6" s="1"/>
  <c r="P47" i="6"/>
  <c r="Q47" i="6" s="1"/>
  <c r="P46" i="6"/>
  <c r="Q46" i="6" s="1"/>
  <c r="P45" i="6"/>
  <c r="Q45" i="6" s="1"/>
  <c r="P44" i="6"/>
  <c r="Q44" i="6" s="1"/>
  <c r="P43" i="6"/>
  <c r="Q43" i="6" s="1"/>
  <c r="P42" i="6"/>
  <c r="Q42" i="6" s="1"/>
  <c r="P41" i="6"/>
  <c r="Q41" i="6" s="1"/>
  <c r="P40" i="6"/>
  <c r="Q40" i="6" s="1"/>
  <c r="P39" i="6"/>
  <c r="Q39" i="6" s="1"/>
  <c r="C241" i="6"/>
  <c r="C235" i="6"/>
  <c r="C194" i="6"/>
  <c r="C184" i="6"/>
  <c r="C157" i="6"/>
  <c r="C151" i="6"/>
  <c r="C142" i="6"/>
  <c r="C137" i="6"/>
  <c r="C92" i="6"/>
  <c r="C33" i="6"/>
  <c r="C35" i="6" s="1"/>
  <c r="C30" i="6"/>
  <c r="P17" i="6"/>
  <c r="Q17" i="6" s="1"/>
  <c r="P18" i="6"/>
  <c r="Q18" i="6" s="1"/>
  <c r="P19" i="6"/>
  <c r="Q19" i="6" s="1"/>
  <c r="P20" i="6"/>
  <c r="Q20" i="6" s="1"/>
  <c r="P21" i="6"/>
  <c r="Q21" i="6" s="1"/>
  <c r="P22" i="6"/>
  <c r="Q22" i="6" s="1"/>
  <c r="P23" i="6"/>
  <c r="Q23" i="6" s="1"/>
  <c r="P24" i="6"/>
  <c r="Q24" i="6" s="1"/>
  <c r="P25" i="6"/>
  <c r="Q25" i="6" s="1"/>
  <c r="P26" i="6"/>
  <c r="Q26" i="6" s="1"/>
  <c r="P27" i="6"/>
  <c r="Q27" i="6" s="1"/>
  <c r="P28" i="6"/>
  <c r="Q28" i="6" s="1"/>
  <c r="P16" i="6"/>
  <c r="Q16" i="6" s="1"/>
  <c r="C4" i="11" l="1"/>
  <c r="B13" i="11"/>
  <c r="P131" i="7"/>
  <c r="AG174" i="7"/>
  <c r="AC174" i="7"/>
  <c r="AF174" i="7"/>
  <c r="AB174" i="7"/>
  <c r="AE174" i="7"/>
  <c r="AD174" i="7"/>
  <c r="AE175" i="7"/>
  <c r="AC175" i="7"/>
  <c r="AD175" i="7"/>
  <c r="AG175" i="7"/>
  <c r="AF175" i="7"/>
  <c r="AB175" i="7"/>
  <c r="D178" i="7"/>
  <c r="D214" i="7" s="1"/>
  <c r="AD246" i="7"/>
  <c r="AG246" i="7"/>
  <c r="AC246" i="7"/>
  <c r="AF246" i="7"/>
  <c r="AB246" i="7"/>
  <c r="AE246" i="7"/>
  <c r="P246" i="7"/>
  <c r="Q246" i="7" s="1"/>
  <c r="E244" i="7"/>
  <c r="D251" i="7"/>
  <c r="E79" i="6"/>
  <c r="P76" i="7"/>
  <c r="Q76" i="7" s="1"/>
  <c r="AG230" i="7"/>
  <c r="AC230" i="7"/>
  <c r="AF230" i="7"/>
  <c r="AB230" i="7"/>
  <c r="AD230" i="7"/>
  <c r="AE230" i="7"/>
  <c r="AG221" i="7"/>
  <c r="AC221" i="7"/>
  <c r="AF221" i="7"/>
  <c r="AB221" i="7"/>
  <c r="AD221" i="7"/>
  <c r="AE221" i="7"/>
  <c r="P231" i="7"/>
  <c r="Q231" i="7" s="1"/>
  <c r="P232" i="7"/>
  <c r="Q232" i="7" s="1"/>
  <c r="P230" i="7"/>
  <c r="Q230" i="7" s="1"/>
  <c r="P222" i="7"/>
  <c r="Q222" i="7" s="1"/>
  <c r="P224" i="7"/>
  <c r="Q224" i="7" s="1"/>
  <c r="P221" i="7"/>
  <c r="Q221" i="7" s="1"/>
  <c r="AE231" i="7"/>
  <c r="AB231" i="7"/>
  <c r="AD231" i="7"/>
  <c r="AF231" i="7"/>
  <c r="AG231" i="7"/>
  <c r="AC231" i="7"/>
  <c r="AE222" i="7"/>
  <c r="AF222" i="7"/>
  <c r="AD222" i="7"/>
  <c r="AG222" i="7"/>
  <c r="AC222" i="7"/>
  <c r="AB222" i="7"/>
  <c r="AE227" i="7"/>
  <c r="AB227" i="7"/>
  <c r="AD227" i="7"/>
  <c r="AF227" i="7"/>
  <c r="AG227" i="7"/>
  <c r="AC227" i="7"/>
  <c r="AE220" i="7"/>
  <c r="AF220" i="7"/>
  <c r="AD220" i="7"/>
  <c r="AG220" i="7"/>
  <c r="AC220" i="7"/>
  <c r="AB220" i="7"/>
  <c r="AG226" i="7"/>
  <c r="AC226" i="7"/>
  <c r="AF226" i="7"/>
  <c r="AB226" i="7"/>
  <c r="AE226" i="7"/>
  <c r="AD226" i="7"/>
  <c r="D235" i="7"/>
  <c r="AE229" i="7"/>
  <c r="AF229" i="7"/>
  <c r="AD229" i="7"/>
  <c r="AB229" i="7"/>
  <c r="AG229" i="7"/>
  <c r="AC229" i="7"/>
  <c r="AG228" i="7"/>
  <c r="AC228" i="7"/>
  <c r="AD228" i="7"/>
  <c r="AF228" i="7"/>
  <c r="AB228" i="7"/>
  <c r="AE228" i="7"/>
  <c r="AG232" i="7"/>
  <c r="AC232" i="7"/>
  <c r="AF232" i="7"/>
  <c r="AB232" i="7"/>
  <c r="AD232" i="7"/>
  <c r="AE232" i="7"/>
  <c r="AD224" i="7"/>
  <c r="AG224" i="7"/>
  <c r="AC224" i="7"/>
  <c r="AF224" i="7"/>
  <c r="AB224" i="7"/>
  <c r="AE224" i="7"/>
  <c r="P227" i="7"/>
  <c r="Q227" i="7" s="1"/>
  <c r="P220" i="7"/>
  <c r="Q220" i="7" s="1"/>
  <c r="P226" i="7"/>
  <c r="Q226" i="7" s="1"/>
  <c r="P265" i="7"/>
  <c r="C214" i="7"/>
  <c r="Q134" i="7"/>
  <c r="Q137" i="7" s="1"/>
  <c r="U137" i="7" s="1"/>
  <c r="D239" i="7"/>
  <c r="E239" i="7" s="1"/>
  <c r="F239" i="7" s="1"/>
  <c r="G239" i="7" s="1"/>
  <c r="H239" i="7" s="1"/>
  <c r="I239" i="7" s="1"/>
  <c r="J239" i="7" s="1"/>
  <c r="K239" i="7" s="1"/>
  <c r="L239" i="7" s="1"/>
  <c r="M239" i="7" s="1"/>
  <c r="N239" i="7" s="1"/>
  <c r="O239" i="7" s="1"/>
  <c r="D159" i="6"/>
  <c r="V140" i="7"/>
  <c r="Q95" i="7"/>
  <c r="Q131" i="7" s="1"/>
  <c r="W140" i="7"/>
  <c r="Y140" i="7"/>
  <c r="E149" i="6"/>
  <c r="Q142" i="7"/>
  <c r="P194" i="6"/>
  <c r="Q235" i="6"/>
  <c r="P265" i="6"/>
  <c r="T140" i="7"/>
  <c r="U140" i="7"/>
  <c r="E241" i="6"/>
  <c r="Q30" i="7"/>
  <c r="X189" i="7"/>
  <c r="W189" i="7"/>
  <c r="Y189" i="7"/>
  <c r="P202" i="7"/>
  <c r="Q194" i="7"/>
  <c r="P66" i="7"/>
  <c r="P68" i="7" s="1"/>
  <c r="P30" i="7"/>
  <c r="W92" i="7"/>
  <c r="V92" i="7"/>
  <c r="Y92" i="7"/>
  <c r="U92" i="7"/>
  <c r="X92" i="7"/>
  <c r="T92" i="7"/>
  <c r="R92" i="7" s="1"/>
  <c r="X197" i="7"/>
  <c r="T197" i="7"/>
  <c r="Q202" i="7"/>
  <c r="W197" i="7"/>
  <c r="V197" i="7"/>
  <c r="U197" i="7"/>
  <c r="Y197" i="7"/>
  <c r="W86" i="7"/>
  <c r="V86" i="7"/>
  <c r="Y86" i="7"/>
  <c r="U86" i="7"/>
  <c r="T86" i="7"/>
  <c r="R86" i="7" s="1"/>
  <c r="X86" i="7"/>
  <c r="Q30" i="6"/>
  <c r="P33" i="6"/>
  <c r="Q33" i="6" s="1"/>
  <c r="Q35" i="6" s="1"/>
  <c r="P66" i="6"/>
  <c r="P68" i="6" s="1"/>
  <c r="Q86" i="6"/>
  <c r="P30" i="6"/>
  <c r="P92" i="6"/>
  <c r="E28" i="13"/>
  <c r="G36" i="13"/>
  <c r="H36" i="13" s="1"/>
  <c r="I36" i="13" s="1"/>
  <c r="J36" i="13" s="1"/>
  <c r="K36" i="13" s="1"/>
  <c r="L36" i="13" s="1"/>
  <c r="M36" i="13" s="1"/>
  <c r="N36" i="13" s="1"/>
  <c r="G35" i="13"/>
  <c r="H35" i="13" s="1"/>
  <c r="I35" i="13" s="1"/>
  <c r="J35" i="13" s="1"/>
  <c r="K35" i="13" s="1"/>
  <c r="L35" i="13" s="1"/>
  <c r="M35" i="13" s="1"/>
  <c r="N35" i="13" s="1"/>
  <c r="F30" i="13"/>
  <c r="G30" i="13" s="1"/>
  <c r="H30" i="13" s="1"/>
  <c r="I30" i="13" s="1"/>
  <c r="J30" i="13" s="1"/>
  <c r="K30" i="13" s="1"/>
  <c r="L30" i="13" s="1"/>
  <c r="M30" i="13" s="1"/>
  <c r="N30" i="13" s="1"/>
  <c r="F28" i="13"/>
  <c r="G28" i="13" s="1"/>
  <c r="H28" i="13" s="1"/>
  <c r="I28" i="13" s="1"/>
  <c r="J28" i="13" s="1"/>
  <c r="K28" i="13" s="1"/>
  <c r="L28" i="13" s="1"/>
  <c r="M28" i="13" s="1"/>
  <c r="N28" i="13" s="1"/>
  <c r="F29" i="13"/>
  <c r="G29" i="13" s="1"/>
  <c r="H29" i="13" s="1"/>
  <c r="I29" i="13" s="1"/>
  <c r="J29" i="13" s="1"/>
  <c r="K29" i="13" s="1"/>
  <c r="L29" i="13" s="1"/>
  <c r="M29" i="13" s="1"/>
  <c r="N29" i="13" s="1"/>
  <c r="F31" i="13"/>
  <c r="G31" i="13" s="1"/>
  <c r="H31" i="13" s="1"/>
  <c r="I31" i="13" s="1"/>
  <c r="J31" i="13" s="1"/>
  <c r="K31" i="13" s="1"/>
  <c r="L31" i="13" s="1"/>
  <c r="M31" i="13" s="1"/>
  <c r="N31" i="13" s="1"/>
  <c r="F27" i="13"/>
  <c r="G27" i="13" s="1"/>
  <c r="H27" i="13" s="1"/>
  <c r="I27" i="13" s="1"/>
  <c r="J27" i="13" s="1"/>
  <c r="K27" i="13" s="1"/>
  <c r="L27" i="13" s="1"/>
  <c r="M27" i="13" s="1"/>
  <c r="N27" i="13" s="1"/>
  <c r="F24" i="13"/>
  <c r="G24" i="13" s="1"/>
  <c r="H24" i="13" s="1"/>
  <c r="I24" i="13" s="1"/>
  <c r="J24" i="13" s="1"/>
  <c r="K24" i="13" s="1"/>
  <c r="L24" i="13" s="1"/>
  <c r="M24" i="13" s="1"/>
  <c r="N24" i="13" s="1"/>
  <c r="F26" i="13"/>
  <c r="G26" i="13" s="1"/>
  <c r="H26" i="13" s="1"/>
  <c r="I26" i="13" s="1"/>
  <c r="J26" i="13" s="1"/>
  <c r="K26" i="13" s="1"/>
  <c r="L26" i="13" s="1"/>
  <c r="M26" i="13" s="1"/>
  <c r="N26" i="13" s="1"/>
  <c r="F32" i="13"/>
  <c r="G32" i="13" s="1"/>
  <c r="H32" i="13" s="1"/>
  <c r="I32" i="13" s="1"/>
  <c r="J32" i="13" s="1"/>
  <c r="K32" i="13" s="1"/>
  <c r="L32" i="13" s="1"/>
  <c r="M32" i="13" s="1"/>
  <c r="N32" i="13" s="1"/>
  <c r="E33" i="13"/>
  <c r="F33" i="13" s="1"/>
  <c r="G33" i="13" s="1"/>
  <c r="H33" i="13" s="1"/>
  <c r="I33" i="13" s="1"/>
  <c r="J33" i="13" s="1"/>
  <c r="K33" i="13" s="1"/>
  <c r="L33" i="13" s="1"/>
  <c r="M33" i="13" s="1"/>
  <c r="N33" i="13" s="1"/>
  <c r="E25" i="13"/>
  <c r="F25" i="13" s="1"/>
  <c r="G25" i="13" s="1"/>
  <c r="H25" i="13" s="1"/>
  <c r="I25" i="13" s="1"/>
  <c r="J25" i="13" s="1"/>
  <c r="K25" i="13" s="1"/>
  <c r="L25" i="13" s="1"/>
  <c r="M25" i="13" s="1"/>
  <c r="N25" i="13" s="1"/>
  <c r="E33" i="12"/>
  <c r="E27" i="12"/>
  <c r="E31" i="12"/>
  <c r="F31" i="12" s="1"/>
  <c r="G31" i="12" s="1"/>
  <c r="H31" i="12" s="1"/>
  <c r="I31" i="12" s="1"/>
  <c r="J31" i="12" s="1"/>
  <c r="K31" i="12" s="1"/>
  <c r="L31" i="12" s="1"/>
  <c r="M31" i="12" s="1"/>
  <c r="N31" i="12" s="1"/>
  <c r="E26" i="12"/>
  <c r="F26" i="12" s="1"/>
  <c r="G26" i="12" s="1"/>
  <c r="H26" i="12" s="1"/>
  <c r="I26" i="12" s="1"/>
  <c r="J26" i="12" s="1"/>
  <c r="K26" i="12" s="1"/>
  <c r="L26" i="12" s="1"/>
  <c r="M26" i="12" s="1"/>
  <c r="N26" i="12" s="1"/>
  <c r="F51" i="12"/>
  <c r="F30" i="12"/>
  <c r="G30" i="12" s="1"/>
  <c r="H30" i="12" s="1"/>
  <c r="I30" i="12" s="1"/>
  <c r="J30" i="12" s="1"/>
  <c r="K30" i="12" s="1"/>
  <c r="L30" i="12" s="1"/>
  <c r="M30" i="12" s="1"/>
  <c r="N30" i="12" s="1"/>
  <c r="F25" i="12"/>
  <c r="G25" i="12" s="1"/>
  <c r="H25" i="12" s="1"/>
  <c r="I25" i="12" s="1"/>
  <c r="J25" i="12" s="1"/>
  <c r="K25" i="12" s="1"/>
  <c r="L25" i="12" s="1"/>
  <c r="M25" i="12" s="1"/>
  <c r="N25" i="12" s="1"/>
  <c r="E51" i="12"/>
  <c r="F33" i="12"/>
  <c r="G33" i="12" s="1"/>
  <c r="H33" i="12" s="1"/>
  <c r="I33" i="12" s="1"/>
  <c r="J33" i="12" s="1"/>
  <c r="K33" i="12" s="1"/>
  <c r="L33" i="12" s="1"/>
  <c r="M33" i="12" s="1"/>
  <c r="N33" i="12" s="1"/>
  <c r="F27" i="12"/>
  <c r="G27" i="12" s="1"/>
  <c r="H27" i="12" s="1"/>
  <c r="I27" i="12" s="1"/>
  <c r="J27" i="12" s="1"/>
  <c r="K27" i="12" s="1"/>
  <c r="L27" i="12" s="1"/>
  <c r="M27" i="12" s="1"/>
  <c r="N27" i="12" s="1"/>
  <c r="D32" i="12"/>
  <c r="E32" i="12" s="1"/>
  <c r="F32" i="12" s="1"/>
  <c r="G32" i="12" s="1"/>
  <c r="H32" i="12" s="1"/>
  <c r="I32" i="12" s="1"/>
  <c r="J32" i="12" s="1"/>
  <c r="K32" i="12" s="1"/>
  <c r="L32" i="12" s="1"/>
  <c r="M32" i="12" s="1"/>
  <c r="N32" i="12" s="1"/>
  <c r="D28" i="12"/>
  <c r="E28" i="12" s="1"/>
  <c r="F28" i="12" s="1"/>
  <c r="G28" i="12" s="1"/>
  <c r="H28" i="12" s="1"/>
  <c r="I28" i="12" s="1"/>
  <c r="J28" i="12" s="1"/>
  <c r="K28" i="12" s="1"/>
  <c r="L28" i="12" s="1"/>
  <c r="M28" i="12" s="1"/>
  <c r="N28" i="12" s="1"/>
  <c r="D29" i="12"/>
  <c r="E29" i="12" s="1"/>
  <c r="F29" i="12" s="1"/>
  <c r="G29" i="12" s="1"/>
  <c r="H29" i="12" s="1"/>
  <c r="I29" i="12" s="1"/>
  <c r="J29" i="12" s="1"/>
  <c r="K29" i="12" s="1"/>
  <c r="L29" i="12" s="1"/>
  <c r="M29" i="12" s="1"/>
  <c r="N29" i="12" s="1"/>
  <c r="D36" i="12"/>
  <c r="E36" i="12" s="1"/>
  <c r="F36" i="12" s="1"/>
  <c r="G36" i="12" s="1"/>
  <c r="H36" i="12" s="1"/>
  <c r="I36" i="12" s="1"/>
  <c r="J36" i="12" s="1"/>
  <c r="K36" i="12" s="1"/>
  <c r="L36" i="12" s="1"/>
  <c r="M36" i="12" s="1"/>
  <c r="N36" i="12" s="1"/>
  <c r="C34" i="12"/>
  <c r="D35" i="12"/>
  <c r="E24" i="12"/>
  <c r="F11" i="12"/>
  <c r="G11" i="12" s="1"/>
  <c r="I11" i="12" s="1"/>
  <c r="J11" i="12" s="1"/>
  <c r="K11" i="12" s="1"/>
  <c r="L11" i="12" s="1"/>
  <c r="M11" i="12" s="1"/>
  <c r="P157" i="6"/>
  <c r="Q137" i="6"/>
  <c r="P137" i="6"/>
  <c r="P86" i="6"/>
  <c r="P202" i="6"/>
  <c r="H214" i="6"/>
  <c r="E214" i="6"/>
  <c r="I214" i="6"/>
  <c r="M214" i="6"/>
  <c r="L214" i="6"/>
  <c r="F214" i="6"/>
  <c r="J214" i="6"/>
  <c r="N214" i="6"/>
  <c r="P178" i="6"/>
  <c r="D214" i="6"/>
  <c r="G214" i="6"/>
  <c r="K214" i="6"/>
  <c r="O214" i="6"/>
  <c r="F241" i="6"/>
  <c r="G238" i="6"/>
  <c r="E256" i="6"/>
  <c r="P239" i="6"/>
  <c r="Q239" i="6" s="1"/>
  <c r="F256" i="6"/>
  <c r="D256" i="6"/>
  <c r="Q262" i="6"/>
  <c r="Q265" i="6" s="1"/>
  <c r="Q251" i="6"/>
  <c r="P251" i="6"/>
  <c r="P235" i="6"/>
  <c r="Q212" i="6"/>
  <c r="P212" i="6"/>
  <c r="Q197" i="6"/>
  <c r="Q202" i="6" s="1"/>
  <c r="Q187" i="6"/>
  <c r="Q194" i="6" s="1"/>
  <c r="Q181" i="6"/>
  <c r="Q184" i="6" s="1"/>
  <c r="Q178" i="6"/>
  <c r="C265" i="6"/>
  <c r="C66" i="6"/>
  <c r="C68" i="6" s="1"/>
  <c r="C79" i="6"/>
  <c r="C178" i="6"/>
  <c r="C86" i="6"/>
  <c r="C202" i="6"/>
  <c r="C212" i="6"/>
  <c r="C251" i="6"/>
  <c r="C256" i="6" s="1"/>
  <c r="C159" i="6"/>
  <c r="D4" i="11" l="1"/>
  <c r="C13" i="11"/>
  <c r="E178" i="7"/>
  <c r="E214" i="7" s="1"/>
  <c r="X175" i="7"/>
  <c r="W175" i="7"/>
  <c r="U175" i="7"/>
  <c r="V175" i="7"/>
  <c r="T175" i="7"/>
  <c r="Y175" i="7"/>
  <c r="T174" i="7"/>
  <c r="V174" i="7"/>
  <c r="Y174" i="7"/>
  <c r="W174" i="7"/>
  <c r="U174" i="7"/>
  <c r="X174" i="7"/>
  <c r="X246" i="7"/>
  <c r="U246" i="7"/>
  <c r="T246" i="7"/>
  <c r="W246" i="7"/>
  <c r="V246" i="7"/>
  <c r="Y246" i="7"/>
  <c r="F244" i="7"/>
  <c r="E251" i="7"/>
  <c r="F79" i="6"/>
  <c r="E144" i="6"/>
  <c r="T222" i="7"/>
  <c r="V222" i="7"/>
  <c r="X222" i="7"/>
  <c r="W222" i="7"/>
  <c r="U222" i="7"/>
  <c r="Y222" i="7"/>
  <c r="X227" i="7"/>
  <c r="U227" i="7"/>
  <c r="W227" i="7"/>
  <c r="T227" i="7"/>
  <c r="Y227" i="7"/>
  <c r="V227" i="7"/>
  <c r="T230" i="7"/>
  <c r="V230" i="7"/>
  <c r="X230" i="7"/>
  <c r="Y230" i="7"/>
  <c r="W230" i="7"/>
  <c r="U230" i="7"/>
  <c r="V221" i="7"/>
  <c r="U221" i="7"/>
  <c r="X221" i="7"/>
  <c r="Y221" i="7"/>
  <c r="T221" i="7"/>
  <c r="W221" i="7"/>
  <c r="W232" i="7"/>
  <c r="Y232" i="7"/>
  <c r="U232" i="7"/>
  <c r="V232" i="7"/>
  <c r="X232" i="7"/>
  <c r="T232" i="7"/>
  <c r="Y220" i="7"/>
  <c r="W220" i="7"/>
  <c r="T220" i="7"/>
  <c r="V220" i="7"/>
  <c r="X220" i="7"/>
  <c r="U220" i="7"/>
  <c r="W226" i="7"/>
  <c r="U226" i="7"/>
  <c r="V226" i="7"/>
  <c r="X226" i="7"/>
  <c r="Y226" i="7"/>
  <c r="T226" i="7"/>
  <c r="E235" i="7"/>
  <c r="Y224" i="7"/>
  <c r="V224" i="7"/>
  <c r="U224" i="7"/>
  <c r="X224" i="7"/>
  <c r="T224" i="7"/>
  <c r="W224" i="7"/>
  <c r="W231" i="7"/>
  <c r="Y231" i="7"/>
  <c r="V231" i="7"/>
  <c r="U231" i="7"/>
  <c r="X231" i="7"/>
  <c r="T231" i="7"/>
  <c r="Y137" i="7"/>
  <c r="P239" i="7"/>
  <c r="Q239" i="7" s="1"/>
  <c r="W137" i="7"/>
  <c r="T137" i="7"/>
  <c r="R137" i="7" s="1"/>
  <c r="V137" i="7"/>
  <c r="X137" i="7"/>
  <c r="P214" i="6"/>
  <c r="F149" i="6"/>
  <c r="E151" i="6"/>
  <c r="E159" i="6" s="1"/>
  <c r="E267" i="6"/>
  <c r="E269" i="6" s="1"/>
  <c r="AG239" i="7"/>
  <c r="AE239" i="7"/>
  <c r="AC239" i="7"/>
  <c r="AD239" i="7"/>
  <c r="AB239" i="7"/>
  <c r="AF239" i="7"/>
  <c r="Y169" i="7"/>
  <c r="U169" i="7"/>
  <c r="X169" i="7"/>
  <c r="V169" i="7"/>
  <c r="T169" i="7"/>
  <c r="W169" i="7"/>
  <c r="P35" i="6"/>
  <c r="G51" i="12"/>
  <c r="D34" i="12"/>
  <c r="D23" i="12"/>
  <c r="E35" i="12"/>
  <c r="F35" i="12" s="1"/>
  <c r="E23" i="12"/>
  <c r="F24" i="12"/>
  <c r="D267" i="6"/>
  <c r="D269" i="6" s="1"/>
  <c r="F267" i="6"/>
  <c r="F269" i="6" s="1"/>
  <c r="Q214" i="6"/>
  <c r="H238" i="6"/>
  <c r="G241" i="6"/>
  <c r="G256" i="6" s="1"/>
  <c r="G267" i="6" s="1"/>
  <c r="G269" i="6" s="1"/>
  <c r="C214" i="6"/>
  <c r="C144" i="6"/>
  <c r="C267" i="6"/>
  <c r="C269" i="6" s="1"/>
  <c r="E4" i="11" l="1"/>
  <c r="D13" i="11"/>
  <c r="F178" i="7"/>
  <c r="F214" i="7" s="1"/>
  <c r="G244" i="7"/>
  <c r="F251" i="7"/>
  <c r="F144" i="6"/>
  <c r="G79" i="6"/>
  <c r="F235" i="7"/>
  <c r="V239" i="7"/>
  <c r="T239" i="7"/>
  <c r="Y239" i="7"/>
  <c r="X239" i="7"/>
  <c r="U239" i="7"/>
  <c r="W239" i="7"/>
  <c r="G149" i="6"/>
  <c r="F151" i="6"/>
  <c r="F159" i="6" s="1"/>
  <c r="E34" i="12"/>
  <c r="H51" i="12"/>
  <c r="D37" i="12"/>
  <c r="E37" i="12"/>
  <c r="F34" i="12"/>
  <c r="G35" i="12"/>
  <c r="F23" i="12"/>
  <c r="G24" i="12"/>
  <c r="I238" i="6"/>
  <c r="H241" i="6"/>
  <c r="H256" i="6" s="1"/>
  <c r="H267" i="6" s="1"/>
  <c r="H269" i="6" s="1"/>
  <c r="F4" i="11" l="1"/>
  <c r="E13" i="11"/>
  <c r="G178" i="7"/>
  <c r="G214" i="7" s="1"/>
  <c r="H244" i="7"/>
  <c r="G251" i="7"/>
  <c r="G144" i="6"/>
  <c r="G235" i="7"/>
  <c r="G151" i="6"/>
  <c r="G159" i="6" s="1"/>
  <c r="H149" i="6"/>
  <c r="I51" i="12"/>
  <c r="G23" i="12"/>
  <c r="H24" i="12"/>
  <c r="G34" i="12"/>
  <c r="H35" i="12"/>
  <c r="F37" i="12"/>
  <c r="J238" i="6"/>
  <c r="I241" i="6"/>
  <c r="I256" i="6" s="1"/>
  <c r="I267" i="6" s="1"/>
  <c r="I269" i="6" s="1"/>
  <c r="G4" i="11" l="1"/>
  <c r="F13" i="11"/>
  <c r="H178" i="7"/>
  <c r="H214" i="7" s="1"/>
  <c r="I244" i="7"/>
  <c r="H251" i="7"/>
  <c r="H79" i="6"/>
  <c r="H235" i="7"/>
  <c r="I149" i="6"/>
  <c r="H151" i="6"/>
  <c r="H159" i="6" s="1"/>
  <c r="J51" i="12"/>
  <c r="G37" i="12"/>
  <c r="H34" i="12"/>
  <c r="I35" i="12"/>
  <c r="H23" i="12"/>
  <c r="I24" i="12"/>
  <c r="K238" i="6"/>
  <c r="J241" i="6"/>
  <c r="J256" i="6" s="1"/>
  <c r="J267" i="6" s="1"/>
  <c r="J269" i="6" s="1"/>
  <c r="H4" i="11" l="1"/>
  <c r="G13" i="11"/>
  <c r="I178" i="7"/>
  <c r="I214" i="7" s="1"/>
  <c r="J244" i="7"/>
  <c r="I251" i="7"/>
  <c r="I79" i="6"/>
  <c r="H144" i="6"/>
  <c r="I235" i="7"/>
  <c r="I151" i="6"/>
  <c r="I159" i="6" s="1"/>
  <c r="J149" i="6"/>
  <c r="K51" i="12"/>
  <c r="I23" i="12"/>
  <c r="J24" i="12"/>
  <c r="I34" i="12"/>
  <c r="J35" i="12"/>
  <c r="H37" i="12"/>
  <c r="K241" i="6"/>
  <c r="K256" i="6" s="1"/>
  <c r="K267" i="6" s="1"/>
  <c r="K269" i="6" s="1"/>
  <c r="L238" i="6"/>
  <c r="I4" i="11" l="1"/>
  <c r="H13" i="11"/>
  <c r="J178" i="7"/>
  <c r="J214" i="7" s="1"/>
  <c r="K244" i="7"/>
  <c r="J251" i="7"/>
  <c r="J79" i="6"/>
  <c r="I144" i="6"/>
  <c r="J235" i="7"/>
  <c r="J151" i="6"/>
  <c r="J159" i="6" s="1"/>
  <c r="K149" i="6"/>
  <c r="L51" i="12"/>
  <c r="I37" i="12"/>
  <c r="J34" i="12"/>
  <c r="K35" i="12"/>
  <c r="J23" i="12"/>
  <c r="K24" i="12"/>
  <c r="M238" i="6"/>
  <c r="L241" i="6"/>
  <c r="L256" i="6" s="1"/>
  <c r="L267" i="6" s="1"/>
  <c r="L269" i="6" s="1"/>
  <c r="J4" i="11" l="1"/>
  <c r="I13" i="11"/>
  <c r="K178" i="7"/>
  <c r="K214" i="7" s="1"/>
  <c r="L244" i="7"/>
  <c r="K251" i="7"/>
  <c r="K79" i="6"/>
  <c r="J144" i="6"/>
  <c r="K235" i="7"/>
  <c r="K151" i="6"/>
  <c r="K159" i="6" s="1"/>
  <c r="L149" i="6"/>
  <c r="N51" i="12"/>
  <c r="M51" i="12"/>
  <c r="K23" i="12"/>
  <c r="L24" i="12"/>
  <c r="K34" i="12"/>
  <c r="L35" i="12"/>
  <c r="J37" i="12"/>
  <c r="P95" i="6"/>
  <c r="M241" i="6"/>
  <c r="M256" i="6" s="1"/>
  <c r="M267" i="6" s="1"/>
  <c r="M269" i="6" s="1"/>
  <c r="N238" i="6"/>
  <c r="K4" i="11" l="1"/>
  <c r="J13" i="11"/>
  <c r="L178" i="7"/>
  <c r="L214" i="7" s="1"/>
  <c r="M244" i="7"/>
  <c r="L251" i="7"/>
  <c r="L79" i="6"/>
  <c r="K144" i="6"/>
  <c r="L235" i="7"/>
  <c r="L151" i="6"/>
  <c r="L159" i="6" s="1"/>
  <c r="M149" i="6"/>
  <c r="K37" i="12"/>
  <c r="L34" i="12"/>
  <c r="M35" i="12"/>
  <c r="L23" i="12"/>
  <c r="M24" i="12"/>
  <c r="Q95" i="6"/>
  <c r="Q131" i="6" s="1"/>
  <c r="P131" i="6"/>
  <c r="O238" i="6"/>
  <c r="N241" i="6"/>
  <c r="N256" i="6" s="1"/>
  <c r="N267" i="6" s="1"/>
  <c r="N269" i="6" s="1"/>
  <c r="L4" i="11" l="1"/>
  <c r="K13" i="11"/>
  <c r="M178" i="7"/>
  <c r="M214" i="7" s="1"/>
  <c r="N244" i="7"/>
  <c r="M251" i="7"/>
  <c r="M79" i="6"/>
  <c r="L144" i="6"/>
  <c r="M235" i="7"/>
  <c r="O241" i="6"/>
  <c r="O256" i="6" s="1"/>
  <c r="O267" i="6" s="1"/>
  <c r="O269" i="6" s="1"/>
  <c r="C238" i="7"/>
  <c r="M151" i="6"/>
  <c r="M159" i="6" s="1"/>
  <c r="N149" i="6"/>
  <c r="P238" i="6"/>
  <c r="M23" i="12"/>
  <c r="N24" i="12"/>
  <c r="N23" i="12" s="1"/>
  <c r="M34" i="12"/>
  <c r="N35" i="12"/>
  <c r="N34" i="12" s="1"/>
  <c r="L37" i="12"/>
  <c r="Q238" i="6"/>
  <c r="Q241" i="6" s="1"/>
  <c r="Q256" i="6" s="1"/>
  <c r="Q267" i="6" s="1"/>
  <c r="Q269" i="6" s="1"/>
  <c r="P241" i="6"/>
  <c r="P256" i="6" s="1"/>
  <c r="P267" i="6" s="1"/>
  <c r="P269" i="6" s="1"/>
  <c r="M4" i="11" l="1"/>
  <c r="M13" i="11" s="1"/>
  <c r="L13" i="11"/>
  <c r="N178" i="7"/>
  <c r="N214" i="7" s="1"/>
  <c r="O244" i="7"/>
  <c r="N251" i="7"/>
  <c r="N79" i="6"/>
  <c r="M144" i="6"/>
  <c r="N235" i="7"/>
  <c r="D238" i="7"/>
  <c r="C241" i="7"/>
  <c r="C256" i="7" s="1"/>
  <c r="C267" i="7" s="1"/>
  <c r="C269" i="7" s="1"/>
  <c r="N151" i="6"/>
  <c r="N159" i="6" s="1"/>
  <c r="O149" i="6"/>
  <c r="P149" i="6"/>
  <c r="N37" i="12"/>
  <c r="M37" i="12"/>
  <c r="AE173" i="7" l="1"/>
  <c r="AG173" i="7"/>
  <c r="AC173" i="7"/>
  <c r="AD173" i="7"/>
  <c r="AH173" i="7" s="1"/>
  <c r="AF173" i="7"/>
  <c r="AB173" i="7"/>
  <c r="O178" i="7"/>
  <c r="O214" i="7" s="1"/>
  <c r="AE244" i="7"/>
  <c r="AG244" i="7"/>
  <c r="AC244" i="7"/>
  <c r="AF244" i="7"/>
  <c r="AB244" i="7"/>
  <c r="O251" i="7"/>
  <c r="AD244" i="7"/>
  <c r="P244" i="7"/>
  <c r="P74" i="6"/>
  <c r="N144" i="6"/>
  <c r="P75" i="7"/>
  <c r="AF218" i="7"/>
  <c r="AB218" i="7"/>
  <c r="O235" i="7"/>
  <c r="AE218" i="7"/>
  <c r="AH218" i="7" s="1"/>
  <c r="AG218" i="7"/>
  <c r="AD218" i="7"/>
  <c r="P218" i="7"/>
  <c r="Q149" i="6"/>
  <c r="Q151" i="6" s="1"/>
  <c r="Q159" i="6" s="1"/>
  <c r="P151" i="6"/>
  <c r="P159" i="6" s="1"/>
  <c r="C149" i="7"/>
  <c r="O151" i="6"/>
  <c r="O159" i="6" s="1"/>
  <c r="E238" i="7"/>
  <c r="D241" i="7"/>
  <c r="D256" i="7" s="1"/>
  <c r="D267" i="7" s="1"/>
  <c r="D269" i="7" s="1"/>
  <c r="H23" i="16"/>
  <c r="H24" i="16" s="1"/>
  <c r="F23" i="16"/>
  <c r="F24" i="16" s="1"/>
  <c r="E23" i="16"/>
  <c r="D23" i="16"/>
  <c r="D24" i="16" s="1"/>
  <c r="C23" i="16"/>
  <c r="C24" i="16" s="1"/>
  <c r="B23" i="16"/>
  <c r="B24" i="16" s="1"/>
  <c r="G22" i="16"/>
  <c r="G21" i="16"/>
  <c r="G23" i="16" s="1"/>
  <c r="G24" i="16" s="1"/>
  <c r="G9" i="16"/>
  <c r="E9" i="16"/>
  <c r="D9" i="16"/>
  <c r="C9" i="16"/>
  <c r="B9" i="16"/>
  <c r="G8" i="16"/>
  <c r="G10" i="16" s="1"/>
  <c r="F8" i="16"/>
  <c r="F10" i="16" s="1"/>
  <c r="E8" i="16"/>
  <c r="E10" i="16" s="1"/>
  <c r="D8" i="16"/>
  <c r="D10" i="16" s="1"/>
  <c r="C8" i="16"/>
  <c r="C10" i="16" s="1"/>
  <c r="B8" i="16"/>
  <c r="B10" i="16" s="1"/>
  <c r="H4" i="16"/>
  <c r="H8" i="16" s="1"/>
  <c r="H10" i="16" s="1"/>
  <c r="H23" i="15"/>
  <c r="H24" i="15" s="1"/>
  <c r="F23" i="15"/>
  <c r="E23" i="15"/>
  <c r="D23" i="15"/>
  <c r="D24" i="15" s="1"/>
  <c r="C23" i="15"/>
  <c r="C24" i="15" s="1"/>
  <c r="B23" i="15"/>
  <c r="G22" i="15"/>
  <c r="G21" i="15"/>
  <c r="G23" i="15" s="1"/>
  <c r="G24" i="15" s="1"/>
  <c r="H14" i="15"/>
  <c r="G9" i="15"/>
  <c r="E9" i="15"/>
  <c r="D9" i="15"/>
  <c r="C9" i="15"/>
  <c r="B9" i="15"/>
  <c r="G8" i="15"/>
  <c r="G10" i="15" s="1"/>
  <c r="F8" i="15"/>
  <c r="F10" i="15" s="1"/>
  <c r="E8" i="15"/>
  <c r="E10" i="15" s="1"/>
  <c r="D8" i="15"/>
  <c r="D10" i="15" s="1"/>
  <c r="C8" i="15"/>
  <c r="C10" i="15" s="1"/>
  <c r="B8" i="15"/>
  <c r="B10" i="15" s="1"/>
  <c r="H7" i="15"/>
  <c r="H6" i="15"/>
  <c r="H5" i="15"/>
  <c r="G4" i="15"/>
  <c r="H4" i="15" s="1"/>
  <c r="H8" i="15" s="1"/>
  <c r="H10" i="15" s="1"/>
  <c r="H23" i="14"/>
  <c r="H24" i="14" s="1"/>
  <c r="F23" i="14"/>
  <c r="F24" i="14" s="1"/>
  <c r="E23" i="14"/>
  <c r="D23" i="14"/>
  <c r="D24" i="14" s="1"/>
  <c r="C23" i="14"/>
  <c r="C24" i="14" s="1"/>
  <c r="B23" i="14"/>
  <c r="B24" i="14" s="1"/>
  <c r="G22" i="14"/>
  <c r="G21" i="14"/>
  <c r="G23" i="14" s="1"/>
  <c r="G24" i="14" s="1"/>
  <c r="H14" i="14"/>
  <c r="G9" i="14"/>
  <c r="E9" i="14"/>
  <c r="D9" i="14"/>
  <c r="C9" i="14"/>
  <c r="B9" i="14"/>
  <c r="G8" i="14"/>
  <c r="G10" i="14" s="1"/>
  <c r="F8" i="14"/>
  <c r="F10" i="14" s="1"/>
  <c r="E8" i="14"/>
  <c r="E10" i="14" s="1"/>
  <c r="D8" i="14"/>
  <c r="D10" i="14" s="1"/>
  <c r="C8" i="14"/>
  <c r="C10" i="14" s="1"/>
  <c r="B8" i="14"/>
  <c r="B10" i="14" s="1"/>
  <c r="H7" i="14"/>
  <c r="H6" i="14"/>
  <c r="H5" i="14"/>
  <c r="G4" i="14"/>
  <c r="H4" i="14" s="1"/>
  <c r="H8" i="14" s="1"/>
  <c r="H10" i="14" s="1"/>
  <c r="O53" i="13"/>
  <c r="O52" i="13"/>
  <c r="P51" i="13"/>
  <c r="N51" i="13"/>
  <c r="M51" i="13"/>
  <c r="L51" i="13"/>
  <c r="K51" i="13"/>
  <c r="J51" i="13"/>
  <c r="I51" i="13"/>
  <c r="H51" i="13"/>
  <c r="H54" i="13" s="1"/>
  <c r="G51" i="13"/>
  <c r="F51" i="13"/>
  <c r="E51" i="13"/>
  <c r="D51" i="13"/>
  <c r="C51" i="13"/>
  <c r="O50" i="13"/>
  <c r="O49" i="13"/>
  <c r="O48" i="13"/>
  <c r="O47" i="13"/>
  <c r="O46" i="13"/>
  <c r="O45" i="13"/>
  <c r="O44" i="13"/>
  <c r="O43" i="13"/>
  <c r="O42" i="13"/>
  <c r="O41" i="13"/>
  <c r="N40" i="13"/>
  <c r="M40" i="13"/>
  <c r="L40" i="13"/>
  <c r="K40" i="13"/>
  <c r="J40" i="13"/>
  <c r="I40" i="13"/>
  <c r="H40" i="13"/>
  <c r="G40" i="13"/>
  <c r="F40" i="13"/>
  <c r="F54" i="13" s="1"/>
  <c r="E40" i="13"/>
  <c r="D40" i="13"/>
  <c r="C40" i="13"/>
  <c r="C54" i="13" s="1"/>
  <c r="O36" i="13"/>
  <c r="O35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B37" i="13" s="1"/>
  <c r="O33" i="13"/>
  <c r="O32" i="13"/>
  <c r="O31" i="13"/>
  <c r="O30" i="13"/>
  <c r="O29" i="13"/>
  <c r="O28" i="13"/>
  <c r="O27" i="13"/>
  <c r="O26" i="13"/>
  <c r="O25" i="13"/>
  <c r="O24" i="13"/>
  <c r="N23" i="13"/>
  <c r="M23" i="13"/>
  <c r="L23" i="13"/>
  <c r="K23" i="13"/>
  <c r="K37" i="13" s="1"/>
  <c r="J23" i="13"/>
  <c r="I23" i="13"/>
  <c r="H23" i="13"/>
  <c r="G23" i="13"/>
  <c r="G37" i="13" s="1"/>
  <c r="F23" i="13"/>
  <c r="F37" i="13" s="1"/>
  <c r="E23" i="13"/>
  <c r="D23" i="13"/>
  <c r="C23" i="13"/>
  <c r="B23" i="13"/>
  <c r="O19" i="13"/>
  <c r="O18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O16" i="13"/>
  <c r="O15" i="13"/>
  <c r="O14" i="13"/>
  <c r="O13" i="13"/>
  <c r="O12" i="13"/>
  <c r="O11" i="13"/>
  <c r="O10" i="13"/>
  <c r="O9" i="13"/>
  <c r="O8" i="13"/>
  <c r="O7" i="13"/>
  <c r="N6" i="13"/>
  <c r="M6" i="13"/>
  <c r="M20" i="13" s="1"/>
  <c r="L6" i="13"/>
  <c r="K6" i="13"/>
  <c r="J6" i="13"/>
  <c r="I6" i="13"/>
  <c r="I20" i="13" s="1"/>
  <c r="H6" i="13"/>
  <c r="G6" i="13"/>
  <c r="F6" i="13"/>
  <c r="E6" i="13"/>
  <c r="D6" i="13"/>
  <c r="C6" i="13"/>
  <c r="B20" i="13"/>
  <c r="W3" i="13"/>
  <c r="V3" i="13"/>
  <c r="U3" i="13"/>
  <c r="U26" i="13" s="1"/>
  <c r="T3" i="13"/>
  <c r="AB3" i="13" s="1"/>
  <c r="S3" i="13"/>
  <c r="R3" i="13"/>
  <c r="O53" i="12"/>
  <c r="O52" i="12"/>
  <c r="P51" i="12"/>
  <c r="O50" i="12"/>
  <c r="O49" i="12"/>
  <c r="O48" i="12"/>
  <c r="O47" i="12"/>
  <c r="O46" i="12"/>
  <c r="O45" i="12"/>
  <c r="O44" i="12"/>
  <c r="O43" i="12"/>
  <c r="O42" i="12"/>
  <c r="O41" i="12"/>
  <c r="N40" i="12"/>
  <c r="N54" i="12" s="1"/>
  <c r="M40" i="12"/>
  <c r="M54" i="12" s="1"/>
  <c r="L40" i="12"/>
  <c r="L54" i="12" s="1"/>
  <c r="K40" i="12"/>
  <c r="K54" i="12" s="1"/>
  <c r="J40" i="12"/>
  <c r="J54" i="12" s="1"/>
  <c r="I40" i="12"/>
  <c r="I54" i="12" s="1"/>
  <c r="H40" i="12"/>
  <c r="H54" i="12" s="1"/>
  <c r="G40" i="12"/>
  <c r="G54" i="12" s="1"/>
  <c r="F40" i="12"/>
  <c r="F54" i="12" s="1"/>
  <c r="E40" i="12"/>
  <c r="E54" i="12" s="1"/>
  <c r="D40" i="12"/>
  <c r="D54" i="12" s="1"/>
  <c r="C40" i="12"/>
  <c r="O36" i="12"/>
  <c r="O35" i="12"/>
  <c r="O33" i="12"/>
  <c r="O32" i="12"/>
  <c r="O31" i="12"/>
  <c r="O30" i="12"/>
  <c r="O29" i="12"/>
  <c r="O28" i="12"/>
  <c r="O27" i="12"/>
  <c r="O26" i="12"/>
  <c r="O25" i="12"/>
  <c r="O24" i="12"/>
  <c r="C23" i="12"/>
  <c r="C37" i="12" s="1"/>
  <c r="B23" i="12"/>
  <c r="B37" i="12" s="1"/>
  <c r="O19" i="12"/>
  <c r="O18" i="12"/>
  <c r="O16" i="12"/>
  <c r="O15" i="12"/>
  <c r="O14" i="12"/>
  <c r="O13" i="12"/>
  <c r="U13" i="12" s="1"/>
  <c r="O12" i="12"/>
  <c r="O11" i="12"/>
  <c r="O10" i="12"/>
  <c r="O9" i="12"/>
  <c r="U9" i="12" s="1"/>
  <c r="O8" i="12"/>
  <c r="O7" i="12"/>
  <c r="N6" i="12"/>
  <c r="M6" i="12"/>
  <c r="L6" i="12"/>
  <c r="L20" i="12" s="1"/>
  <c r="K6" i="12"/>
  <c r="J6" i="12"/>
  <c r="J20" i="12" s="1"/>
  <c r="I6" i="12"/>
  <c r="H6" i="12"/>
  <c r="H20" i="12" s="1"/>
  <c r="G6" i="12"/>
  <c r="F6" i="12"/>
  <c r="F20" i="12" s="1"/>
  <c r="E6" i="12"/>
  <c r="D6" i="12"/>
  <c r="D20" i="12" s="1"/>
  <c r="C6" i="12"/>
  <c r="B6" i="12"/>
  <c r="W3" i="12"/>
  <c r="AE3" i="12" s="1"/>
  <c r="AE17" i="12" s="1"/>
  <c r="V3" i="12"/>
  <c r="U3" i="12"/>
  <c r="AC3" i="12" s="1"/>
  <c r="T3" i="12"/>
  <c r="T15" i="12" s="1"/>
  <c r="S3" i="12"/>
  <c r="AA3" i="12" s="1"/>
  <c r="R3" i="12"/>
  <c r="M15" i="11"/>
  <c r="M17" i="11" s="1"/>
  <c r="L15" i="11"/>
  <c r="L17" i="11" s="1"/>
  <c r="K15" i="11"/>
  <c r="K17" i="11" s="1"/>
  <c r="J15" i="11"/>
  <c r="J17" i="11" s="1"/>
  <c r="I15" i="11"/>
  <c r="I17" i="11" s="1"/>
  <c r="H15" i="11"/>
  <c r="H17" i="11" s="1"/>
  <c r="G15" i="11"/>
  <c r="G17" i="11" s="1"/>
  <c r="F15" i="11"/>
  <c r="F17" i="11" s="1"/>
  <c r="E15" i="11"/>
  <c r="E17" i="11" s="1"/>
  <c r="D15" i="11"/>
  <c r="D17" i="11" s="1"/>
  <c r="C15" i="11"/>
  <c r="C17" i="11" s="1"/>
  <c r="B15" i="11"/>
  <c r="B17" i="11" s="1"/>
  <c r="N12" i="11"/>
  <c r="N11" i="11"/>
  <c r="N10" i="11"/>
  <c r="N9" i="11"/>
  <c r="N15" i="11" s="1"/>
  <c r="N8" i="11"/>
  <c r="N7" i="11"/>
  <c r="N6" i="11"/>
  <c r="N5" i="11"/>
  <c r="N4" i="11"/>
  <c r="V14" i="11"/>
  <c r="U16" i="11"/>
  <c r="T16" i="11"/>
  <c r="R14" i="11"/>
  <c r="Q16" i="11"/>
  <c r="D17" i="10"/>
  <c r="M15" i="10"/>
  <c r="M17" i="10" s="1"/>
  <c r="L15" i="10"/>
  <c r="L17" i="10" s="1"/>
  <c r="K15" i="10"/>
  <c r="K17" i="10" s="1"/>
  <c r="J15" i="10"/>
  <c r="J17" i="10" s="1"/>
  <c r="I15" i="10"/>
  <c r="I17" i="10" s="1"/>
  <c r="H15" i="10"/>
  <c r="H17" i="10" s="1"/>
  <c r="G15" i="10"/>
  <c r="G17" i="10" s="1"/>
  <c r="F15" i="10"/>
  <c r="F17" i="10" s="1"/>
  <c r="E15" i="10"/>
  <c r="E17" i="10" s="1"/>
  <c r="D15" i="10"/>
  <c r="C15" i="10"/>
  <c r="C17" i="10" s="1"/>
  <c r="B15" i="10"/>
  <c r="B17" i="10" s="1"/>
  <c r="N12" i="10"/>
  <c r="N11" i="10"/>
  <c r="N10" i="10"/>
  <c r="N9" i="10"/>
  <c r="N8" i="10"/>
  <c r="N7" i="10"/>
  <c r="N6" i="10"/>
  <c r="N5" i="10"/>
  <c r="N4" i="10"/>
  <c r="V3" i="10"/>
  <c r="V10" i="10" s="1"/>
  <c r="U3" i="10"/>
  <c r="U14" i="10" s="1"/>
  <c r="T3" i="10"/>
  <c r="T16" i="10" s="1"/>
  <c r="S3" i="10"/>
  <c r="R3" i="10"/>
  <c r="R16" i="10" s="1"/>
  <c r="Q3" i="10"/>
  <c r="Q14" i="10" s="1"/>
  <c r="D109" i="9"/>
  <c r="D100" i="9"/>
  <c r="D88" i="9"/>
  <c r="D79" i="9"/>
  <c r="D73" i="9"/>
  <c r="D64" i="9"/>
  <c r="P57" i="9"/>
  <c r="O57" i="9"/>
  <c r="N57" i="9"/>
  <c r="M57" i="9"/>
  <c r="L57" i="9"/>
  <c r="K57" i="9"/>
  <c r="J57" i="9"/>
  <c r="I57" i="9"/>
  <c r="H57" i="9"/>
  <c r="G57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T44" i="9"/>
  <c r="T34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T25" i="9"/>
  <c r="S24" i="9"/>
  <c r="R24" i="9"/>
  <c r="Q24" i="9"/>
  <c r="P24" i="9"/>
  <c r="O24" i="9"/>
  <c r="N24" i="9"/>
  <c r="M24" i="9"/>
  <c r="L24" i="9"/>
  <c r="L26" i="9" s="1"/>
  <c r="T23" i="9"/>
  <c r="T20" i="9"/>
  <c r="T19" i="9"/>
  <c r="T16" i="9"/>
  <c r="P26" i="9"/>
  <c r="H26" i="9"/>
  <c r="T13" i="9"/>
  <c r="R10" i="9"/>
  <c r="S8" i="9"/>
  <c r="R8" i="9"/>
  <c r="Q8" i="9"/>
  <c r="Q10" i="9" s="1"/>
  <c r="P8" i="9"/>
  <c r="O8" i="9"/>
  <c r="N8" i="9"/>
  <c r="M8" i="9"/>
  <c r="M10" i="9" s="1"/>
  <c r="L8" i="9"/>
  <c r="K8" i="9"/>
  <c r="K10" i="9" s="1"/>
  <c r="J8" i="9"/>
  <c r="J10" i="9" s="1"/>
  <c r="I8" i="9"/>
  <c r="I10" i="9" s="1"/>
  <c r="H8" i="9"/>
  <c r="G8" i="9"/>
  <c r="Q57" i="9"/>
  <c r="D103" i="8"/>
  <c r="D94" i="8"/>
  <c r="D100" i="8" s="1"/>
  <c r="D85" i="8"/>
  <c r="D91" i="8" s="1"/>
  <c r="D76" i="8"/>
  <c r="D82" i="8" s="1"/>
  <c r="D67" i="8"/>
  <c r="D73" i="8" s="1"/>
  <c r="D58" i="8"/>
  <c r="D64" i="8" s="1"/>
  <c r="P57" i="8"/>
  <c r="O57" i="8"/>
  <c r="N57" i="8"/>
  <c r="M57" i="8"/>
  <c r="L57" i="8"/>
  <c r="K57" i="8"/>
  <c r="J57" i="8"/>
  <c r="I57" i="8"/>
  <c r="H57" i="8"/>
  <c r="G57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T44" i="8"/>
  <c r="T34" i="8"/>
  <c r="T25" i="8"/>
  <c r="T24" i="8"/>
  <c r="T23" i="8"/>
  <c r="T22" i="8"/>
  <c r="T21" i="8"/>
  <c r="T20" i="8"/>
  <c r="T19" i="8"/>
  <c r="T18" i="8"/>
  <c r="T17" i="8"/>
  <c r="T16" i="8"/>
  <c r="T15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T13" i="8"/>
  <c r="R10" i="8"/>
  <c r="N10" i="8"/>
  <c r="J10" i="8"/>
  <c r="S10" i="8"/>
  <c r="O10" i="8"/>
  <c r="K10" i="8"/>
  <c r="G10" i="8"/>
  <c r="AH252" i="7"/>
  <c r="AH247" i="7"/>
  <c r="AH246" i="7"/>
  <c r="AH245" i="7"/>
  <c r="AH243" i="7"/>
  <c r="AH242" i="7"/>
  <c r="AH237" i="7"/>
  <c r="AH228" i="7"/>
  <c r="AH227" i="7"/>
  <c r="AH226" i="7"/>
  <c r="AH225" i="7"/>
  <c r="AH224" i="7"/>
  <c r="AH223" i="7"/>
  <c r="AH222" i="7"/>
  <c r="AH221" i="7"/>
  <c r="AH220" i="7"/>
  <c r="AH219" i="7"/>
  <c r="AH216" i="7"/>
  <c r="AH215" i="7"/>
  <c r="AH208" i="7"/>
  <c r="AH207" i="7"/>
  <c r="AH206" i="7"/>
  <c r="AH205" i="7"/>
  <c r="AH204" i="7"/>
  <c r="AH203" i="7"/>
  <c r="AH196" i="7"/>
  <c r="AH195" i="7"/>
  <c r="AH190" i="7"/>
  <c r="AH189" i="7"/>
  <c r="AH188" i="7"/>
  <c r="AH187" i="7"/>
  <c r="AH186" i="7"/>
  <c r="AH185" i="7"/>
  <c r="AH172" i="7"/>
  <c r="AH171" i="7"/>
  <c r="AH170" i="7"/>
  <c r="AH169" i="7"/>
  <c r="AH168" i="7"/>
  <c r="AH167" i="7"/>
  <c r="AH138" i="7"/>
  <c r="AH135" i="7"/>
  <c r="AH92" i="7"/>
  <c r="AH86" i="7"/>
  <c r="AG254" i="6"/>
  <c r="AF254" i="6"/>
  <c r="AE254" i="6"/>
  <c r="AD254" i="6"/>
  <c r="AC254" i="6"/>
  <c r="AB254" i="6"/>
  <c r="Y254" i="6"/>
  <c r="X254" i="6"/>
  <c r="W254" i="6"/>
  <c r="V254" i="6"/>
  <c r="U254" i="6"/>
  <c r="T254" i="6"/>
  <c r="AG249" i="6"/>
  <c r="AF249" i="6"/>
  <c r="AE249" i="6"/>
  <c r="AD249" i="6"/>
  <c r="AC249" i="6"/>
  <c r="AB249" i="6"/>
  <c r="Y249" i="6"/>
  <c r="X249" i="6"/>
  <c r="W249" i="6"/>
  <c r="V249" i="6"/>
  <c r="U249" i="6"/>
  <c r="T249" i="6"/>
  <c r="AG248" i="6"/>
  <c r="AF248" i="6"/>
  <c r="AE248" i="6"/>
  <c r="AD248" i="6"/>
  <c r="AC248" i="6"/>
  <c r="AB248" i="6"/>
  <c r="Y248" i="6"/>
  <c r="X248" i="6"/>
  <c r="W248" i="6"/>
  <c r="V248" i="6"/>
  <c r="U248" i="6"/>
  <c r="T248" i="6"/>
  <c r="AG247" i="6"/>
  <c r="AF247" i="6"/>
  <c r="AE247" i="6"/>
  <c r="AD247" i="6"/>
  <c r="AC247" i="6"/>
  <c r="AB247" i="6"/>
  <c r="Y247" i="6"/>
  <c r="X247" i="6"/>
  <c r="W247" i="6"/>
  <c r="V247" i="6"/>
  <c r="U247" i="6"/>
  <c r="T247" i="6"/>
  <c r="AG246" i="6"/>
  <c r="AF246" i="6"/>
  <c r="AE246" i="6"/>
  <c r="AD246" i="6"/>
  <c r="AC246" i="6"/>
  <c r="AB246" i="6"/>
  <c r="Y246" i="6"/>
  <c r="X246" i="6"/>
  <c r="W246" i="6"/>
  <c r="V246" i="6"/>
  <c r="U246" i="6"/>
  <c r="T246" i="6"/>
  <c r="AG245" i="6"/>
  <c r="AF245" i="6"/>
  <c r="AE245" i="6"/>
  <c r="AD245" i="6"/>
  <c r="AC245" i="6"/>
  <c r="AB245" i="6"/>
  <c r="Y245" i="6"/>
  <c r="X245" i="6"/>
  <c r="W245" i="6"/>
  <c r="V245" i="6"/>
  <c r="U245" i="6"/>
  <c r="T245" i="6"/>
  <c r="AG244" i="6"/>
  <c r="AF244" i="6"/>
  <c r="AE244" i="6"/>
  <c r="AD244" i="6"/>
  <c r="AC244" i="6"/>
  <c r="AB244" i="6"/>
  <c r="Y244" i="6"/>
  <c r="X244" i="6"/>
  <c r="W244" i="6"/>
  <c r="V244" i="6"/>
  <c r="U244" i="6"/>
  <c r="T244" i="6"/>
  <c r="AG239" i="6"/>
  <c r="AF239" i="6"/>
  <c r="AE239" i="6"/>
  <c r="AD239" i="6"/>
  <c r="AC239" i="6"/>
  <c r="AB239" i="6"/>
  <c r="Y239" i="6"/>
  <c r="X239" i="6"/>
  <c r="W239" i="6"/>
  <c r="V239" i="6"/>
  <c r="U239" i="6"/>
  <c r="T239" i="6"/>
  <c r="AG238" i="6"/>
  <c r="AF238" i="6"/>
  <c r="AE238" i="6"/>
  <c r="AD238" i="6"/>
  <c r="AC238" i="6"/>
  <c r="AB238" i="6"/>
  <c r="Y238" i="6"/>
  <c r="X238" i="6"/>
  <c r="W238" i="6"/>
  <c r="V238" i="6"/>
  <c r="U238" i="6"/>
  <c r="T238" i="6"/>
  <c r="AG233" i="6"/>
  <c r="AF233" i="6"/>
  <c r="AE233" i="6"/>
  <c r="AD233" i="6"/>
  <c r="AC233" i="6"/>
  <c r="AB233" i="6"/>
  <c r="Y233" i="6"/>
  <c r="X233" i="6"/>
  <c r="W233" i="6"/>
  <c r="V233" i="6"/>
  <c r="U233" i="6"/>
  <c r="T233" i="6"/>
  <c r="AG232" i="6"/>
  <c r="AF232" i="6"/>
  <c r="AE232" i="6"/>
  <c r="AD232" i="6"/>
  <c r="AC232" i="6"/>
  <c r="AB232" i="6"/>
  <c r="Y232" i="6"/>
  <c r="X232" i="6"/>
  <c r="W232" i="6"/>
  <c r="V232" i="6"/>
  <c r="U232" i="6"/>
  <c r="T232" i="6"/>
  <c r="AG231" i="6"/>
  <c r="AF231" i="6"/>
  <c r="AE231" i="6"/>
  <c r="AD231" i="6"/>
  <c r="AC231" i="6"/>
  <c r="AB231" i="6"/>
  <c r="Y231" i="6"/>
  <c r="X231" i="6"/>
  <c r="W231" i="6"/>
  <c r="V231" i="6"/>
  <c r="U231" i="6"/>
  <c r="T231" i="6"/>
  <c r="AG230" i="6"/>
  <c r="AF230" i="6"/>
  <c r="AE230" i="6"/>
  <c r="AD230" i="6"/>
  <c r="AC230" i="6"/>
  <c r="AB230" i="6"/>
  <c r="Y230" i="6"/>
  <c r="X230" i="6"/>
  <c r="W230" i="6"/>
  <c r="V230" i="6"/>
  <c r="U230" i="6"/>
  <c r="T230" i="6"/>
  <c r="AG229" i="6"/>
  <c r="AF229" i="6"/>
  <c r="AE229" i="6"/>
  <c r="AD229" i="6"/>
  <c r="AC229" i="6"/>
  <c r="AB229" i="6"/>
  <c r="Y229" i="6"/>
  <c r="X229" i="6"/>
  <c r="W229" i="6"/>
  <c r="V229" i="6"/>
  <c r="U229" i="6"/>
  <c r="T229" i="6"/>
  <c r="AG228" i="6"/>
  <c r="AF228" i="6"/>
  <c r="AE228" i="6"/>
  <c r="AD228" i="6"/>
  <c r="AC228" i="6"/>
  <c r="AB228" i="6"/>
  <c r="Y228" i="6"/>
  <c r="X228" i="6"/>
  <c r="W228" i="6"/>
  <c r="V228" i="6"/>
  <c r="U228" i="6"/>
  <c r="T228" i="6"/>
  <c r="AG227" i="6"/>
  <c r="AF227" i="6"/>
  <c r="AE227" i="6"/>
  <c r="AD227" i="6"/>
  <c r="AC227" i="6"/>
  <c r="AB227" i="6"/>
  <c r="Y227" i="6"/>
  <c r="X227" i="6"/>
  <c r="W227" i="6"/>
  <c r="V227" i="6"/>
  <c r="U227" i="6"/>
  <c r="T227" i="6"/>
  <c r="AG226" i="6"/>
  <c r="AF226" i="6"/>
  <c r="AE226" i="6"/>
  <c r="AD226" i="6"/>
  <c r="AC226" i="6"/>
  <c r="AB226" i="6"/>
  <c r="Y226" i="6"/>
  <c r="X226" i="6"/>
  <c r="W226" i="6"/>
  <c r="V226" i="6"/>
  <c r="U226" i="6"/>
  <c r="T226" i="6"/>
  <c r="AG225" i="6"/>
  <c r="AF225" i="6"/>
  <c r="AE225" i="6"/>
  <c r="AD225" i="6"/>
  <c r="AC225" i="6"/>
  <c r="AB225" i="6"/>
  <c r="Y225" i="6"/>
  <c r="X225" i="6"/>
  <c r="W225" i="6"/>
  <c r="V225" i="6"/>
  <c r="U225" i="6"/>
  <c r="T225" i="6"/>
  <c r="AG224" i="6"/>
  <c r="AF224" i="6"/>
  <c r="AE224" i="6"/>
  <c r="AD224" i="6"/>
  <c r="AC224" i="6"/>
  <c r="AB224" i="6"/>
  <c r="Y224" i="6"/>
  <c r="X224" i="6"/>
  <c r="W224" i="6"/>
  <c r="V224" i="6"/>
  <c r="U224" i="6"/>
  <c r="T224" i="6"/>
  <c r="AG223" i="6"/>
  <c r="AF223" i="6"/>
  <c r="AE223" i="6"/>
  <c r="AD223" i="6"/>
  <c r="AC223" i="6"/>
  <c r="AB223" i="6"/>
  <c r="Y223" i="6"/>
  <c r="X223" i="6"/>
  <c r="W223" i="6"/>
  <c r="V223" i="6"/>
  <c r="U223" i="6"/>
  <c r="T223" i="6"/>
  <c r="AG222" i="6"/>
  <c r="AF222" i="6"/>
  <c r="AE222" i="6"/>
  <c r="AD222" i="6"/>
  <c r="AC222" i="6"/>
  <c r="AB222" i="6"/>
  <c r="Y222" i="6"/>
  <c r="X222" i="6"/>
  <c r="W222" i="6"/>
  <c r="V222" i="6"/>
  <c r="U222" i="6"/>
  <c r="T222" i="6"/>
  <c r="AG221" i="6"/>
  <c r="AF221" i="6"/>
  <c r="AE221" i="6"/>
  <c r="AD221" i="6"/>
  <c r="AC221" i="6"/>
  <c r="AB221" i="6"/>
  <c r="Y221" i="6"/>
  <c r="X221" i="6"/>
  <c r="W221" i="6"/>
  <c r="V221" i="6"/>
  <c r="U221" i="6"/>
  <c r="T221" i="6"/>
  <c r="AG220" i="6"/>
  <c r="AF220" i="6"/>
  <c r="AE220" i="6"/>
  <c r="AD220" i="6"/>
  <c r="AC220" i="6"/>
  <c r="AB220" i="6"/>
  <c r="Y220" i="6"/>
  <c r="X220" i="6"/>
  <c r="W220" i="6"/>
  <c r="V220" i="6"/>
  <c r="U220" i="6"/>
  <c r="T220" i="6"/>
  <c r="AG219" i="6"/>
  <c r="AF219" i="6"/>
  <c r="AE219" i="6"/>
  <c r="AD219" i="6"/>
  <c r="AC219" i="6"/>
  <c r="AB219" i="6"/>
  <c r="Y219" i="6"/>
  <c r="X219" i="6"/>
  <c r="W219" i="6"/>
  <c r="V219" i="6"/>
  <c r="U219" i="6"/>
  <c r="T219" i="6"/>
  <c r="AG218" i="6"/>
  <c r="AF218" i="6"/>
  <c r="AE218" i="6"/>
  <c r="AD218" i="6"/>
  <c r="AB218" i="6"/>
  <c r="Y218" i="6"/>
  <c r="X218" i="6"/>
  <c r="W218" i="6"/>
  <c r="V218" i="6"/>
  <c r="U218" i="6"/>
  <c r="T218" i="6"/>
  <c r="AH217" i="6"/>
  <c r="AG210" i="6"/>
  <c r="AF210" i="6"/>
  <c r="AE210" i="6"/>
  <c r="AD210" i="6"/>
  <c r="AC210" i="6"/>
  <c r="AB210" i="6"/>
  <c r="Y210" i="6"/>
  <c r="X210" i="6"/>
  <c r="W210" i="6"/>
  <c r="V210" i="6"/>
  <c r="U210" i="6"/>
  <c r="T210" i="6"/>
  <c r="AG209" i="6"/>
  <c r="AF209" i="6"/>
  <c r="AE209" i="6"/>
  <c r="AD209" i="6"/>
  <c r="AC209" i="6"/>
  <c r="AB209" i="6"/>
  <c r="Y209" i="6"/>
  <c r="X209" i="6"/>
  <c r="W209" i="6"/>
  <c r="V209" i="6"/>
  <c r="U209" i="6"/>
  <c r="T209" i="6"/>
  <c r="AG208" i="6"/>
  <c r="AF208" i="6"/>
  <c r="AE208" i="6"/>
  <c r="AD208" i="6"/>
  <c r="AC208" i="6"/>
  <c r="AB208" i="6"/>
  <c r="Y208" i="6"/>
  <c r="X208" i="6"/>
  <c r="W208" i="6"/>
  <c r="V208" i="6"/>
  <c r="U208" i="6"/>
  <c r="T208" i="6"/>
  <c r="AG207" i="6"/>
  <c r="AF207" i="6"/>
  <c r="AE207" i="6"/>
  <c r="AD207" i="6"/>
  <c r="AC207" i="6"/>
  <c r="AB207" i="6"/>
  <c r="Y207" i="6"/>
  <c r="X207" i="6"/>
  <c r="W207" i="6"/>
  <c r="V207" i="6"/>
  <c r="U207" i="6"/>
  <c r="T207" i="6"/>
  <c r="AG206" i="6"/>
  <c r="AF206" i="6"/>
  <c r="AE206" i="6"/>
  <c r="AD206" i="6"/>
  <c r="AC206" i="6"/>
  <c r="AB206" i="6"/>
  <c r="Y206" i="6"/>
  <c r="X206" i="6"/>
  <c r="W206" i="6"/>
  <c r="V206" i="6"/>
  <c r="U206" i="6"/>
  <c r="T206" i="6"/>
  <c r="AG200" i="6"/>
  <c r="AF200" i="6"/>
  <c r="AE200" i="6"/>
  <c r="AD200" i="6"/>
  <c r="AC200" i="6"/>
  <c r="AB200" i="6"/>
  <c r="Y200" i="6"/>
  <c r="X200" i="6"/>
  <c r="W200" i="6"/>
  <c r="V200" i="6"/>
  <c r="U200" i="6"/>
  <c r="T200" i="6"/>
  <c r="AG199" i="6"/>
  <c r="AF199" i="6"/>
  <c r="AE199" i="6"/>
  <c r="AD199" i="6"/>
  <c r="AC199" i="6"/>
  <c r="AB199" i="6"/>
  <c r="Y199" i="6"/>
  <c r="X199" i="6"/>
  <c r="W199" i="6"/>
  <c r="V199" i="6"/>
  <c r="U199" i="6"/>
  <c r="T199" i="6"/>
  <c r="AG198" i="6"/>
  <c r="AF198" i="6"/>
  <c r="AE198" i="6"/>
  <c r="AD198" i="6"/>
  <c r="AC198" i="6"/>
  <c r="AB198" i="6"/>
  <c r="Y198" i="6"/>
  <c r="X198" i="6"/>
  <c r="W198" i="6"/>
  <c r="V198" i="6"/>
  <c r="U198" i="6"/>
  <c r="T198" i="6"/>
  <c r="AG197" i="6"/>
  <c r="AF197" i="6"/>
  <c r="AE197" i="6"/>
  <c r="AD197" i="6"/>
  <c r="AC197" i="6"/>
  <c r="AB197" i="6"/>
  <c r="Y197" i="6"/>
  <c r="X197" i="6"/>
  <c r="W197" i="6"/>
  <c r="V197" i="6"/>
  <c r="U197" i="6"/>
  <c r="T197" i="6"/>
  <c r="AG192" i="6"/>
  <c r="AF192" i="6"/>
  <c r="AE192" i="6"/>
  <c r="AD192" i="6"/>
  <c r="AC192" i="6"/>
  <c r="AB192" i="6"/>
  <c r="Y192" i="6"/>
  <c r="X192" i="6"/>
  <c r="W192" i="6"/>
  <c r="V192" i="6"/>
  <c r="U192" i="6"/>
  <c r="T192" i="6"/>
  <c r="AG191" i="6"/>
  <c r="AF191" i="6"/>
  <c r="AE191" i="6"/>
  <c r="AD191" i="6"/>
  <c r="AC191" i="6"/>
  <c r="AB191" i="6"/>
  <c r="Y191" i="6"/>
  <c r="X191" i="6"/>
  <c r="W191" i="6"/>
  <c r="V191" i="6"/>
  <c r="U191" i="6"/>
  <c r="T191" i="6"/>
  <c r="AG190" i="6"/>
  <c r="AF190" i="6"/>
  <c r="AE190" i="6"/>
  <c r="AD190" i="6"/>
  <c r="AC190" i="6"/>
  <c r="AB190" i="6"/>
  <c r="Y190" i="6"/>
  <c r="X190" i="6"/>
  <c r="W190" i="6"/>
  <c r="V190" i="6"/>
  <c r="U190" i="6"/>
  <c r="T190" i="6"/>
  <c r="AG189" i="6"/>
  <c r="AF189" i="6"/>
  <c r="AE189" i="6"/>
  <c r="AD189" i="6"/>
  <c r="AC189" i="6"/>
  <c r="AB189" i="6"/>
  <c r="Y189" i="6"/>
  <c r="X189" i="6"/>
  <c r="W189" i="6"/>
  <c r="V189" i="6"/>
  <c r="U189" i="6"/>
  <c r="T189" i="6"/>
  <c r="AG188" i="6"/>
  <c r="AF188" i="6"/>
  <c r="AE188" i="6"/>
  <c r="AD188" i="6"/>
  <c r="AC188" i="6"/>
  <c r="AB188" i="6"/>
  <c r="Y188" i="6"/>
  <c r="X188" i="6"/>
  <c r="W188" i="6"/>
  <c r="V188" i="6"/>
  <c r="U188" i="6"/>
  <c r="T188" i="6"/>
  <c r="AG187" i="6"/>
  <c r="AF187" i="6"/>
  <c r="AE187" i="6"/>
  <c r="AD187" i="6"/>
  <c r="AC187" i="6"/>
  <c r="AB187" i="6"/>
  <c r="Y187" i="6"/>
  <c r="X187" i="6"/>
  <c r="W187" i="6"/>
  <c r="V187" i="6"/>
  <c r="U187" i="6"/>
  <c r="T187" i="6"/>
  <c r="AG176" i="6"/>
  <c r="AF176" i="6"/>
  <c r="AE176" i="6"/>
  <c r="AD176" i="6"/>
  <c r="AC176" i="6"/>
  <c r="AB176" i="6"/>
  <c r="Y176" i="6"/>
  <c r="X176" i="6"/>
  <c r="W176" i="6"/>
  <c r="V176" i="6"/>
  <c r="U176" i="6"/>
  <c r="T176" i="6"/>
  <c r="AG175" i="6"/>
  <c r="AF175" i="6"/>
  <c r="AE175" i="6"/>
  <c r="AD175" i="6"/>
  <c r="AC175" i="6"/>
  <c r="AB175" i="6"/>
  <c r="Y175" i="6"/>
  <c r="X175" i="6"/>
  <c r="W175" i="6"/>
  <c r="V175" i="6"/>
  <c r="U175" i="6"/>
  <c r="T175" i="6"/>
  <c r="AG174" i="6"/>
  <c r="AF174" i="6"/>
  <c r="AE174" i="6"/>
  <c r="AD174" i="6"/>
  <c r="AC174" i="6"/>
  <c r="AB174" i="6"/>
  <c r="Y174" i="6"/>
  <c r="X174" i="6"/>
  <c r="W174" i="6"/>
  <c r="V174" i="6"/>
  <c r="U174" i="6"/>
  <c r="T174" i="6"/>
  <c r="AG173" i="6"/>
  <c r="AF173" i="6"/>
  <c r="AE173" i="6"/>
  <c r="AD173" i="6"/>
  <c r="AC173" i="6"/>
  <c r="AB173" i="6"/>
  <c r="Y173" i="6"/>
  <c r="X173" i="6"/>
  <c r="W173" i="6"/>
  <c r="V173" i="6"/>
  <c r="U173" i="6"/>
  <c r="T173" i="6"/>
  <c r="AG172" i="6"/>
  <c r="AF172" i="6"/>
  <c r="AE172" i="6"/>
  <c r="AD172" i="6"/>
  <c r="AC172" i="6"/>
  <c r="AB172" i="6"/>
  <c r="Y172" i="6"/>
  <c r="X172" i="6"/>
  <c r="W172" i="6"/>
  <c r="V172" i="6"/>
  <c r="U172" i="6"/>
  <c r="T172" i="6"/>
  <c r="AG171" i="6"/>
  <c r="AF171" i="6"/>
  <c r="AE171" i="6"/>
  <c r="AD171" i="6"/>
  <c r="AC171" i="6"/>
  <c r="AB171" i="6"/>
  <c r="Y171" i="6"/>
  <c r="X171" i="6"/>
  <c r="W171" i="6"/>
  <c r="V171" i="6"/>
  <c r="U171" i="6"/>
  <c r="T171" i="6"/>
  <c r="AG170" i="6"/>
  <c r="AF170" i="6"/>
  <c r="AE170" i="6"/>
  <c r="AD170" i="6"/>
  <c r="AC170" i="6"/>
  <c r="AB170" i="6"/>
  <c r="Y170" i="6"/>
  <c r="X170" i="6"/>
  <c r="W170" i="6"/>
  <c r="V170" i="6"/>
  <c r="U170" i="6"/>
  <c r="T170" i="6"/>
  <c r="AG169" i="6"/>
  <c r="AF169" i="6"/>
  <c r="AE169" i="6"/>
  <c r="AD169" i="6"/>
  <c r="AC169" i="6"/>
  <c r="AB169" i="6"/>
  <c r="Y169" i="6"/>
  <c r="X169" i="6"/>
  <c r="W169" i="6"/>
  <c r="V169" i="6"/>
  <c r="U169" i="6"/>
  <c r="T169" i="6"/>
  <c r="AG155" i="6"/>
  <c r="AF155" i="6"/>
  <c r="AE155" i="6"/>
  <c r="AD155" i="6"/>
  <c r="AC155" i="6"/>
  <c r="AB155" i="6"/>
  <c r="Y155" i="6"/>
  <c r="X155" i="6"/>
  <c r="W155" i="6"/>
  <c r="V155" i="6"/>
  <c r="U155" i="6"/>
  <c r="T155" i="6"/>
  <c r="AG154" i="6"/>
  <c r="AF154" i="6"/>
  <c r="AE154" i="6"/>
  <c r="AD154" i="6"/>
  <c r="AC154" i="6"/>
  <c r="AB154" i="6"/>
  <c r="Y154" i="6"/>
  <c r="X154" i="6"/>
  <c r="W154" i="6"/>
  <c r="V154" i="6"/>
  <c r="U154" i="6"/>
  <c r="T154" i="6"/>
  <c r="AG140" i="6"/>
  <c r="AF140" i="6"/>
  <c r="AE140" i="6"/>
  <c r="AD140" i="6"/>
  <c r="AC140" i="6"/>
  <c r="AB140" i="6"/>
  <c r="Y140" i="6"/>
  <c r="X140" i="6"/>
  <c r="W140" i="6"/>
  <c r="V140" i="6"/>
  <c r="U140" i="6"/>
  <c r="T140" i="6"/>
  <c r="AG137" i="6"/>
  <c r="AF137" i="6"/>
  <c r="AE137" i="6"/>
  <c r="AD137" i="6"/>
  <c r="AC137" i="6"/>
  <c r="AB137" i="6"/>
  <c r="Y137" i="6"/>
  <c r="X137" i="6"/>
  <c r="W137" i="6"/>
  <c r="V137" i="6"/>
  <c r="U137" i="6"/>
  <c r="T137" i="6"/>
  <c r="AG92" i="6"/>
  <c r="AF92" i="6"/>
  <c r="AE92" i="6"/>
  <c r="AD92" i="6"/>
  <c r="AC92" i="6"/>
  <c r="AB92" i="6"/>
  <c r="Y92" i="6"/>
  <c r="X92" i="6"/>
  <c r="W92" i="6"/>
  <c r="V92" i="6"/>
  <c r="U92" i="6"/>
  <c r="T92" i="6"/>
  <c r="AG86" i="6"/>
  <c r="AF86" i="6"/>
  <c r="AE86" i="6"/>
  <c r="AD86" i="6"/>
  <c r="AC86" i="6"/>
  <c r="AB86" i="6"/>
  <c r="Y86" i="6"/>
  <c r="X86" i="6"/>
  <c r="W86" i="6"/>
  <c r="V86" i="6"/>
  <c r="U86" i="6"/>
  <c r="T86" i="6"/>
  <c r="P77" i="6"/>
  <c r="P79" i="6" s="1"/>
  <c r="P144" i="6" s="1"/>
  <c r="R35" i="6"/>
  <c r="C11" i="16" l="1"/>
  <c r="N13" i="11"/>
  <c r="V13" i="11" s="1"/>
  <c r="N13" i="10"/>
  <c r="T13" i="10" s="1"/>
  <c r="Q16" i="10"/>
  <c r="R88" i="9"/>
  <c r="R89" i="9" s="1"/>
  <c r="P178" i="7"/>
  <c r="P214" i="7" s="1"/>
  <c r="AH244" i="7"/>
  <c r="P251" i="7"/>
  <c r="Q244" i="7"/>
  <c r="Q75" i="7"/>
  <c r="Q218" i="7"/>
  <c r="P235" i="7"/>
  <c r="V4" i="10"/>
  <c r="D97" i="9"/>
  <c r="I97" i="9" s="1"/>
  <c r="I98" i="9" s="1"/>
  <c r="N97" i="9"/>
  <c r="N98" i="9" s="1"/>
  <c r="U11" i="13"/>
  <c r="D91" i="9"/>
  <c r="Q6" i="10"/>
  <c r="U10" i="10"/>
  <c r="S8" i="11"/>
  <c r="V10" i="12"/>
  <c r="U35" i="13"/>
  <c r="U7" i="13"/>
  <c r="T24" i="9"/>
  <c r="V5" i="11"/>
  <c r="S15" i="11"/>
  <c r="U7" i="12"/>
  <c r="T13" i="13"/>
  <c r="U24" i="13"/>
  <c r="T28" i="13"/>
  <c r="U32" i="13"/>
  <c r="V7" i="11"/>
  <c r="V10" i="11"/>
  <c r="V36" i="12"/>
  <c r="D149" i="7"/>
  <c r="C151" i="7"/>
  <c r="C159" i="7" s="1"/>
  <c r="F238" i="7"/>
  <c r="E241" i="7"/>
  <c r="E256" i="7" s="1"/>
  <c r="E267" i="7" s="1"/>
  <c r="E269" i="7" s="1"/>
  <c r="R9" i="11"/>
  <c r="R10" i="11"/>
  <c r="S6" i="11"/>
  <c r="S11" i="10"/>
  <c r="U6" i="10"/>
  <c r="W35" i="12"/>
  <c r="W10" i="13"/>
  <c r="J26" i="9"/>
  <c r="R26" i="9"/>
  <c r="R76" i="9" s="1"/>
  <c r="R77" i="9" s="1"/>
  <c r="Q26" i="9"/>
  <c r="Q94" i="9" s="1"/>
  <c r="Q95" i="9" s="1"/>
  <c r="T11" i="10"/>
  <c r="Q5" i="11"/>
  <c r="T18" i="13"/>
  <c r="N10" i="9"/>
  <c r="G26" i="9"/>
  <c r="G58" i="9" s="1"/>
  <c r="G59" i="9" s="1"/>
  <c r="K26" i="9"/>
  <c r="K85" i="9" s="1"/>
  <c r="K86" i="9" s="1"/>
  <c r="O26" i="9"/>
  <c r="S26" i="9"/>
  <c r="S85" i="9" s="1"/>
  <c r="S86" i="9" s="1"/>
  <c r="T17" i="9"/>
  <c r="T18" i="9"/>
  <c r="T21" i="9"/>
  <c r="T22" i="9"/>
  <c r="H79" i="9"/>
  <c r="H80" i="9" s="1"/>
  <c r="S5" i="10"/>
  <c r="T7" i="10"/>
  <c r="T10" i="10"/>
  <c r="V12" i="10"/>
  <c r="U16" i="10"/>
  <c r="R5" i="11"/>
  <c r="R6" i="11"/>
  <c r="T9" i="11"/>
  <c r="V9" i="11"/>
  <c r="V11" i="11"/>
  <c r="R16" i="11"/>
  <c r="AB3" i="12"/>
  <c r="AB50" i="12" s="1"/>
  <c r="U11" i="12"/>
  <c r="V14" i="12"/>
  <c r="W24" i="12"/>
  <c r="W28" i="12"/>
  <c r="W32" i="12"/>
  <c r="AC3" i="13"/>
  <c r="AC36" i="13" s="1"/>
  <c r="U8" i="13"/>
  <c r="T15" i="13"/>
  <c r="T19" i="13"/>
  <c r="U29" i="13"/>
  <c r="S8" i="10"/>
  <c r="S13" i="10"/>
  <c r="T5" i="11"/>
  <c r="N26" i="9"/>
  <c r="N76" i="9" s="1"/>
  <c r="N77" i="9" s="1"/>
  <c r="I26" i="9"/>
  <c r="I94" i="9" s="1"/>
  <c r="I95" i="9" s="1"/>
  <c r="M26" i="9"/>
  <c r="M85" i="9" s="1"/>
  <c r="M86" i="9" s="1"/>
  <c r="S4" i="10"/>
  <c r="S9" i="10"/>
  <c r="T6" i="11"/>
  <c r="U9" i="11"/>
  <c r="T19" i="12"/>
  <c r="T6" i="10"/>
  <c r="V8" i="10"/>
  <c r="Q10" i="10"/>
  <c r="S12" i="10"/>
  <c r="S4" i="11"/>
  <c r="U5" i="11"/>
  <c r="V6" i="11"/>
  <c r="Q9" i="11"/>
  <c r="T10" i="11"/>
  <c r="S12" i="11"/>
  <c r="V16" i="11"/>
  <c r="U15" i="12"/>
  <c r="U18" i="12"/>
  <c r="V25" i="12"/>
  <c r="V29" i="12"/>
  <c r="V33" i="12"/>
  <c r="T9" i="13"/>
  <c r="U12" i="13"/>
  <c r="T16" i="13"/>
  <c r="U30" i="13"/>
  <c r="R86" i="6"/>
  <c r="G54" i="13"/>
  <c r="K54" i="13"/>
  <c r="L54" i="13"/>
  <c r="D54" i="13"/>
  <c r="O40" i="13"/>
  <c r="L37" i="13"/>
  <c r="E37" i="13"/>
  <c r="I37" i="13"/>
  <c r="M37" i="13"/>
  <c r="J37" i="13"/>
  <c r="V36" i="13"/>
  <c r="W36" i="13"/>
  <c r="W29" i="13"/>
  <c r="S30" i="13"/>
  <c r="O23" i="13"/>
  <c r="V23" i="13" s="1"/>
  <c r="O51" i="12"/>
  <c r="C54" i="12"/>
  <c r="R19" i="13"/>
  <c r="D20" i="13"/>
  <c r="H20" i="13"/>
  <c r="E20" i="13"/>
  <c r="W7" i="13"/>
  <c r="T11" i="13"/>
  <c r="U15" i="13"/>
  <c r="T10" i="13"/>
  <c r="W11" i="13"/>
  <c r="S7" i="13"/>
  <c r="T7" i="13"/>
  <c r="S11" i="13"/>
  <c r="N20" i="12"/>
  <c r="T13" i="12"/>
  <c r="R13" i="12"/>
  <c r="W10" i="12"/>
  <c r="R15" i="12"/>
  <c r="R18" i="12"/>
  <c r="R7" i="12"/>
  <c r="V7" i="12"/>
  <c r="V18" i="12"/>
  <c r="T9" i="12"/>
  <c r="S14" i="12"/>
  <c r="V15" i="12"/>
  <c r="R11" i="12"/>
  <c r="W14" i="12"/>
  <c r="S10" i="12"/>
  <c r="V11" i="12"/>
  <c r="R137" i="6"/>
  <c r="R92" i="6"/>
  <c r="AH228" i="6"/>
  <c r="AH229" i="6"/>
  <c r="AH172" i="6"/>
  <c r="AH248" i="6"/>
  <c r="AH190" i="6"/>
  <c r="AH191" i="6"/>
  <c r="AH192" i="6"/>
  <c r="AH171" i="6"/>
  <c r="AH247" i="6"/>
  <c r="AH208" i="6"/>
  <c r="AH209" i="6"/>
  <c r="AH173" i="6"/>
  <c r="AH174" i="6"/>
  <c r="AH197" i="6"/>
  <c r="AH198" i="6"/>
  <c r="AH220" i="6"/>
  <c r="AH221" i="6"/>
  <c r="AH230" i="6"/>
  <c r="AH238" i="6"/>
  <c r="AH249" i="6"/>
  <c r="AH254" i="6"/>
  <c r="AH86" i="6"/>
  <c r="AH92" i="6"/>
  <c r="AH137" i="6"/>
  <c r="AH140" i="6"/>
  <c r="AH175" i="6"/>
  <c r="AH187" i="6"/>
  <c r="AH210" i="6"/>
  <c r="AH218" i="6"/>
  <c r="AH222" i="6"/>
  <c r="AH223" i="6"/>
  <c r="AH239" i="6"/>
  <c r="AH244" i="6"/>
  <c r="AH169" i="6"/>
  <c r="AH170" i="6"/>
  <c r="AH188" i="6"/>
  <c r="AH189" i="6"/>
  <c r="AH206" i="6"/>
  <c r="AH207" i="6"/>
  <c r="AH224" i="6"/>
  <c r="AH225" i="6"/>
  <c r="AH226" i="6"/>
  <c r="AH227" i="6"/>
  <c r="AH245" i="6"/>
  <c r="AH246" i="6"/>
  <c r="D11" i="16"/>
  <c r="E11" i="16"/>
  <c r="G11" i="16"/>
  <c r="H13" i="16"/>
  <c r="H11" i="16"/>
  <c r="B11" i="16"/>
  <c r="F11" i="16"/>
  <c r="E24" i="16"/>
  <c r="D11" i="15"/>
  <c r="H11" i="15"/>
  <c r="H13" i="15"/>
  <c r="H15" i="15" s="1"/>
  <c r="B11" i="15"/>
  <c r="F11" i="15"/>
  <c r="C11" i="15"/>
  <c r="G11" i="15"/>
  <c r="E11" i="15"/>
  <c r="E24" i="15"/>
  <c r="B24" i="15"/>
  <c r="F24" i="15"/>
  <c r="H13" i="14"/>
  <c r="H15" i="14" s="1"/>
  <c r="H11" i="14"/>
  <c r="F11" i="14"/>
  <c r="C11" i="14"/>
  <c r="D11" i="14"/>
  <c r="B11" i="14"/>
  <c r="G11" i="14"/>
  <c r="E11" i="14"/>
  <c r="E24" i="14"/>
  <c r="AB35" i="13"/>
  <c r="AB32" i="13"/>
  <c r="AB28" i="13"/>
  <c r="AB24" i="13"/>
  <c r="AB33" i="13"/>
  <c r="AB31" i="13"/>
  <c r="AB29" i="13"/>
  <c r="AB27" i="13"/>
  <c r="AB25" i="13"/>
  <c r="AB16" i="13"/>
  <c r="AB52" i="13"/>
  <c r="AB47" i="13"/>
  <c r="AB36" i="13"/>
  <c r="AB18" i="13"/>
  <c r="AB15" i="13"/>
  <c r="R8" i="13"/>
  <c r="V8" i="13"/>
  <c r="AB8" i="13"/>
  <c r="U9" i="13"/>
  <c r="R12" i="13"/>
  <c r="V12" i="13"/>
  <c r="AB12" i="13"/>
  <c r="T14" i="13"/>
  <c r="W14" i="13"/>
  <c r="S14" i="13"/>
  <c r="AB19" i="13"/>
  <c r="R25" i="13"/>
  <c r="W31" i="13"/>
  <c r="S31" i="13"/>
  <c r="U31" i="13"/>
  <c r="T31" i="13"/>
  <c r="AB41" i="13"/>
  <c r="S32" i="13"/>
  <c r="S33" i="13"/>
  <c r="S29" i="13"/>
  <c r="S25" i="13"/>
  <c r="O6" i="13"/>
  <c r="S8" i="13"/>
  <c r="W8" i="13"/>
  <c r="R9" i="13"/>
  <c r="V9" i="13"/>
  <c r="AB9" i="13"/>
  <c r="U10" i="13"/>
  <c r="W12" i="13"/>
  <c r="R13" i="13"/>
  <c r="R14" i="13"/>
  <c r="AB14" i="13"/>
  <c r="F20" i="13"/>
  <c r="J20" i="13"/>
  <c r="AB26" i="13"/>
  <c r="W35" i="13"/>
  <c r="T33" i="13"/>
  <c r="T29" i="13"/>
  <c r="T25" i="13"/>
  <c r="T36" i="13"/>
  <c r="Z3" i="13"/>
  <c r="Z44" i="13" s="1"/>
  <c r="AD3" i="13"/>
  <c r="AD53" i="13" s="1"/>
  <c r="AB6" i="13"/>
  <c r="T8" i="13"/>
  <c r="S9" i="13"/>
  <c r="W9" i="13"/>
  <c r="R10" i="13"/>
  <c r="V10" i="13"/>
  <c r="AB10" i="13"/>
  <c r="T12" i="13"/>
  <c r="S13" i="13"/>
  <c r="AB13" i="13"/>
  <c r="U14" i="13"/>
  <c r="V16" i="13"/>
  <c r="C20" i="13"/>
  <c r="G20" i="13"/>
  <c r="K20" i="13"/>
  <c r="O17" i="13"/>
  <c r="U19" i="13"/>
  <c r="N20" i="13"/>
  <c r="W25" i="13"/>
  <c r="S26" i="13"/>
  <c r="W27" i="13"/>
  <c r="S27" i="13"/>
  <c r="U27" i="13"/>
  <c r="T27" i="13"/>
  <c r="U28" i="13"/>
  <c r="R29" i="13"/>
  <c r="V31" i="13"/>
  <c r="W33" i="13"/>
  <c r="C37" i="13"/>
  <c r="S36" i="13"/>
  <c r="AD48" i="13"/>
  <c r="AB48" i="13"/>
  <c r="AB49" i="13"/>
  <c r="V13" i="13"/>
  <c r="V27" i="13"/>
  <c r="R33" i="13"/>
  <c r="AB40" i="13"/>
  <c r="AB45" i="13"/>
  <c r="S12" i="13"/>
  <c r="W13" i="13"/>
  <c r="W16" i="13"/>
  <c r="W18" i="13"/>
  <c r="S18" i="13"/>
  <c r="V18" i="13"/>
  <c r="R18" i="13"/>
  <c r="V25" i="13"/>
  <c r="R31" i="13"/>
  <c r="V33" i="13"/>
  <c r="R36" i="13"/>
  <c r="AA3" i="13"/>
  <c r="AA6" i="13" s="1"/>
  <c r="AE3" i="13"/>
  <c r="AE44" i="13" s="1"/>
  <c r="R7" i="13"/>
  <c r="V7" i="13"/>
  <c r="AB7" i="13"/>
  <c r="S10" i="13"/>
  <c r="R11" i="13"/>
  <c r="V11" i="13"/>
  <c r="AB11" i="13"/>
  <c r="U13" i="13"/>
  <c r="V14" i="13"/>
  <c r="W15" i="13"/>
  <c r="S15" i="13"/>
  <c r="V15" i="13"/>
  <c r="R15" i="13"/>
  <c r="S16" i="13"/>
  <c r="L20" i="13"/>
  <c r="AB17" i="13"/>
  <c r="U18" i="13"/>
  <c r="T24" i="13"/>
  <c r="U25" i="13"/>
  <c r="R27" i="13"/>
  <c r="V29" i="13"/>
  <c r="AB30" i="13"/>
  <c r="T32" i="13"/>
  <c r="U33" i="13"/>
  <c r="D37" i="13"/>
  <c r="H37" i="13"/>
  <c r="V35" i="13"/>
  <c r="R35" i="13"/>
  <c r="T35" i="13"/>
  <c r="O34" i="13"/>
  <c r="S35" i="13"/>
  <c r="AB43" i="13"/>
  <c r="AB44" i="13"/>
  <c r="AB46" i="13"/>
  <c r="J54" i="13"/>
  <c r="N54" i="13"/>
  <c r="O51" i="13"/>
  <c r="AB53" i="13"/>
  <c r="U16" i="13"/>
  <c r="W19" i="13"/>
  <c r="S19" i="13"/>
  <c r="V19" i="13"/>
  <c r="V24" i="13"/>
  <c r="R24" i="13"/>
  <c r="W24" i="13"/>
  <c r="T26" i="13"/>
  <c r="V26" i="13"/>
  <c r="V28" i="13"/>
  <c r="R28" i="13"/>
  <c r="W28" i="13"/>
  <c r="T30" i="13"/>
  <c r="V30" i="13"/>
  <c r="V32" i="13"/>
  <c r="R32" i="13"/>
  <c r="W32" i="13"/>
  <c r="AB34" i="13"/>
  <c r="N37" i="13"/>
  <c r="AE49" i="13"/>
  <c r="R16" i="13"/>
  <c r="AC23" i="13"/>
  <c r="AB23" i="13"/>
  <c r="S24" i="13"/>
  <c r="R26" i="13"/>
  <c r="W26" i="13"/>
  <c r="S28" i="13"/>
  <c r="R30" i="13"/>
  <c r="W30" i="13"/>
  <c r="U36" i="13"/>
  <c r="AB42" i="13"/>
  <c r="AB50" i="13"/>
  <c r="E54" i="13"/>
  <c r="I54" i="13"/>
  <c r="M54" i="13"/>
  <c r="T8" i="12"/>
  <c r="W8" i="12"/>
  <c r="S8" i="12"/>
  <c r="O6" i="12"/>
  <c r="V8" i="12"/>
  <c r="R8" i="12"/>
  <c r="T12" i="12"/>
  <c r="W12" i="12"/>
  <c r="S12" i="12"/>
  <c r="V12" i="12"/>
  <c r="R12" i="12"/>
  <c r="T16" i="12"/>
  <c r="W16" i="12"/>
  <c r="S16" i="12"/>
  <c r="V16" i="12"/>
  <c r="R16" i="12"/>
  <c r="AA49" i="12"/>
  <c r="AA45" i="12"/>
  <c r="AA41" i="12"/>
  <c r="AA36" i="12"/>
  <c r="AA33" i="12"/>
  <c r="AA29" i="12"/>
  <c r="AA25" i="12"/>
  <c r="AA51" i="12"/>
  <c r="AA35" i="12"/>
  <c r="AA32" i="12"/>
  <c r="AA28" i="12"/>
  <c r="AA24" i="12"/>
  <c r="AA31" i="12"/>
  <c r="AA27" i="12"/>
  <c r="AA19" i="12"/>
  <c r="AA44" i="12"/>
  <c r="AA18" i="12"/>
  <c r="AA15" i="12"/>
  <c r="AA11" i="12"/>
  <c r="AA7" i="12"/>
  <c r="AA30" i="12"/>
  <c r="AA26" i="12"/>
  <c r="AA53" i="12"/>
  <c r="AA14" i="12"/>
  <c r="AA10" i="12"/>
  <c r="AA6" i="12"/>
  <c r="AA48" i="12"/>
  <c r="AA13" i="12"/>
  <c r="AA9" i="12"/>
  <c r="U12" i="12"/>
  <c r="U16" i="12"/>
  <c r="AC31" i="12"/>
  <c r="AC27" i="12"/>
  <c r="AC19" i="12"/>
  <c r="AC30" i="12"/>
  <c r="AC26" i="12"/>
  <c r="AC36" i="12"/>
  <c r="AC33" i="12"/>
  <c r="AC29" i="12"/>
  <c r="AC25" i="12"/>
  <c r="AC13" i="12"/>
  <c r="AC9" i="12"/>
  <c r="AC16" i="12"/>
  <c r="AC12" i="12"/>
  <c r="AC8" i="12"/>
  <c r="AC46" i="12"/>
  <c r="AC17" i="12"/>
  <c r="AC51" i="12"/>
  <c r="AC35" i="12"/>
  <c r="AC32" i="12"/>
  <c r="AC28" i="12"/>
  <c r="AC24" i="12"/>
  <c r="AC18" i="12"/>
  <c r="AC15" i="12"/>
  <c r="AC11" i="12"/>
  <c r="AC7" i="12"/>
  <c r="AA8" i="12"/>
  <c r="AA12" i="12"/>
  <c r="AA16" i="12"/>
  <c r="U8" i="12"/>
  <c r="AE49" i="12"/>
  <c r="AE45" i="12"/>
  <c r="AE41" i="12"/>
  <c r="AE36" i="12"/>
  <c r="AE33" i="12"/>
  <c r="AE29" i="12"/>
  <c r="AE25" i="12"/>
  <c r="AE51" i="12"/>
  <c r="AE35" i="12"/>
  <c r="AE32" i="12"/>
  <c r="AE28" i="12"/>
  <c r="AE24" i="12"/>
  <c r="AE31" i="12"/>
  <c r="AE27" i="12"/>
  <c r="AE19" i="12"/>
  <c r="AE53" i="12"/>
  <c r="AE18" i="12"/>
  <c r="AE15" i="12"/>
  <c r="AE11" i="12"/>
  <c r="AE7" i="12"/>
  <c r="AE44" i="12"/>
  <c r="AE48" i="12"/>
  <c r="AE14" i="12"/>
  <c r="AE10" i="12"/>
  <c r="AE6" i="12"/>
  <c r="AE30" i="12"/>
  <c r="AE26" i="12"/>
  <c r="AE13" i="12"/>
  <c r="AE9" i="12"/>
  <c r="AC6" i="12"/>
  <c r="AE8" i="12"/>
  <c r="AC10" i="12"/>
  <c r="AE12" i="12"/>
  <c r="AC14" i="12"/>
  <c r="AE16" i="12"/>
  <c r="E20" i="12"/>
  <c r="AC37" i="12"/>
  <c r="AE37" i="12"/>
  <c r="AA37" i="12"/>
  <c r="S7" i="12"/>
  <c r="W7" i="12"/>
  <c r="T10" i="12"/>
  <c r="S11" i="12"/>
  <c r="W11" i="12"/>
  <c r="T14" i="12"/>
  <c r="S15" i="12"/>
  <c r="W15" i="12"/>
  <c r="S18" i="12"/>
  <c r="W18" i="12"/>
  <c r="R19" i="12"/>
  <c r="V19" i="12"/>
  <c r="AE42" i="12"/>
  <c r="AA42" i="12"/>
  <c r="O40" i="12"/>
  <c r="AC45" i="12"/>
  <c r="AC47" i="12"/>
  <c r="AE50" i="12"/>
  <c r="AA50" i="12"/>
  <c r="I20" i="12"/>
  <c r="AE20" i="12"/>
  <c r="AA20" i="12"/>
  <c r="AC20" i="12"/>
  <c r="V31" i="12"/>
  <c r="V27" i="12"/>
  <c r="AB26" i="12"/>
  <c r="S31" i="12"/>
  <c r="S27" i="12"/>
  <c r="W31" i="12"/>
  <c r="W27" i="12"/>
  <c r="T7" i="12"/>
  <c r="R9" i="12"/>
  <c r="V9" i="12"/>
  <c r="AB9" i="12"/>
  <c r="U10" i="12"/>
  <c r="T11" i="12"/>
  <c r="V13" i="12"/>
  <c r="AB13" i="12"/>
  <c r="U14" i="12"/>
  <c r="C20" i="12"/>
  <c r="G20" i="12"/>
  <c r="K20" i="12"/>
  <c r="O17" i="12"/>
  <c r="AA17" i="12"/>
  <c r="T18" i="12"/>
  <c r="S19" i="12"/>
  <c r="W19" i="12"/>
  <c r="V24" i="12"/>
  <c r="U25" i="12"/>
  <c r="T26" i="12"/>
  <c r="W26" i="12"/>
  <c r="S26" i="12"/>
  <c r="V26" i="12"/>
  <c r="R26" i="12"/>
  <c r="U27" i="12"/>
  <c r="V28" i="12"/>
  <c r="U29" i="12"/>
  <c r="T30" i="12"/>
  <c r="W30" i="12"/>
  <c r="S30" i="12"/>
  <c r="V30" i="12"/>
  <c r="R30" i="12"/>
  <c r="U31" i="12"/>
  <c r="V32" i="12"/>
  <c r="U33" i="12"/>
  <c r="AC34" i="12"/>
  <c r="AE34" i="12"/>
  <c r="AA34" i="12"/>
  <c r="V35" i="12"/>
  <c r="U36" i="12"/>
  <c r="AC42" i="12"/>
  <c r="AC50" i="12"/>
  <c r="AC52" i="12"/>
  <c r="M20" i="12"/>
  <c r="U19" i="12"/>
  <c r="R31" i="12"/>
  <c r="R27" i="12"/>
  <c r="T36" i="12"/>
  <c r="T33" i="12"/>
  <c r="T29" i="12"/>
  <c r="T25" i="12"/>
  <c r="Z3" i="12"/>
  <c r="Z51" i="12" s="1"/>
  <c r="AD3" i="12"/>
  <c r="AD37" i="12" s="1"/>
  <c r="S9" i="12"/>
  <c r="W9" i="12"/>
  <c r="R10" i="12"/>
  <c r="S13" i="12"/>
  <c r="W13" i="12"/>
  <c r="R14" i="12"/>
  <c r="AC23" i="12"/>
  <c r="AE23" i="12"/>
  <c r="AA23" i="12"/>
  <c r="S24" i="12"/>
  <c r="R25" i="12"/>
  <c r="U26" i="12"/>
  <c r="T27" i="12"/>
  <c r="S28" i="12"/>
  <c r="R29" i="12"/>
  <c r="U30" i="12"/>
  <c r="T31" i="12"/>
  <c r="S32" i="12"/>
  <c r="R33" i="12"/>
  <c r="S35" i="12"/>
  <c r="R36" i="12"/>
  <c r="AC41" i="12"/>
  <c r="AC43" i="12"/>
  <c r="AE46" i="12"/>
  <c r="AA46" i="12"/>
  <c r="AC49" i="12"/>
  <c r="O23" i="12"/>
  <c r="T24" i="12"/>
  <c r="S25" i="12"/>
  <c r="W25" i="12"/>
  <c r="T28" i="12"/>
  <c r="S29" i="12"/>
  <c r="W29" i="12"/>
  <c r="T32" i="12"/>
  <c r="S33" i="12"/>
  <c r="W33" i="12"/>
  <c r="O34" i="12"/>
  <c r="T35" i="12"/>
  <c r="S36" i="12"/>
  <c r="W36" i="12"/>
  <c r="AA43" i="12"/>
  <c r="AE43" i="12"/>
  <c r="AA47" i="12"/>
  <c r="AE47" i="12"/>
  <c r="AA52" i="12"/>
  <c r="AE52" i="12"/>
  <c r="U24" i="12"/>
  <c r="U28" i="12"/>
  <c r="U32" i="12"/>
  <c r="U35" i="12"/>
  <c r="AC44" i="12"/>
  <c r="AC48" i="12"/>
  <c r="AC53" i="12"/>
  <c r="R24" i="12"/>
  <c r="R28" i="12"/>
  <c r="R32" i="12"/>
  <c r="R35" i="12"/>
  <c r="T4" i="11"/>
  <c r="T15" i="11"/>
  <c r="Q8" i="11"/>
  <c r="U8" i="11"/>
  <c r="S10" i="11"/>
  <c r="T11" i="11"/>
  <c r="U12" i="11"/>
  <c r="T14" i="11"/>
  <c r="Q15" i="11"/>
  <c r="U15" i="11"/>
  <c r="S16" i="11"/>
  <c r="R4" i="11"/>
  <c r="V4" i="11"/>
  <c r="S5" i="11"/>
  <c r="Q7" i="11"/>
  <c r="U7" i="11"/>
  <c r="R8" i="11"/>
  <c r="V8" i="11"/>
  <c r="S9" i="11"/>
  <c r="Q11" i="11"/>
  <c r="U11" i="11"/>
  <c r="R12" i="11"/>
  <c r="V12" i="11"/>
  <c r="Q14" i="11"/>
  <c r="U14" i="11"/>
  <c r="R15" i="11"/>
  <c r="V15" i="11"/>
  <c r="S7" i="11"/>
  <c r="T8" i="11"/>
  <c r="S11" i="11"/>
  <c r="T12" i="11"/>
  <c r="S14" i="11"/>
  <c r="Q4" i="11"/>
  <c r="U4" i="11"/>
  <c r="T7" i="11"/>
  <c r="Q12" i="11"/>
  <c r="Q6" i="11"/>
  <c r="U6" i="11"/>
  <c r="R7" i="11"/>
  <c r="Q10" i="11"/>
  <c r="U10" i="11"/>
  <c r="R11" i="11"/>
  <c r="T5" i="10"/>
  <c r="V7" i="10"/>
  <c r="T9" i="10"/>
  <c r="V11" i="10"/>
  <c r="Q5" i="10"/>
  <c r="R6" i="10"/>
  <c r="Q9" i="10"/>
  <c r="R10" i="10"/>
  <c r="U13" i="10"/>
  <c r="S14" i="10"/>
  <c r="N15" i="10"/>
  <c r="V16" i="10"/>
  <c r="Q4" i="10"/>
  <c r="U4" i="10"/>
  <c r="R5" i="10"/>
  <c r="V5" i="10"/>
  <c r="S6" i="10"/>
  <c r="Q8" i="10"/>
  <c r="U8" i="10"/>
  <c r="R9" i="10"/>
  <c r="V9" i="10"/>
  <c r="S10" i="10"/>
  <c r="Q12" i="10"/>
  <c r="U12" i="10"/>
  <c r="R13" i="10"/>
  <c r="V13" i="10"/>
  <c r="T14" i="10"/>
  <c r="S16" i="10"/>
  <c r="R7" i="10"/>
  <c r="R11" i="10"/>
  <c r="R14" i="10"/>
  <c r="V14" i="10"/>
  <c r="T4" i="10"/>
  <c r="U5" i="10"/>
  <c r="V6" i="10"/>
  <c r="S7" i="10"/>
  <c r="T8" i="10"/>
  <c r="U9" i="10"/>
  <c r="T12" i="10"/>
  <c r="R4" i="10"/>
  <c r="Q7" i="10"/>
  <c r="U7" i="10"/>
  <c r="R8" i="10"/>
  <c r="Q11" i="10"/>
  <c r="U11" i="10"/>
  <c r="R12" i="10"/>
  <c r="G67" i="9"/>
  <c r="G68" i="9" s="1"/>
  <c r="H103" i="9"/>
  <c r="H104" i="9" s="1"/>
  <c r="H94" i="9"/>
  <c r="H95" i="9" s="1"/>
  <c r="H85" i="9"/>
  <c r="H86" i="9" s="1"/>
  <c r="H58" i="9"/>
  <c r="H59" i="9" s="1"/>
  <c r="H76" i="9"/>
  <c r="H77" i="9" s="1"/>
  <c r="H67" i="9"/>
  <c r="H68" i="9" s="1"/>
  <c r="L103" i="9"/>
  <c r="L104" i="9" s="1"/>
  <c r="L94" i="9"/>
  <c r="L95" i="9" s="1"/>
  <c r="L85" i="9"/>
  <c r="L86" i="9" s="1"/>
  <c r="L76" i="9"/>
  <c r="L77" i="9" s="1"/>
  <c r="L58" i="9"/>
  <c r="L59" i="9" s="1"/>
  <c r="L67" i="9"/>
  <c r="L68" i="9" s="1"/>
  <c r="P103" i="9"/>
  <c r="P104" i="9" s="1"/>
  <c r="P94" i="9"/>
  <c r="P95" i="9" s="1"/>
  <c r="P85" i="9"/>
  <c r="P86" i="9" s="1"/>
  <c r="P76" i="9"/>
  <c r="P77" i="9" s="1"/>
  <c r="P58" i="9"/>
  <c r="P59" i="9" s="1"/>
  <c r="P67" i="9"/>
  <c r="P68" i="9" s="1"/>
  <c r="J30" i="9"/>
  <c r="K103" i="9"/>
  <c r="K104" i="9" s="1"/>
  <c r="K58" i="9"/>
  <c r="K59" i="9" s="1"/>
  <c r="K76" i="9"/>
  <c r="K77" i="9" s="1"/>
  <c r="S103" i="9"/>
  <c r="S104" i="9" s="1"/>
  <c r="S58" i="9"/>
  <c r="S59" i="9" s="1"/>
  <c r="S94" i="9"/>
  <c r="S95" i="9" s="1"/>
  <c r="J103" i="9"/>
  <c r="J104" i="9" s="1"/>
  <c r="J85" i="9"/>
  <c r="J86" i="9" s="1"/>
  <c r="J67" i="9"/>
  <c r="J68" i="9" s="1"/>
  <c r="J58" i="9"/>
  <c r="J59" i="9" s="1"/>
  <c r="J94" i="9"/>
  <c r="J95" i="9" s="1"/>
  <c r="J76" i="9"/>
  <c r="J77" i="9" s="1"/>
  <c r="N67" i="9"/>
  <c r="N68" i="9" s="1"/>
  <c r="R67" i="9"/>
  <c r="R68" i="9" s="1"/>
  <c r="I58" i="9"/>
  <c r="I59" i="9" s="1"/>
  <c r="Q103" i="9"/>
  <c r="Q104" i="9" s="1"/>
  <c r="K30" i="9"/>
  <c r="G88" i="9"/>
  <c r="G89" i="9" s="1"/>
  <c r="O88" i="9"/>
  <c r="O89" i="9" s="1"/>
  <c r="O79" i="9"/>
  <c r="O80" i="9" s="1"/>
  <c r="S97" i="9"/>
  <c r="S98" i="9" s="1"/>
  <c r="T15" i="9"/>
  <c r="K88" i="9"/>
  <c r="K89" i="9" s="1"/>
  <c r="H88" i="9"/>
  <c r="H89" i="9" s="1"/>
  <c r="L97" i="9"/>
  <c r="L98" i="9" s="1"/>
  <c r="L88" i="9"/>
  <c r="L89" i="9" s="1"/>
  <c r="T8" i="9"/>
  <c r="T10" i="9" s="1"/>
  <c r="L79" i="9"/>
  <c r="L80" i="9" s="1"/>
  <c r="G97" i="9"/>
  <c r="G98" i="9" s="1"/>
  <c r="I88" i="9"/>
  <c r="I89" i="9" s="1"/>
  <c r="I79" i="9"/>
  <c r="I80" i="9" s="1"/>
  <c r="M97" i="9"/>
  <c r="M98" i="9" s="1"/>
  <c r="M88" i="9"/>
  <c r="M89" i="9" s="1"/>
  <c r="M79" i="9"/>
  <c r="M80" i="9" s="1"/>
  <c r="Q97" i="9"/>
  <c r="Q98" i="9" s="1"/>
  <c r="Q88" i="9"/>
  <c r="Q89" i="9" s="1"/>
  <c r="Q79" i="9"/>
  <c r="Q80" i="9" s="1"/>
  <c r="G10" i="9"/>
  <c r="O10" i="9"/>
  <c r="S10" i="9"/>
  <c r="S30" i="9" s="1"/>
  <c r="T14" i="9"/>
  <c r="T29" i="9"/>
  <c r="N79" i="9"/>
  <c r="N80" i="9" s="1"/>
  <c r="S88" i="9"/>
  <c r="S89" i="9" s="1"/>
  <c r="D115" i="9"/>
  <c r="D106" i="9"/>
  <c r="P106" i="9" s="1"/>
  <c r="P107" i="9" s="1"/>
  <c r="K97" i="9"/>
  <c r="K98" i="9" s="1"/>
  <c r="K79" i="9"/>
  <c r="K80" i="9" s="1"/>
  <c r="S79" i="9"/>
  <c r="S80" i="9" s="1"/>
  <c r="P88" i="9"/>
  <c r="P89" i="9" s="1"/>
  <c r="P79" i="9"/>
  <c r="P80" i="9" s="1"/>
  <c r="J79" i="9"/>
  <c r="J80" i="9" s="1"/>
  <c r="N88" i="9"/>
  <c r="N89" i="9" s="1"/>
  <c r="R97" i="9"/>
  <c r="R98" i="9" s="1"/>
  <c r="H10" i="9"/>
  <c r="H30" i="9" s="1"/>
  <c r="L10" i="9"/>
  <c r="L30" i="9" s="1"/>
  <c r="P10" i="9"/>
  <c r="P30" i="9" s="1"/>
  <c r="G79" i="9"/>
  <c r="G80" i="9" s="1"/>
  <c r="R79" i="9"/>
  <c r="R80" i="9" s="1"/>
  <c r="J88" i="9"/>
  <c r="J89" i="9" s="1"/>
  <c r="O97" i="9"/>
  <c r="O98" i="9" s="1"/>
  <c r="D61" i="9"/>
  <c r="G61" i="9" s="1"/>
  <c r="G62" i="9" s="1"/>
  <c r="D70" i="9"/>
  <c r="D82" i="9"/>
  <c r="G103" i="8"/>
  <c r="G104" i="8" s="1"/>
  <c r="G94" i="8"/>
  <c r="G95" i="8" s="1"/>
  <c r="G85" i="8"/>
  <c r="G86" i="8" s="1"/>
  <c r="G76" i="8"/>
  <c r="G77" i="8" s="1"/>
  <c r="G67" i="8"/>
  <c r="G68" i="8" s="1"/>
  <c r="G58" i="8"/>
  <c r="G59" i="8" s="1"/>
  <c r="K103" i="8"/>
  <c r="K104" i="8" s="1"/>
  <c r="K94" i="8"/>
  <c r="K95" i="8" s="1"/>
  <c r="K85" i="8"/>
  <c r="K86" i="8" s="1"/>
  <c r="K76" i="8"/>
  <c r="K77" i="8" s="1"/>
  <c r="K67" i="8"/>
  <c r="K68" i="8" s="1"/>
  <c r="K58" i="8"/>
  <c r="K59" i="8" s="1"/>
  <c r="O103" i="8"/>
  <c r="O104" i="8" s="1"/>
  <c r="O94" i="8"/>
  <c r="O95" i="8" s="1"/>
  <c r="O85" i="8"/>
  <c r="O86" i="8" s="1"/>
  <c r="O76" i="8"/>
  <c r="O77" i="8" s="1"/>
  <c r="O67" i="8"/>
  <c r="O68" i="8" s="1"/>
  <c r="O58" i="8"/>
  <c r="O59" i="8" s="1"/>
  <c r="S103" i="8"/>
  <c r="S104" i="8" s="1"/>
  <c r="S94" i="8"/>
  <c r="S95" i="8" s="1"/>
  <c r="S85" i="8"/>
  <c r="S86" i="8" s="1"/>
  <c r="S76" i="8"/>
  <c r="S77" i="8" s="1"/>
  <c r="S67" i="8"/>
  <c r="S68" i="8" s="1"/>
  <c r="S58" i="8"/>
  <c r="S59" i="8" s="1"/>
  <c r="H103" i="8"/>
  <c r="H104" i="8" s="1"/>
  <c r="H94" i="8"/>
  <c r="H95" i="8" s="1"/>
  <c r="H85" i="8"/>
  <c r="H86" i="8" s="1"/>
  <c r="H67" i="8"/>
  <c r="H68" i="8" s="1"/>
  <c r="H58" i="8"/>
  <c r="H59" i="8" s="1"/>
  <c r="H76" i="8"/>
  <c r="H77" i="8" s="1"/>
  <c r="L103" i="8"/>
  <c r="L104" i="8" s="1"/>
  <c r="L94" i="8"/>
  <c r="L95" i="8" s="1"/>
  <c r="L85" i="8"/>
  <c r="L86" i="8" s="1"/>
  <c r="L76" i="8"/>
  <c r="L77" i="8" s="1"/>
  <c r="L67" i="8"/>
  <c r="L68" i="8" s="1"/>
  <c r="L58" i="8"/>
  <c r="L59" i="8" s="1"/>
  <c r="P103" i="8"/>
  <c r="P104" i="8" s="1"/>
  <c r="P94" i="8"/>
  <c r="P95" i="8" s="1"/>
  <c r="P85" i="8"/>
  <c r="P86" i="8" s="1"/>
  <c r="P76" i="8"/>
  <c r="P77" i="8" s="1"/>
  <c r="P67" i="8"/>
  <c r="P68" i="8" s="1"/>
  <c r="P58" i="8"/>
  <c r="P59" i="8" s="1"/>
  <c r="S57" i="8"/>
  <c r="R57" i="8"/>
  <c r="I103" i="8"/>
  <c r="I104" i="8" s="1"/>
  <c r="I94" i="8"/>
  <c r="I95" i="8" s="1"/>
  <c r="I85" i="8"/>
  <c r="I86" i="8" s="1"/>
  <c r="I67" i="8"/>
  <c r="I68" i="8" s="1"/>
  <c r="I58" i="8"/>
  <c r="I59" i="8" s="1"/>
  <c r="I76" i="8"/>
  <c r="I77" i="8" s="1"/>
  <c r="M103" i="8"/>
  <c r="M104" i="8" s="1"/>
  <c r="M94" i="8"/>
  <c r="M95" i="8" s="1"/>
  <c r="M85" i="8"/>
  <c r="M86" i="8" s="1"/>
  <c r="M76" i="8"/>
  <c r="M77" i="8" s="1"/>
  <c r="M67" i="8"/>
  <c r="M68" i="8" s="1"/>
  <c r="M58" i="8"/>
  <c r="M59" i="8" s="1"/>
  <c r="Q103" i="8"/>
  <c r="Q104" i="8" s="1"/>
  <c r="Q94" i="8"/>
  <c r="Q95" i="8" s="1"/>
  <c r="Q85" i="8"/>
  <c r="Q86" i="8" s="1"/>
  <c r="Q67" i="8"/>
  <c r="Q68" i="8" s="1"/>
  <c r="Q58" i="8"/>
  <c r="Q59" i="8" s="1"/>
  <c r="Q76" i="8"/>
  <c r="Q77" i="8" s="1"/>
  <c r="J30" i="8"/>
  <c r="N30" i="8"/>
  <c r="R30" i="8"/>
  <c r="J103" i="8"/>
  <c r="J104" i="8" s="1"/>
  <c r="J94" i="8"/>
  <c r="J95" i="8" s="1"/>
  <c r="J85" i="8"/>
  <c r="J86" i="8" s="1"/>
  <c r="J67" i="8"/>
  <c r="J68" i="8" s="1"/>
  <c r="J58" i="8"/>
  <c r="J59" i="8" s="1"/>
  <c r="J76" i="8"/>
  <c r="J77" i="8" s="1"/>
  <c r="N103" i="8"/>
  <c r="N104" i="8" s="1"/>
  <c r="N94" i="8"/>
  <c r="N95" i="8" s="1"/>
  <c r="N85" i="8"/>
  <c r="N86" i="8" s="1"/>
  <c r="N67" i="8"/>
  <c r="N68" i="8" s="1"/>
  <c r="N58" i="8"/>
  <c r="N59" i="8" s="1"/>
  <c r="N76" i="8"/>
  <c r="N77" i="8" s="1"/>
  <c r="R103" i="8"/>
  <c r="R104" i="8" s="1"/>
  <c r="R94" i="8"/>
  <c r="R95" i="8" s="1"/>
  <c r="R85" i="8"/>
  <c r="R86" i="8" s="1"/>
  <c r="R67" i="8"/>
  <c r="R68" i="8" s="1"/>
  <c r="R58" i="8"/>
  <c r="R59" i="8" s="1"/>
  <c r="R76" i="8"/>
  <c r="R77" i="8" s="1"/>
  <c r="G30" i="8"/>
  <c r="K30" i="8"/>
  <c r="O30" i="8"/>
  <c r="S30" i="8"/>
  <c r="T8" i="8"/>
  <c r="T10" i="8" s="1"/>
  <c r="Q57" i="8"/>
  <c r="D79" i="8"/>
  <c r="J79" i="8" s="1"/>
  <c r="J80" i="8" s="1"/>
  <c r="T14" i="8"/>
  <c r="T26" i="8" s="1"/>
  <c r="T29" i="8"/>
  <c r="H10" i="8"/>
  <c r="H30" i="8" s="1"/>
  <c r="L10" i="8"/>
  <c r="L30" i="8" s="1"/>
  <c r="P10" i="8"/>
  <c r="P30" i="8" s="1"/>
  <c r="I10" i="8"/>
  <c r="I30" i="8" s="1"/>
  <c r="M10" i="8"/>
  <c r="M30" i="8" s="1"/>
  <c r="Q10" i="8"/>
  <c r="Q30" i="8" s="1"/>
  <c r="D61" i="8"/>
  <c r="O61" i="8" s="1"/>
  <c r="O62" i="8" s="1"/>
  <c r="D70" i="8"/>
  <c r="O70" i="8" s="1"/>
  <c r="O71" i="8" s="1"/>
  <c r="D115" i="8"/>
  <c r="D88" i="8"/>
  <c r="I88" i="8" s="1"/>
  <c r="I89" i="8" s="1"/>
  <c r="D97" i="8"/>
  <c r="S97" i="8" s="1"/>
  <c r="S98" i="8" s="1"/>
  <c r="D106" i="8"/>
  <c r="H106" i="8" s="1"/>
  <c r="H107" i="8" s="1"/>
  <c r="D109" i="8"/>
  <c r="AH236" i="7"/>
  <c r="D67" i="3"/>
  <c r="D73" i="3" s="1"/>
  <c r="N17" i="11" l="1"/>
  <c r="R17" i="11" s="1"/>
  <c r="S13" i="11"/>
  <c r="T13" i="11"/>
  <c r="H14" i="16"/>
  <c r="H15" i="16" s="1"/>
  <c r="R13" i="11"/>
  <c r="Q13" i="10"/>
  <c r="N17" i="10"/>
  <c r="Q17" i="10" s="1"/>
  <c r="U13" i="11"/>
  <c r="Q13" i="11"/>
  <c r="G30" i="9"/>
  <c r="I30" i="9"/>
  <c r="G85" i="9"/>
  <c r="G86" i="9" s="1"/>
  <c r="G76" i="9"/>
  <c r="G77" i="9" s="1"/>
  <c r="I85" i="9"/>
  <c r="I86" i="9" s="1"/>
  <c r="G103" i="9"/>
  <c r="G104" i="9" s="1"/>
  <c r="G94" i="9"/>
  <c r="G95" i="9" s="1"/>
  <c r="K79" i="8"/>
  <c r="K80" i="8" s="1"/>
  <c r="P97" i="9"/>
  <c r="P98" i="9" s="1"/>
  <c r="H97" i="9"/>
  <c r="H98" i="9" s="1"/>
  <c r="Q67" i="9"/>
  <c r="Q68" i="9" s="1"/>
  <c r="N103" i="9"/>
  <c r="N104" i="9" s="1"/>
  <c r="S67" i="9"/>
  <c r="S68" i="9" s="1"/>
  <c r="AC10" i="13"/>
  <c r="J97" i="9"/>
  <c r="J98" i="9" s="1"/>
  <c r="T98" i="9" s="1"/>
  <c r="Q76" i="9"/>
  <c r="Q77" i="9" s="1"/>
  <c r="N58" i="9"/>
  <c r="N59" i="9" s="1"/>
  <c r="S76" i="9"/>
  <c r="S77" i="9" s="1"/>
  <c r="AD51" i="12"/>
  <c r="AD46" i="12"/>
  <c r="AA41" i="13"/>
  <c r="AA46" i="13"/>
  <c r="Y173" i="7"/>
  <c r="V173" i="7"/>
  <c r="U173" i="7"/>
  <c r="X173" i="7"/>
  <c r="T173" i="7"/>
  <c r="W173" i="7"/>
  <c r="Q178" i="7"/>
  <c r="Q214" i="7" s="1"/>
  <c r="V244" i="7"/>
  <c r="Q251" i="7"/>
  <c r="Y244" i="7"/>
  <c r="U244" i="7"/>
  <c r="X244" i="7"/>
  <c r="T244" i="7"/>
  <c r="W244" i="7"/>
  <c r="V218" i="7"/>
  <c r="Y218" i="7"/>
  <c r="Q235" i="7"/>
  <c r="U218" i="7"/>
  <c r="W218" i="7"/>
  <c r="T218" i="7"/>
  <c r="X218" i="7"/>
  <c r="G79" i="8"/>
  <c r="G80" i="8" s="1"/>
  <c r="M94" i="9"/>
  <c r="M95" i="9" s="1"/>
  <c r="AE41" i="13"/>
  <c r="AA53" i="13"/>
  <c r="M67" i="9"/>
  <c r="M68" i="9" s="1"/>
  <c r="Q79" i="8"/>
  <c r="Q80" i="8" s="1"/>
  <c r="AD6" i="12"/>
  <c r="AA49" i="13"/>
  <c r="AE46" i="13"/>
  <c r="S79" i="8"/>
  <c r="S80" i="8" s="1"/>
  <c r="N79" i="8"/>
  <c r="N80" i="8" s="1"/>
  <c r="M79" i="8"/>
  <c r="M80" i="8" s="1"/>
  <c r="M58" i="9"/>
  <c r="M59" i="9" s="1"/>
  <c r="M103" i="9"/>
  <c r="M104" i="9" s="1"/>
  <c r="R85" i="9"/>
  <c r="R86" i="9" s="1"/>
  <c r="R30" i="9"/>
  <c r="AD44" i="12"/>
  <c r="AD44" i="13"/>
  <c r="AD41" i="13"/>
  <c r="AC16" i="13"/>
  <c r="AD40" i="13"/>
  <c r="AD6" i="13"/>
  <c r="AC42" i="13"/>
  <c r="R79" i="8"/>
  <c r="R80" i="8" s="1"/>
  <c r="O79" i="8"/>
  <c r="O80" i="8" s="1"/>
  <c r="I79" i="8"/>
  <c r="I80" i="8" s="1"/>
  <c r="N106" i="9"/>
  <c r="N107" i="9" s="1"/>
  <c r="M76" i="9"/>
  <c r="M77" i="9" s="1"/>
  <c r="R94" i="9"/>
  <c r="R95" i="9" s="1"/>
  <c r="R103" i="9"/>
  <c r="R104" i="9" s="1"/>
  <c r="AD50" i="12"/>
  <c r="AD50" i="13"/>
  <c r="AD42" i="13"/>
  <c r="AD49" i="13"/>
  <c r="AC17" i="13"/>
  <c r="AC33" i="13"/>
  <c r="AC26" i="13"/>
  <c r="AC46" i="13"/>
  <c r="AD17" i="13"/>
  <c r="N70" i="8"/>
  <c r="N71" i="8" s="1"/>
  <c r="M30" i="9"/>
  <c r="R58" i="9"/>
  <c r="R59" i="9" s="1"/>
  <c r="AC41" i="13"/>
  <c r="F241" i="7"/>
  <c r="F256" i="7" s="1"/>
  <c r="F267" i="7" s="1"/>
  <c r="F269" i="7" s="1"/>
  <c r="G238" i="7"/>
  <c r="D151" i="7"/>
  <c r="D159" i="7" s="1"/>
  <c r="E149" i="7"/>
  <c r="H61" i="9"/>
  <c r="H62" i="9" s="1"/>
  <c r="R106" i="9"/>
  <c r="R107" i="9" s="1"/>
  <c r="O106" i="9"/>
  <c r="O107" i="9" s="1"/>
  <c r="L106" i="9"/>
  <c r="L107" i="9" s="1"/>
  <c r="I106" i="9"/>
  <c r="I107" i="9" s="1"/>
  <c r="M106" i="9"/>
  <c r="M107" i="9" s="1"/>
  <c r="Q106" i="9"/>
  <c r="Q107" i="9" s="1"/>
  <c r="G106" i="9"/>
  <c r="G107" i="9" s="1"/>
  <c r="H106" i="9"/>
  <c r="H107" i="9" s="1"/>
  <c r="K106" i="9"/>
  <c r="K107" i="9" s="1"/>
  <c r="O94" i="9"/>
  <c r="O95" i="9" s="1"/>
  <c r="O85" i="9"/>
  <c r="O86" i="9" s="1"/>
  <c r="O58" i="9"/>
  <c r="O59" i="9" s="1"/>
  <c r="O67" i="9"/>
  <c r="O68" i="9" s="1"/>
  <c r="O103" i="9"/>
  <c r="O104" i="9" s="1"/>
  <c r="M70" i="9"/>
  <c r="M71" i="9" s="1"/>
  <c r="K70" i="9"/>
  <c r="K71" i="9" s="1"/>
  <c r="I76" i="9"/>
  <c r="I77" i="9" s="1"/>
  <c r="I103" i="9"/>
  <c r="I104" i="9" s="1"/>
  <c r="I67" i="9"/>
  <c r="I68" i="9" s="1"/>
  <c r="I97" i="8"/>
  <c r="I98" i="8" s="1"/>
  <c r="G97" i="8"/>
  <c r="G98" i="8" s="1"/>
  <c r="O97" i="8"/>
  <c r="O98" i="8" s="1"/>
  <c r="M61" i="9"/>
  <c r="M62" i="9" s="1"/>
  <c r="S61" i="9"/>
  <c r="S62" i="9" s="1"/>
  <c r="I61" i="9"/>
  <c r="I62" i="9" s="1"/>
  <c r="N61" i="9"/>
  <c r="N62" i="9" s="1"/>
  <c r="Q61" i="9"/>
  <c r="Q62" i="9" s="1"/>
  <c r="S106" i="9"/>
  <c r="S107" i="9" s="1"/>
  <c r="AB36" i="12"/>
  <c r="AB11" i="12"/>
  <c r="AB23" i="12"/>
  <c r="AB18" i="12"/>
  <c r="AB19" i="12"/>
  <c r="AB7" i="12"/>
  <c r="AB15" i="12"/>
  <c r="AB33" i="12"/>
  <c r="AB24" i="12"/>
  <c r="AB31" i="12"/>
  <c r="AB45" i="12"/>
  <c r="AB10" i="12"/>
  <c r="AB14" i="12"/>
  <c r="AB51" i="12"/>
  <c r="AB48" i="12"/>
  <c r="AB25" i="12"/>
  <c r="AB32" i="12"/>
  <c r="AB47" i="12"/>
  <c r="AB30" i="12"/>
  <c r="AB6" i="12"/>
  <c r="AB41" i="12"/>
  <c r="AB8" i="12"/>
  <c r="AB12" i="12"/>
  <c r="AB16" i="12"/>
  <c r="AB42" i="12"/>
  <c r="AB35" i="12"/>
  <c r="AB52" i="12"/>
  <c r="AB27" i="12"/>
  <c r="AB34" i="12"/>
  <c r="AB17" i="12"/>
  <c r="AB44" i="12"/>
  <c r="AB53" i="12"/>
  <c r="AB49" i="12"/>
  <c r="J97" i="8"/>
  <c r="J98" i="8" s="1"/>
  <c r="L61" i="9"/>
  <c r="L62" i="9" s="1"/>
  <c r="J61" i="9"/>
  <c r="J62" i="9" s="1"/>
  <c r="O61" i="9"/>
  <c r="O62" i="9" s="1"/>
  <c r="AB43" i="12"/>
  <c r="K97" i="8"/>
  <c r="K98" i="8" s="1"/>
  <c r="T26" i="9"/>
  <c r="T30" i="9" s="1"/>
  <c r="J106" i="9"/>
  <c r="J107" i="9" s="1"/>
  <c r="O76" i="9"/>
  <c r="O77" i="9" s="1"/>
  <c r="AB46" i="12"/>
  <c r="AB28" i="12"/>
  <c r="AB29" i="12"/>
  <c r="AB37" i="12"/>
  <c r="Z6" i="13"/>
  <c r="Z46" i="13"/>
  <c r="Z45" i="13"/>
  <c r="Z48" i="13"/>
  <c r="Z40" i="13"/>
  <c r="Z53" i="13"/>
  <c r="Z17" i="13"/>
  <c r="Z49" i="13"/>
  <c r="AC28" i="13"/>
  <c r="AC7" i="13"/>
  <c r="AC11" i="13"/>
  <c r="AC53" i="13"/>
  <c r="AC50" i="13"/>
  <c r="AC31" i="13"/>
  <c r="AC18" i="13"/>
  <c r="AC14" i="13"/>
  <c r="AC24" i="13"/>
  <c r="AC43" i="13"/>
  <c r="AC8" i="13"/>
  <c r="AC44" i="13"/>
  <c r="AC13" i="13"/>
  <c r="AC34" i="13"/>
  <c r="AC52" i="13"/>
  <c r="AC19" i="13"/>
  <c r="AC30" i="13"/>
  <c r="AC32" i="13"/>
  <c r="AC45" i="13"/>
  <c r="AC12" i="13"/>
  <c r="AC29" i="13"/>
  <c r="AC40" i="13"/>
  <c r="AC49" i="13"/>
  <c r="AC27" i="13"/>
  <c r="AC15" i="13"/>
  <c r="AC9" i="13"/>
  <c r="AC35" i="13"/>
  <c r="AC25" i="13"/>
  <c r="AC48" i="13"/>
  <c r="AC47" i="13"/>
  <c r="AC6" i="13"/>
  <c r="N61" i="8"/>
  <c r="N62" i="8" s="1"/>
  <c r="O30" i="9"/>
  <c r="Q58" i="9"/>
  <c r="Q59" i="9" s="1"/>
  <c r="Q85" i="9"/>
  <c r="Q86" i="9" s="1"/>
  <c r="N85" i="9"/>
  <c r="N86" i="9" s="1"/>
  <c r="N94" i="9"/>
  <c r="N95" i="9" s="1"/>
  <c r="K67" i="9"/>
  <c r="K68" i="9" s="1"/>
  <c r="N30" i="9"/>
  <c r="AD20" i="12"/>
  <c r="AE45" i="13"/>
  <c r="AB20" i="12"/>
  <c r="AE6" i="13"/>
  <c r="Q30" i="9"/>
  <c r="K94" i="9"/>
  <c r="K95" i="9" s="1"/>
  <c r="AD23" i="12"/>
  <c r="AA40" i="13"/>
  <c r="U23" i="13"/>
  <c r="S23" i="13"/>
  <c r="W23" i="13"/>
  <c r="R23" i="13"/>
  <c r="T23" i="13"/>
  <c r="Q79" i="6"/>
  <c r="Q144" i="6" s="1"/>
  <c r="AB51" i="13"/>
  <c r="O54" i="13"/>
  <c r="AA51" i="13"/>
  <c r="AE51" i="13"/>
  <c r="Z51" i="13"/>
  <c r="AC51" i="13"/>
  <c r="AD51" i="13"/>
  <c r="AC37" i="13"/>
  <c r="AD37" i="13"/>
  <c r="AB37" i="13"/>
  <c r="AE37" i="13"/>
  <c r="AA37" i="13"/>
  <c r="Z37" i="13"/>
  <c r="AE36" i="13"/>
  <c r="AE33" i="13"/>
  <c r="AE29" i="13"/>
  <c r="AE25" i="13"/>
  <c r="AE32" i="13"/>
  <c r="AE30" i="13"/>
  <c r="AE28" i="13"/>
  <c r="AE26" i="13"/>
  <c r="AE24" i="13"/>
  <c r="AE19" i="13"/>
  <c r="AE13" i="13"/>
  <c r="AE43" i="13"/>
  <c r="AE35" i="13"/>
  <c r="AE16" i="13"/>
  <c r="AE50" i="13"/>
  <c r="AE27" i="13"/>
  <c r="AE18" i="13"/>
  <c r="AE12" i="13"/>
  <c r="AE8" i="13"/>
  <c r="AE53" i="13"/>
  <c r="AE23" i="13"/>
  <c r="AE10" i="13"/>
  <c r="AE17" i="13"/>
  <c r="AE52" i="13"/>
  <c r="AE34" i="13"/>
  <c r="AE14" i="13"/>
  <c r="AE11" i="13"/>
  <c r="AE7" i="13"/>
  <c r="AE47" i="13"/>
  <c r="AE42" i="13"/>
  <c r="AE31" i="13"/>
  <c r="AE15" i="13"/>
  <c r="AE48" i="13"/>
  <c r="AE9" i="13"/>
  <c r="AA48" i="13"/>
  <c r="AD30" i="13"/>
  <c r="AD26" i="13"/>
  <c r="AD52" i="13"/>
  <c r="AD47" i="13"/>
  <c r="AD34" i="13"/>
  <c r="AD14" i="13"/>
  <c r="AD32" i="13"/>
  <c r="AD28" i="13"/>
  <c r="AD24" i="13"/>
  <c r="AD19" i="13"/>
  <c r="AD13" i="13"/>
  <c r="AD35" i="13"/>
  <c r="AD9" i="13"/>
  <c r="AD46" i="13"/>
  <c r="AD7" i="13"/>
  <c r="AD31" i="13"/>
  <c r="AD16" i="13"/>
  <c r="AD15" i="13"/>
  <c r="AD10" i="13"/>
  <c r="AD29" i="13"/>
  <c r="AD27" i="13"/>
  <c r="AD18" i="13"/>
  <c r="AD12" i="13"/>
  <c r="AD8" i="13"/>
  <c r="AD36" i="13"/>
  <c r="AD11" i="13"/>
  <c r="AD43" i="13"/>
  <c r="AD33" i="13"/>
  <c r="AD25" i="13"/>
  <c r="AD23" i="13"/>
  <c r="AE40" i="13"/>
  <c r="O20" i="13"/>
  <c r="T17" i="13"/>
  <c r="W17" i="13"/>
  <c r="S17" i="13"/>
  <c r="R17" i="13"/>
  <c r="V17" i="13"/>
  <c r="U17" i="13"/>
  <c r="W34" i="13"/>
  <c r="S34" i="13"/>
  <c r="O37" i="13"/>
  <c r="V34" i="13"/>
  <c r="U34" i="13"/>
  <c r="T34" i="13"/>
  <c r="R34" i="13"/>
  <c r="AA36" i="13"/>
  <c r="AA33" i="13"/>
  <c r="AA29" i="13"/>
  <c r="AA25" i="13"/>
  <c r="AA43" i="13"/>
  <c r="AA35" i="13"/>
  <c r="AA13" i="13"/>
  <c r="AA31" i="13"/>
  <c r="AA27" i="13"/>
  <c r="AA23" i="13"/>
  <c r="AA16" i="13"/>
  <c r="AA28" i="13"/>
  <c r="AA19" i="13"/>
  <c r="AA15" i="13"/>
  <c r="AA12" i="13"/>
  <c r="AA8" i="13"/>
  <c r="AA52" i="13"/>
  <c r="AA34" i="13"/>
  <c r="AA32" i="13"/>
  <c r="AA18" i="13"/>
  <c r="AA10" i="13"/>
  <c r="AA47" i="13"/>
  <c r="AA42" i="13"/>
  <c r="AA26" i="13"/>
  <c r="AA14" i="13"/>
  <c r="AA9" i="13"/>
  <c r="AA50" i="13"/>
  <c r="AA44" i="13"/>
  <c r="AA30" i="13"/>
  <c r="AA17" i="13"/>
  <c r="AA11" i="13"/>
  <c r="AA7" i="13"/>
  <c r="AA24" i="13"/>
  <c r="AA45" i="13"/>
  <c r="AE20" i="13"/>
  <c r="AA20" i="13"/>
  <c r="Z20" i="13"/>
  <c r="AD20" i="13"/>
  <c r="AC20" i="13"/>
  <c r="AB20" i="13"/>
  <c r="Z30" i="13"/>
  <c r="Z26" i="13"/>
  <c r="Z41" i="13"/>
  <c r="Z32" i="13"/>
  <c r="Z28" i="13"/>
  <c r="Z24" i="13"/>
  <c r="Z19" i="13"/>
  <c r="Z14" i="13"/>
  <c r="Z43" i="13"/>
  <c r="Z35" i="13"/>
  <c r="Z33" i="13"/>
  <c r="Z29" i="13"/>
  <c r="Z25" i="13"/>
  <c r="Z13" i="13"/>
  <c r="Z47" i="13"/>
  <c r="Z42" i="13"/>
  <c r="Z31" i="13"/>
  <c r="Z23" i="13"/>
  <c r="Z9" i="13"/>
  <c r="Z50" i="13"/>
  <c r="Z27" i="13"/>
  <c r="Z11" i="13"/>
  <c r="Z52" i="13"/>
  <c r="Z16" i="13"/>
  <c r="Z15" i="13"/>
  <c r="Z12" i="13"/>
  <c r="Z8" i="13"/>
  <c r="Z7" i="13"/>
  <c r="Z36" i="13"/>
  <c r="Z34" i="13"/>
  <c r="Z18" i="13"/>
  <c r="Z10" i="13"/>
  <c r="W6" i="13"/>
  <c r="S6" i="13"/>
  <c r="U6" i="13"/>
  <c r="T6" i="13"/>
  <c r="V6" i="13"/>
  <c r="R6" i="13"/>
  <c r="AD45" i="13"/>
  <c r="W23" i="12"/>
  <c r="S23" i="12"/>
  <c r="U23" i="12"/>
  <c r="R23" i="12"/>
  <c r="V23" i="12"/>
  <c r="T23" i="12"/>
  <c r="Z30" i="12"/>
  <c r="Z26" i="12"/>
  <c r="Z49" i="12"/>
  <c r="Z45" i="12"/>
  <c r="Z41" i="12"/>
  <c r="Z36" i="12"/>
  <c r="Z33" i="12"/>
  <c r="Z29" i="12"/>
  <c r="Z25" i="12"/>
  <c r="Z35" i="12"/>
  <c r="Z32" i="12"/>
  <c r="Z28" i="12"/>
  <c r="Z24" i="12"/>
  <c r="Z52" i="12"/>
  <c r="Z19" i="12"/>
  <c r="Z16" i="12"/>
  <c r="Z12" i="12"/>
  <c r="Z8" i="12"/>
  <c r="Z43" i="12"/>
  <c r="Z34" i="12"/>
  <c r="Z47" i="12"/>
  <c r="Z18" i="12"/>
  <c r="Z15" i="12"/>
  <c r="Z11" i="12"/>
  <c r="Z7" i="12"/>
  <c r="Z31" i="12"/>
  <c r="Z27" i="12"/>
  <c r="Z14" i="12"/>
  <c r="Z10" i="12"/>
  <c r="Z13" i="12"/>
  <c r="Z9" i="12"/>
  <c r="Z20" i="12"/>
  <c r="AD40" i="12"/>
  <c r="Z40" i="12"/>
  <c r="AC40" i="12"/>
  <c r="AB40" i="12"/>
  <c r="AE40" i="12"/>
  <c r="AA40" i="12"/>
  <c r="Z53" i="12"/>
  <c r="O20" i="12"/>
  <c r="V17" i="12"/>
  <c r="R17" i="12"/>
  <c r="W17" i="12"/>
  <c r="U17" i="12"/>
  <c r="S17" i="12"/>
  <c r="T17" i="12"/>
  <c r="Z6" i="12"/>
  <c r="V6" i="12"/>
  <c r="R6" i="12"/>
  <c r="U6" i="12"/>
  <c r="T6" i="12"/>
  <c r="S6" i="12"/>
  <c r="W6" i="12"/>
  <c r="Z48" i="12"/>
  <c r="W34" i="12"/>
  <c r="S34" i="12"/>
  <c r="V34" i="12"/>
  <c r="R34" i="12"/>
  <c r="O37" i="12"/>
  <c r="U34" i="12"/>
  <c r="T34" i="12"/>
  <c r="Z23" i="12"/>
  <c r="Z42" i="12"/>
  <c r="Z17" i="12"/>
  <c r="Z44" i="12"/>
  <c r="O54" i="12"/>
  <c r="Z46" i="12"/>
  <c r="AD30" i="12"/>
  <c r="AD26" i="12"/>
  <c r="AD49" i="12"/>
  <c r="AD45" i="12"/>
  <c r="AD41" i="12"/>
  <c r="AD36" i="12"/>
  <c r="AD33" i="12"/>
  <c r="AD29" i="12"/>
  <c r="AD25" i="12"/>
  <c r="AD35" i="12"/>
  <c r="AD32" i="12"/>
  <c r="AD28" i="12"/>
  <c r="AD24" i="12"/>
  <c r="AD47" i="12"/>
  <c r="AD16" i="12"/>
  <c r="AD12" i="12"/>
  <c r="AD8" i="12"/>
  <c r="AD52" i="12"/>
  <c r="AD18" i="12"/>
  <c r="AD15" i="12"/>
  <c r="AD11" i="12"/>
  <c r="AD7" i="12"/>
  <c r="AD43" i="12"/>
  <c r="AD34" i="12"/>
  <c r="AD31" i="12"/>
  <c r="AD27" i="12"/>
  <c r="AD19" i="12"/>
  <c r="AD14" i="12"/>
  <c r="AD10" i="12"/>
  <c r="AD13" i="12"/>
  <c r="AD9" i="12"/>
  <c r="AD48" i="12"/>
  <c r="AD53" i="12"/>
  <c r="Z50" i="12"/>
  <c r="AD42" i="12"/>
  <c r="AD17" i="12"/>
  <c r="Z37" i="12"/>
  <c r="V17" i="11"/>
  <c r="Q17" i="11"/>
  <c r="T17" i="11"/>
  <c r="U17" i="10"/>
  <c r="T17" i="10"/>
  <c r="S17" i="10"/>
  <c r="V15" i="10"/>
  <c r="R15" i="10"/>
  <c r="T15" i="10"/>
  <c r="U15" i="10"/>
  <c r="Q15" i="10"/>
  <c r="S15" i="10"/>
  <c r="H70" i="9"/>
  <c r="H71" i="9" s="1"/>
  <c r="Q70" i="9"/>
  <c r="Q71" i="9" s="1"/>
  <c r="I70" i="9"/>
  <c r="I71" i="9" s="1"/>
  <c r="P70" i="9"/>
  <c r="P71" i="9" s="1"/>
  <c r="R61" i="9"/>
  <c r="R62" i="9" s="1"/>
  <c r="N70" i="9"/>
  <c r="N71" i="9" s="1"/>
  <c r="J70" i="9"/>
  <c r="J71" i="9" s="1"/>
  <c r="S70" i="9"/>
  <c r="S71" i="9" s="1"/>
  <c r="O70" i="9"/>
  <c r="O71" i="9" s="1"/>
  <c r="G70" i="9"/>
  <c r="G71" i="9" s="1"/>
  <c r="P61" i="9"/>
  <c r="P62" i="9" s="1"/>
  <c r="T80" i="9"/>
  <c r="R70" i="9"/>
  <c r="R71" i="9" s="1"/>
  <c r="K61" i="9"/>
  <c r="K62" i="9" s="1"/>
  <c r="L70" i="9"/>
  <c r="L71" i="9" s="1"/>
  <c r="S57" i="9"/>
  <c r="R57" i="9"/>
  <c r="T89" i="9"/>
  <c r="I61" i="8"/>
  <c r="I62" i="8" s="1"/>
  <c r="N88" i="8"/>
  <c r="N89" i="8" s="1"/>
  <c r="J70" i="8"/>
  <c r="J71" i="8" s="1"/>
  <c r="J61" i="8"/>
  <c r="J62" i="8" s="1"/>
  <c r="S106" i="8"/>
  <c r="S107" i="8" s="1"/>
  <c r="O106" i="8"/>
  <c r="O107" i="8" s="1"/>
  <c r="K106" i="8"/>
  <c r="K107" i="8" s="1"/>
  <c r="G106" i="8"/>
  <c r="G107" i="8" s="1"/>
  <c r="I70" i="8"/>
  <c r="I71" i="8" s="1"/>
  <c r="R88" i="8"/>
  <c r="R89" i="8" s="1"/>
  <c r="N97" i="8"/>
  <c r="N98" i="8" s="1"/>
  <c r="J106" i="8"/>
  <c r="J107" i="8" s="1"/>
  <c r="P61" i="8"/>
  <c r="P62" i="8" s="1"/>
  <c r="Q106" i="8"/>
  <c r="Q107" i="8" s="1"/>
  <c r="M106" i="8"/>
  <c r="M107" i="8" s="1"/>
  <c r="I106" i="8"/>
  <c r="I107" i="8" s="1"/>
  <c r="K70" i="8"/>
  <c r="K71" i="8" s="1"/>
  <c r="K61" i="8"/>
  <c r="K62" i="8" s="1"/>
  <c r="P79" i="8"/>
  <c r="P80" i="8" s="1"/>
  <c r="L79" i="8"/>
  <c r="L80" i="8" s="1"/>
  <c r="H79" i="8"/>
  <c r="H80" i="8" s="1"/>
  <c r="T77" i="8"/>
  <c r="Q61" i="8"/>
  <c r="Q62" i="8" s="1"/>
  <c r="R97" i="8"/>
  <c r="R98" i="8" s="1"/>
  <c r="N106" i="8"/>
  <c r="N107" i="8" s="1"/>
  <c r="P70" i="8"/>
  <c r="P71" i="8" s="1"/>
  <c r="L61" i="8"/>
  <c r="L62" i="8" s="1"/>
  <c r="G70" i="8"/>
  <c r="G71" i="8" s="1"/>
  <c r="G61" i="8"/>
  <c r="G62" i="8" s="1"/>
  <c r="P88" i="8"/>
  <c r="P89" i="8" s="1"/>
  <c r="L88" i="8"/>
  <c r="L89" i="8" s="1"/>
  <c r="H88" i="8"/>
  <c r="H89" i="8" s="1"/>
  <c r="T86" i="8"/>
  <c r="R70" i="8"/>
  <c r="R71" i="8" s="1"/>
  <c r="R61" i="8"/>
  <c r="R62" i="8" s="1"/>
  <c r="S88" i="8"/>
  <c r="S89" i="8" s="1"/>
  <c r="O88" i="8"/>
  <c r="O89" i="8" s="1"/>
  <c r="K88" i="8"/>
  <c r="K89" i="8" s="1"/>
  <c r="G88" i="8"/>
  <c r="G89" i="8" s="1"/>
  <c r="Q70" i="8"/>
  <c r="Q71" i="8" s="1"/>
  <c r="M61" i="8"/>
  <c r="M62" i="8" s="1"/>
  <c r="R106" i="8"/>
  <c r="R107" i="8" s="1"/>
  <c r="J88" i="8"/>
  <c r="J89" i="8" s="1"/>
  <c r="L70" i="8"/>
  <c r="L71" i="8" s="1"/>
  <c r="H61" i="8"/>
  <c r="H62" i="8" s="1"/>
  <c r="Q88" i="8"/>
  <c r="Q89" i="8" s="1"/>
  <c r="M88" i="8"/>
  <c r="M89" i="8" s="1"/>
  <c r="S70" i="8"/>
  <c r="S71" i="8" s="1"/>
  <c r="S61" i="8"/>
  <c r="S62" i="8" s="1"/>
  <c r="P97" i="8"/>
  <c r="P98" i="8" s="1"/>
  <c r="L97" i="8"/>
  <c r="L98" i="8" s="1"/>
  <c r="H97" i="8"/>
  <c r="H98" i="8" s="1"/>
  <c r="T59" i="8"/>
  <c r="T95" i="8"/>
  <c r="M70" i="8"/>
  <c r="M71" i="8" s="1"/>
  <c r="H70" i="8"/>
  <c r="H71" i="8" s="1"/>
  <c r="T30" i="8"/>
  <c r="Q97" i="8"/>
  <c r="Q98" i="8" s="1"/>
  <c r="M97" i="8"/>
  <c r="M98" i="8" s="1"/>
  <c r="P106" i="8"/>
  <c r="P107" i="8" s="1"/>
  <c r="L106" i="8"/>
  <c r="L107" i="8" s="1"/>
  <c r="T68" i="8"/>
  <c r="T104" i="8"/>
  <c r="O19" i="5"/>
  <c r="O53" i="5"/>
  <c r="O52" i="5"/>
  <c r="P51" i="5"/>
  <c r="O51" i="5"/>
  <c r="N51" i="5"/>
  <c r="M51" i="5"/>
  <c r="L51" i="5"/>
  <c r="L54" i="5" s="1"/>
  <c r="K51" i="5"/>
  <c r="K54" i="5" s="1"/>
  <c r="J51" i="5"/>
  <c r="I51" i="5"/>
  <c r="H51" i="5"/>
  <c r="G51" i="5"/>
  <c r="G54" i="5" s="1"/>
  <c r="F51" i="5"/>
  <c r="E51" i="5"/>
  <c r="D51" i="5"/>
  <c r="C51" i="5"/>
  <c r="C54" i="5" s="1"/>
  <c r="O50" i="5"/>
  <c r="O49" i="5"/>
  <c r="O48" i="5"/>
  <c r="O47" i="5"/>
  <c r="O46" i="5"/>
  <c r="O45" i="5"/>
  <c r="O44" i="5"/>
  <c r="O43" i="5"/>
  <c r="O42" i="5"/>
  <c r="O41" i="5"/>
  <c r="N40" i="5"/>
  <c r="M40" i="5"/>
  <c r="L40" i="5"/>
  <c r="K40" i="5"/>
  <c r="J40" i="5"/>
  <c r="I40" i="5"/>
  <c r="H40" i="5"/>
  <c r="G40" i="5"/>
  <c r="F40" i="5"/>
  <c r="E40" i="5"/>
  <c r="E54" i="5" s="1"/>
  <c r="D40" i="5"/>
  <c r="C40" i="5"/>
  <c r="O36" i="5"/>
  <c r="O35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O33" i="5"/>
  <c r="O32" i="5"/>
  <c r="O31" i="5"/>
  <c r="O30" i="5"/>
  <c r="O29" i="5"/>
  <c r="O28" i="5"/>
  <c r="O27" i="5"/>
  <c r="O26" i="5"/>
  <c r="O25" i="5"/>
  <c r="O24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O18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O16" i="5"/>
  <c r="O15" i="5"/>
  <c r="O14" i="5"/>
  <c r="O13" i="5"/>
  <c r="O12" i="5"/>
  <c r="O11" i="5"/>
  <c r="O10" i="5"/>
  <c r="O9" i="5"/>
  <c r="O8" i="5"/>
  <c r="O7" i="5"/>
  <c r="N6" i="5"/>
  <c r="M6" i="5"/>
  <c r="L6" i="5"/>
  <c r="K6" i="5"/>
  <c r="J6" i="5"/>
  <c r="I6" i="5"/>
  <c r="H6" i="5"/>
  <c r="G6" i="5"/>
  <c r="G20" i="5" s="1"/>
  <c r="F6" i="5"/>
  <c r="E6" i="5"/>
  <c r="D6" i="5"/>
  <c r="C6" i="5"/>
  <c r="B6" i="5"/>
  <c r="W3" i="5"/>
  <c r="W19" i="5" s="1"/>
  <c r="V3" i="5"/>
  <c r="AD3" i="5" s="1"/>
  <c r="AD30" i="5" s="1"/>
  <c r="U3" i="5"/>
  <c r="AC3" i="5" s="1"/>
  <c r="AC19" i="5" s="1"/>
  <c r="T3" i="5"/>
  <c r="S3" i="5"/>
  <c r="AA3" i="5" s="1"/>
  <c r="AA19" i="5" s="1"/>
  <c r="R3" i="5"/>
  <c r="Z3" i="5" s="1"/>
  <c r="Z19" i="5" s="1"/>
  <c r="M17" i="4"/>
  <c r="I17" i="4"/>
  <c r="E17" i="4"/>
  <c r="N15" i="4"/>
  <c r="M15" i="4"/>
  <c r="L15" i="4"/>
  <c r="L17" i="4" s="1"/>
  <c r="K15" i="4"/>
  <c r="K17" i="4" s="1"/>
  <c r="J15" i="4"/>
  <c r="J17" i="4" s="1"/>
  <c r="I15" i="4"/>
  <c r="H15" i="4"/>
  <c r="H17" i="4" s="1"/>
  <c r="G15" i="4"/>
  <c r="G17" i="4" s="1"/>
  <c r="F15" i="4"/>
  <c r="F17" i="4" s="1"/>
  <c r="E15" i="4"/>
  <c r="D15" i="4"/>
  <c r="D17" i="4" s="1"/>
  <c r="C15" i="4"/>
  <c r="C17" i="4" s="1"/>
  <c r="B15" i="4"/>
  <c r="B17" i="4" s="1"/>
  <c r="N13" i="4"/>
  <c r="N12" i="4"/>
  <c r="N11" i="4"/>
  <c r="N10" i="4"/>
  <c r="N9" i="4"/>
  <c r="N8" i="4"/>
  <c r="N7" i="4"/>
  <c r="N6" i="4"/>
  <c r="N5" i="4"/>
  <c r="N4" i="4"/>
  <c r="V3" i="4"/>
  <c r="V14" i="4" s="1"/>
  <c r="U3" i="4"/>
  <c r="U16" i="4" s="1"/>
  <c r="T3" i="4"/>
  <c r="T16" i="4" s="1"/>
  <c r="S3" i="4"/>
  <c r="S7" i="4" s="1"/>
  <c r="R3" i="4"/>
  <c r="R14" i="4" s="1"/>
  <c r="Q3" i="4"/>
  <c r="Q16" i="4" s="1"/>
  <c r="D103" i="3"/>
  <c r="D94" i="3"/>
  <c r="D97" i="3" s="1"/>
  <c r="D85" i="3"/>
  <c r="D88" i="3" s="1"/>
  <c r="D76" i="3"/>
  <c r="D82" i="3" s="1"/>
  <c r="D70" i="3"/>
  <c r="D58" i="3"/>
  <c r="D64" i="3" s="1"/>
  <c r="P57" i="3"/>
  <c r="O57" i="3"/>
  <c r="N57" i="3"/>
  <c r="M57" i="3"/>
  <c r="L57" i="3"/>
  <c r="K57" i="3"/>
  <c r="J57" i="3"/>
  <c r="I57" i="3"/>
  <c r="H57" i="3"/>
  <c r="G57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G47" i="8"/>
  <c r="G46" i="8"/>
  <c r="G45" i="8"/>
  <c r="T44" i="3"/>
  <c r="G43" i="8"/>
  <c r="G42" i="8"/>
  <c r="G41" i="8"/>
  <c r="G40" i="8"/>
  <c r="G39" i="8"/>
  <c r="G38" i="8"/>
  <c r="G37" i="8"/>
  <c r="G36" i="8"/>
  <c r="G35" i="8"/>
  <c r="T34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T25" i="3"/>
  <c r="T13" i="3"/>
  <c r="S10" i="3"/>
  <c r="R97" i="3"/>
  <c r="R98" i="3" s="1"/>
  <c r="P10" i="3"/>
  <c r="O10" i="3"/>
  <c r="L10" i="3"/>
  <c r="K10" i="3"/>
  <c r="H10" i="3"/>
  <c r="R5" i="3"/>
  <c r="S5" i="3" s="1"/>
  <c r="S57" i="3" s="1"/>
  <c r="Q5" i="3"/>
  <c r="Q57" i="3" s="1"/>
  <c r="AG253" i="1"/>
  <c r="AF253" i="1"/>
  <c r="AE253" i="1"/>
  <c r="AD253" i="1"/>
  <c r="AC253" i="1"/>
  <c r="AB253" i="1"/>
  <c r="AH253" i="1" s="1"/>
  <c r="Y253" i="1"/>
  <c r="X253" i="1"/>
  <c r="W253" i="1"/>
  <c r="V253" i="1"/>
  <c r="U253" i="1"/>
  <c r="R253" i="1" s="1"/>
  <c r="T253" i="1"/>
  <c r="AG248" i="1"/>
  <c r="AF248" i="1"/>
  <c r="AE248" i="1"/>
  <c r="AD248" i="1"/>
  <c r="AC248" i="1"/>
  <c r="AH248" i="1" s="1"/>
  <c r="AB248" i="1"/>
  <c r="Y248" i="1"/>
  <c r="X248" i="1"/>
  <c r="W248" i="1"/>
  <c r="V248" i="1"/>
  <c r="U248" i="1"/>
  <c r="T248" i="1"/>
  <c r="R248" i="1"/>
  <c r="AG247" i="1"/>
  <c r="AF247" i="1"/>
  <c r="AE247" i="1"/>
  <c r="AD247" i="1"/>
  <c r="AC247" i="1"/>
  <c r="AB247" i="1"/>
  <c r="AH247" i="1" s="1"/>
  <c r="Y247" i="1"/>
  <c r="X247" i="1"/>
  <c r="W247" i="1"/>
  <c r="V247" i="1"/>
  <c r="U247" i="1"/>
  <c r="R247" i="1" s="1"/>
  <c r="T247" i="1"/>
  <c r="AG246" i="1"/>
  <c r="AF246" i="1"/>
  <c r="AE246" i="1"/>
  <c r="AD246" i="1"/>
  <c r="AC246" i="1"/>
  <c r="AH246" i="1" s="1"/>
  <c r="AB246" i="1"/>
  <c r="Y246" i="1"/>
  <c r="X246" i="1"/>
  <c r="W246" i="1"/>
  <c r="V246" i="1"/>
  <c r="U246" i="1"/>
  <c r="T246" i="1"/>
  <c r="R246" i="1"/>
  <c r="AG245" i="1"/>
  <c r="AF245" i="1"/>
  <c r="AE245" i="1"/>
  <c r="AD245" i="1"/>
  <c r="AC245" i="1"/>
  <c r="AB245" i="1"/>
  <c r="AH245" i="1" s="1"/>
  <c r="Y245" i="1"/>
  <c r="X245" i="1"/>
  <c r="W245" i="1"/>
  <c r="V245" i="1"/>
  <c r="U245" i="1"/>
  <c r="R245" i="1" s="1"/>
  <c r="T245" i="1"/>
  <c r="AG244" i="1"/>
  <c r="AF244" i="1"/>
  <c r="AE244" i="1"/>
  <c r="AD244" i="1"/>
  <c r="AC244" i="1"/>
  <c r="AH244" i="1" s="1"/>
  <c r="AB244" i="1"/>
  <c r="Y244" i="1"/>
  <c r="X244" i="1"/>
  <c r="W244" i="1"/>
  <c r="V244" i="1"/>
  <c r="U244" i="1"/>
  <c r="T244" i="1"/>
  <c r="R244" i="1"/>
  <c r="AG243" i="1"/>
  <c r="AF243" i="1"/>
  <c r="AE243" i="1"/>
  <c r="AD243" i="1"/>
  <c r="AC243" i="1"/>
  <c r="AB243" i="1"/>
  <c r="AH243" i="1" s="1"/>
  <c r="Y243" i="1"/>
  <c r="X243" i="1"/>
  <c r="W243" i="1"/>
  <c r="V243" i="1"/>
  <c r="U243" i="1"/>
  <c r="R243" i="1" s="1"/>
  <c r="T243" i="1"/>
  <c r="AG238" i="1"/>
  <c r="AF238" i="1"/>
  <c r="AE238" i="1"/>
  <c r="AD238" i="1"/>
  <c r="AC238" i="1"/>
  <c r="AH238" i="1" s="1"/>
  <c r="AB238" i="1"/>
  <c r="Y238" i="1"/>
  <c r="X238" i="1"/>
  <c r="W238" i="1"/>
  <c r="V238" i="1"/>
  <c r="U238" i="1"/>
  <c r="T238" i="1"/>
  <c r="R238" i="1"/>
  <c r="AG237" i="1"/>
  <c r="AF237" i="1"/>
  <c r="AE237" i="1"/>
  <c r="AD237" i="1"/>
  <c r="AC237" i="1"/>
  <c r="AB237" i="1"/>
  <c r="AH237" i="1" s="1"/>
  <c r="Y237" i="1"/>
  <c r="X237" i="1"/>
  <c r="W237" i="1"/>
  <c r="V237" i="1"/>
  <c r="U237" i="1"/>
  <c r="R237" i="1" s="1"/>
  <c r="T237" i="1"/>
  <c r="AG232" i="1"/>
  <c r="AF232" i="1"/>
  <c r="AE232" i="1"/>
  <c r="AD232" i="1"/>
  <c r="AC232" i="1"/>
  <c r="AB232" i="1"/>
  <c r="Y232" i="1"/>
  <c r="X232" i="1"/>
  <c r="W232" i="1"/>
  <c r="V232" i="1"/>
  <c r="U232" i="1"/>
  <c r="T232" i="1"/>
  <c r="AG231" i="1"/>
  <c r="AF231" i="1"/>
  <c r="AE231" i="1"/>
  <c r="AD231" i="1"/>
  <c r="AC231" i="1"/>
  <c r="AB231" i="1"/>
  <c r="Y231" i="1"/>
  <c r="X231" i="1"/>
  <c r="W231" i="1"/>
  <c r="V231" i="1"/>
  <c r="U231" i="1"/>
  <c r="T231" i="1"/>
  <c r="AG230" i="1"/>
  <c r="AF230" i="1"/>
  <c r="AE230" i="1"/>
  <c r="AD230" i="1"/>
  <c r="AC230" i="1"/>
  <c r="AB230" i="1"/>
  <c r="Y230" i="1"/>
  <c r="X230" i="1"/>
  <c r="W230" i="1"/>
  <c r="V230" i="1"/>
  <c r="U230" i="1"/>
  <c r="T230" i="1"/>
  <c r="AG229" i="1"/>
  <c r="AF229" i="1"/>
  <c r="AE229" i="1"/>
  <c r="AD229" i="1"/>
  <c r="AC229" i="1"/>
  <c r="AH229" i="1" s="1"/>
  <c r="AB229" i="1"/>
  <c r="Y229" i="1"/>
  <c r="X229" i="1"/>
  <c r="W229" i="1"/>
  <c r="V229" i="1"/>
  <c r="U229" i="1"/>
  <c r="T229" i="1"/>
  <c r="R229" i="1"/>
  <c r="AG228" i="1"/>
  <c r="AF228" i="1"/>
  <c r="AE228" i="1"/>
  <c r="AD228" i="1"/>
  <c r="AC228" i="1"/>
  <c r="AB228" i="1"/>
  <c r="AH228" i="1" s="1"/>
  <c r="Y228" i="1"/>
  <c r="X228" i="1"/>
  <c r="W228" i="1"/>
  <c r="V228" i="1"/>
  <c r="U228" i="1"/>
  <c r="T228" i="1"/>
  <c r="R228" i="1" s="1"/>
  <c r="AG227" i="1"/>
  <c r="AF227" i="1"/>
  <c r="AE227" i="1"/>
  <c r="AD227" i="1"/>
  <c r="AC227" i="1"/>
  <c r="AH227" i="1" s="1"/>
  <c r="AB227" i="1"/>
  <c r="Y227" i="1"/>
  <c r="X227" i="1"/>
  <c r="W227" i="1"/>
  <c r="R227" i="1" s="1"/>
  <c r="V227" i="1"/>
  <c r="U227" i="1"/>
  <c r="T227" i="1"/>
  <c r="AG226" i="1"/>
  <c r="AF226" i="1"/>
  <c r="AE226" i="1"/>
  <c r="AD226" i="1"/>
  <c r="AC226" i="1"/>
  <c r="AB226" i="1"/>
  <c r="AH226" i="1" s="1"/>
  <c r="Y226" i="1"/>
  <c r="X226" i="1"/>
  <c r="W226" i="1"/>
  <c r="V226" i="1"/>
  <c r="U226" i="1"/>
  <c r="T226" i="1"/>
  <c r="R226" i="1" s="1"/>
  <c r="AG225" i="1"/>
  <c r="AF225" i="1"/>
  <c r="AE225" i="1"/>
  <c r="AD225" i="1"/>
  <c r="AC225" i="1"/>
  <c r="AH225" i="1" s="1"/>
  <c r="AB225" i="1"/>
  <c r="Y225" i="1"/>
  <c r="X225" i="1"/>
  <c r="W225" i="1"/>
  <c r="R225" i="1" s="1"/>
  <c r="V225" i="1"/>
  <c r="U225" i="1"/>
  <c r="T225" i="1"/>
  <c r="AG224" i="1"/>
  <c r="AF224" i="1"/>
  <c r="AE224" i="1"/>
  <c r="AD224" i="1"/>
  <c r="AC224" i="1"/>
  <c r="AB224" i="1"/>
  <c r="AH224" i="1" s="1"/>
  <c r="Y224" i="1"/>
  <c r="X224" i="1"/>
  <c r="W224" i="1"/>
  <c r="V224" i="1"/>
  <c r="U224" i="1"/>
  <c r="R224" i="1" s="1"/>
  <c r="T224" i="1"/>
  <c r="AG223" i="1"/>
  <c r="AF223" i="1"/>
  <c r="AE223" i="1"/>
  <c r="AD223" i="1"/>
  <c r="AC223" i="1"/>
  <c r="AH223" i="1" s="1"/>
  <c r="AB223" i="1"/>
  <c r="Y223" i="1"/>
  <c r="X223" i="1"/>
  <c r="W223" i="1"/>
  <c r="V223" i="1"/>
  <c r="U223" i="1"/>
  <c r="T223" i="1"/>
  <c r="R223" i="1"/>
  <c r="AG222" i="1"/>
  <c r="AF222" i="1"/>
  <c r="AE222" i="1"/>
  <c r="AD222" i="1"/>
  <c r="AC222" i="1"/>
  <c r="AB222" i="1"/>
  <c r="AH222" i="1" s="1"/>
  <c r="Y222" i="1"/>
  <c r="X222" i="1"/>
  <c r="W222" i="1"/>
  <c r="V222" i="1"/>
  <c r="U222" i="1"/>
  <c r="R222" i="1" s="1"/>
  <c r="T222" i="1"/>
  <c r="AG221" i="1"/>
  <c r="AF221" i="1"/>
  <c r="AE221" i="1"/>
  <c r="AD221" i="1"/>
  <c r="AC221" i="1"/>
  <c r="AH221" i="1" s="1"/>
  <c r="AB221" i="1"/>
  <c r="Y221" i="1"/>
  <c r="X221" i="1"/>
  <c r="W221" i="1"/>
  <c r="V221" i="1"/>
  <c r="U221" i="1"/>
  <c r="T221" i="1"/>
  <c r="R221" i="1"/>
  <c r="AG220" i="1"/>
  <c r="AF220" i="1"/>
  <c r="AE220" i="1"/>
  <c r="AD220" i="1"/>
  <c r="AC220" i="1"/>
  <c r="AB220" i="1"/>
  <c r="AH220" i="1" s="1"/>
  <c r="Y220" i="1"/>
  <c r="X220" i="1"/>
  <c r="W220" i="1"/>
  <c r="V220" i="1"/>
  <c r="U220" i="1"/>
  <c r="R220" i="1" s="1"/>
  <c r="T220" i="1"/>
  <c r="AG219" i="1"/>
  <c r="AF219" i="1"/>
  <c r="AE219" i="1"/>
  <c r="AD219" i="1"/>
  <c r="AC219" i="1"/>
  <c r="AH219" i="1" s="1"/>
  <c r="AB219" i="1"/>
  <c r="Y219" i="1"/>
  <c r="X219" i="1"/>
  <c r="W219" i="1"/>
  <c r="V219" i="1"/>
  <c r="U219" i="1"/>
  <c r="T219" i="1"/>
  <c r="R219" i="1"/>
  <c r="AG218" i="1"/>
  <c r="AF218" i="1"/>
  <c r="AE218" i="1"/>
  <c r="AD218" i="1"/>
  <c r="AC218" i="1"/>
  <c r="AB218" i="1"/>
  <c r="Y218" i="1"/>
  <c r="X218" i="1"/>
  <c r="W218" i="1"/>
  <c r="V218" i="1"/>
  <c r="U218" i="1"/>
  <c r="T218" i="1"/>
  <c r="R218" i="1" s="1"/>
  <c r="AG217" i="1"/>
  <c r="AF217" i="1"/>
  <c r="AE217" i="1"/>
  <c r="AD217" i="1"/>
  <c r="AB217" i="1"/>
  <c r="AH217" i="1" s="1"/>
  <c r="Y217" i="1"/>
  <c r="X217" i="1"/>
  <c r="W217" i="1"/>
  <c r="V217" i="1"/>
  <c r="U217" i="1"/>
  <c r="R217" i="1" s="1"/>
  <c r="T217" i="1"/>
  <c r="AH216" i="1"/>
  <c r="AG209" i="1"/>
  <c r="AF209" i="1"/>
  <c r="AE209" i="1"/>
  <c r="AD209" i="1"/>
  <c r="AH209" i="1" s="1"/>
  <c r="AC209" i="1"/>
  <c r="AB209" i="1"/>
  <c r="Y209" i="1"/>
  <c r="X209" i="1"/>
  <c r="W209" i="1"/>
  <c r="V209" i="1"/>
  <c r="U209" i="1"/>
  <c r="T209" i="1"/>
  <c r="AG208" i="1"/>
  <c r="AF208" i="1"/>
  <c r="AE208" i="1"/>
  <c r="AD208" i="1"/>
  <c r="AC208" i="1"/>
  <c r="AB208" i="1"/>
  <c r="AH208" i="1" s="1"/>
  <c r="Y208" i="1"/>
  <c r="X208" i="1"/>
  <c r="W208" i="1"/>
  <c r="V208" i="1"/>
  <c r="U208" i="1"/>
  <c r="R208" i="1" s="1"/>
  <c r="T208" i="1"/>
  <c r="AG207" i="1"/>
  <c r="AF207" i="1"/>
  <c r="AE207" i="1"/>
  <c r="AD207" i="1"/>
  <c r="AC207" i="1"/>
  <c r="AH207" i="1" s="1"/>
  <c r="AB207" i="1"/>
  <c r="Y207" i="1"/>
  <c r="X207" i="1"/>
  <c r="W207" i="1"/>
  <c r="V207" i="1"/>
  <c r="U207" i="1"/>
  <c r="T207" i="1"/>
  <c r="R207" i="1"/>
  <c r="AG206" i="1"/>
  <c r="AF206" i="1"/>
  <c r="AE206" i="1"/>
  <c r="AD206" i="1"/>
  <c r="AC206" i="1"/>
  <c r="AB206" i="1"/>
  <c r="AH206" i="1" s="1"/>
  <c r="Y206" i="1"/>
  <c r="X206" i="1"/>
  <c r="W206" i="1"/>
  <c r="V206" i="1"/>
  <c r="U206" i="1"/>
  <c r="R206" i="1" s="1"/>
  <c r="T206" i="1"/>
  <c r="AG205" i="1"/>
  <c r="AF205" i="1"/>
  <c r="AE205" i="1"/>
  <c r="AD205" i="1"/>
  <c r="AC205" i="1"/>
  <c r="AH205" i="1" s="1"/>
  <c r="AB205" i="1"/>
  <c r="Y205" i="1"/>
  <c r="X205" i="1"/>
  <c r="W205" i="1"/>
  <c r="V205" i="1"/>
  <c r="U205" i="1"/>
  <c r="T205" i="1"/>
  <c r="R205" i="1"/>
  <c r="AH204" i="1"/>
  <c r="R204" i="1"/>
  <c r="AG199" i="1"/>
  <c r="AF199" i="1"/>
  <c r="AE199" i="1"/>
  <c r="AD199" i="1"/>
  <c r="AC199" i="1"/>
  <c r="AB199" i="1"/>
  <c r="Y199" i="1"/>
  <c r="X199" i="1"/>
  <c r="W199" i="1"/>
  <c r="V199" i="1"/>
  <c r="R199" i="1" s="1"/>
  <c r="U199" i="1"/>
  <c r="T199" i="1"/>
  <c r="AG198" i="1"/>
  <c r="AF198" i="1"/>
  <c r="AE198" i="1"/>
  <c r="AD198" i="1"/>
  <c r="AC198" i="1"/>
  <c r="AB198" i="1"/>
  <c r="Y198" i="1"/>
  <c r="X198" i="1"/>
  <c r="W198" i="1"/>
  <c r="V198" i="1"/>
  <c r="U198" i="1"/>
  <c r="T198" i="1"/>
  <c r="R198" i="1"/>
  <c r="AG197" i="1"/>
  <c r="AF197" i="1"/>
  <c r="AE197" i="1"/>
  <c r="AD197" i="1"/>
  <c r="AC197" i="1"/>
  <c r="AB197" i="1"/>
  <c r="AH197" i="1" s="1"/>
  <c r="Y197" i="1"/>
  <c r="X197" i="1"/>
  <c r="W197" i="1"/>
  <c r="V197" i="1"/>
  <c r="U197" i="1"/>
  <c r="R197" i="1" s="1"/>
  <c r="T197" i="1"/>
  <c r="AG196" i="1"/>
  <c r="AF196" i="1"/>
  <c r="AE196" i="1"/>
  <c r="AD196" i="1"/>
  <c r="AC196" i="1"/>
  <c r="AH196" i="1" s="1"/>
  <c r="AB196" i="1"/>
  <c r="Y196" i="1"/>
  <c r="X196" i="1"/>
  <c r="W196" i="1"/>
  <c r="V196" i="1"/>
  <c r="U196" i="1"/>
  <c r="T196" i="1"/>
  <c r="R196" i="1"/>
  <c r="AG191" i="1"/>
  <c r="AF191" i="1"/>
  <c r="AE191" i="1"/>
  <c r="AD191" i="1"/>
  <c r="AC191" i="1"/>
  <c r="AB191" i="1"/>
  <c r="AH191" i="1" s="1"/>
  <c r="Y191" i="1"/>
  <c r="X191" i="1"/>
  <c r="W191" i="1"/>
  <c r="V191" i="1"/>
  <c r="U191" i="1"/>
  <c r="T191" i="1"/>
  <c r="AG190" i="1"/>
  <c r="AF190" i="1"/>
  <c r="AE190" i="1"/>
  <c r="AD190" i="1"/>
  <c r="AC190" i="1"/>
  <c r="AB190" i="1"/>
  <c r="AH190" i="1" s="1"/>
  <c r="Y190" i="1"/>
  <c r="X190" i="1"/>
  <c r="W190" i="1"/>
  <c r="V190" i="1"/>
  <c r="U190" i="1"/>
  <c r="T190" i="1"/>
  <c r="AG189" i="1"/>
  <c r="AF189" i="1"/>
  <c r="AE189" i="1"/>
  <c r="AD189" i="1"/>
  <c r="AC189" i="1"/>
  <c r="AH189" i="1" s="1"/>
  <c r="AB189" i="1"/>
  <c r="Y189" i="1"/>
  <c r="X189" i="1"/>
  <c r="W189" i="1"/>
  <c r="R189" i="1" s="1"/>
  <c r="V189" i="1"/>
  <c r="U189" i="1"/>
  <c r="T189" i="1"/>
  <c r="AG188" i="1"/>
  <c r="AF188" i="1"/>
  <c r="AE188" i="1"/>
  <c r="AD188" i="1"/>
  <c r="AC188" i="1"/>
  <c r="AB188" i="1"/>
  <c r="AH188" i="1" s="1"/>
  <c r="Y188" i="1"/>
  <c r="X188" i="1"/>
  <c r="W188" i="1"/>
  <c r="V188" i="1"/>
  <c r="U188" i="1"/>
  <c r="R188" i="1" s="1"/>
  <c r="T188" i="1"/>
  <c r="AG187" i="1"/>
  <c r="AF187" i="1"/>
  <c r="AE187" i="1"/>
  <c r="AD187" i="1"/>
  <c r="AC187" i="1"/>
  <c r="AH187" i="1" s="1"/>
  <c r="AB187" i="1"/>
  <c r="Y187" i="1"/>
  <c r="X187" i="1"/>
  <c r="W187" i="1"/>
  <c r="V187" i="1"/>
  <c r="U187" i="1"/>
  <c r="T187" i="1"/>
  <c r="R187" i="1"/>
  <c r="AG186" i="1"/>
  <c r="AF186" i="1"/>
  <c r="AE186" i="1"/>
  <c r="AD186" i="1"/>
  <c r="AC186" i="1"/>
  <c r="AB186" i="1"/>
  <c r="AH186" i="1" s="1"/>
  <c r="Y186" i="1"/>
  <c r="X186" i="1"/>
  <c r="W186" i="1"/>
  <c r="V186" i="1"/>
  <c r="U186" i="1"/>
  <c r="R186" i="1" s="1"/>
  <c r="T186" i="1"/>
  <c r="AG175" i="1"/>
  <c r="AF175" i="1"/>
  <c r="AE175" i="1"/>
  <c r="AD175" i="1"/>
  <c r="AC175" i="1"/>
  <c r="AB175" i="1"/>
  <c r="Y175" i="1"/>
  <c r="X175" i="1"/>
  <c r="W175" i="1"/>
  <c r="V175" i="1"/>
  <c r="U175" i="1"/>
  <c r="T175" i="1"/>
  <c r="AG174" i="1"/>
  <c r="AF174" i="1"/>
  <c r="AE174" i="1"/>
  <c r="AD174" i="1"/>
  <c r="AC174" i="1"/>
  <c r="AH174" i="1" s="1"/>
  <c r="AB174" i="1"/>
  <c r="Y174" i="1"/>
  <c r="X174" i="1"/>
  <c r="W174" i="1"/>
  <c r="V174" i="1"/>
  <c r="U174" i="1"/>
  <c r="T174" i="1"/>
  <c r="R174" i="1"/>
  <c r="AG173" i="1"/>
  <c r="AF173" i="1"/>
  <c r="AE173" i="1"/>
  <c r="AD173" i="1"/>
  <c r="AC173" i="1"/>
  <c r="AB173" i="1"/>
  <c r="Y173" i="1"/>
  <c r="X173" i="1"/>
  <c r="W173" i="1"/>
  <c r="V173" i="1"/>
  <c r="U173" i="1"/>
  <c r="R173" i="1" s="1"/>
  <c r="T173" i="1"/>
  <c r="AG172" i="1"/>
  <c r="AF172" i="1"/>
  <c r="AE172" i="1"/>
  <c r="AD172" i="1"/>
  <c r="AC172" i="1"/>
  <c r="AB172" i="1"/>
  <c r="Y172" i="1"/>
  <c r="X172" i="1"/>
  <c r="W172" i="1"/>
  <c r="V172" i="1"/>
  <c r="U172" i="1"/>
  <c r="T172" i="1"/>
  <c r="R172" i="1"/>
  <c r="AG171" i="1"/>
  <c r="AF171" i="1"/>
  <c r="AE171" i="1"/>
  <c r="AD171" i="1"/>
  <c r="AC171" i="1"/>
  <c r="AB171" i="1"/>
  <c r="Y171" i="1"/>
  <c r="X171" i="1"/>
  <c r="W171" i="1"/>
  <c r="V171" i="1"/>
  <c r="U171" i="1"/>
  <c r="R171" i="1" s="1"/>
  <c r="T171" i="1"/>
  <c r="AG170" i="1"/>
  <c r="AF170" i="1"/>
  <c r="AE170" i="1"/>
  <c r="AD170" i="1"/>
  <c r="AC170" i="1"/>
  <c r="AB170" i="1"/>
  <c r="Y170" i="1"/>
  <c r="X170" i="1"/>
  <c r="W170" i="1"/>
  <c r="V170" i="1"/>
  <c r="U170" i="1"/>
  <c r="T170" i="1"/>
  <c r="R170" i="1"/>
  <c r="AG169" i="1"/>
  <c r="AF169" i="1"/>
  <c r="AE169" i="1"/>
  <c r="AD169" i="1"/>
  <c r="AC169" i="1"/>
  <c r="AB169" i="1"/>
  <c r="AH169" i="1" s="1"/>
  <c r="Y169" i="1"/>
  <c r="X169" i="1"/>
  <c r="W169" i="1"/>
  <c r="V169" i="1"/>
  <c r="U169" i="1"/>
  <c r="R169" i="1" s="1"/>
  <c r="T169" i="1"/>
  <c r="AG168" i="1"/>
  <c r="AF168" i="1"/>
  <c r="AE168" i="1"/>
  <c r="AD168" i="1"/>
  <c r="AC168" i="1"/>
  <c r="AB168" i="1"/>
  <c r="Y168" i="1"/>
  <c r="X168" i="1"/>
  <c r="W168" i="1"/>
  <c r="V168" i="1"/>
  <c r="U168" i="1"/>
  <c r="T168" i="1"/>
  <c r="R168" i="1"/>
  <c r="AG154" i="1"/>
  <c r="AF154" i="1"/>
  <c r="AE154" i="1"/>
  <c r="AD154" i="1"/>
  <c r="AC154" i="1"/>
  <c r="AB154" i="1"/>
  <c r="Y154" i="1"/>
  <c r="X154" i="1"/>
  <c r="W154" i="1"/>
  <c r="V154" i="1"/>
  <c r="U154" i="1"/>
  <c r="T154" i="1"/>
  <c r="AG153" i="1"/>
  <c r="AF153" i="1"/>
  <c r="AE153" i="1"/>
  <c r="AD153" i="1"/>
  <c r="AC153" i="1"/>
  <c r="AB153" i="1"/>
  <c r="Y153" i="1"/>
  <c r="X153" i="1"/>
  <c r="W153" i="1"/>
  <c r="V153" i="1"/>
  <c r="U153" i="1"/>
  <c r="T153" i="1"/>
  <c r="AG139" i="1"/>
  <c r="AF139" i="1"/>
  <c r="AE139" i="1"/>
  <c r="AD139" i="1"/>
  <c r="AC139" i="1"/>
  <c r="AB139" i="1"/>
  <c r="AH139" i="1" s="1"/>
  <c r="Y139" i="1"/>
  <c r="X139" i="1"/>
  <c r="W139" i="1"/>
  <c r="V139" i="1"/>
  <c r="U139" i="1"/>
  <c r="R139" i="1" s="1"/>
  <c r="T139" i="1"/>
  <c r="AG136" i="1"/>
  <c r="AF136" i="1"/>
  <c r="AE136" i="1"/>
  <c r="AD136" i="1"/>
  <c r="AC136" i="1"/>
  <c r="AH136" i="1" s="1"/>
  <c r="AB136" i="1"/>
  <c r="Y136" i="1"/>
  <c r="X136" i="1"/>
  <c r="W136" i="1"/>
  <c r="V136" i="1"/>
  <c r="U136" i="1"/>
  <c r="T136" i="1"/>
  <c r="R136" i="1"/>
  <c r="AG92" i="1"/>
  <c r="AF92" i="1"/>
  <c r="AE92" i="1"/>
  <c r="AD92" i="1"/>
  <c r="AC92" i="1"/>
  <c r="AB92" i="1"/>
  <c r="AH92" i="1" s="1"/>
  <c r="Y92" i="1"/>
  <c r="X92" i="1"/>
  <c r="W92" i="1"/>
  <c r="V92" i="1"/>
  <c r="U92" i="1"/>
  <c r="R92" i="1" s="1"/>
  <c r="T92" i="1"/>
  <c r="AG86" i="1"/>
  <c r="AF86" i="1"/>
  <c r="AE86" i="1"/>
  <c r="AD86" i="1"/>
  <c r="AC86" i="1"/>
  <c r="AH86" i="1" s="1"/>
  <c r="AB86" i="1"/>
  <c r="Y86" i="1"/>
  <c r="X86" i="1"/>
  <c r="W86" i="1"/>
  <c r="V86" i="1"/>
  <c r="U86" i="1"/>
  <c r="T86" i="1"/>
  <c r="R86" i="1"/>
  <c r="P79" i="1"/>
  <c r="O79" i="1"/>
  <c r="AF79" i="1" s="1"/>
  <c r="N79" i="1"/>
  <c r="M79" i="1"/>
  <c r="L79" i="1"/>
  <c r="K79" i="1"/>
  <c r="J79" i="1"/>
  <c r="I79" i="1"/>
  <c r="H79" i="1"/>
  <c r="G79" i="1"/>
  <c r="F79" i="1"/>
  <c r="E79" i="1"/>
  <c r="D79" i="1"/>
  <c r="C79" i="1"/>
  <c r="Q77" i="1"/>
  <c r="Q79" i="1" s="1"/>
  <c r="R53" i="1"/>
  <c r="R35" i="1"/>
  <c r="U17" i="11" l="1"/>
  <c r="S17" i="11"/>
  <c r="V17" i="10"/>
  <c r="R17" i="10"/>
  <c r="T95" i="9"/>
  <c r="T77" i="9"/>
  <c r="T104" i="9"/>
  <c r="T59" i="9"/>
  <c r="AB79" i="1"/>
  <c r="AG79" i="1"/>
  <c r="AC79" i="1"/>
  <c r="AE79" i="1"/>
  <c r="H42" i="8"/>
  <c r="I42" i="8" s="1"/>
  <c r="J42" i="8" s="1"/>
  <c r="K42" i="8" s="1"/>
  <c r="L42" i="8" s="1"/>
  <c r="M42" i="8" s="1"/>
  <c r="N42" i="8" s="1"/>
  <c r="O42" i="8" s="1"/>
  <c r="P42" i="8" s="1"/>
  <c r="Q42" i="8" s="1"/>
  <c r="R42" i="8" s="1"/>
  <c r="S42" i="8" s="1"/>
  <c r="G42" i="9" s="1"/>
  <c r="T107" i="9"/>
  <c r="H35" i="8"/>
  <c r="I35" i="8" s="1"/>
  <c r="G48" i="8"/>
  <c r="H39" i="8"/>
  <c r="I39" i="8" s="1"/>
  <c r="J39" i="8" s="1"/>
  <c r="K39" i="8" s="1"/>
  <c r="L39" i="8" s="1"/>
  <c r="M39" i="8" s="1"/>
  <c r="N39" i="8" s="1"/>
  <c r="O39" i="8" s="1"/>
  <c r="P39" i="8" s="1"/>
  <c r="Q39" i="8" s="1"/>
  <c r="R39" i="8" s="1"/>
  <c r="S39" i="8" s="1"/>
  <c r="G39" i="9" s="1"/>
  <c r="H43" i="8"/>
  <c r="I43" i="8" s="1"/>
  <c r="J43" i="8" s="1"/>
  <c r="K43" i="8" s="1"/>
  <c r="L43" i="8" s="1"/>
  <c r="M43" i="8" s="1"/>
  <c r="N43" i="8" s="1"/>
  <c r="O43" i="8" s="1"/>
  <c r="P43" i="8" s="1"/>
  <c r="Q43" i="8" s="1"/>
  <c r="R43" i="8" s="1"/>
  <c r="S43" i="8" s="1"/>
  <c r="G43" i="9" s="1"/>
  <c r="H47" i="8"/>
  <c r="I47" i="8" s="1"/>
  <c r="J47" i="8" s="1"/>
  <c r="K47" i="8" s="1"/>
  <c r="L47" i="8" s="1"/>
  <c r="M47" i="8" s="1"/>
  <c r="N47" i="8" s="1"/>
  <c r="O47" i="8" s="1"/>
  <c r="P47" i="8" s="1"/>
  <c r="Q47" i="8" s="1"/>
  <c r="R47" i="8" s="1"/>
  <c r="S47" i="8" s="1"/>
  <c r="G47" i="9" s="1"/>
  <c r="H36" i="8"/>
  <c r="H40" i="8"/>
  <c r="I40" i="8" s="1"/>
  <c r="J40" i="8" s="1"/>
  <c r="K40" i="8" s="1"/>
  <c r="L40" i="8" s="1"/>
  <c r="M40" i="8" s="1"/>
  <c r="N40" i="8" s="1"/>
  <c r="O40" i="8" s="1"/>
  <c r="P40" i="8" s="1"/>
  <c r="Q40" i="8" s="1"/>
  <c r="R40" i="8" s="1"/>
  <c r="S40" i="8" s="1"/>
  <c r="G40" i="9" s="1"/>
  <c r="T80" i="8"/>
  <c r="H38" i="8"/>
  <c r="H46" i="8"/>
  <c r="I46" i="8" s="1"/>
  <c r="J46" i="8" s="1"/>
  <c r="K46" i="8" s="1"/>
  <c r="L46" i="8" s="1"/>
  <c r="M46" i="8" s="1"/>
  <c r="N46" i="8" s="1"/>
  <c r="O46" i="8" s="1"/>
  <c r="P46" i="8" s="1"/>
  <c r="Q46" i="8" s="1"/>
  <c r="R46" i="8" s="1"/>
  <c r="S46" i="8" s="1"/>
  <c r="G46" i="9" s="1"/>
  <c r="H37" i="8"/>
  <c r="I37" i="8" s="1"/>
  <c r="J37" i="8" s="1"/>
  <c r="K37" i="8" s="1"/>
  <c r="L37" i="8" s="1"/>
  <c r="M37" i="8" s="1"/>
  <c r="N37" i="8" s="1"/>
  <c r="O37" i="8" s="1"/>
  <c r="P37" i="8" s="1"/>
  <c r="Q37" i="8" s="1"/>
  <c r="R37" i="8" s="1"/>
  <c r="S37" i="8" s="1"/>
  <c r="G37" i="9" s="1"/>
  <c r="H41" i="8"/>
  <c r="I41" i="8" s="1"/>
  <c r="J41" i="8" s="1"/>
  <c r="K41" i="8" s="1"/>
  <c r="L41" i="8" s="1"/>
  <c r="M41" i="8" s="1"/>
  <c r="N41" i="8" s="1"/>
  <c r="O41" i="8" s="1"/>
  <c r="P41" i="8" s="1"/>
  <c r="Q41" i="8" s="1"/>
  <c r="R41" i="8" s="1"/>
  <c r="S41" i="8" s="1"/>
  <c r="G41" i="9" s="1"/>
  <c r="H45" i="8"/>
  <c r="I45" i="8" s="1"/>
  <c r="J45" i="8" s="1"/>
  <c r="K45" i="8" s="1"/>
  <c r="L45" i="8" s="1"/>
  <c r="M45" i="8" s="1"/>
  <c r="N45" i="8" s="1"/>
  <c r="O45" i="8" s="1"/>
  <c r="P45" i="8" s="1"/>
  <c r="Q45" i="8" s="1"/>
  <c r="R45" i="8" s="1"/>
  <c r="S45" i="8" s="1"/>
  <c r="G45" i="9" s="1"/>
  <c r="E151" i="7"/>
  <c r="E159" i="7" s="1"/>
  <c r="F149" i="7"/>
  <c r="G241" i="7"/>
  <c r="G256" i="7" s="1"/>
  <c r="G267" i="7" s="1"/>
  <c r="G269" i="7" s="1"/>
  <c r="H238" i="7"/>
  <c r="T79" i="6"/>
  <c r="T270" i="6" s="1"/>
  <c r="W79" i="6"/>
  <c r="W270" i="6" s="1"/>
  <c r="X79" i="6"/>
  <c r="X270" i="6" s="1"/>
  <c r="T86" i="9"/>
  <c r="T68" i="9"/>
  <c r="T62" i="9"/>
  <c r="V79" i="6"/>
  <c r="V270" i="6" s="1"/>
  <c r="T98" i="8"/>
  <c r="U79" i="6"/>
  <c r="U270" i="6" s="1"/>
  <c r="Y79" i="6"/>
  <c r="Y270" i="6" s="1"/>
  <c r="AH172" i="1"/>
  <c r="AE269" i="1"/>
  <c r="AF269" i="1"/>
  <c r="AH168" i="1"/>
  <c r="AC269" i="1"/>
  <c r="AG269" i="1"/>
  <c r="AH171" i="1"/>
  <c r="AH170" i="1"/>
  <c r="AH173" i="1"/>
  <c r="U20" i="13"/>
  <c r="S20" i="13"/>
  <c r="W20" i="13"/>
  <c r="R20" i="13"/>
  <c r="T20" i="13"/>
  <c r="V20" i="13"/>
  <c r="AE54" i="13"/>
  <c r="AA54" i="13"/>
  <c r="AD54" i="13"/>
  <c r="AC54" i="13"/>
  <c r="AB54" i="13"/>
  <c r="Z54" i="13"/>
  <c r="W37" i="13"/>
  <c r="S37" i="13"/>
  <c r="V37" i="13"/>
  <c r="U37" i="13"/>
  <c r="R37" i="13"/>
  <c r="T37" i="13"/>
  <c r="U20" i="12"/>
  <c r="W20" i="12"/>
  <c r="S20" i="12"/>
  <c r="V20" i="12"/>
  <c r="T20" i="12"/>
  <c r="R20" i="12"/>
  <c r="AE54" i="12"/>
  <c r="AA54" i="12"/>
  <c r="AD54" i="12"/>
  <c r="Z54" i="12"/>
  <c r="AC54" i="12"/>
  <c r="AB54" i="12"/>
  <c r="W37" i="12"/>
  <c r="S37" i="12"/>
  <c r="V37" i="12"/>
  <c r="R37" i="12"/>
  <c r="U37" i="12"/>
  <c r="T37" i="12"/>
  <c r="T71" i="9"/>
  <c r="T107" i="8"/>
  <c r="T89" i="8"/>
  <c r="T62" i="8"/>
  <c r="T115" i="8"/>
  <c r="T71" i="8"/>
  <c r="V10" i="4"/>
  <c r="R6" i="4"/>
  <c r="R16" i="4"/>
  <c r="V11" i="5"/>
  <c r="V35" i="5"/>
  <c r="K70" i="3"/>
  <c r="K71" i="3" s="1"/>
  <c r="D100" i="3"/>
  <c r="V6" i="4"/>
  <c r="T10" i="4"/>
  <c r="V16" i="4"/>
  <c r="V19" i="5"/>
  <c r="U6" i="4"/>
  <c r="H26" i="3"/>
  <c r="H103" i="3" s="1"/>
  <c r="H104" i="3" s="1"/>
  <c r="L26" i="3"/>
  <c r="L58" i="3" s="1"/>
  <c r="L59" i="3" s="1"/>
  <c r="P26" i="3"/>
  <c r="K26" i="3"/>
  <c r="K103" i="3" s="1"/>
  <c r="K104" i="3" s="1"/>
  <c r="O26" i="3"/>
  <c r="O67" i="3" s="1"/>
  <c r="O68" i="3" s="1"/>
  <c r="S26" i="3"/>
  <c r="S76" i="3" s="1"/>
  <c r="S77" i="3" s="1"/>
  <c r="T18" i="3"/>
  <c r="T22" i="3"/>
  <c r="K48" i="3"/>
  <c r="K49" i="3" s="1"/>
  <c r="O48" i="3"/>
  <c r="O73" i="3" s="1"/>
  <c r="O74" i="3" s="1"/>
  <c r="S48" i="3"/>
  <c r="S73" i="3" s="1"/>
  <c r="S74" i="3" s="1"/>
  <c r="N48" i="3"/>
  <c r="R48" i="3"/>
  <c r="T39" i="3"/>
  <c r="T43" i="3"/>
  <c r="D115" i="3"/>
  <c r="R10" i="4"/>
  <c r="R19" i="5"/>
  <c r="AD19" i="5"/>
  <c r="D91" i="3"/>
  <c r="S4" i="4"/>
  <c r="S8" i="4"/>
  <c r="S12" i="4"/>
  <c r="S15" i="4"/>
  <c r="I26" i="3"/>
  <c r="I103" i="3" s="1"/>
  <c r="I104" i="3" s="1"/>
  <c r="M26" i="3"/>
  <c r="M103" i="3" s="1"/>
  <c r="M104" i="3" s="1"/>
  <c r="Q26" i="3"/>
  <c r="T24" i="3"/>
  <c r="H48" i="3"/>
  <c r="L48" i="3"/>
  <c r="L73" i="3" s="1"/>
  <c r="L74" i="3" s="1"/>
  <c r="P48" i="3"/>
  <c r="P64" i="3" s="1"/>
  <c r="P65" i="3" s="1"/>
  <c r="T36" i="3"/>
  <c r="T40" i="3"/>
  <c r="T47" i="3"/>
  <c r="T5" i="4"/>
  <c r="T9" i="4"/>
  <c r="T13" i="4"/>
  <c r="U19" i="5"/>
  <c r="G70" i="3"/>
  <c r="G71" i="3" s="1"/>
  <c r="K88" i="3"/>
  <c r="K89" i="3" s="1"/>
  <c r="S97" i="3"/>
  <c r="S98" i="3" s="1"/>
  <c r="T16" i="3"/>
  <c r="T17" i="3"/>
  <c r="T20" i="3"/>
  <c r="T37" i="3"/>
  <c r="T41" i="3"/>
  <c r="J48" i="3"/>
  <c r="J73" i="3" s="1"/>
  <c r="J74" i="3" s="1"/>
  <c r="S70" i="3"/>
  <c r="S71" i="3" s="1"/>
  <c r="G88" i="3"/>
  <c r="G89" i="3" s="1"/>
  <c r="G97" i="3"/>
  <c r="G98" i="3" s="1"/>
  <c r="Q5" i="4"/>
  <c r="Q9" i="4"/>
  <c r="Q13" i="4"/>
  <c r="H97" i="3"/>
  <c r="H98" i="3" s="1"/>
  <c r="L97" i="3"/>
  <c r="L98" i="3" s="1"/>
  <c r="G10" i="3"/>
  <c r="J26" i="3"/>
  <c r="J85" i="3" s="1"/>
  <c r="J86" i="3" s="1"/>
  <c r="N26" i="3"/>
  <c r="N76" i="3" s="1"/>
  <c r="N77" i="3" s="1"/>
  <c r="R26" i="3"/>
  <c r="R94" i="3" s="1"/>
  <c r="R95" i="3" s="1"/>
  <c r="T45" i="3"/>
  <c r="T46" i="3"/>
  <c r="R88" i="3"/>
  <c r="R89" i="3" s="1"/>
  <c r="U5" i="4"/>
  <c r="V7" i="4"/>
  <c r="U9" i="4"/>
  <c r="U11" i="4"/>
  <c r="U13" i="4"/>
  <c r="U25" i="5"/>
  <c r="U33" i="5"/>
  <c r="S19" i="5"/>
  <c r="T19" i="5"/>
  <c r="W8" i="5"/>
  <c r="U9" i="5"/>
  <c r="B20" i="5"/>
  <c r="J20" i="5"/>
  <c r="M37" i="5"/>
  <c r="I54" i="5"/>
  <c r="M54" i="5"/>
  <c r="V27" i="5"/>
  <c r="V31" i="5"/>
  <c r="D54" i="5"/>
  <c r="H54" i="5"/>
  <c r="AC34" i="5"/>
  <c r="AD17" i="5"/>
  <c r="AD6" i="5"/>
  <c r="S9" i="5"/>
  <c r="C20" i="5"/>
  <c r="K20" i="5"/>
  <c r="AC17" i="5"/>
  <c r="B37" i="5"/>
  <c r="F37" i="5"/>
  <c r="J37" i="5"/>
  <c r="AC23" i="5"/>
  <c r="E37" i="5"/>
  <c r="T36" i="5"/>
  <c r="T7" i="5"/>
  <c r="W9" i="5"/>
  <c r="U12" i="5"/>
  <c r="V15" i="5"/>
  <c r="T18" i="5"/>
  <c r="U29" i="5"/>
  <c r="C37" i="5"/>
  <c r="G37" i="5"/>
  <c r="K37" i="5"/>
  <c r="Z23" i="5"/>
  <c r="AD23" i="5"/>
  <c r="I37" i="5"/>
  <c r="V8" i="5"/>
  <c r="U13" i="5"/>
  <c r="H37" i="5"/>
  <c r="F54" i="5"/>
  <c r="J54" i="5"/>
  <c r="N54" i="5"/>
  <c r="AA23" i="5"/>
  <c r="AA31" i="5"/>
  <c r="AA27" i="5"/>
  <c r="AA30" i="5"/>
  <c r="AA26" i="5"/>
  <c r="AA33" i="5"/>
  <c r="AA29" i="5"/>
  <c r="AA25" i="5"/>
  <c r="AA15" i="5"/>
  <c r="AA11" i="5"/>
  <c r="AA14" i="5"/>
  <c r="AA10" i="5"/>
  <c r="AA13" i="5"/>
  <c r="AA6" i="5"/>
  <c r="AA49" i="5"/>
  <c r="AA41" i="5"/>
  <c r="AA32" i="5"/>
  <c r="AA18" i="5"/>
  <c r="AA16" i="5"/>
  <c r="AA7" i="5"/>
  <c r="AA50" i="5"/>
  <c r="AA45" i="5"/>
  <c r="AA42" i="5"/>
  <c r="AA9" i="5"/>
  <c r="AA46" i="5"/>
  <c r="AA36" i="5"/>
  <c r="AA28" i="5"/>
  <c r="AA24" i="5"/>
  <c r="AA35" i="5"/>
  <c r="AA8" i="5"/>
  <c r="AA12" i="5"/>
  <c r="Z35" i="5"/>
  <c r="Z32" i="5"/>
  <c r="Z28" i="5"/>
  <c r="Z24" i="5"/>
  <c r="Z31" i="5"/>
  <c r="Z27" i="5"/>
  <c r="Z36" i="5"/>
  <c r="Z16" i="5"/>
  <c r="Z12" i="5"/>
  <c r="Z33" i="5"/>
  <c r="Z30" i="5"/>
  <c r="Z29" i="5"/>
  <c r="Z26" i="5"/>
  <c r="Z25" i="5"/>
  <c r="Z15" i="5"/>
  <c r="Z11" i="5"/>
  <c r="Z8" i="5"/>
  <c r="T10" i="5"/>
  <c r="AD10" i="5"/>
  <c r="T16" i="5"/>
  <c r="W16" i="5"/>
  <c r="S16" i="5"/>
  <c r="AE3" i="5"/>
  <c r="AC6" i="5"/>
  <c r="R7" i="5"/>
  <c r="V7" i="5"/>
  <c r="U8" i="5"/>
  <c r="T9" i="5"/>
  <c r="Z9" i="5"/>
  <c r="W10" i="5"/>
  <c r="U11" i="5"/>
  <c r="W11" i="5"/>
  <c r="R12" i="5"/>
  <c r="W14" i="5"/>
  <c r="U15" i="5"/>
  <c r="W15" i="5"/>
  <c r="R16" i="5"/>
  <c r="AD18" i="5"/>
  <c r="AD25" i="5"/>
  <c r="W26" i="5"/>
  <c r="W27" i="5"/>
  <c r="AD29" i="5"/>
  <c r="W30" i="5"/>
  <c r="W31" i="5"/>
  <c r="AD33" i="5"/>
  <c r="D37" i="5"/>
  <c r="L37" i="5"/>
  <c r="AD36" i="5"/>
  <c r="AD42" i="5"/>
  <c r="AD44" i="5"/>
  <c r="Z45" i="5"/>
  <c r="AA47" i="5"/>
  <c r="AD47" i="5"/>
  <c r="Z47" i="5"/>
  <c r="AC47" i="5"/>
  <c r="AC48" i="5"/>
  <c r="AD50" i="5"/>
  <c r="U7" i="5"/>
  <c r="T8" i="5"/>
  <c r="AD8" i="5"/>
  <c r="AD9" i="5"/>
  <c r="T13" i="5"/>
  <c r="T14" i="5"/>
  <c r="AD14" i="5"/>
  <c r="W18" i="5"/>
  <c r="S18" i="5"/>
  <c r="V18" i="5"/>
  <c r="R18" i="5"/>
  <c r="T26" i="5"/>
  <c r="Z53" i="5"/>
  <c r="R30" i="5"/>
  <c r="R26" i="5"/>
  <c r="R14" i="5"/>
  <c r="R10" i="5"/>
  <c r="R31" i="5"/>
  <c r="R27" i="5"/>
  <c r="V30" i="5"/>
  <c r="V14" i="5"/>
  <c r="AB3" i="5"/>
  <c r="Z6" i="5"/>
  <c r="S7" i="5"/>
  <c r="W7" i="5"/>
  <c r="AC7" i="5"/>
  <c r="R8" i="5"/>
  <c r="V10" i="5"/>
  <c r="Z10" i="5"/>
  <c r="R11" i="5"/>
  <c r="Z13" i="5"/>
  <c r="U14" i="5"/>
  <c r="Z14" i="5"/>
  <c r="R15" i="5"/>
  <c r="U16" i="5"/>
  <c r="E20" i="5"/>
  <c r="I20" i="5"/>
  <c r="M20" i="5"/>
  <c r="U18" i="5"/>
  <c r="T24" i="5"/>
  <c r="O23" i="5"/>
  <c r="W24" i="5"/>
  <c r="S24" i="5"/>
  <c r="V24" i="5"/>
  <c r="U24" i="5"/>
  <c r="AD26" i="5"/>
  <c r="T28" i="5"/>
  <c r="W28" i="5"/>
  <c r="S28" i="5"/>
  <c r="V28" i="5"/>
  <c r="U28" i="5"/>
  <c r="T32" i="5"/>
  <c r="W32" i="5"/>
  <c r="S32" i="5"/>
  <c r="V32" i="5"/>
  <c r="U32" i="5"/>
  <c r="W36" i="5"/>
  <c r="S36" i="5"/>
  <c r="V36" i="5"/>
  <c r="R36" i="5"/>
  <c r="U36" i="5"/>
  <c r="Z44" i="5"/>
  <c r="AA52" i="5"/>
  <c r="AD52" i="5"/>
  <c r="Z52" i="5"/>
  <c r="AC52" i="5"/>
  <c r="AD35" i="5"/>
  <c r="AD32" i="5"/>
  <c r="AD28" i="5"/>
  <c r="AD24" i="5"/>
  <c r="AD31" i="5"/>
  <c r="AD27" i="5"/>
  <c r="AD16" i="5"/>
  <c r="AD12" i="5"/>
  <c r="AD49" i="5"/>
  <c r="AD45" i="5"/>
  <c r="AD41" i="5"/>
  <c r="AD15" i="5"/>
  <c r="AD11" i="5"/>
  <c r="T12" i="5"/>
  <c r="W12" i="5"/>
  <c r="S12" i="5"/>
  <c r="AD13" i="5"/>
  <c r="T30" i="5"/>
  <c r="Z48" i="5"/>
  <c r="S31" i="5"/>
  <c r="S30" i="5"/>
  <c r="S27" i="5"/>
  <c r="S26" i="5"/>
  <c r="AC36" i="5"/>
  <c r="AC33" i="5"/>
  <c r="AC29" i="5"/>
  <c r="AC25" i="5"/>
  <c r="AC35" i="5"/>
  <c r="AC32" i="5"/>
  <c r="AC28" i="5"/>
  <c r="AC24" i="5"/>
  <c r="AC31" i="5"/>
  <c r="AC30" i="5"/>
  <c r="AC27" i="5"/>
  <c r="AC26" i="5"/>
  <c r="AC18" i="5"/>
  <c r="AC13" i="5"/>
  <c r="AC16" i="5"/>
  <c r="AC12" i="5"/>
  <c r="O6" i="5"/>
  <c r="Z7" i="5"/>
  <c r="AD7" i="5"/>
  <c r="S8" i="5"/>
  <c r="AC8" i="5"/>
  <c r="R9" i="5"/>
  <c r="V9" i="5"/>
  <c r="AC9" i="5"/>
  <c r="S10" i="5"/>
  <c r="AC10" i="5"/>
  <c r="S11" i="5"/>
  <c r="AC11" i="5"/>
  <c r="V12" i="5"/>
  <c r="W13" i="5"/>
  <c r="S13" i="5"/>
  <c r="V13" i="5"/>
  <c r="R13" i="5"/>
  <c r="S14" i="5"/>
  <c r="AC14" i="5"/>
  <c r="S15" i="5"/>
  <c r="AC15" i="5"/>
  <c r="V16" i="5"/>
  <c r="F20" i="5"/>
  <c r="N20" i="5"/>
  <c r="AE17" i="5"/>
  <c r="AA17" i="5"/>
  <c r="Z17" i="5"/>
  <c r="Z18" i="5"/>
  <c r="R24" i="5"/>
  <c r="T25" i="5"/>
  <c r="U27" i="5"/>
  <c r="R28" i="5"/>
  <c r="T29" i="5"/>
  <c r="U31" i="5"/>
  <c r="R32" i="5"/>
  <c r="T33" i="5"/>
  <c r="T35" i="5"/>
  <c r="O34" i="5"/>
  <c r="W35" i="5"/>
  <c r="S35" i="5"/>
  <c r="U35" i="5"/>
  <c r="R35" i="5"/>
  <c r="Z41" i="5"/>
  <c r="AA43" i="5"/>
  <c r="AD43" i="5"/>
  <c r="Z43" i="5"/>
  <c r="O40" i="5"/>
  <c r="O54" i="5" s="1"/>
  <c r="AC43" i="5"/>
  <c r="AC44" i="5"/>
  <c r="AD46" i="5"/>
  <c r="AD48" i="5"/>
  <c r="Z49" i="5"/>
  <c r="AD51" i="5"/>
  <c r="Z51" i="5"/>
  <c r="AC51" i="5"/>
  <c r="AA51" i="5"/>
  <c r="AA53" i="5"/>
  <c r="AD53" i="5"/>
  <c r="AC53" i="5"/>
  <c r="U10" i="5"/>
  <c r="T11" i="5"/>
  <c r="T15" i="5"/>
  <c r="O17" i="5"/>
  <c r="V26" i="5"/>
  <c r="U30" i="5"/>
  <c r="D20" i="5"/>
  <c r="H20" i="5"/>
  <c r="L20" i="5"/>
  <c r="W25" i="5"/>
  <c r="S25" i="5"/>
  <c r="V25" i="5"/>
  <c r="R25" i="5"/>
  <c r="W29" i="5"/>
  <c r="S29" i="5"/>
  <c r="V29" i="5"/>
  <c r="R29" i="5"/>
  <c r="W33" i="5"/>
  <c r="S33" i="5"/>
  <c r="V33" i="5"/>
  <c r="R33" i="5"/>
  <c r="AC41" i="5"/>
  <c r="AA44" i="5"/>
  <c r="AC45" i="5"/>
  <c r="AA48" i="5"/>
  <c r="AC49" i="5"/>
  <c r="U26" i="5"/>
  <c r="T27" i="5"/>
  <c r="T31" i="5"/>
  <c r="Z34" i="5"/>
  <c r="AD34" i="5"/>
  <c r="N37" i="5"/>
  <c r="AC42" i="5"/>
  <c r="AC46" i="5"/>
  <c r="AC50" i="5"/>
  <c r="AA34" i="5"/>
  <c r="Z42" i="5"/>
  <c r="Z46" i="5"/>
  <c r="Z50" i="5"/>
  <c r="T8" i="4"/>
  <c r="S11" i="4"/>
  <c r="Q4" i="4"/>
  <c r="U4" i="4"/>
  <c r="R5" i="4"/>
  <c r="V5" i="4"/>
  <c r="S6" i="4"/>
  <c r="T7" i="4"/>
  <c r="Q8" i="4"/>
  <c r="U8" i="4"/>
  <c r="R9" i="4"/>
  <c r="V9" i="4"/>
  <c r="S10" i="4"/>
  <c r="T11" i="4"/>
  <c r="Q12" i="4"/>
  <c r="U12" i="4"/>
  <c r="R13" i="4"/>
  <c r="V13" i="4"/>
  <c r="T14" i="4"/>
  <c r="Q15" i="4"/>
  <c r="U15" i="4"/>
  <c r="S16" i="4"/>
  <c r="N17" i="4"/>
  <c r="S14" i="4"/>
  <c r="R4" i="4"/>
  <c r="V4" i="4"/>
  <c r="S5" i="4"/>
  <c r="T6" i="4"/>
  <c r="Q7" i="4"/>
  <c r="U7" i="4"/>
  <c r="R8" i="4"/>
  <c r="V8" i="4"/>
  <c r="S9" i="4"/>
  <c r="Q11" i="4"/>
  <c r="R12" i="4"/>
  <c r="V12" i="4"/>
  <c r="S13" i="4"/>
  <c r="Q14" i="4"/>
  <c r="U14" i="4"/>
  <c r="R15" i="4"/>
  <c r="V15" i="4"/>
  <c r="T4" i="4"/>
  <c r="T12" i="4"/>
  <c r="T15" i="4"/>
  <c r="Q6" i="4"/>
  <c r="R7" i="4"/>
  <c r="Q10" i="4"/>
  <c r="U10" i="4"/>
  <c r="R11" i="4"/>
  <c r="V11" i="4"/>
  <c r="J100" i="3"/>
  <c r="J101" i="3" s="1"/>
  <c r="N103" i="3"/>
  <c r="N104" i="3" s="1"/>
  <c r="R58" i="3"/>
  <c r="R59" i="3" s="1"/>
  <c r="R85" i="3"/>
  <c r="R86" i="3" s="1"/>
  <c r="M97" i="3"/>
  <c r="M98" i="3" s="1"/>
  <c r="M88" i="3"/>
  <c r="M89" i="3" s="1"/>
  <c r="M70" i="3"/>
  <c r="M71" i="3" s="1"/>
  <c r="M10" i="3"/>
  <c r="P85" i="3"/>
  <c r="P86" i="3" s="1"/>
  <c r="P94" i="3"/>
  <c r="P95" i="3" s="1"/>
  <c r="P67" i="3"/>
  <c r="P68" i="3" s="1"/>
  <c r="P103" i="3"/>
  <c r="P104" i="3" s="1"/>
  <c r="S49" i="3"/>
  <c r="P76" i="3"/>
  <c r="P77" i="3" s="1"/>
  <c r="M76" i="3"/>
  <c r="M77" i="3" s="1"/>
  <c r="T23" i="3"/>
  <c r="I97" i="3"/>
  <c r="I98" i="3" s="1"/>
  <c r="I88" i="3"/>
  <c r="I89" i="3" s="1"/>
  <c r="I70" i="3"/>
  <c r="I71" i="3" s="1"/>
  <c r="I10" i="3"/>
  <c r="Q97" i="3"/>
  <c r="Q98" i="3" s="1"/>
  <c r="Q88" i="3"/>
  <c r="Q89" i="3" s="1"/>
  <c r="Q70" i="3"/>
  <c r="Q71" i="3" s="1"/>
  <c r="Q10" i="3"/>
  <c r="Q30" i="3" s="1"/>
  <c r="T14" i="3"/>
  <c r="G48" i="3"/>
  <c r="G73" i="3" s="1"/>
  <c r="G74" i="3" s="1"/>
  <c r="T35" i="3"/>
  <c r="Q103" i="3"/>
  <c r="Q104" i="3" s="1"/>
  <c r="Q94" i="3"/>
  <c r="Q95" i="3" s="1"/>
  <c r="Q85" i="3"/>
  <c r="Q86" i="3" s="1"/>
  <c r="Q76" i="3"/>
  <c r="Q77" i="3" s="1"/>
  <c r="Q67" i="3"/>
  <c r="Q68" i="3" s="1"/>
  <c r="Q58" i="3"/>
  <c r="Q59" i="3" s="1"/>
  <c r="T15" i="3"/>
  <c r="T21" i="3"/>
  <c r="I48" i="3"/>
  <c r="I73" i="3" s="1"/>
  <c r="I74" i="3" s="1"/>
  <c r="M48" i="3"/>
  <c r="M73" i="3" s="1"/>
  <c r="M74" i="3" s="1"/>
  <c r="Q48" i="3"/>
  <c r="Q73" i="3" s="1"/>
  <c r="Q74" i="3" s="1"/>
  <c r="R57" i="3"/>
  <c r="P58" i="3"/>
  <c r="P59" i="3" s="1"/>
  <c r="T19" i="3"/>
  <c r="P30" i="3"/>
  <c r="T29" i="3"/>
  <c r="T38" i="3"/>
  <c r="T42" i="3"/>
  <c r="N82" i="3"/>
  <c r="N83" i="3" s="1"/>
  <c r="D79" i="3"/>
  <c r="J79" i="3" s="1"/>
  <c r="J80" i="3" s="1"/>
  <c r="N88" i="3"/>
  <c r="N89" i="3" s="1"/>
  <c r="G26" i="3"/>
  <c r="N70" i="3"/>
  <c r="N71" i="3" s="1"/>
  <c r="D109" i="3"/>
  <c r="D106" i="3"/>
  <c r="M106" i="3" s="1"/>
  <c r="M107" i="3" s="1"/>
  <c r="O88" i="3"/>
  <c r="O89" i="3" s="1"/>
  <c r="O97" i="3"/>
  <c r="O98" i="3" s="1"/>
  <c r="D61" i="3"/>
  <c r="R61" i="3" s="1"/>
  <c r="R62" i="3" s="1"/>
  <c r="O70" i="3"/>
  <c r="O71" i="3" s="1"/>
  <c r="L88" i="3"/>
  <c r="L89" i="3" s="1"/>
  <c r="J88" i="3"/>
  <c r="J89" i="3" s="1"/>
  <c r="J97" i="3"/>
  <c r="J98" i="3" s="1"/>
  <c r="K97" i="3"/>
  <c r="K98" i="3" s="1"/>
  <c r="S88" i="3"/>
  <c r="S89" i="3" s="1"/>
  <c r="H88" i="3"/>
  <c r="H89" i="3" s="1"/>
  <c r="H70" i="3"/>
  <c r="H71" i="3" s="1"/>
  <c r="L70" i="3"/>
  <c r="L71" i="3" s="1"/>
  <c r="P97" i="3"/>
  <c r="P98" i="3" s="1"/>
  <c r="P70" i="3"/>
  <c r="P71" i="3" s="1"/>
  <c r="T8" i="3"/>
  <c r="T10" i="3" s="1"/>
  <c r="J10" i="3"/>
  <c r="N10" i="3"/>
  <c r="R10" i="3"/>
  <c r="R30" i="3" s="1"/>
  <c r="J70" i="3"/>
  <c r="J71" i="3" s="1"/>
  <c r="R70" i="3"/>
  <c r="R71" i="3" s="1"/>
  <c r="P88" i="3"/>
  <c r="P89" i="3" s="1"/>
  <c r="N97" i="3"/>
  <c r="N98" i="3" s="1"/>
  <c r="X79" i="1"/>
  <c r="X269" i="1" s="1"/>
  <c r="T79" i="1"/>
  <c r="T269" i="1" s="1"/>
  <c r="V79" i="1"/>
  <c r="V269" i="1" s="1"/>
  <c r="W79" i="1"/>
  <c r="W269" i="1" s="1"/>
  <c r="Y79" i="1"/>
  <c r="Y269" i="1" s="1"/>
  <c r="U79" i="1"/>
  <c r="U269" i="1" s="1"/>
  <c r="AB269" i="1"/>
  <c r="AD79" i="1"/>
  <c r="AD269" i="1" s="1"/>
  <c r="K58" i="3" l="1"/>
  <c r="K59" i="3" s="1"/>
  <c r="I38" i="8"/>
  <c r="J38" i="8" s="1"/>
  <c r="T47" i="8"/>
  <c r="P52" i="3"/>
  <c r="S64" i="3"/>
  <c r="S65" i="3" s="1"/>
  <c r="P100" i="3"/>
  <c r="P101" i="3" s="1"/>
  <c r="S100" i="3"/>
  <c r="S101" i="3" s="1"/>
  <c r="J52" i="3"/>
  <c r="S52" i="3"/>
  <c r="J64" i="3"/>
  <c r="J65" i="3" s="1"/>
  <c r="I36" i="8"/>
  <c r="S85" i="3"/>
  <c r="S86" i="3" s="1"/>
  <c r="P91" i="3"/>
  <c r="P92" i="3" s="1"/>
  <c r="N91" i="3"/>
  <c r="N92" i="3" s="1"/>
  <c r="T115" i="9"/>
  <c r="T46" i="8"/>
  <c r="S79" i="3"/>
  <c r="S80" i="3" s="1"/>
  <c r="L64" i="3"/>
  <c r="L65" i="3" s="1"/>
  <c r="N58" i="3"/>
  <c r="N59" i="3" s="1"/>
  <c r="N100" i="3"/>
  <c r="N101" i="3" s="1"/>
  <c r="J76" i="3"/>
  <c r="J77" i="3" s="1"/>
  <c r="T39" i="8"/>
  <c r="H40" i="9"/>
  <c r="I40" i="9" s="1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H48" i="8"/>
  <c r="H37" i="9"/>
  <c r="I37" i="9" s="1"/>
  <c r="J37" i="9" s="1"/>
  <c r="K37" i="9" s="1"/>
  <c r="L37" i="9" s="1"/>
  <c r="M37" i="9" s="1"/>
  <c r="N37" i="9" s="1"/>
  <c r="O37" i="9" s="1"/>
  <c r="P37" i="9" s="1"/>
  <c r="Q37" i="9" s="1"/>
  <c r="R37" i="9" s="1"/>
  <c r="S37" i="9" s="1"/>
  <c r="S103" i="3"/>
  <c r="S104" i="3" s="1"/>
  <c r="R67" i="3"/>
  <c r="R68" i="3" s="1"/>
  <c r="R103" i="3"/>
  <c r="R104" i="3" s="1"/>
  <c r="J82" i="3"/>
  <c r="J83" i="3" s="1"/>
  <c r="T41" i="8"/>
  <c r="H47" i="9"/>
  <c r="I47" i="9" s="1"/>
  <c r="J47" i="9" s="1"/>
  <c r="K47" i="9" s="1"/>
  <c r="L47" i="9" s="1"/>
  <c r="M47" i="9" s="1"/>
  <c r="N47" i="9" s="1"/>
  <c r="O47" i="9" s="1"/>
  <c r="P47" i="9" s="1"/>
  <c r="Q47" i="9" s="1"/>
  <c r="R47" i="9" s="1"/>
  <c r="S47" i="9" s="1"/>
  <c r="H39" i="9"/>
  <c r="I39" i="9" s="1"/>
  <c r="J39" i="9" s="1"/>
  <c r="K39" i="9" s="1"/>
  <c r="L39" i="9" s="1"/>
  <c r="M39" i="9" s="1"/>
  <c r="N39" i="9" s="1"/>
  <c r="O39" i="9" s="1"/>
  <c r="P39" i="9" s="1"/>
  <c r="Q39" i="9" s="1"/>
  <c r="R39" i="9" s="1"/>
  <c r="S39" i="9" s="1"/>
  <c r="H45" i="9"/>
  <c r="I45" i="9" s="1"/>
  <c r="J45" i="9" s="1"/>
  <c r="K45" i="9" s="1"/>
  <c r="L45" i="9" s="1"/>
  <c r="M45" i="9" s="1"/>
  <c r="N45" i="9" s="1"/>
  <c r="O45" i="9" s="1"/>
  <c r="P45" i="9" s="1"/>
  <c r="Q45" i="9" s="1"/>
  <c r="R45" i="9" s="1"/>
  <c r="S45" i="9" s="1"/>
  <c r="O52" i="3"/>
  <c r="L103" i="3"/>
  <c r="L104" i="3" s="1"/>
  <c r="L82" i="3"/>
  <c r="L83" i="3" s="1"/>
  <c r="R76" i="3"/>
  <c r="R77" i="3" s="1"/>
  <c r="J49" i="3"/>
  <c r="J91" i="3"/>
  <c r="J92" i="3" s="1"/>
  <c r="H41" i="9"/>
  <c r="I41" i="9" s="1"/>
  <c r="J41" i="9" s="1"/>
  <c r="K41" i="9" s="1"/>
  <c r="L41" i="9" s="1"/>
  <c r="M41" i="9" s="1"/>
  <c r="N41" i="9" s="1"/>
  <c r="O41" i="9" s="1"/>
  <c r="P41" i="9" s="1"/>
  <c r="Q41" i="9" s="1"/>
  <c r="R41" i="9" s="1"/>
  <c r="S41" i="9" s="1"/>
  <c r="H46" i="9"/>
  <c r="I46" i="9" s="1"/>
  <c r="J46" i="9" s="1"/>
  <c r="K46" i="9" s="1"/>
  <c r="L46" i="9" s="1"/>
  <c r="M46" i="9" s="1"/>
  <c r="N46" i="9" s="1"/>
  <c r="O46" i="9" s="1"/>
  <c r="P46" i="9" s="1"/>
  <c r="Q46" i="9" s="1"/>
  <c r="R46" i="9" s="1"/>
  <c r="S46" i="9" s="1"/>
  <c r="T43" i="8"/>
  <c r="C38" i="6"/>
  <c r="G91" i="8"/>
  <c r="G92" i="8" s="1"/>
  <c r="G52" i="8"/>
  <c r="G82" i="8"/>
  <c r="G83" i="8" s="1"/>
  <c r="G49" i="8"/>
  <c r="G100" i="8"/>
  <c r="G101" i="8" s="1"/>
  <c r="G73" i="8"/>
  <c r="G74" i="8" s="1"/>
  <c r="G64" i="8"/>
  <c r="G65" i="8" s="1"/>
  <c r="G109" i="8"/>
  <c r="G110" i="8" s="1"/>
  <c r="T42" i="8"/>
  <c r="T45" i="8"/>
  <c r="T37" i="8"/>
  <c r="T40" i="8"/>
  <c r="H43" i="9"/>
  <c r="I43" i="9" s="1"/>
  <c r="J43" i="9" s="1"/>
  <c r="K43" i="9" s="1"/>
  <c r="L43" i="9" s="1"/>
  <c r="M43" i="9" s="1"/>
  <c r="N43" i="9" s="1"/>
  <c r="O43" i="9" s="1"/>
  <c r="P43" i="9" s="1"/>
  <c r="Q43" i="9" s="1"/>
  <c r="R43" i="9" s="1"/>
  <c r="S43" i="9" s="1"/>
  <c r="H42" i="9"/>
  <c r="I42" i="9" s="1"/>
  <c r="J42" i="9" s="1"/>
  <c r="K42" i="9" s="1"/>
  <c r="L42" i="9" s="1"/>
  <c r="M42" i="9" s="1"/>
  <c r="N42" i="9" s="1"/>
  <c r="O42" i="9" s="1"/>
  <c r="P42" i="9" s="1"/>
  <c r="Q42" i="9" s="1"/>
  <c r="R42" i="9" s="1"/>
  <c r="S42" i="9" s="1"/>
  <c r="F151" i="7"/>
  <c r="F159" i="7" s="1"/>
  <c r="G149" i="7"/>
  <c r="H241" i="7"/>
  <c r="H256" i="7" s="1"/>
  <c r="H267" i="7" s="1"/>
  <c r="H269" i="7" s="1"/>
  <c r="I238" i="7"/>
  <c r="L49" i="3"/>
  <c r="O100" i="3"/>
  <c r="O101" i="3" s="1"/>
  <c r="S94" i="3"/>
  <c r="S95" i="3" s="1"/>
  <c r="M30" i="3"/>
  <c r="T116" i="8"/>
  <c r="L30" i="3"/>
  <c r="O64" i="3"/>
  <c r="O65" i="3" s="1"/>
  <c r="L85" i="3"/>
  <c r="L86" i="3" s="1"/>
  <c r="L52" i="3"/>
  <c r="L100" i="3"/>
  <c r="L101" i="3" s="1"/>
  <c r="S30" i="3"/>
  <c r="S58" i="3"/>
  <c r="S59" i="3" s="1"/>
  <c r="M58" i="3"/>
  <c r="M59" i="3" s="1"/>
  <c r="M94" i="3"/>
  <c r="M95" i="3" s="1"/>
  <c r="N67" i="3"/>
  <c r="N68" i="3" s="1"/>
  <c r="R91" i="3"/>
  <c r="R92" i="3" s="1"/>
  <c r="T116" i="9"/>
  <c r="L76" i="3"/>
  <c r="L77" i="3" s="1"/>
  <c r="L94" i="3"/>
  <c r="L95" i="3" s="1"/>
  <c r="M85" i="3"/>
  <c r="M86" i="3" s="1"/>
  <c r="N94" i="3"/>
  <c r="N95" i="3" s="1"/>
  <c r="N30" i="3"/>
  <c r="H30" i="3"/>
  <c r="O49" i="3"/>
  <c r="L67" i="3"/>
  <c r="L68" i="3" s="1"/>
  <c r="L91" i="3"/>
  <c r="L92" i="3" s="1"/>
  <c r="S67" i="3"/>
  <c r="S68" i="3" s="1"/>
  <c r="M67" i="3"/>
  <c r="M68" i="3" s="1"/>
  <c r="N85" i="3"/>
  <c r="N86" i="3" s="1"/>
  <c r="N52" i="3"/>
  <c r="N73" i="3"/>
  <c r="N74" i="3" s="1"/>
  <c r="G61" i="3"/>
  <c r="G62" i="3" s="1"/>
  <c r="N64" i="3"/>
  <c r="N65" i="3" s="1"/>
  <c r="O91" i="3"/>
  <c r="O92" i="3" s="1"/>
  <c r="K94" i="3"/>
  <c r="K95" i="3" s="1"/>
  <c r="S91" i="3"/>
  <c r="S92" i="3" s="1"/>
  <c r="P49" i="3"/>
  <c r="P73" i="3"/>
  <c r="P74" i="3" s="1"/>
  <c r="N61" i="3"/>
  <c r="N62" i="3" s="1"/>
  <c r="N49" i="3"/>
  <c r="K67" i="3"/>
  <c r="K68" i="3" s="1"/>
  <c r="K85" i="3"/>
  <c r="K86" i="3" s="1"/>
  <c r="K76" i="3"/>
  <c r="K77" i="3" s="1"/>
  <c r="H52" i="3"/>
  <c r="H73" i="3"/>
  <c r="H74" i="3" s="1"/>
  <c r="R100" i="3"/>
  <c r="R101" i="3" s="1"/>
  <c r="R73" i="3"/>
  <c r="R74" i="3" s="1"/>
  <c r="K52" i="3"/>
  <c r="K73" i="3"/>
  <c r="K74" i="3" s="1"/>
  <c r="R79" i="3"/>
  <c r="R80" i="3" s="1"/>
  <c r="P79" i="3"/>
  <c r="P80" i="3" s="1"/>
  <c r="O94" i="3"/>
  <c r="O95" i="3" s="1"/>
  <c r="R49" i="3"/>
  <c r="H94" i="3"/>
  <c r="H95" i="3" s="1"/>
  <c r="H91" i="3"/>
  <c r="H92" i="3" s="1"/>
  <c r="O58" i="3"/>
  <c r="O59" i="3" s="1"/>
  <c r="R52" i="3"/>
  <c r="H58" i="3"/>
  <c r="H59" i="3" s="1"/>
  <c r="H67" i="3"/>
  <c r="H68" i="3" s="1"/>
  <c r="K91" i="3"/>
  <c r="K92" i="3" s="1"/>
  <c r="T26" i="3"/>
  <c r="T30" i="3" s="1"/>
  <c r="O103" i="3"/>
  <c r="O104" i="3" s="1"/>
  <c r="O85" i="3"/>
  <c r="O86" i="3" s="1"/>
  <c r="R64" i="3"/>
  <c r="R65" i="3" s="1"/>
  <c r="K100" i="3"/>
  <c r="K101" i="3" s="1"/>
  <c r="K64" i="3"/>
  <c r="K65" i="3" s="1"/>
  <c r="H76" i="3"/>
  <c r="H77" i="3" s="1"/>
  <c r="K61" i="3"/>
  <c r="K62" i="3" s="1"/>
  <c r="J30" i="3"/>
  <c r="R109" i="3"/>
  <c r="R110" i="3" s="1"/>
  <c r="O30" i="3"/>
  <c r="O76" i="3"/>
  <c r="O77" i="3" s="1"/>
  <c r="I76" i="3"/>
  <c r="I77" i="3" s="1"/>
  <c r="K30" i="3"/>
  <c r="H85" i="3"/>
  <c r="H86" i="3" s="1"/>
  <c r="J58" i="3"/>
  <c r="J59" i="3" s="1"/>
  <c r="H49" i="3"/>
  <c r="I85" i="3"/>
  <c r="I86" i="3" s="1"/>
  <c r="J94" i="3"/>
  <c r="J95" i="3" s="1"/>
  <c r="AB23" i="5"/>
  <c r="AB19" i="5"/>
  <c r="AE23" i="5"/>
  <c r="AE19" i="5"/>
  <c r="T71" i="3"/>
  <c r="H64" i="3"/>
  <c r="H65" i="3" s="1"/>
  <c r="M61" i="3"/>
  <c r="M62" i="3" s="1"/>
  <c r="J103" i="3"/>
  <c r="J104" i="3" s="1"/>
  <c r="S61" i="3"/>
  <c r="S62" i="3" s="1"/>
  <c r="T89" i="3"/>
  <c r="G106" i="3"/>
  <c r="G107" i="3" s="1"/>
  <c r="I58" i="3"/>
  <c r="I59" i="3" s="1"/>
  <c r="I94" i="3"/>
  <c r="I95" i="3" s="1"/>
  <c r="N109" i="3"/>
  <c r="N110" i="3" s="1"/>
  <c r="I30" i="3"/>
  <c r="P109" i="3"/>
  <c r="P110" i="3" s="1"/>
  <c r="O61" i="3"/>
  <c r="O62" i="3" s="1"/>
  <c r="T98" i="3"/>
  <c r="H100" i="3"/>
  <c r="H101" i="3" s="1"/>
  <c r="I67" i="3"/>
  <c r="I68" i="3" s="1"/>
  <c r="S109" i="3"/>
  <c r="S110" i="3" s="1"/>
  <c r="K82" i="3"/>
  <c r="K83" i="3" s="1"/>
  <c r="J67" i="3"/>
  <c r="J68" i="3" s="1"/>
  <c r="AE47" i="5"/>
  <c r="AE44" i="5"/>
  <c r="U23" i="5"/>
  <c r="V23" i="5"/>
  <c r="T23" i="5"/>
  <c r="R23" i="5"/>
  <c r="W23" i="5"/>
  <c r="S23" i="5"/>
  <c r="AE48" i="5"/>
  <c r="AE34" i="5"/>
  <c r="AE43" i="5"/>
  <c r="AE53" i="5"/>
  <c r="AE52" i="5"/>
  <c r="AB30" i="5"/>
  <c r="AB26" i="5"/>
  <c r="AB36" i="5"/>
  <c r="AB33" i="5"/>
  <c r="AB29" i="5"/>
  <c r="AB25" i="5"/>
  <c r="AB34" i="5"/>
  <c r="AB14" i="5"/>
  <c r="AB10" i="5"/>
  <c r="AB50" i="5"/>
  <c r="AB46" i="5"/>
  <c r="AB42" i="5"/>
  <c r="AB35" i="5"/>
  <c r="AB31" i="5"/>
  <c r="AB27" i="5"/>
  <c r="AB18" i="5"/>
  <c r="AB13" i="5"/>
  <c r="AB9" i="5"/>
  <c r="AB15" i="5"/>
  <c r="AB11" i="5"/>
  <c r="AB8" i="5"/>
  <c r="AB6" i="5"/>
  <c r="AB32" i="5"/>
  <c r="AB28" i="5"/>
  <c r="AB24" i="5"/>
  <c r="AB16" i="5"/>
  <c r="AB12" i="5"/>
  <c r="AB7" i="5"/>
  <c r="AB43" i="5"/>
  <c r="AB49" i="5"/>
  <c r="AC54" i="5"/>
  <c r="AB54" i="5"/>
  <c r="AA54" i="5"/>
  <c r="Z54" i="5"/>
  <c r="AE54" i="5"/>
  <c r="AD54" i="5"/>
  <c r="AE37" i="5"/>
  <c r="AA37" i="5"/>
  <c r="AD37" i="5"/>
  <c r="Z37" i="5"/>
  <c r="AC37" i="5"/>
  <c r="AB37" i="5"/>
  <c r="AE31" i="5"/>
  <c r="AE27" i="5"/>
  <c r="AE30" i="5"/>
  <c r="AE26" i="5"/>
  <c r="AE50" i="5"/>
  <c r="AE49" i="5"/>
  <c r="AE46" i="5"/>
  <c r="AE45" i="5"/>
  <c r="AE42" i="5"/>
  <c r="AE41" i="5"/>
  <c r="AE35" i="5"/>
  <c r="AE15" i="5"/>
  <c r="AE11" i="5"/>
  <c r="AE36" i="5"/>
  <c r="AE32" i="5"/>
  <c r="AE28" i="5"/>
  <c r="AE24" i="5"/>
  <c r="AE14" i="5"/>
  <c r="AE10" i="5"/>
  <c r="AE6" i="5"/>
  <c r="AE33" i="5"/>
  <c r="AE29" i="5"/>
  <c r="AE25" i="5"/>
  <c r="AE18" i="5"/>
  <c r="AE16" i="5"/>
  <c r="AE12" i="5"/>
  <c r="AE51" i="5"/>
  <c r="AE13" i="5"/>
  <c r="AE9" i="5"/>
  <c r="AE8" i="5"/>
  <c r="AE7" i="5"/>
  <c r="AC20" i="5"/>
  <c r="AB20" i="5"/>
  <c r="Z20" i="5"/>
  <c r="AE20" i="5"/>
  <c r="AA20" i="5"/>
  <c r="AD20" i="5"/>
  <c r="AB41" i="5"/>
  <c r="AB51" i="5"/>
  <c r="O37" i="5"/>
  <c r="U34" i="5"/>
  <c r="T34" i="5"/>
  <c r="R34" i="5"/>
  <c r="W34" i="5"/>
  <c r="S34" i="5"/>
  <c r="V34" i="5"/>
  <c r="AB52" i="5"/>
  <c r="AB45" i="5"/>
  <c r="AB48" i="5"/>
  <c r="AB44" i="5"/>
  <c r="V17" i="5"/>
  <c r="R17" i="5"/>
  <c r="U17" i="5"/>
  <c r="S17" i="5"/>
  <c r="W17" i="5"/>
  <c r="O20" i="5"/>
  <c r="T17" i="5"/>
  <c r="AB53" i="5"/>
  <c r="AB40" i="5"/>
  <c r="AE40" i="5"/>
  <c r="AA40" i="5"/>
  <c r="AD40" i="5"/>
  <c r="Z40" i="5"/>
  <c r="AC40" i="5"/>
  <c r="AB17" i="5"/>
  <c r="U6" i="5"/>
  <c r="V6" i="5"/>
  <c r="T6" i="5"/>
  <c r="R6" i="5"/>
  <c r="W6" i="5"/>
  <c r="S6" i="5"/>
  <c r="AB47" i="5"/>
  <c r="V17" i="4"/>
  <c r="R17" i="4"/>
  <c r="U17" i="4"/>
  <c r="Q17" i="4"/>
  <c r="T17" i="4"/>
  <c r="S17" i="4"/>
  <c r="G94" i="3"/>
  <c r="G95" i="3" s="1"/>
  <c r="G103" i="3"/>
  <c r="G104" i="3" s="1"/>
  <c r="G58" i="3"/>
  <c r="G59" i="3" s="1"/>
  <c r="G85" i="3"/>
  <c r="G86" i="3" s="1"/>
  <c r="G76" i="3"/>
  <c r="G77" i="3" s="1"/>
  <c r="G30" i="3"/>
  <c r="G67" i="3"/>
  <c r="G68" i="3" s="1"/>
  <c r="I79" i="3"/>
  <c r="I80" i="3" s="1"/>
  <c r="O106" i="3"/>
  <c r="O107" i="3" s="1"/>
  <c r="K106" i="3"/>
  <c r="K107" i="3" s="1"/>
  <c r="O79" i="3"/>
  <c r="O80" i="3" s="1"/>
  <c r="H61" i="3"/>
  <c r="H62" i="3" s="1"/>
  <c r="P61" i="3"/>
  <c r="P62" i="3" s="1"/>
  <c r="L61" i="3"/>
  <c r="L62" i="3" s="1"/>
  <c r="R106" i="3"/>
  <c r="R107" i="3" s="1"/>
  <c r="M109" i="3"/>
  <c r="M110" i="3" s="1"/>
  <c r="M100" i="3"/>
  <c r="M101" i="3" s="1"/>
  <c r="M91" i="3"/>
  <c r="M92" i="3" s="1"/>
  <c r="M82" i="3"/>
  <c r="M83" i="3" s="1"/>
  <c r="M64" i="3"/>
  <c r="M65" i="3" s="1"/>
  <c r="M52" i="3"/>
  <c r="M49" i="3"/>
  <c r="O82" i="3"/>
  <c r="O83" i="3" s="1"/>
  <c r="G82" i="3"/>
  <c r="G83" i="3" s="1"/>
  <c r="G91" i="3"/>
  <c r="G92" i="3" s="1"/>
  <c r="G100" i="3"/>
  <c r="G101" i="3" s="1"/>
  <c r="G64" i="3"/>
  <c r="G65" i="3" s="1"/>
  <c r="G52" i="3"/>
  <c r="G49" i="3"/>
  <c r="G109" i="3"/>
  <c r="G110" i="3" s="1"/>
  <c r="Q79" i="3"/>
  <c r="Q80" i="3" s="1"/>
  <c r="I61" i="3"/>
  <c r="I62" i="3" s="1"/>
  <c r="S82" i="3"/>
  <c r="S83" i="3" s="1"/>
  <c r="K109" i="3"/>
  <c r="K110" i="3" s="1"/>
  <c r="Q109" i="3"/>
  <c r="Q110" i="3" s="1"/>
  <c r="Q100" i="3"/>
  <c r="Q101" i="3" s="1"/>
  <c r="Q91" i="3"/>
  <c r="Q92" i="3" s="1"/>
  <c r="Q82" i="3"/>
  <c r="Q83" i="3" s="1"/>
  <c r="Q64" i="3"/>
  <c r="Q65" i="3" s="1"/>
  <c r="Q52" i="3"/>
  <c r="Q49" i="3"/>
  <c r="T48" i="3"/>
  <c r="Q106" i="3"/>
  <c r="Q107" i="3" s="1"/>
  <c r="L79" i="3"/>
  <c r="L80" i="3" s="1"/>
  <c r="H79" i="3"/>
  <c r="H80" i="3" s="1"/>
  <c r="K79" i="3"/>
  <c r="K80" i="3" s="1"/>
  <c r="N79" i="3"/>
  <c r="N80" i="3" s="1"/>
  <c r="I109" i="3"/>
  <c r="I110" i="3" s="1"/>
  <c r="I100" i="3"/>
  <c r="I101" i="3" s="1"/>
  <c r="I91" i="3"/>
  <c r="I92" i="3" s="1"/>
  <c r="I82" i="3"/>
  <c r="I83" i="3" s="1"/>
  <c r="I64" i="3"/>
  <c r="I65" i="3" s="1"/>
  <c r="I52" i="3"/>
  <c r="I49" i="3"/>
  <c r="H82" i="3"/>
  <c r="H83" i="3" s="1"/>
  <c r="O109" i="3"/>
  <c r="O110" i="3" s="1"/>
  <c r="Q61" i="3"/>
  <c r="Q62" i="3" s="1"/>
  <c r="L109" i="3"/>
  <c r="L110" i="3" s="1"/>
  <c r="J61" i="3"/>
  <c r="J62" i="3" s="1"/>
  <c r="J109" i="3"/>
  <c r="J110" i="3" s="1"/>
  <c r="H106" i="3"/>
  <c r="H107" i="3" s="1"/>
  <c r="S106" i="3"/>
  <c r="S107" i="3" s="1"/>
  <c r="P106" i="3"/>
  <c r="P107" i="3" s="1"/>
  <c r="L106" i="3"/>
  <c r="L107" i="3" s="1"/>
  <c r="G79" i="3"/>
  <c r="G80" i="3" s="1"/>
  <c r="N106" i="3"/>
  <c r="N107" i="3" s="1"/>
  <c r="J106" i="3"/>
  <c r="J107" i="3" s="1"/>
  <c r="H109" i="3"/>
  <c r="H110" i="3" s="1"/>
  <c r="I106" i="3"/>
  <c r="I107" i="3" s="1"/>
  <c r="R82" i="3"/>
  <c r="R83" i="3" s="1"/>
  <c r="P82" i="3"/>
  <c r="P83" i="3" s="1"/>
  <c r="M79" i="3"/>
  <c r="M80" i="3" s="1"/>
  <c r="R79" i="1"/>
  <c r="AH79" i="1"/>
  <c r="K38" i="8" l="1"/>
  <c r="L38" i="8" s="1"/>
  <c r="M38" i="8" s="1"/>
  <c r="N38" i="8" s="1"/>
  <c r="O38" i="8" s="1"/>
  <c r="P38" i="8" s="1"/>
  <c r="Q38" i="8" s="1"/>
  <c r="R38" i="8" s="1"/>
  <c r="S38" i="8" s="1"/>
  <c r="G38" i="9" s="1"/>
  <c r="H38" i="9" s="1"/>
  <c r="I38" i="9" s="1"/>
  <c r="J38" i="9" s="1"/>
  <c r="K38" i="9" s="1"/>
  <c r="L38" i="9" s="1"/>
  <c r="M38" i="9" s="1"/>
  <c r="N38" i="9" s="1"/>
  <c r="O38" i="9" s="1"/>
  <c r="P38" i="9" s="1"/>
  <c r="Q38" i="9" s="1"/>
  <c r="R38" i="9" s="1"/>
  <c r="S38" i="9" s="1"/>
  <c r="J36" i="8"/>
  <c r="K36" i="8" s="1"/>
  <c r="L36" i="8" s="1"/>
  <c r="M36" i="8" s="1"/>
  <c r="N36" i="8" s="1"/>
  <c r="O36" i="8" s="1"/>
  <c r="P36" i="8" s="1"/>
  <c r="Q36" i="8" s="1"/>
  <c r="R36" i="8" s="1"/>
  <c r="S36" i="8" s="1"/>
  <c r="G36" i="9" s="1"/>
  <c r="H36" i="9" s="1"/>
  <c r="I36" i="9" s="1"/>
  <c r="J36" i="9" s="1"/>
  <c r="K36" i="9" s="1"/>
  <c r="L36" i="9" s="1"/>
  <c r="M36" i="9" s="1"/>
  <c r="N36" i="9" s="1"/>
  <c r="O36" i="9" s="1"/>
  <c r="P36" i="9" s="1"/>
  <c r="Q36" i="9" s="1"/>
  <c r="R36" i="9" s="1"/>
  <c r="S36" i="9" s="1"/>
  <c r="T41" i="9"/>
  <c r="T45" i="9"/>
  <c r="T37" i="9"/>
  <c r="T40" i="9"/>
  <c r="T42" i="9"/>
  <c r="T47" i="9"/>
  <c r="T86" i="3"/>
  <c r="C53" i="6"/>
  <c r="C55" i="6" s="1"/>
  <c r="C161" i="6" s="1"/>
  <c r="C271" i="6" s="1"/>
  <c r="T46" i="9"/>
  <c r="H91" i="8"/>
  <c r="H92" i="8" s="1"/>
  <c r="D53" i="7"/>
  <c r="D55" i="7" s="1"/>
  <c r="D38" i="6"/>
  <c r="D53" i="6" s="1"/>
  <c r="D55" i="6" s="1"/>
  <c r="H64" i="8"/>
  <c r="H65" i="8" s="1"/>
  <c r="H82" i="8"/>
  <c r="H83" i="8" s="1"/>
  <c r="H109" i="8"/>
  <c r="H110" i="8" s="1"/>
  <c r="H52" i="8"/>
  <c r="H73" i="8"/>
  <c r="H74" i="8" s="1"/>
  <c r="H100" i="8"/>
  <c r="H101" i="8" s="1"/>
  <c r="H49" i="8"/>
  <c r="T43" i="9"/>
  <c r="T39" i="9"/>
  <c r="J35" i="8"/>
  <c r="I48" i="8"/>
  <c r="J238" i="7"/>
  <c r="I241" i="7"/>
  <c r="I256" i="7" s="1"/>
  <c r="I267" i="7" s="1"/>
  <c r="I269" i="7" s="1"/>
  <c r="G151" i="7"/>
  <c r="G159" i="7" s="1"/>
  <c r="H149" i="7"/>
  <c r="T95" i="3"/>
  <c r="T74" i="3"/>
  <c r="T59" i="3"/>
  <c r="T104" i="3"/>
  <c r="T68" i="3"/>
  <c r="T77" i="3"/>
  <c r="T65" i="3"/>
  <c r="T62" i="3"/>
  <c r="T80" i="3"/>
  <c r="T107" i="3"/>
  <c r="W20" i="5"/>
  <c r="S20" i="5"/>
  <c r="V20" i="5"/>
  <c r="R20" i="5"/>
  <c r="U20" i="5"/>
  <c r="T20" i="5"/>
  <c r="U37" i="5"/>
  <c r="T37" i="5"/>
  <c r="V37" i="5"/>
  <c r="S37" i="5"/>
  <c r="W37" i="5"/>
  <c r="R37" i="5"/>
  <c r="T110" i="3"/>
  <c r="T92" i="3"/>
  <c r="T52" i="3"/>
  <c r="T49" i="3"/>
  <c r="T101" i="3"/>
  <c r="T83" i="3"/>
  <c r="T38" i="9" l="1"/>
  <c r="T36" i="9"/>
  <c r="T38" i="8"/>
  <c r="T36" i="8"/>
  <c r="K35" i="8"/>
  <c r="J48" i="8"/>
  <c r="E53" i="7"/>
  <c r="E55" i="7" s="1"/>
  <c r="E38" i="6"/>
  <c r="E53" i="6" s="1"/>
  <c r="E55" i="6" s="1"/>
  <c r="E161" i="6" s="1"/>
  <c r="E271" i="6" s="1"/>
  <c r="E272" i="6" s="1"/>
  <c r="I73" i="8"/>
  <c r="I74" i="8" s="1"/>
  <c r="I100" i="8"/>
  <c r="I101" i="8" s="1"/>
  <c r="I64" i="8"/>
  <c r="I65" i="8" s="1"/>
  <c r="I82" i="8"/>
  <c r="I83" i="8" s="1"/>
  <c r="I91" i="8"/>
  <c r="I92" i="8" s="1"/>
  <c r="I52" i="8"/>
  <c r="I49" i="8"/>
  <c r="I109" i="8"/>
  <c r="I110" i="8" s="1"/>
  <c r="H151" i="7"/>
  <c r="H159" i="7" s="1"/>
  <c r="I149" i="7"/>
  <c r="K238" i="7"/>
  <c r="J241" i="7"/>
  <c r="J256" i="7" s="1"/>
  <c r="J267" i="7" s="1"/>
  <c r="J269" i="7" s="1"/>
  <c r="T116" i="3"/>
  <c r="T117" i="3"/>
  <c r="T115" i="3"/>
  <c r="F38" i="6" l="1"/>
  <c r="F53" i="7"/>
  <c r="F55" i="7" s="1"/>
  <c r="J91" i="8"/>
  <c r="J92" i="8" s="1"/>
  <c r="J52" i="8"/>
  <c r="J100" i="8"/>
  <c r="J101" i="8" s="1"/>
  <c r="J82" i="8"/>
  <c r="J83" i="8" s="1"/>
  <c r="J49" i="8"/>
  <c r="J64" i="8"/>
  <c r="J65" i="8" s="1"/>
  <c r="J73" i="8"/>
  <c r="J74" i="8" s="1"/>
  <c r="J109" i="8"/>
  <c r="J110" i="8" s="1"/>
  <c r="L35" i="8"/>
  <c r="K48" i="8"/>
  <c r="L238" i="7"/>
  <c r="K241" i="7"/>
  <c r="K256" i="7" s="1"/>
  <c r="K267" i="7" s="1"/>
  <c r="K269" i="7" s="1"/>
  <c r="I151" i="7"/>
  <c r="I159" i="7" s="1"/>
  <c r="J149" i="7"/>
  <c r="D144" i="6"/>
  <c r="D161" i="6" s="1"/>
  <c r="D271" i="6" s="1"/>
  <c r="D272" i="6" s="1"/>
  <c r="K91" i="8" l="1"/>
  <c r="K92" i="8" s="1"/>
  <c r="G53" i="7"/>
  <c r="G55" i="7" s="1"/>
  <c r="G38" i="6"/>
  <c r="G53" i="6" s="1"/>
  <c r="G55" i="6" s="1"/>
  <c r="G161" i="6" s="1"/>
  <c r="G271" i="6" s="1"/>
  <c r="G272" i="6" s="1"/>
  <c r="K100" i="8"/>
  <c r="K101" i="8" s="1"/>
  <c r="K73" i="8"/>
  <c r="K74" i="8" s="1"/>
  <c r="K49" i="8"/>
  <c r="K64" i="8"/>
  <c r="K65" i="8" s="1"/>
  <c r="K82" i="8"/>
  <c r="K83" i="8" s="1"/>
  <c r="K52" i="8"/>
  <c r="K109" i="8"/>
  <c r="K110" i="8" s="1"/>
  <c r="F53" i="6"/>
  <c r="F55" i="6" s="1"/>
  <c r="F161" i="6" s="1"/>
  <c r="F271" i="6" s="1"/>
  <c r="F272" i="6" s="1"/>
  <c r="M35" i="8"/>
  <c r="L48" i="8"/>
  <c r="K149" i="7"/>
  <c r="J151" i="7"/>
  <c r="J159" i="7" s="1"/>
  <c r="L241" i="7"/>
  <c r="L256" i="7" s="1"/>
  <c r="L267" i="7" s="1"/>
  <c r="L269" i="7" s="1"/>
  <c r="M238" i="7"/>
  <c r="N35" i="8" l="1"/>
  <c r="M48" i="8"/>
  <c r="H53" i="7"/>
  <c r="H55" i="7" s="1"/>
  <c r="H38" i="6"/>
  <c r="H53" i="6" s="1"/>
  <c r="H55" i="6" s="1"/>
  <c r="H161" i="6" s="1"/>
  <c r="H271" i="6" s="1"/>
  <c r="H272" i="6" s="1"/>
  <c r="L100" i="8"/>
  <c r="L101" i="8" s="1"/>
  <c r="L91" i="8"/>
  <c r="L92" i="8" s="1"/>
  <c r="L64" i="8"/>
  <c r="L65" i="8" s="1"/>
  <c r="L52" i="8"/>
  <c r="L82" i="8"/>
  <c r="L83" i="8" s="1"/>
  <c r="L49" i="8"/>
  <c r="L109" i="8"/>
  <c r="L110" i="8" s="1"/>
  <c r="L73" i="8"/>
  <c r="L74" i="8" s="1"/>
  <c r="N238" i="7"/>
  <c r="M241" i="7"/>
  <c r="M256" i="7" s="1"/>
  <c r="M267" i="7" s="1"/>
  <c r="M269" i="7" s="1"/>
  <c r="K151" i="7"/>
  <c r="K159" i="7" s="1"/>
  <c r="L149" i="7"/>
  <c r="I38" i="6" l="1"/>
  <c r="I53" i="7"/>
  <c r="I55" i="7" s="1"/>
  <c r="M100" i="8"/>
  <c r="M101" i="8" s="1"/>
  <c r="M64" i="8"/>
  <c r="M65" i="8" s="1"/>
  <c r="M91" i="8"/>
  <c r="M92" i="8" s="1"/>
  <c r="M52" i="8"/>
  <c r="M73" i="8"/>
  <c r="M74" i="8" s="1"/>
  <c r="M82" i="8"/>
  <c r="M83" i="8" s="1"/>
  <c r="M49" i="8"/>
  <c r="M109" i="8"/>
  <c r="M110" i="8" s="1"/>
  <c r="O35" i="8"/>
  <c r="N48" i="8"/>
  <c r="M149" i="7"/>
  <c r="L151" i="7"/>
  <c r="L159" i="7" s="1"/>
  <c r="N241" i="7"/>
  <c r="N256" i="7" s="1"/>
  <c r="N267" i="7" s="1"/>
  <c r="N269" i="7" s="1"/>
  <c r="O238" i="7"/>
  <c r="I53" i="6" l="1"/>
  <c r="I55" i="6" s="1"/>
  <c r="I161" i="6" s="1"/>
  <c r="I271" i="6" s="1"/>
  <c r="I272" i="6" s="1"/>
  <c r="J53" i="7"/>
  <c r="J55" i="7" s="1"/>
  <c r="J38" i="6"/>
  <c r="J53" i="6" s="1"/>
  <c r="J55" i="6" s="1"/>
  <c r="J161" i="6" s="1"/>
  <c r="J271" i="6" s="1"/>
  <c r="J272" i="6" s="1"/>
  <c r="N82" i="8"/>
  <c r="N83" i="8" s="1"/>
  <c r="N49" i="8"/>
  <c r="N91" i="8"/>
  <c r="N92" i="8" s="1"/>
  <c r="N73" i="8"/>
  <c r="N74" i="8" s="1"/>
  <c r="N100" i="8"/>
  <c r="N101" i="8" s="1"/>
  <c r="N64" i="8"/>
  <c r="N65" i="8" s="1"/>
  <c r="N52" i="8"/>
  <c r="N109" i="8"/>
  <c r="N110" i="8" s="1"/>
  <c r="P35" i="8"/>
  <c r="O48" i="8"/>
  <c r="AD238" i="7"/>
  <c r="AF238" i="7"/>
  <c r="O241" i="7"/>
  <c r="O256" i="7" s="1"/>
  <c r="O267" i="7" s="1"/>
  <c r="O269" i="7" s="1"/>
  <c r="AE238" i="7"/>
  <c r="AB238" i="7"/>
  <c r="AC238" i="7"/>
  <c r="AG238" i="7"/>
  <c r="P238" i="7"/>
  <c r="N149" i="7"/>
  <c r="M151" i="7"/>
  <c r="M159" i="7" s="1"/>
  <c r="O100" i="8" l="1"/>
  <c r="O101" i="8" s="1"/>
  <c r="K53" i="7"/>
  <c r="K55" i="7" s="1"/>
  <c r="K38" i="6"/>
  <c r="K53" i="6" s="1"/>
  <c r="K55" i="6" s="1"/>
  <c r="K161" i="6" s="1"/>
  <c r="K271" i="6" s="1"/>
  <c r="K272" i="6" s="1"/>
  <c r="O49" i="8"/>
  <c r="O52" i="8"/>
  <c r="O64" i="8"/>
  <c r="O65" i="8" s="1"/>
  <c r="O73" i="8"/>
  <c r="O74" i="8" s="1"/>
  <c r="O109" i="8"/>
  <c r="O110" i="8" s="1"/>
  <c r="O91" i="8"/>
  <c r="O92" i="8" s="1"/>
  <c r="O82" i="8"/>
  <c r="O83" i="8" s="1"/>
  <c r="Q35" i="8"/>
  <c r="P48" i="8"/>
  <c r="N151" i="7"/>
  <c r="N159" i="7" s="1"/>
  <c r="O149" i="7"/>
  <c r="Q238" i="7"/>
  <c r="P241" i="7"/>
  <c r="P256" i="7" s="1"/>
  <c r="P267" i="7" s="1"/>
  <c r="P269" i="7" s="1"/>
  <c r="R35" i="8" l="1"/>
  <c r="Q48" i="8"/>
  <c r="L53" i="7"/>
  <c r="L55" i="7" s="1"/>
  <c r="L38" i="6"/>
  <c r="L53" i="6" s="1"/>
  <c r="L55" i="6" s="1"/>
  <c r="L161" i="6" s="1"/>
  <c r="L271" i="6" s="1"/>
  <c r="L272" i="6" s="1"/>
  <c r="P100" i="8"/>
  <c r="P101" i="8" s="1"/>
  <c r="P64" i="8"/>
  <c r="P65" i="8" s="1"/>
  <c r="P91" i="8"/>
  <c r="P92" i="8" s="1"/>
  <c r="P52" i="8"/>
  <c r="P73" i="8"/>
  <c r="P74" i="8" s="1"/>
  <c r="P82" i="8"/>
  <c r="P83" i="8" s="1"/>
  <c r="P49" i="8"/>
  <c r="P109" i="8"/>
  <c r="P110" i="8" s="1"/>
  <c r="V238" i="7"/>
  <c r="X238" i="7"/>
  <c r="Q241" i="7"/>
  <c r="Q256" i="7" s="1"/>
  <c r="Q267" i="7" s="1"/>
  <c r="Q269" i="7" s="1"/>
  <c r="T238" i="7"/>
  <c r="W238" i="7"/>
  <c r="U238" i="7"/>
  <c r="Y238" i="7"/>
  <c r="O151" i="7"/>
  <c r="O159" i="7" s="1"/>
  <c r="P149" i="7"/>
  <c r="M38" i="6" l="1"/>
  <c r="M53" i="6" s="1"/>
  <c r="M55" i="6" s="1"/>
  <c r="M161" i="6" s="1"/>
  <c r="M271" i="6" s="1"/>
  <c r="M272" i="6" s="1"/>
  <c r="M53" i="7"/>
  <c r="M55" i="7" s="1"/>
  <c r="Q91" i="8"/>
  <c r="Q92" i="8" s="1"/>
  <c r="Q52" i="8"/>
  <c r="Q82" i="8"/>
  <c r="Q83" i="8" s="1"/>
  <c r="Q49" i="8"/>
  <c r="Q73" i="8"/>
  <c r="Q74" i="8" s="1"/>
  <c r="Q64" i="8"/>
  <c r="Q65" i="8" s="1"/>
  <c r="Q100" i="8"/>
  <c r="Q101" i="8" s="1"/>
  <c r="Q109" i="8"/>
  <c r="Q110" i="8" s="1"/>
  <c r="S35" i="8"/>
  <c r="R48" i="8"/>
  <c r="P151" i="7"/>
  <c r="P159" i="7" s="1"/>
  <c r="Q149" i="7"/>
  <c r="Q151" i="7" s="1"/>
  <c r="Q159" i="7" s="1"/>
  <c r="G35" i="9" l="1"/>
  <c r="S48" i="8"/>
  <c r="T35" i="8"/>
  <c r="T48" i="8" s="1"/>
  <c r="R100" i="8"/>
  <c r="R101" i="8" s="1"/>
  <c r="N53" i="7"/>
  <c r="N55" i="7" s="1"/>
  <c r="N38" i="6"/>
  <c r="N53" i="6" s="1"/>
  <c r="N55" i="6" s="1"/>
  <c r="N161" i="6" s="1"/>
  <c r="N271" i="6" s="1"/>
  <c r="N272" i="6" s="1"/>
  <c r="R49" i="8"/>
  <c r="R109" i="8"/>
  <c r="R110" i="8" s="1"/>
  <c r="R73" i="8"/>
  <c r="R74" i="8" s="1"/>
  <c r="R64" i="8"/>
  <c r="R65" i="8" s="1"/>
  <c r="R52" i="8"/>
  <c r="R82" i="8"/>
  <c r="R83" i="8" s="1"/>
  <c r="R91" i="8"/>
  <c r="R92" i="8" s="1"/>
  <c r="T52" i="8" l="1"/>
  <c r="T49" i="8"/>
  <c r="O53" i="7"/>
  <c r="O55" i="7" s="1"/>
  <c r="O38" i="6"/>
  <c r="S82" i="8"/>
  <c r="S83" i="8" s="1"/>
  <c r="T83" i="8" s="1"/>
  <c r="S49" i="8"/>
  <c r="S91" i="8"/>
  <c r="S92" i="8" s="1"/>
  <c r="T92" i="8" s="1"/>
  <c r="S73" i="8"/>
  <c r="S74" i="8" s="1"/>
  <c r="T74" i="8" s="1"/>
  <c r="S52" i="8"/>
  <c r="S100" i="8"/>
  <c r="S101" i="8" s="1"/>
  <c r="T101" i="8" s="1"/>
  <c r="S64" i="8"/>
  <c r="S65" i="8" s="1"/>
  <c r="T65" i="8" s="1"/>
  <c r="S109" i="8"/>
  <c r="S110" i="8" s="1"/>
  <c r="T110" i="8" s="1"/>
  <c r="H35" i="9"/>
  <c r="G48" i="9"/>
  <c r="T117" i="8" l="1"/>
  <c r="C38" i="7"/>
  <c r="P38" i="7" s="1"/>
  <c r="O53" i="6"/>
  <c r="O55" i="6" s="1"/>
  <c r="P38" i="6"/>
  <c r="G73" i="9"/>
  <c r="G74" i="9" s="1"/>
  <c r="G109" i="9"/>
  <c r="G110" i="9" s="1"/>
  <c r="G49" i="9"/>
  <c r="G52" i="9"/>
  <c r="G82" i="9"/>
  <c r="G83" i="9" s="1"/>
  <c r="G64" i="9"/>
  <c r="G65" i="9" s="1"/>
  <c r="G91" i="9"/>
  <c r="G92" i="9" s="1"/>
  <c r="G100" i="9"/>
  <c r="G101" i="9" s="1"/>
  <c r="I35" i="9"/>
  <c r="H48" i="9"/>
  <c r="J35" i="9" l="1"/>
  <c r="I48" i="9"/>
  <c r="Q38" i="6"/>
  <c r="Q53" i="6" s="1"/>
  <c r="P53" i="6"/>
  <c r="P55" i="6" s="1"/>
  <c r="P161" i="6" s="1"/>
  <c r="P271" i="6" s="1"/>
  <c r="P272" i="6" s="1"/>
  <c r="H109" i="9"/>
  <c r="H110" i="9" s="1"/>
  <c r="H91" i="9"/>
  <c r="H92" i="9" s="1"/>
  <c r="H73" i="9"/>
  <c r="H74" i="9" s="1"/>
  <c r="H49" i="9"/>
  <c r="H100" i="9"/>
  <c r="H101" i="9" s="1"/>
  <c r="H82" i="9"/>
  <c r="H83" i="9" s="1"/>
  <c r="H64" i="9"/>
  <c r="H65" i="9" s="1"/>
  <c r="H52" i="9"/>
  <c r="C53" i="7"/>
  <c r="C55" i="7" s="1"/>
  <c r="I109" i="9" l="1"/>
  <c r="I110" i="9" s="1"/>
  <c r="I73" i="9"/>
  <c r="I74" i="9" s="1"/>
  <c r="I64" i="9"/>
  <c r="I65" i="9" s="1"/>
  <c r="I49" i="9"/>
  <c r="I52" i="9"/>
  <c r="I82" i="9"/>
  <c r="I83" i="9" s="1"/>
  <c r="I91" i="9"/>
  <c r="I92" i="9" s="1"/>
  <c r="I100" i="9"/>
  <c r="I101" i="9" s="1"/>
  <c r="P53" i="7"/>
  <c r="P55" i="7" s="1"/>
  <c r="Q38" i="7"/>
  <c r="Q53" i="7" s="1"/>
  <c r="Q55" i="6"/>
  <c r="Q161" i="6" s="1"/>
  <c r="Q271" i="6" s="1"/>
  <c r="Q272" i="6" s="1"/>
  <c r="R53" i="6"/>
  <c r="K35" i="9"/>
  <c r="J48" i="9"/>
  <c r="J109" i="9" l="1"/>
  <c r="J110" i="9" s="1"/>
  <c r="J52" i="9"/>
  <c r="J91" i="9"/>
  <c r="J92" i="9" s="1"/>
  <c r="J49" i="9"/>
  <c r="J73" i="9"/>
  <c r="J74" i="9" s="1"/>
  <c r="J100" i="9"/>
  <c r="J101" i="9" s="1"/>
  <c r="J64" i="9"/>
  <c r="J65" i="9" s="1"/>
  <c r="J82" i="9"/>
  <c r="J83" i="9" s="1"/>
  <c r="R53" i="7"/>
  <c r="Q55" i="7"/>
  <c r="L35" i="9"/>
  <c r="K48" i="9"/>
  <c r="M35" i="9" l="1"/>
  <c r="L48" i="9"/>
  <c r="K91" i="9"/>
  <c r="K92" i="9" s="1"/>
  <c r="K100" i="9"/>
  <c r="K101" i="9" s="1"/>
  <c r="K52" i="9"/>
  <c r="K73" i="9"/>
  <c r="K74" i="9" s="1"/>
  <c r="K49" i="9"/>
  <c r="K64" i="9"/>
  <c r="K65" i="9" s="1"/>
  <c r="K109" i="9"/>
  <c r="K110" i="9" s="1"/>
  <c r="K82" i="9"/>
  <c r="K83" i="9" s="1"/>
  <c r="L109" i="9" l="1"/>
  <c r="L110" i="9" s="1"/>
  <c r="L91" i="9"/>
  <c r="L92" i="9" s="1"/>
  <c r="L73" i="9"/>
  <c r="L74" i="9" s="1"/>
  <c r="L49" i="9"/>
  <c r="L82" i="9"/>
  <c r="L83" i="9" s="1"/>
  <c r="L64" i="9"/>
  <c r="L65" i="9" s="1"/>
  <c r="L100" i="9"/>
  <c r="L101" i="9" s="1"/>
  <c r="L52" i="9"/>
  <c r="N35" i="9"/>
  <c r="M48" i="9"/>
  <c r="M109" i="9" l="1"/>
  <c r="M110" i="9" s="1"/>
  <c r="M91" i="9"/>
  <c r="M92" i="9" s="1"/>
  <c r="M64" i="9"/>
  <c r="M65" i="9" s="1"/>
  <c r="M52" i="9"/>
  <c r="M82" i="9"/>
  <c r="M83" i="9" s="1"/>
  <c r="M100" i="9"/>
  <c r="M101" i="9" s="1"/>
  <c r="M73" i="9"/>
  <c r="M74" i="9" s="1"/>
  <c r="M49" i="9"/>
  <c r="O35" i="9"/>
  <c r="N48" i="9"/>
  <c r="N73" i="9" l="1"/>
  <c r="N74" i="9" s="1"/>
  <c r="N64" i="9"/>
  <c r="N65" i="9" s="1"/>
  <c r="N82" i="9"/>
  <c r="N83" i="9" s="1"/>
  <c r="N109" i="9"/>
  <c r="N110" i="9" s="1"/>
  <c r="N91" i="9"/>
  <c r="N92" i="9" s="1"/>
  <c r="N100" i="9"/>
  <c r="N101" i="9" s="1"/>
  <c r="N49" i="9"/>
  <c r="N52" i="9"/>
  <c r="P35" i="9"/>
  <c r="O48" i="9"/>
  <c r="O64" i="9" l="1"/>
  <c r="O65" i="9" s="1"/>
  <c r="O49" i="9"/>
  <c r="O109" i="9"/>
  <c r="O110" i="9" s="1"/>
  <c r="O100" i="9"/>
  <c r="O101" i="9" s="1"/>
  <c r="O73" i="9"/>
  <c r="O74" i="9" s="1"/>
  <c r="O52" i="9"/>
  <c r="O91" i="9"/>
  <c r="O92" i="9" s="1"/>
  <c r="O82" i="9"/>
  <c r="O83" i="9" s="1"/>
  <c r="Q35" i="9"/>
  <c r="P48" i="9"/>
  <c r="P109" i="9" l="1"/>
  <c r="P110" i="9" s="1"/>
  <c r="P64" i="9"/>
  <c r="P65" i="9" s="1"/>
  <c r="P52" i="9"/>
  <c r="P49" i="9"/>
  <c r="P82" i="9"/>
  <c r="P83" i="9" s="1"/>
  <c r="P100" i="9"/>
  <c r="P101" i="9" s="1"/>
  <c r="P73" i="9"/>
  <c r="P74" i="9" s="1"/>
  <c r="P91" i="9"/>
  <c r="P92" i="9" s="1"/>
  <c r="R35" i="9"/>
  <c r="Q48" i="9"/>
  <c r="Q91" i="9" l="1"/>
  <c r="Q92" i="9" s="1"/>
  <c r="Q109" i="9"/>
  <c r="Q110" i="9" s="1"/>
  <c r="Q100" i="9"/>
  <c r="Q101" i="9" s="1"/>
  <c r="Q73" i="9"/>
  <c r="Q74" i="9" s="1"/>
  <c r="Q52" i="9"/>
  <c r="Q82" i="9"/>
  <c r="Q83" i="9" s="1"/>
  <c r="Q49" i="9"/>
  <c r="Q64" i="9"/>
  <c r="Q65" i="9" s="1"/>
  <c r="S35" i="9"/>
  <c r="R48" i="9"/>
  <c r="R109" i="9" l="1"/>
  <c r="R110" i="9" s="1"/>
  <c r="R64" i="9"/>
  <c r="R65" i="9" s="1"/>
  <c r="R52" i="9"/>
  <c r="R49" i="9"/>
  <c r="R73" i="9"/>
  <c r="R74" i="9" s="1"/>
  <c r="R91" i="9"/>
  <c r="R92" i="9" s="1"/>
  <c r="R100" i="9"/>
  <c r="R101" i="9" s="1"/>
  <c r="R82" i="9"/>
  <c r="R83" i="9" s="1"/>
  <c r="S48" i="9"/>
  <c r="T35" i="9"/>
  <c r="T48" i="9" s="1"/>
  <c r="T49" i="9" l="1"/>
  <c r="T52" i="9"/>
  <c r="S91" i="9"/>
  <c r="S92" i="9" s="1"/>
  <c r="T92" i="9" s="1"/>
  <c r="S64" i="9"/>
  <c r="S65" i="9" s="1"/>
  <c r="T65" i="9" s="1"/>
  <c r="S73" i="9"/>
  <c r="S74" i="9" s="1"/>
  <c r="T74" i="9" s="1"/>
  <c r="S100" i="9"/>
  <c r="S101" i="9" s="1"/>
  <c r="T101" i="9" s="1"/>
  <c r="S52" i="9"/>
  <c r="S109" i="9"/>
  <c r="S110" i="9" s="1"/>
  <c r="T110" i="9" s="1"/>
  <c r="S49" i="9"/>
  <c r="S82" i="9"/>
  <c r="S83" i="9" s="1"/>
  <c r="T83" i="9" s="1"/>
  <c r="T117" i="9" l="1"/>
  <c r="C74" i="7"/>
  <c r="O79" i="6"/>
  <c r="AB79" i="6" s="1"/>
  <c r="AB270" i="6" s="1"/>
  <c r="AC79" i="6" l="1"/>
  <c r="AC270" i="6" s="1"/>
  <c r="AG79" i="6"/>
  <c r="AG270" i="6" s="1"/>
  <c r="D79" i="7"/>
  <c r="D144" i="7" s="1"/>
  <c r="D161" i="7" s="1"/>
  <c r="D271" i="7" s="1"/>
  <c r="D272" i="7" s="1"/>
  <c r="AE79" i="6"/>
  <c r="AE270" i="6" s="1"/>
  <c r="C79" i="7"/>
  <c r="C144" i="7" s="1"/>
  <c r="C161" i="7" s="1"/>
  <c r="C271" i="7" s="1"/>
  <c r="O144" i="6"/>
  <c r="O161" i="6" s="1"/>
  <c r="O271" i="6" s="1"/>
  <c r="O272" i="6" s="1"/>
  <c r="AF79" i="6"/>
  <c r="AF270" i="6" s="1"/>
  <c r="AD79" i="6"/>
  <c r="AD270" i="6" s="1"/>
  <c r="AH79" i="6" l="1"/>
  <c r="E79" i="7"/>
  <c r="E144" i="7" s="1"/>
  <c r="E161" i="7" s="1"/>
  <c r="E271" i="7" s="1"/>
  <c r="E272" i="7" s="1"/>
  <c r="F79" i="7" l="1"/>
  <c r="F144" i="7" s="1"/>
  <c r="F161" i="7" s="1"/>
  <c r="F271" i="7" s="1"/>
  <c r="F272" i="7" s="1"/>
  <c r="G79" i="7" l="1"/>
  <c r="G144" i="7" s="1"/>
  <c r="G161" i="7" s="1"/>
  <c r="G271" i="7" s="1"/>
  <c r="G272" i="7" s="1"/>
  <c r="H79" i="7" l="1"/>
  <c r="H144" i="7" s="1"/>
  <c r="H161" i="7" s="1"/>
  <c r="H271" i="7" s="1"/>
  <c r="H272" i="7" s="1"/>
  <c r="I79" i="7" l="1"/>
  <c r="I144" i="7" s="1"/>
  <c r="I161" i="7" s="1"/>
  <c r="I271" i="7" s="1"/>
  <c r="I272" i="7" s="1"/>
  <c r="J79" i="7" l="1"/>
  <c r="J144" i="7" s="1"/>
  <c r="J161" i="7" s="1"/>
  <c r="J271" i="7" s="1"/>
  <c r="J272" i="7" s="1"/>
  <c r="K79" i="7" l="1"/>
  <c r="K144" i="7" s="1"/>
  <c r="K161" i="7" s="1"/>
  <c r="K271" i="7" s="1"/>
  <c r="K272" i="7" s="1"/>
  <c r="L79" i="7" l="1"/>
  <c r="L144" i="7" s="1"/>
  <c r="L161" i="7" s="1"/>
  <c r="L271" i="7" s="1"/>
  <c r="L272" i="7" s="1"/>
  <c r="M79" i="7" l="1"/>
  <c r="M144" i="7" s="1"/>
  <c r="M161" i="7" s="1"/>
  <c r="M271" i="7" s="1"/>
  <c r="M272" i="7" s="1"/>
  <c r="N79" i="7" l="1"/>
  <c r="N144" i="7" s="1"/>
  <c r="N161" i="7" s="1"/>
  <c r="N271" i="7" s="1"/>
  <c r="N272" i="7" s="1"/>
  <c r="O79" i="7" l="1"/>
  <c r="P74" i="7"/>
  <c r="Q79" i="7" l="1"/>
  <c r="P79" i="7"/>
  <c r="P144" i="7" s="1"/>
  <c r="P161" i="7" s="1"/>
  <c r="P271" i="7" s="1"/>
  <c r="P272" i="7" s="1"/>
  <c r="AB79" i="7"/>
  <c r="AC79" i="7"/>
  <c r="AC270" i="7" s="1"/>
  <c r="AE79" i="7"/>
  <c r="AE270" i="7" s="1"/>
  <c r="AG79" i="7"/>
  <c r="AG270" i="7" s="1"/>
  <c r="AF79" i="7"/>
  <c r="AF270" i="7" s="1"/>
  <c r="O144" i="7"/>
  <c r="O161" i="7" s="1"/>
  <c r="O271" i="7" s="1"/>
  <c r="O272" i="7" s="1"/>
  <c r="AD79" i="7"/>
  <c r="AD270" i="7" s="1"/>
  <c r="X79" i="7" l="1"/>
  <c r="X270" i="7" s="1"/>
  <c r="T79" i="7"/>
  <c r="U79" i="7"/>
  <c r="U270" i="7" s="1"/>
  <c r="V79" i="7"/>
  <c r="V270" i="7" s="1"/>
  <c r="Y79" i="7"/>
  <c r="Y270" i="7" s="1"/>
  <c r="Q144" i="7"/>
  <c r="Q161" i="7" s="1"/>
  <c r="Q271" i="7" s="1"/>
  <c r="W79" i="7"/>
  <c r="W270" i="7" s="1"/>
  <c r="AH79" i="7"/>
  <c r="AB270" i="7"/>
  <c r="T270" i="7" l="1"/>
  <c r="R79" i="7"/>
</calcChain>
</file>

<file path=xl/comments1.xml><?xml version="1.0" encoding="utf-8"?>
<comments xmlns="http://schemas.openxmlformats.org/spreadsheetml/2006/main">
  <authors>
    <author>Setup</author>
    <author>Welch, Kathy</author>
  </authors>
  <commentList>
    <comment ref="U79" authorId="0" shapeId="0">
      <text>
        <r>
          <rPr>
            <b/>
            <sz val="9"/>
            <color indexed="81"/>
            <rFont val="Tahoma"/>
            <family val="2"/>
          </rPr>
          <t>Setup:</t>
        </r>
        <r>
          <rPr>
            <sz val="9"/>
            <color indexed="81"/>
            <rFont val="Tahoma"/>
            <family val="2"/>
          </rPr>
          <t xml:space="preserve">
Add in adj for outstanding checks to offset 11101312.</t>
        </r>
      </text>
    </comment>
    <comment ref="T237" authorId="1" shapeId="0">
      <text>
        <r>
          <rPr>
            <b/>
            <sz val="9"/>
            <color indexed="81"/>
            <rFont val="Tahoma"/>
            <family val="2"/>
          </rPr>
          <t>Welch, Kathy:</t>
        </r>
        <r>
          <rPr>
            <sz val="9"/>
            <color indexed="81"/>
            <rFont val="Tahoma"/>
            <family val="2"/>
          </rPr>
          <t xml:space="preserve">
Have to change these based on division 2-See summary schedule in quarterly file and update
</t>
        </r>
      </text>
    </comment>
    <comment ref="T238" authorId="1" shapeId="0">
      <text>
        <r>
          <rPr>
            <b/>
            <sz val="9"/>
            <color indexed="81"/>
            <rFont val="Tahoma"/>
            <family val="2"/>
          </rPr>
          <t>Welch, Kathy:</t>
        </r>
        <r>
          <rPr>
            <sz val="9"/>
            <color indexed="81"/>
            <rFont val="Tahoma"/>
            <family val="2"/>
          </rPr>
          <t xml:space="preserve">
Have to change these based on division 2-See summary schedule in quarterly file and update
</t>
        </r>
      </text>
    </comment>
  </commentList>
</comments>
</file>

<file path=xl/comments2.xml><?xml version="1.0" encoding="utf-8"?>
<comments xmlns="http://schemas.openxmlformats.org/spreadsheetml/2006/main">
  <authors>
    <author>Setup</author>
    <author>Onsomu, Philip</author>
    <author>Welch, Kathy</author>
  </authors>
  <commentList>
    <comment ref="U79" authorId="0" shapeId="0">
      <text>
        <r>
          <rPr>
            <b/>
            <sz val="9"/>
            <color indexed="81"/>
            <rFont val="Tahoma"/>
            <family val="2"/>
          </rPr>
          <t>Setup:</t>
        </r>
        <r>
          <rPr>
            <sz val="9"/>
            <color indexed="81"/>
            <rFont val="Tahoma"/>
            <family val="2"/>
          </rPr>
          <t xml:space="preserve">
Add in adj for outstanding checks to offset 11101312.</t>
        </r>
      </text>
    </comment>
    <comment ref="D154" authorId="1" shapeId="0">
      <text>
        <r>
          <rPr>
            <b/>
            <sz val="12"/>
            <color indexed="81"/>
            <rFont val="Tahoma"/>
            <family val="2"/>
          </rPr>
          <t>Onsomu, Philip:</t>
        </r>
        <r>
          <rPr>
            <sz val="12"/>
            <color indexed="81"/>
            <rFont val="Tahoma"/>
            <family val="2"/>
          </rPr>
          <t xml:space="preserve">
Dana checking on this drop off from 12/31/21 to 1/31/22</t>
        </r>
      </text>
    </comment>
    <comment ref="T238" authorId="2" shapeId="0">
      <text>
        <r>
          <rPr>
            <b/>
            <sz val="9"/>
            <color indexed="81"/>
            <rFont val="Tahoma"/>
            <family val="2"/>
          </rPr>
          <t>Welch, Kathy:</t>
        </r>
        <r>
          <rPr>
            <sz val="9"/>
            <color indexed="81"/>
            <rFont val="Tahoma"/>
            <family val="2"/>
          </rPr>
          <t xml:space="preserve">
Have to change these based on division 2-See summary schedule in quarterly file and update
</t>
        </r>
      </text>
    </comment>
    <comment ref="T239" authorId="2" shapeId="0">
      <text>
        <r>
          <rPr>
            <b/>
            <sz val="9"/>
            <color indexed="81"/>
            <rFont val="Tahoma"/>
            <family val="2"/>
          </rPr>
          <t>Welch, Kathy:</t>
        </r>
        <r>
          <rPr>
            <sz val="9"/>
            <color indexed="81"/>
            <rFont val="Tahoma"/>
            <family val="2"/>
          </rPr>
          <t xml:space="preserve">
Have to change these based on division 2-See summary schedule in quarterly file and update
</t>
        </r>
      </text>
    </comment>
  </commentList>
</comments>
</file>

<file path=xl/comments3.xml><?xml version="1.0" encoding="utf-8"?>
<comments xmlns="http://schemas.openxmlformats.org/spreadsheetml/2006/main">
  <authors>
    <author>Setup</author>
    <author>Welch, Kathy</author>
  </authors>
  <commentList>
    <comment ref="U79" authorId="0" shapeId="0">
      <text>
        <r>
          <rPr>
            <b/>
            <sz val="9"/>
            <color indexed="81"/>
            <rFont val="Tahoma"/>
            <family val="2"/>
          </rPr>
          <t>Setup:</t>
        </r>
        <r>
          <rPr>
            <sz val="9"/>
            <color indexed="81"/>
            <rFont val="Tahoma"/>
            <family val="2"/>
          </rPr>
          <t xml:space="preserve">
Add in adj for outstanding checks to offset 11101312.</t>
        </r>
      </text>
    </comment>
    <comment ref="T238" authorId="1" shapeId="0">
      <text>
        <r>
          <rPr>
            <b/>
            <sz val="9"/>
            <color indexed="81"/>
            <rFont val="Tahoma"/>
            <family val="2"/>
          </rPr>
          <t>Welch, Kathy:</t>
        </r>
        <r>
          <rPr>
            <sz val="9"/>
            <color indexed="81"/>
            <rFont val="Tahoma"/>
            <family val="2"/>
          </rPr>
          <t xml:space="preserve">
Have to change these based on division 2-See summary schedule in quarterly file and update
</t>
        </r>
      </text>
    </comment>
    <comment ref="T239" authorId="1" shapeId="0">
      <text>
        <r>
          <rPr>
            <b/>
            <sz val="9"/>
            <color indexed="81"/>
            <rFont val="Tahoma"/>
            <family val="2"/>
          </rPr>
          <t>Welch, Kathy:</t>
        </r>
        <r>
          <rPr>
            <sz val="9"/>
            <color indexed="81"/>
            <rFont val="Tahoma"/>
            <family val="2"/>
          </rPr>
          <t xml:space="preserve">
Have to change these based on division 2-See summary schedule in quarterly file and update
</t>
        </r>
      </text>
    </comment>
  </commentList>
</comments>
</file>

<file path=xl/comments4.xml><?xml version="1.0" encoding="utf-8"?>
<comments xmlns="http://schemas.openxmlformats.org/spreadsheetml/2006/main">
  <authors>
    <author>Welch, Kathy</author>
  </authors>
  <commentList>
    <comment ref="I15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J15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K15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L15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M15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N15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O15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P15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Q15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R15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S15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I16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J16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K16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L16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M16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N16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O16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P16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Q16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R16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S16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I18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per Lauren's report by building location.</t>
        </r>
      </text>
    </comment>
    <comment ref="J18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per Lauren's report by building location.</t>
        </r>
      </text>
    </comment>
    <comment ref="K18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per Lauren's report by building location.</t>
        </r>
      </text>
    </comment>
    <comment ref="L18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per Lauren's report by building location.</t>
        </r>
      </text>
    </comment>
    <comment ref="M18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per Lauren's report by building location.</t>
        </r>
      </text>
    </comment>
    <comment ref="N18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per Lauren's report by building location.</t>
        </r>
      </text>
    </comment>
    <comment ref="O18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per Lauren's report by building location.</t>
        </r>
      </text>
    </comment>
    <comment ref="P18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per Lauren's report by building location.</t>
        </r>
      </text>
    </comment>
    <comment ref="Q18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per Lauren's report by building location.</t>
        </r>
      </text>
    </comment>
    <comment ref="R18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per Lauren's report by building location.</t>
        </r>
      </text>
    </comment>
    <comment ref="S18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per Lauren's report by building location.</t>
        </r>
      </text>
    </comment>
  </commentList>
</comments>
</file>

<file path=xl/comments5.xml><?xml version="1.0" encoding="utf-8"?>
<comments xmlns="http://schemas.openxmlformats.org/spreadsheetml/2006/main">
  <authors>
    <author>Welch, Kathy</author>
  </authors>
  <commentList>
    <comment ref="D4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Remove Ecoplex Depreciation
</t>
        </r>
      </text>
    </comment>
    <comment ref="D5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Remove Ecoplex Depreciation
</t>
        </r>
      </text>
    </comment>
    <comment ref="D7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Remove Ecoplex Depreciation</t>
        </r>
      </text>
    </comment>
  </commentList>
</comments>
</file>

<file path=xl/comments6.xml><?xml version="1.0" encoding="utf-8"?>
<comments xmlns="http://schemas.openxmlformats.org/spreadsheetml/2006/main">
  <authors>
    <author>Welch, Kathy</author>
  </authors>
  <commentList>
    <comment ref="B4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Removed 1/2 of Yulee
</t>
        </r>
      </text>
    </comment>
    <comment ref="C4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Removed portion for Yulee changes
</t>
        </r>
      </text>
    </comment>
  </commentList>
</comments>
</file>

<file path=xl/sharedStrings.xml><?xml version="1.0" encoding="utf-8"?>
<sst xmlns="http://schemas.openxmlformats.org/spreadsheetml/2006/main" count="3579" uniqueCount="532">
  <si>
    <t>FPU Parent</t>
  </si>
  <si>
    <t>Work_Cap</t>
  </si>
  <si>
    <t>13-month average</t>
  </si>
  <si>
    <t>YEAR END</t>
  </si>
  <si>
    <t>Balance Sheet by FERC Account</t>
  </si>
  <si>
    <t>Allocations</t>
  </si>
  <si>
    <t>ELECTRIC %</t>
  </si>
  <si>
    <t>NAT. GAS %</t>
  </si>
  <si>
    <t>CFG%</t>
  </si>
  <si>
    <t>IND %</t>
  </si>
  <si>
    <t>FT. MEADE</t>
  </si>
  <si>
    <t>OTHER %</t>
  </si>
  <si>
    <t>13-Month Average</t>
  </si>
  <si>
    <t>PLANT</t>
  </si>
  <si>
    <t>December 31, 2021</t>
  </si>
  <si>
    <t>FPU PLANT</t>
  </si>
  <si>
    <t>BASE REV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</si>
  <si>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</si>
  <si>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</si>
  <si>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</si>
  <si>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</si>
  <si>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</si>
  <si>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</si>
  <si>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</si>
  <si>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</si>
  <si>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</si>
  <si>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</si>
  <si>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</si>
  <si>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</si>
  <si>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PR_FPU</t>
  </si>
  <si>
    <t>2020</t>
  </si>
  <si>
    <t>2021</t>
  </si>
  <si>
    <t>Total</t>
  </si>
  <si>
    <t>13-Mo Avg</t>
  </si>
  <si>
    <t>PAYROLL</t>
  </si>
  <si>
    <t>Consolidated IC Check - 1460</t>
  </si>
  <si>
    <t>13??1460</t>
  </si>
  <si>
    <t>Assets</t>
  </si>
  <si>
    <t>Property, Plant &amp; Equipment</t>
  </si>
  <si>
    <t>Plant in service</t>
  </si>
  <si>
    <t>Plant in service (detail in PowerPlan)</t>
  </si>
  <si>
    <t>10101010</t>
  </si>
  <si>
    <t>See separate tab</t>
  </si>
  <si>
    <t>Land &amp; Land Rights</t>
  </si>
  <si>
    <t>10103890</t>
  </si>
  <si>
    <t>Structures &amp; Improvements</t>
  </si>
  <si>
    <t>10103900</t>
  </si>
  <si>
    <t>Office Furniture &amp; Equipment</t>
  </si>
  <si>
    <t>10103910</t>
  </si>
  <si>
    <t>Computer Hardware</t>
  </si>
  <si>
    <t>10103912</t>
  </si>
  <si>
    <t>Furniture &amp; Fixtures</t>
  </si>
  <si>
    <t>10103913</t>
  </si>
  <si>
    <t>System Software</t>
  </si>
  <si>
    <t>10103914</t>
  </si>
  <si>
    <t>Transportation Equip-Cars</t>
  </si>
  <si>
    <t>10103921</t>
  </si>
  <si>
    <t>Transportation Equip-Light Duty Trucks/Vans</t>
  </si>
  <si>
    <t>10103922</t>
  </si>
  <si>
    <t>Communication Equipment</t>
  </si>
  <si>
    <t>10103970</t>
  </si>
  <si>
    <t>Miscellaneous Equipment</t>
  </si>
  <si>
    <t>10103980</t>
  </si>
  <si>
    <t>Other Tangible Property</t>
  </si>
  <si>
    <t>10103990</t>
  </si>
  <si>
    <t>Completed Construction Not Classified</t>
  </si>
  <si>
    <t>10601060</t>
  </si>
  <si>
    <t>-</t>
  </si>
  <si>
    <t>Total plant in service</t>
  </si>
  <si>
    <t>CWIP</t>
  </si>
  <si>
    <t>CWIP - Construction Work in Progress</t>
  </si>
  <si>
    <t>10701070</t>
  </si>
  <si>
    <t>Total CWIP</t>
  </si>
  <si>
    <t>Accum depr &amp; amort (incl RWIP)</t>
  </si>
  <si>
    <t>Accumulated Depreciation</t>
  </si>
  <si>
    <t>10801080</t>
  </si>
  <si>
    <t>10803900</t>
  </si>
  <si>
    <t>10803910</t>
  </si>
  <si>
    <t>10803912</t>
  </si>
  <si>
    <t>10803913</t>
  </si>
  <si>
    <t>10803914</t>
  </si>
  <si>
    <t>10803921</t>
  </si>
  <si>
    <t>10803922</t>
  </si>
  <si>
    <t>10803970</t>
  </si>
  <si>
    <t>10803980</t>
  </si>
  <si>
    <t>10803990</t>
  </si>
  <si>
    <t>Cost Pool Clearing - Facilities</t>
  </si>
  <si>
    <t>108F1080</t>
  </si>
  <si>
    <t>Cost Pool Clearing - Vehicles</t>
  </si>
  <si>
    <t>108V1080</t>
  </si>
  <si>
    <t>Cost Pool Cleairng Offset</t>
  </si>
  <si>
    <t>108Z1080</t>
  </si>
  <si>
    <t>Total accum depr &amp; amort (incl RWIP)</t>
  </si>
  <si>
    <t>Total property, plant &amp; equipment</t>
  </si>
  <si>
    <t>Investments</t>
  </si>
  <si>
    <t>Investment in subsidiaries</t>
  </si>
  <si>
    <t>FPU Electric - Investment in Associated Companies</t>
  </si>
  <si>
    <t>10FE1230</t>
  </si>
  <si>
    <t>FloGas - Investment in Sub</t>
  </si>
  <si>
    <t>10FF1231</t>
  </si>
  <si>
    <t>FPU Indiantown Natural Gas - Investment in Associated Companies</t>
  </si>
  <si>
    <t>10FI1230</t>
  </si>
  <si>
    <t>FPU M&amp;J - Investment in Associated Companies</t>
  </si>
  <si>
    <t>10FM1230</t>
  </si>
  <si>
    <t>FPU Natural Gas - Investment in Associated Companies</t>
  </si>
  <si>
    <t>10FN1230</t>
  </si>
  <si>
    <t>Ft. Meade - Investment in Associated Companies</t>
  </si>
  <si>
    <t>10FT1230</t>
  </si>
  <si>
    <t>Total investment in subsidiaries</t>
  </si>
  <si>
    <t>Total investments</t>
  </si>
  <si>
    <t>Current Assets</t>
  </si>
  <si>
    <t>Cash &amp; cash equivalents</t>
  </si>
  <si>
    <t>General Disbursements-Citizens - Cash - NO DRILLDOWN</t>
  </si>
  <si>
    <t>111C1310</t>
  </si>
  <si>
    <t>General Disbursements-Citizens - Cash Secondary Account - NO DRILLDOWN</t>
  </si>
  <si>
    <t>111C1311</t>
  </si>
  <si>
    <t>General Disbursements - Cash</t>
  </si>
  <si>
    <t>11101312</t>
  </si>
  <si>
    <t>Depository Account - Cash</t>
  </si>
  <si>
    <t>11401310</t>
  </si>
  <si>
    <t>ADJ. FOR OUTSTANDING CHECKS</t>
  </si>
  <si>
    <t>Total cash &amp; cash equivalents</t>
  </si>
  <si>
    <t>Trade receivables</t>
  </si>
  <si>
    <t>Accounts Receivable - Accounts Receivable</t>
  </si>
  <si>
    <t>12201420</t>
  </si>
  <si>
    <t>Misc. Customer Accounts Receivable - Accounts Receivable</t>
  </si>
  <si>
    <t>12771420</t>
  </si>
  <si>
    <t>Accounts Receivable Credits - Accounts Receivable</t>
  </si>
  <si>
    <t>12CR1420</t>
  </si>
  <si>
    <t>Total trade receivables</t>
  </si>
  <si>
    <t>Other receivables</t>
  </si>
  <si>
    <t>Employee Receivables - Other Accounts Receivable</t>
  </si>
  <si>
    <t>12901430</t>
  </si>
  <si>
    <t>Miscellaneous Accounts Receivable - Other Accounts Receivable</t>
  </si>
  <si>
    <t>12991430</t>
  </si>
  <si>
    <t>Total other receivables</t>
  </si>
  <si>
    <t>IC receivable (payable) - NO DRILLDOWN</t>
  </si>
  <si>
    <t>IC with Delmarva Natural Gas</t>
  </si>
  <si>
    <t>13101460</t>
  </si>
  <si>
    <t>IC with Delmarva Propane</t>
  </si>
  <si>
    <t>13201460</t>
  </si>
  <si>
    <t>IC with Florida</t>
  </si>
  <si>
    <t>13301460</t>
  </si>
  <si>
    <t>IC with FPU Alloc Group</t>
  </si>
  <si>
    <t>13401460</t>
  </si>
  <si>
    <t>IC with Whse (4001)</t>
  </si>
  <si>
    <t>134W1460</t>
  </si>
  <si>
    <t>IC with Corporate</t>
  </si>
  <si>
    <t>13601460</t>
  </si>
  <si>
    <t>IC with Aspire Energy of Ohio, LLC</t>
  </si>
  <si>
    <t>13A11460</t>
  </si>
  <si>
    <t>IC with Central Florida Gas</t>
  </si>
  <si>
    <t>13CF1460</t>
  </si>
  <si>
    <t>IC with Marlin Compression (CNG)</t>
  </si>
  <si>
    <t>13CN1460</t>
  </si>
  <si>
    <t>IC with CU</t>
  </si>
  <si>
    <t>13CU1460</t>
  </si>
  <si>
    <t>IC with Delaware Division</t>
  </si>
  <si>
    <t>13DE1460</t>
  </si>
  <si>
    <t>IC with Eight Flags</t>
  </si>
  <si>
    <t>13EF1460</t>
  </si>
  <si>
    <t>IC with Elkton Gas</t>
  </si>
  <si>
    <t>13EK1460</t>
  </si>
  <si>
    <t>IC with Eastern Shore</t>
  </si>
  <si>
    <t>13ES1460</t>
  </si>
  <si>
    <t>IC with FPU Corporate (Parent)</t>
  </si>
  <si>
    <t>13FC1460</t>
  </si>
  <si>
    <t>IC with FPU Electric</t>
  </si>
  <si>
    <t>13FE1460</t>
  </si>
  <si>
    <t>IC with Flo-Gas</t>
  </si>
  <si>
    <t>13FF1460</t>
  </si>
  <si>
    <t>IC with Florida CGS</t>
  </si>
  <si>
    <t>13FG1460</t>
  </si>
  <si>
    <t>IC with FPU Indiantown</t>
  </si>
  <si>
    <t>13FI1460</t>
  </si>
  <si>
    <t>IC with FPU M&amp;J</t>
  </si>
  <si>
    <t>13FM1460</t>
  </si>
  <si>
    <t>IC with FPU Natural Gas</t>
  </si>
  <si>
    <t>13FN1460</t>
  </si>
  <si>
    <t>IC with Ft. Meade</t>
  </si>
  <si>
    <t>13FT1460</t>
  </si>
  <si>
    <t>IC with Blue Peake LNG</t>
  </si>
  <si>
    <t>13LN1460</t>
  </si>
  <si>
    <t>IC with Maryland Division</t>
  </si>
  <si>
    <t>13MD1460</t>
  </si>
  <si>
    <t>IC with Marlin</t>
  </si>
  <si>
    <t>13MS1460</t>
  </si>
  <si>
    <t>IC with PIPECO</t>
  </si>
  <si>
    <t>13PC1460</t>
  </si>
  <si>
    <t>IC with PESCO</t>
  </si>
  <si>
    <t>13PS1460</t>
  </si>
  <si>
    <t>IC with Amelia Renewables (RNG)</t>
  </si>
  <si>
    <t>13RN1460</t>
  </si>
  <si>
    <t>IC with Sharp CGS</t>
  </si>
  <si>
    <t>13SC1460</t>
  </si>
  <si>
    <t>IC with Sharp Energy</t>
  </si>
  <si>
    <t>13SE1460</t>
  </si>
  <si>
    <t>IC with Sharp Florida</t>
  </si>
  <si>
    <t>13SF1460</t>
  </si>
  <si>
    <t>IC with Sharpgas</t>
  </si>
  <si>
    <t>13SG1460</t>
  </si>
  <si>
    <t>IC with Skipjack</t>
  </si>
  <si>
    <t>13SK1460</t>
  </si>
  <si>
    <t>IC with Sandpiper (Worcester County)</t>
  </si>
  <si>
    <t>13WC1460</t>
  </si>
  <si>
    <t>Total IC receivable (payable)</t>
  </si>
  <si>
    <t>Prepaid expenses</t>
  </si>
  <si>
    <t>Prepaid Insurance - Prepayments</t>
  </si>
  <si>
    <t>15101650</t>
  </si>
  <si>
    <t>Prepaid Maintenance - Prepayments</t>
  </si>
  <si>
    <t>15201650</t>
  </si>
  <si>
    <t>Total prepaid expenses</t>
  </si>
  <si>
    <t>Other current assets</t>
  </si>
  <si>
    <t>Retentions - Prepayments</t>
  </si>
  <si>
    <t>15801650</t>
  </si>
  <si>
    <t>Total other current assets</t>
  </si>
  <si>
    <t>Total current assets</t>
  </si>
  <si>
    <t>Deferred Charges &amp; Other Assets</t>
  </si>
  <si>
    <t>Regulatory assets</t>
  </si>
  <si>
    <t>Regulatory Asset - Unamortized Loss on Reacquired Debt</t>
  </si>
  <si>
    <t>17991890</t>
  </si>
  <si>
    <t>Total regulatory assets</t>
  </si>
  <si>
    <t>Operating lease assets</t>
  </si>
  <si>
    <t>Operating Lease-RoU Asset 101.1 - Capital Leases</t>
  </si>
  <si>
    <t>101L1011</t>
  </si>
  <si>
    <t>Plant</t>
  </si>
  <si>
    <t>Lease Amort-RoU Asset 101.1 - Capital Leases</t>
  </si>
  <si>
    <t>108L1011</t>
  </si>
  <si>
    <t>Total operating lease assets</t>
  </si>
  <si>
    <t>Total deferred charges &amp; other assets</t>
  </si>
  <si>
    <t>Total Assets</t>
  </si>
  <si>
    <t>=</t>
  </si>
  <si>
    <t>Capitalization &amp; Liabilities</t>
  </si>
  <si>
    <t>Current Liabilities</t>
  </si>
  <si>
    <t>Accounts payable</t>
  </si>
  <si>
    <t>AP Hand Accrual - Accounts Payable</t>
  </si>
  <si>
    <t>21002320</t>
  </si>
  <si>
    <t>Accounts Payable - NO DRILLDOWN</t>
  </si>
  <si>
    <t>21022320</t>
  </si>
  <si>
    <t>Accounts Payable Credit Card - Accounts Payable</t>
  </si>
  <si>
    <t>21032320</t>
  </si>
  <si>
    <t>United Way Payable/Withholding - Accounts Payable</t>
  </si>
  <si>
    <t>21412320</t>
  </si>
  <si>
    <t>Garnishments Payable/Witholding - Accounts Payable</t>
  </si>
  <si>
    <t>21422320</t>
  </si>
  <si>
    <t>Union Dues Payable/Witholding - Accounts Payable</t>
  </si>
  <si>
    <t>21442320</t>
  </si>
  <si>
    <t>Refunds-Cust Deposits/Overpay - Accounts Payable</t>
  </si>
  <si>
    <t>21702320</t>
  </si>
  <si>
    <t>Accounts Payable Clearing-Leases - Accounts Payable</t>
  </si>
  <si>
    <t>21LS2320</t>
  </si>
  <si>
    <t>Total accounts payable</t>
  </si>
  <si>
    <t>Customer deposits &amp; refunds</t>
  </si>
  <si>
    <t>Customer Deposits-Unclaimed Refunds - Customer Deposits</t>
  </si>
  <si>
    <t>22112350</t>
  </si>
  <si>
    <t>A/R Refunds Payable - Customer Deposits</t>
  </si>
  <si>
    <t>22CR2350</t>
  </si>
  <si>
    <t>Total customer deposits &amp; refunds</t>
  </si>
  <si>
    <t>Income taxes</t>
  </si>
  <si>
    <t>State - Prepaid - Current</t>
  </si>
  <si>
    <t>24012364</t>
  </si>
  <si>
    <t>State - Accrued - Current</t>
  </si>
  <si>
    <t>24012365</t>
  </si>
  <si>
    <t>ADIT Offset to Current - Accrued - Current</t>
  </si>
  <si>
    <t>24102365</t>
  </si>
  <si>
    <t>Federal - Accrued - Current</t>
  </si>
  <si>
    <t>24202365</t>
  </si>
  <si>
    <t>FL - Accrued - Current</t>
  </si>
  <si>
    <t>24FL2365</t>
  </si>
  <si>
    <t>FL - Accrued - Prior</t>
  </si>
  <si>
    <t>24FL2367</t>
  </si>
  <si>
    <t>Total income taxes</t>
  </si>
  <si>
    <t>Accrued compensation</t>
  </si>
  <si>
    <t>Accrued Payroll - Misc Current &amp; Accrued Liabilities</t>
  </si>
  <si>
    <t>27102420</t>
  </si>
  <si>
    <t>Accrued PTO - Misc Current &amp; Accrued Liabilities</t>
  </si>
  <si>
    <t>27112420</t>
  </si>
  <si>
    <t>Accrued Bonus - Misc Current &amp; Accrued Liabilities</t>
  </si>
  <si>
    <t>27142420</t>
  </si>
  <si>
    <t>Accrued Severance - Misc Current &amp; Accrued Liabilities</t>
  </si>
  <si>
    <t>27162420</t>
  </si>
  <si>
    <t>Total accrued compensation</t>
  </si>
  <si>
    <t>Other accrued liabilities</t>
  </si>
  <si>
    <t>Accrued OPRB (Current) - Accum Provision for Pensions &amp; Benefits</t>
  </si>
  <si>
    <t>27332283</t>
  </si>
  <si>
    <t>Operating Lease Liability - Capital Lease Obligations-Current</t>
  </si>
  <si>
    <t>27772430</t>
  </si>
  <si>
    <t>Federal &amp; FICA Withholding - Tax Collections Payable</t>
  </si>
  <si>
    <t>27902410</t>
  </si>
  <si>
    <t>FUTA - Tax Collections Payable</t>
  </si>
  <si>
    <t>27952410</t>
  </si>
  <si>
    <t>FL Taxes Other - SUTA</t>
  </si>
  <si>
    <t>27FL2411</t>
  </si>
  <si>
    <t>GA Taxes Other - Pyrl Tx Withholding</t>
  </si>
  <si>
    <t>27GA2412</t>
  </si>
  <si>
    <t>Total other accrued liabilities</t>
  </si>
  <si>
    <t>Total current liabilities</t>
  </si>
  <si>
    <t>Deferred Credits &amp; Other Liabilities</t>
  </si>
  <si>
    <t>Deferred income taxes (non-current)</t>
  </si>
  <si>
    <t>Capital</t>
  </si>
  <si>
    <t>ADIT Federal - Property</t>
  </si>
  <si>
    <t>25002820</t>
  </si>
  <si>
    <t>ADIT Federal - Other</t>
  </si>
  <si>
    <t>25002830</t>
  </si>
  <si>
    <t>ADIT State - Property</t>
  </si>
  <si>
    <t>25012820</t>
  </si>
  <si>
    <t>ADIT State - Other</t>
  </si>
  <si>
    <t>25012830</t>
  </si>
  <si>
    <t>Bonus - Other</t>
  </si>
  <si>
    <t>25BN2831</t>
  </si>
  <si>
    <t>Depreciation - Property</t>
  </si>
  <si>
    <t>25DP2822</t>
  </si>
  <si>
    <t>Insurance Deductibles - Other</t>
  </si>
  <si>
    <t>25ID2831</t>
  </si>
  <si>
    <t>Leases - Other</t>
  </si>
  <si>
    <t>25LS2832</t>
  </si>
  <si>
    <t>Misc Reserves - Other</t>
  </si>
  <si>
    <t>25MR2831</t>
  </si>
  <si>
    <t>Depreciation-Capitalized Overhead - Other</t>
  </si>
  <si>
    <t>25OH2832</t>
  </si>
  <si>
    <t>Pension - Other</t>
  </si>
  <si>
    <t>25PN2832</t>
  </si>
  <si>
    <t>Post-retirement Benefits - Other</t>
  </si>
  <si>
    <t>25PR2832</t>
  </si>
  <si>
    <t>Reacquired Debt - Other</t>
  </si>
  <si>
    <t>25RD2832</t>
  </si>
  <si>
    <t>Repairs - Property</t>
  </si>
  <si>
    <t>25RE2822</t>
  </si>
  <si>
    <t>Tax Rate Change - Property</t>
  </si>
  <si>
    <t>25TX2822</t>
  </si>
  <si>
    <t>Vacation - Other</t>
  </si>
  <si>
    <t>25VA2831</t>
  </si>
  <si>
    <t>Total deferred income taxes (non-current)</t>
  </si>
  <si>
    <t>Regulatory liabilities</t>
  </si>
  <si>
    <t>Regulatory Liability Tax Rate Change - Othr Reg Liab-Not Protected</t>
  </si>
  <si>
    <t>280R254N</t>
  </si>
  <si>
    <t>Regulatory Liability Tax Rate Change - Othr Reg Liab-Protected</t>
  </si>
  <si>
    <t>280R254P</t>
  </si>
  <si>
    <t>Total regulatory liabilities</t>
  </si>
  <si>
    <t>Other pension &amp; benefit costs</t>
  </si>
  <si>
    <t>Accrued Pensions - Accum Provision for Pensions &amp; Benefits</t>
  </si>
  <si>
    <t>29002283</t>
  </si>
  <si>
    <t>Other Post Retirement Benefits - Accum Provision for Pensions &amp; Benefits</t>
  </si>
  <si>
    <t>29202283</t>
  </si>
  <si>
    <t>OPRB-Retiree Claims - Accum Provision for Pensions &amp; Benefits</t>
  </si>
  <si>
    <t>29212283</t>
  </si>
  <si>
    <t>OPRB-Retiree Admin Fees - Accum Provision for Pensions &amp; Benefits</t>
  </si>
  <si>
    <t>29222283</t>
  </si>
  <si>
    <t>OPRB-Retiree Life Ins - Accum Provision for Pensions &amp; Benefits</t>
  </si>
  <si>
    <t>29232283</t>
  </si>
  <si>
    <t>OPRB-Retiree Contributions - Accum Provision for Pensions &amp; Benefits</t>
  </si>
  <si>
    <t>29242283</t>
  </si>
  <si>
    <t>Total other pension &amp; benefit costs</t>
  </si>
  <si>
    <t>Operating lease liabilities</t>
  </si>
  <si>
    <t>Operating Lease Liability - Capital Lease Obligations-Non Current</t>
  </si>
  <si>
    <t>29802270</t>
  </si>
  <si>
    <t>Total deferred credits &amp; other liabilities</t>
  </si>
  <si>
    <t>Capitalization</t>
  </si>
  <si>
    <t>Stockholders' equity</t>
  </si>
  <si>
    <t>Accum Other Comprehensive Inc (Ret Earn) - Retained Earnings</t>
  </si>
  <si>
    <t>33152160</t>
  </si>
  <si>
    <t>Retained Earnings (Auto) - NO DRILLDOWN</t>
  </si>
  <si>
    <t>34002160</t>
  </si>
  <si>
    <t>Retained Earnings (Beg Bal/Manual) - Retained Earnings</t>
  </si>
  <si>
    <t>34102160</t>
  </si>
  <si>
    <t>Total stockholders' equity</t>
  </si>
  <si>
    <t>Total Capitalization</t>
  </si>
  <si>
    <t>Total Capitalization &amp; Liabilities</t>
  </si>
  <si>
    <t>REG-BS13MON</t>
  </si>
  <si>
    <t>02/02/22</t>
  </si>
  <si>
    <t xml:space="preserve"> </t>
  </si>
  <si>
    <t>Bal Sheet -- 13 Mo. Avg.</t>
  </si>
  <si>
    <t>02:04 PM</t>
  </si>
  <si>
    <t>Florida Public Utilities</t>
  </si>
  <si>
    <t>Schedule of Common Plant and Common Reserve Allocations</t>
  </si>
  <si>
    <t>Allocation</t>
  </si>
  <si>
    <t>Account Name</t>
  </si>
  <si>
    <t>G/L Accounts</t>
  </si>
  <si>
    <t>Allocation Method</t>
  </si>
  <si>
    <t>13 Mo Avg</t>
  </si>
  <si>
    <t>Corp CWIP</t>
  </si>
  <si>
    <t>Common Plant</t>
  </si>
  <si>
    <t>EDP Equipment</t>
  </si>
  <si>
    <t>EDP Equip</t>
  </si>
  <si>
    <t>Power Plan</t>
  </si>
  <si>
    <t>"       "       "</t>
  </si>
  <si>
    <t>Land</t>
  </si>
  <si>
    <t>Structures and Improvements</t>
  </si>
  <si>
    <t>Office machines</t>
  </si>
  <si>
    <t>Office Furniture and Equipment</t>
  </si>
  <si>
    <t>Software</t>
  </si>
  <si>
    <t>Transportation Equipment-Cars</t>
  </si>
  <si>
    <t>Transportation Equipment-Light Trucks</t>
  </si>
  <si>
    <t>Miscellaneous Tangible Assets</t>
  </si>
  <si>
    <t>Completed Not Classified</t>
  </si>
  <si>
    <t>1060-1060</t>
  </si>
  <si>
    <t>Common Reserve</t>
  </si>
  <si>
    <t>Accum. Depreciation-Power Plan</t>
  </si>
  <si>
    <t>Remain. Common</t>
  </si>
  <si>
    <t>Accum. Depreciation-Structures and Improvements</t>
  </si>
  <si>
    <t>Accum. Depreciation-Office machines</t>
  </si>
  <si>
    <t>Accum. Depreciation-EDP Equipment</t>
  </si>
  <si>
    <t>Accum. Depreciation-Office Furniture &amp; Equipment</t>
  </si>
  <si>
    <t>Reserve Software</t>
  </si>
  <si>
    <t>Accum. Depreciation-Transport. Cars</t>
  </si>
  <si>
    <t>Accum. Depreciation-Transport. Trucks</t>
  </si>
  <si>
    <t>Accum. Depreciation-Communication Equipment</t>
  </si>
  <si>
    <t>Accum. Depreciation -Miscellaneous Equipment</t>
  </si>
  <si>
    <t>Accum. Depreciation Miscellaneous Tangible Assets</t>
  </si>
  <si>
    <t>13 mo. Avg.</t>
  </si>
  <si>
    <t>FPU-Natural Gas</t>
  </si>
  <si>
    <t>Common Plant at Florida Allocation</t>
  </si>
  <si>
    <t>CWIP at Florida Allocation</t>
  </si>
  <si>
    <t>Common Reserve at Florida Allocation</t>
  </si>
  <si>
    <t>FPU-Electric</t>
  </si>
  <si>
    <t>CWIP at Total Corporate Allocation</t>
  </si>
  <si>
    <t>CFG</t>
  </si>
  <si>
    <t>FPU-Indiantown</t>
  </si>
  <si>
    <t>Negative due to imbalance</t>
  </si>
  <si>
    <t>Ft. Meade</t>
  </si>
  <si>
    <t>Non-Utility</t>
  </si>
  <si>
    <t>Sum of 1/31/2021</t>
  </si>
  <si>
    <t>Sum of 2/28/2021</t>
  </si>
  <si>
    <t>Sum of 3/31/2021</t>
  </si>
  <si>
    <t>Sum of 4/30/2021</t>
  </si>
  <si>
    <t>Sum of 5/31/2021</t>
  </si>
  <si>
    <t>Sum of 6/30/2021</t>
  </si>
  <si>
    <t>Sum of 7/31/2021</t>
  </si>
  <si>
    <t>Sum of 8/31/2021</t>
  </si>
  <si>
    <t>Sum of 9/30/2021</t>
  </si>
  <si>
    <t>Sum of 10/31/2021</t>
  </si>
  <si>
    <t>Sum of 11/30/2021</t>
  </si>
  <si>
    <t>Sum of 12/31/2021</t>
  </si>
  <si>
    <t>1-3890 - Land &amp; Land Rights</t>
  </si>
  <si>
    <t>1-3900 - Struc&amp;Impr</t>
  </si>
  <si>
    <t>1-3910 - Offc Furn &amp; Eq</t>
  </si>
  <si>
    <t>1-3912 - Comp Hdwr</t>
  </si>
  <si>
    <t>1-3913 - Furn &amp; Fix</t>
  </si>
  <si>
    <t>1-3914 - Sys Sftwr</t>
  </si>
  <si>
    <t>1-3921 - Cars</t>
  </si>
  <si>
    <t>1-3922 - Lt Truck/Van</t>
  </si>
  <si>
    <t>1-3970 - Comm Eq</t>
  </si>
  <si>
    <t>1-3980 - Misc Equip</t>
  </si>
  <si>
    <t>Grand Total</t>
  </si>
  <si>
    <t>with vehicles</t>
  </si>
  <si>
    <t>Less Vehicles</t>
  </si>
  <si>
    <t>921 Depreciation</t>
  </si>
  <si>
    <t>without vehicles</t>
  </si>
  <si>
    <t>FC Depreciation expense excluding vehicles was moved from 921 to 4030</t>
  </si>
  <si>
    <t>Account</t>
  </si>
  <si>
    <t>Corporate and Skipjack Allocations</t>
  </si>
  <si>
    <t>Distrigas  by Dept.</t>
  </si>
  <si>
    <t>Distrigas</t>
  </si>
  <si>
    <t xml:space="preserve">Plant </t>
  </si>
  <si>
    <t>Chesapeake Parent Company General</t>
  </si>
  <si>
    <t>1-3010 - Organization</t>
  </si>
  <si>
    <t>1-3901 - Lshold Impr</t>
  </si>
  <si>
    <t>1-3911 - Comp &amp; Periph</t>
  </si>
  <si>
    <t>1-391S - Alloc Sys Sftwr</t>
  </si>
  <si>
    <t>Skipjack Inc</t>
  </si>
  <si>
    <t>Depreciation Expense:</t>
  </si>
  <si>
    <t>Skipjack Inc ( Do not include Structures, Transporttion Equipment</t>
  </si>
  <si>
    <t>Depreciation expense moved from 921 to 4030</t>
  </si>
  <si>
    <t>Total not equal to 100%</t>
  </si>
  <si>
    <t>FPU Electric no allocation for Common Reserve at FL Allocation</t>
  </si>
  <si>
    <t>Why negative allocation for FPU-Indiantown</t>
  </si>
  <si>
    <t>Obtain Information from FNPA and reconcile to GL 7785-9210 and Power Plan Depreciation Expense:</t>
  </si>
  <si>
    <t>CF</t>
  </si>
  <si>
    <t>FE</t>
  </si>
  <si>
    <t>FI</t>
  </si>
  <si>
    <t>FN</t>
  </si>
  <si>
    <t xml:space="preserve">FT </t>
  </si>
  <si>
    <t>All Other Utilities</t>
  </si>
  <si>
    <t>Allocation Basis</t>
  </si>
  <si>
    <t>Related to FC Based on Depreciation Expense:</t>
  </si>
  <si>
    <t>Clear OB 453 Yulee in 7785-9210</t>
  </si>
  <si>
    <t>Based on Usage Departments</t>
  </si>
  <si>
    <t>A</t>
  </si>
  <si>
    <t>Clear OB 780 Ecoplex in 7785-9210</t>
  </si>
  <si>
    <t>AA700 Software Imbalance in 7785-9210</t>
  </si>
  <si>
    <t>Depreciation Study</t>
  </si>
  <si>
    <t>CU-91-IT806-7700 IT imbalance plus IT costs</t>
  </si>
  <si>
    <t>IT Corporate Allocation %'s</t>
  </si>
  <si>
    <t>Total FC depreciation</t>
  </si>
  <si>
    <t>IT depreciation charged as vehicles</t>
  </si>
  <si>
    <t>Not booked-have to reduce op expenses for this</t>
  </si>
  <si>
    <t>Allocation Factor FC</t>
  </si>
  <si>
    <t>Vehicles allocated based on departments</t>
  </si>
  <si>
    <t>FC with vehicles</t>
  </si>
  <si>
    <t>Per Lauren's Depreciation Expense</t>
  </si>
  <si>
    <t>OB 780 Corporate</t>
  </si>
  <si>
    <t>OB 780 Skipjack</t>
  </si>
  <si>
    <t>Sum of A's should total 7785-9210's</t>
  </si>
  <si>
    <t>Two Above are included below and tie to Val's schedule:</t>
  </si>
  <si>
    <t>CU90 Asset Dep allocated to BU's</t>
  </si>
  <si>
    <t>Tie to Lauren's Schedule</t>
  </si>
  <si>
    <t>Skipjack Asset Dep allocated to BU's</t>
  </si>
  <si>
    <t>2022</t>
  </si>
  <si>
    <t>Adjust for forecast</t>
  </si>
  <si>
    <t>December 31, 2022 Projection</t>
  </si>
  <si>
    <t>December 31, 2023 Projection</t>
  </si>
  <si>
    <t>2023</t>
  </si>
  <si>
    <t>Inflation and Growth</t>
  </si>
  <si>
    <t>Payroll</t>
  </si>
  <si>
    <t>Direct</t>
  </si>
  <si>
    <t>Took out Ecoplex and all imbalance adjustments</t>
  </si>
  <si>
    <t>Per Depreciation Expense</t>
  </si>
  <si>
    <t>Clear OB 453 Yulee and Misc. in 7785-9210</t>
  </si>
  <si>
    <t>Sum of 1/31/2022</t>
  </si>
  <si>
    <t>Sum of 2/28/2022</t>
  </si>
  <si>
    <t>Sum of 3/31/2022</t>
  </si>
  <si>
    <t>Sum of 4/30/2022</t>
  </si>
  <si>
    <t>Sum of 5/31/2022</t>
  </si>
  <si>
    <t>Sum of 6/30/2022</t>
  </si>
  <si>
    <t>Sum of 7/31/2022</t>
  </si>
  <si>
    <t>Sum of 8/31/2022</t>
  </si>
  <si>
    <t>Sum of 9/30/2022</t>
  </si>
  <si>
    <t>Sum of 10/31/2022</t>
  </si>
  <si>
    <t>Sum of 11/30/2022</t>
  </si>
  <si>
    <t>Sum of 12/31/2022</t>
  </si>
  <si>
    <t>Sum of 1/31/2023</t>
  </si>
  <si>
    <t>Sum of 2/28/2023</t>
  </si>
  <si>
    <t>Sum of 3/31/2023</t>
  </si>
  <si>
    <t>Sum of 4/30/2023</t>
  </si>
  <si>
    <t>Sum of 5/31/2023</t>
  </si>
  <si>
    <t>Sum of 6/30/2023</t>
  </si>
  <si>
    <t>Sum of 7/31/2023</t>
  </si>
  <si>
    <t>Sum of 8/31/2023</t>
  </si>
  <si>
    <t>Sum of 9/30/2023</t>
  </si>
  <si>
    <t>Sum of 10/31/2023</t>
  </si>
  <si>
    <t>Sum of 11/30/2023</t>
  </si>
  <si>
    <t>Sum of 12/31/2023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</si>
</sst>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\(#,##0\)"/>
    <numFmt numFmtId="165" formatCode="0.0%"/>
    <numFmt numFmtId="166" formatCode="&quot;$&quot;#,###,##0;\(&quot;$&quot;#,###,##0\)"/>
    <numFmt numFmtId="167" formatCode="_(* #,##0_);_(* \(#,##0\);_(* &quot;-&quot;??_);_(@_)"/>
    <numFmt numFmtId="168" formatCode="#,###,##0;\(#,###,##0\)"/>
    <numFmt numFmtId="169" formatCode="_(* #,##0_);_(* \(\ #,##0\ \);_(* &quot;-&quot;??_);_(\ @_ \)"/>
    <numFmt numFmtId="170" formatCode="0.0000%"/>
    <numFmt numFmtId="171" formatCode="0.000%"/>
    <numFmt numFmtId="172" formatCode="[$-409]d\-mmm;@"/>
    <numFmt numFmtId="173" formatCode="_(* #,##0.0000_);_(* \(#,##0.0000\);_(* &quot;-&quot;??_);_(@_)"/>
    <numFmt numFmtId="174" formatCode="#,##0.0000;\(#,##0.0000\)"/>
    <numFmt numFmtId="175" formatCode="#,##0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indexed="0"/>
      <name val="Arial Black"/>
    </font>
    <font>
      <sz val="10"/>
      <color indexed="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2"/>
      <color indexed="0"/>
      <name val="Arial Black"/>
    </font>
    <font>
      <sz val="10"/>
      <name val="Arial"/>
      <family val="2"/>
    </font>
    <font>
      <b/>
      <sz val="8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0"/>
      <name val="Arial"/>
    </font>
    <font>
      <sz val="10"/>
      <color indexed="0"/>
      <name val="Arial Black"/>
    </font>
    <font>
      <i/>
      <sz val="10"/>
      <color indexed="0"/>
      <name val="Arial"/>
    </font>
    <font>
      <b/>
      <sz val="10"/>
      <color indexed="0"/>
      <name val="Arial"/>
      <family val="2"/>
    </font>
    <font>
      <sz val="12"/>
      <color indexed="0"/>
      <name val="Arial Black"/>
      <family val="2"/>
    </font>
    <font>
      <b/>
      <sz val="10"/>
      <name val="Arial Black"/>
      <family val="2"/>
    </font>
    <font>
      <sz val="10"/>
      <color indexed="0"/>
      <name val="Arial Blac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i/>
      <sz val="8"/>
      <color rgb="FF0000FF"/>
      <name val="Calibri"/>
      <family val="2"/>
      <scheme val="minor"/>
    </font>
    <font>
      <i/>
      <sz val="8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9"/>
      <name val="Calibri"/>
    </font>
    <font>
      <sz val="11"/>
      <color indexed="81"/>
      <name val="Tahoma"/>
      <charset val="1"/>
    </font>
    <font>
      <b/>
      <sz val="11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8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4" fillId="0" borderId="0"/>
    <xf numFmtId="0" fontId="1" fillId="0" borderId="0"/>
    <xf numFmtId="168" fontId="4" fillId="0" borderId="0"/>
    <xf numFmtId="0" fontId="1" fillId="0" borderId="0"/>
    <xf numFmtId="0" fontId="27" fillId="0" borderId="0"/>
    <xf numFmtId="44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 applyAlignment="1">
      <alignment horizontal="left"/>
    </xf>
    <xf numFmtId="164" fontId="4" fillId="0" borderId="0" xfId="2"/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10" fontId="9" fillId="0" borderId="0" xfId="3" applyNumberFormat="1" applyFont="1" applyFill="1" applyAlignment="1">
      <alignment horizontal="center"/>
    </xf>
    <xf numFmtId="0" fontId="10" fillId="0" borderId="0" xfId="0" applyFont="1" applyFill="1"/>
    <xf numFmtId="165" fontId="9" fillId="0" borderId="0" xfId="3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49" fontId="4" fillId="0" borderId="0" xfId="2" applyNumberFormat="1" applyAlignment="1">
      <alignment horizontal="center"/>
    </xf>
    <xf numFmtId="49" fontId="4" fillId="0" borderId="1" xfId="2" applyNumberFormat="1" applyBorder="1" applyAlignment="1">
      <alignment horizontal="center"/>
    </xf>
    <xf numFmtId="49" fontId="11" fillId="0" borderId="1" xfId="2" applyNumberFormat="1" applyFont="1" applyBorder="1" applyAlignment="1">
      <alignment horizontal="center"/>
    </xf>
    <xf numFmtId="0" fontId="0" fillId="0" borderId="0" xfId="0" applyAlignment="1">
      <alignment horizontal="left"/>
    </xf>
    <xf numFmtId="166" fontId="4" fillId="0" borderId="0" xfId="2" applyNumberFormat="1"/>
    <xf numFmtId="167" fontId="5" fillId="0" borderId="0" xfId="4" applyNumberFormat="1" applyFont="1" applyFill="1"/>
    <xf numFmtId="0" fontId="7" fillId="0" borderId="0" xfId="0" applyFont="1"/>
    <xf numFmtId="164" fontId="7" fillId="0" borderId="0" xfId="2" applyFont="1"/>
    <xf numFmtId="0" fontId="12" fillId="0" borderId="0" xfId="0" applyFont="1" applyAlignment="1">
      <alignment horizontal="left"/>
    </xf>
    <xf numFmtId="0" fontId="12" fillId="0" borderId="0" xfId="0" applyFont="1"/>
    <xf numFmtId="164" fontId="12" fillId="0" borderId="0" xfId="2" applyFont="1"/>
    <xf numFmtId="0" fontId="11" fillId="0" borderId="0" xfId="0" applyFont="1" applyAlignment="1">
      <alignment horizontal="left"/>
    </xf>
    <xf numFmtId="0" fontId="11" fillId="0" borderId="0" xfId="0" applyFont="1"/>
    <xf numFmtId="164" fontId="11" fillId="0" borderId="0" xfId="2" applyFont="1"/>
    <xf numFmtId="168" fontId="4" fillId="0" borderId="0" xfId="5" applyFill="1"/>
    <xf numFmtId="167" fontId="10" fillId="0" borderId="0" xfId="4" applyNumberFormat="1" applyFont="1" applyFill="1"/>
    <xf numFmtId="49" fontId="4" fillId="0" borderId="0" xfId="2" applyNumberFormat="1" applyAlignment="1">
      <alignment horizontal="fill"/>
    </xf>
    <xf numFmtId="167" fontId="5" fillId="0" borderId="0" xfId="0" applyNumberFormat="1" applyFont="1" applyFill="1"/>
    <xf numFmtId="0" fontId="13" fillId="2" borderId="0" xfId="0" applyFont="1" applyFill="1" applyAlignment="1">
      <alignment horizontal="left"/>
    </xf>
    <xf numFmtId="164" fontId="13" fillId="2" borderId="0" xfId="2" applyFont="1" applyFill="1"/>
    <xf numFmtId="0" fontId="1" fillId="0" borderId="0" xfId="6" applyFill="1" applyAlignment="1">
      <alignment horizontal="left"/>
    </xf>
    <xf numFmtId="0" fontId="0" fillId="0" borderId="0" xfId="0" applyFill="1" applyAlignment="1">
      <alignment horizontal="left"/>
    </xf>
    <xf numFmtId="169" fontId="4" fillId="0" borderId="0" xfId="4" applyNumberFormat="1" applyFont="1" applyFill="1"/>
    <xf numFmtId="167" fontId="5" fillId="3" borderId="0" xfId="4" applyNumberFormat="1" applyFont="1" applyFill="1"/>
    <xf numFmtId="0" fontId="5" fillId="3" borderId="0" xfId="0" applyFont="1" applyFill="1"/>
    <xf numFmtId="0" fontId="0" fillId="0" borderId="0" xfId="0" applyFill="1"/>
    <xf numFmtId="49" fontId="4" fillId="0" borderId="0" xfId="5" applyNumberFormat="1" applyFill="1" applyAlignment="1">
      <alignment horizontal="fill"/>
    </xf>
    <xf numFmtId="0" fontId="14" fillId="0" borderId="0" xfId="0" applyFont="1" applyFill="1" applyAlignment="1">
      <alignment horizontal="left"/>
    </xf>
    <xf numFmtId="0" fontId="14" fillId="0" borderId="0" xfId="0" applyFont="1" applyFill="1"/>
    <xf numFmtId="168" fontId="14" fillId="0" borderId="0" xfId="5" applyFont="1" applyFill="1"/>
    <xf numFmtId="0" fontId="0" fillId="0" borderId="1" xfId="0" applyBorder="1"/>
    <xf numFmtId="164" fontId="4" fillId="0" borderId="1" xfId="2" applyBorder="1"/>
    <xf numFmtId="0" fontId="12" fillId="0" borderId="2" xfId="0" applyFont="1" applyBorder="1" applyAlignment="1">
      <alignment horizontal="left"/>
    </xf>
    <xf numFmtId="0" fontId="12" fillId="0" borderId="2" xfId="0" applyFont="1" applyBorder="1"/>
    <xf numFmtId="164" fontId="12" fillId="0" borderId="2" xfId="2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164" fontId="11" fillId="0" borderId="1" xfId="2" applyFont="1" applyBorder="1"/>
    <xf numFmtId="0" fontId="0" fillId="0" borderId="2" xfId="0" applyBorder="1" applyAlignment="1">
      <alignment horizontal="left"/>
    </xf>
    <xf numFmtId="164" fontId="4" fillId="0" borderId="2" xfId="2" applyBorder="1"/>
    <xf numFmtId="0" fontId="15" fillId="0" borderId="0" xfId="0" applyFont="1" applyFill="1" applyAlignment="1">
      <alignment horizontal="left"/>
    </xf>
    <xf numFmtId="0" fontId="15" fillId="0" borderId="0" xfId="0" applyFont="1" applyFill="1"/>
    <xf numFmtId="168" fontId="15" fillId="0" borderId="0" xfId="5" applyFont="1" applyFill="1"/>
    <xf numFmtId="0" fontId="16" fillId="0" borderId="0" xfId="0" applyFont="1" applyFill="1" applyAlignment="1">
      <alignment horizontal="left"/>
    </xf>
    <xf numFmtId="0" fontId="17" fillId="0" borderId="0" xfId="0" applyFont="1" applyFill="1"/>
    <xf numFmtId="168" fontId="17" fillId="0" borderId="0" xfId="5" applyFont="1" applyFill="1"/>
    <xf numFmtId="0" fontId="1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168" fontId="8" fillId="0" borderId="0" xfId="5" applyFont="1" applyFill="1"/>
    <xf numFmtId="167" fontId="5" fillId="4" borderId="0" xfId="4" applyNumberFormat="1" applyFont="1" applyFill="1"/>
    <xf numFmtId="167" fontId="6" fillId="0" borderId="2" xfId="4" applyNumberFormat="1" applyFont="1" applyFill="1" applyBorder="1"/>
    <xf numFmtId="49" fontId="4" fillId="0" borderId="0" xfId="2" applyNumberFormat="1" applyAlignment="1">
      <alignment horizontal="right"/>
    </xf>
    <xf numFmtId="168" fontId="4" fillId="0" borderId="0" xfId="7" applyFill="1"/>
    <xf numFmtId="164" fontId="4" fillId="0" borderId="0" xfId="2" applyFill="1"/>
    <xf numFmtId="17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8" fillId="0" borderId="0" xfId="0" applyFont="1"/>
    <xf numFmtId="167" fontId="0" fillId="0" borderId="0" xfId="4" applyNumberFormat="1" applyFont="1"/>
    <xf numFmtId="0" fontId="1" fillId="0" borderId="0" xfId="8" applyFont="1" applyAlignment="1">
      <alignment horizontal="left"/>
    </xf>
    <xf numFmtId="0" fontId="1" fillId="0" borderId="0" xfId="8" applyAlignment="1">
      <alignment horizontal="left"/>
    </xf>
    <xf numFmtId="167" fontId="0" fillId="0" borderId="2" xfId="4" applyNumberFormat="1" applyFont="1" applyBorder="1"/>
    <xf numFmtId="167" fontId="0" fillId="0" borderId="2" xfId="4" applyNumberFormat="1" applyFont="1" applyFill="1" applyBorder="1"/>
    <xf numFmtId="167" fontId="0" fillId="0" borderId="0" xfId="4" applyNumberFormat="1" applyFont="1" applyFill="1"/>
    <xf numFmtId="167" fontId="0" fillId="0" borderId="0" xfId="4" applyNumberFormat="1" applyFont="1" applyFill="1" applyBorder="1"/>
    <xf numFmtId="167" fontId="0" fillId="0" borderId="1" xfId="4" applyNumberFormat="1" applyFont="1" applyFill="1" applyBorder="1"/>
    <xf numFmtId="167" fontId="0" fillId="0" borderId="3" xfId="4" applyNumberFormat="1" applyFont="1" applyBorder="1"/>
    <xf numFmtId="167" fontId="0" fillId="5" borderId="1" xfId="4" applyNumberFormat="1" applyFont="1" applyFill="1" applyBorder="1"/>
    <xf numFmtId="167" fontId="0" fillId="6" borderId="0" xfId="4" applyNumberFormat="1" applyFont="1" applyFill="1"/>
    <xf numFmtId="167" fontId="0" fillId="0" borderId="1" xfId="4" applyNumberFormat="1" applyFont="1" applyBorder="1"/>
    <xf numFmtId="0" fontId="21" fillId="3" borderId="0" xfId="0" applyFont="1" applyFill="1" applyAlignment="1">
      <alignment horizontal="center"/>
    </xf>
    <xf numFmtId="17" fontId="20" fillId="3" borderId="0" xfId="0" applyNumberFormat="1" applyFont="1" applyFill="1" applyAlignment="1">
      <alignment horizontal="center"/>
    </xf>
    <xf numFmtId="0" fontId="0" fillId="3" borderId="0" xfId="0" applyFill="1"/>
    <xf numFmtId="0" fontId="0" fillId="0" borderId="4" xfId="0" applyBorder="1"/>
    <xf numFmtId="0" fontId="0" fillId="0" borderId="5" xfId="0" applyBorder="1"/>
    <xf numFmtId="10" fontId="0" fillId="0" borderId="5" xfId="3" applyNumberFormat="1" applyFont="1" applyBorder="1" applyAlignment="1">
      <alignment horizontal="left"/>
    </xf>
    <xf numFmtId="167" fontId="0" fillId="0" borderId="6" xfId="4" applyNumberFormat="1" applyFont="1" applyBorder="1"/>
    <xf numFmtId="167" fontId="0" fillId="0" borderId="7" xfId="4" applyNumberFormat="1" applyFont="1" applyBorder="1"/>
    <xf numFmtId="0" fontId="0" fillId="0" borderId="8" xfId="0" applyBorder="1"/>
    <xf numFmtId="0" fontId="0" fillId="0" borderId="0" xfId="0" applyBorder="1"/>
    <xf numFmtId="10" fontId="0" fillId="0" borderId="0" xfId="3" applyNumberFormat="1" applyFont="1" applyBorder="1" applyAlignment="1">
      <alignment horizontal="left"/>
    </xf>
    <xf numFmtId="167" fontId="0" fillId="0" borderId="0" xfId="4" applyNumberFormat="1" applyFont="1" applyBorder="1"/>
    <xf numFmtId="167" fontId="0" fillId="0" borderId="9" xfId="4" applyNumberFormat="1" applyFont="1" applyBorder="1"/>
    <xf numFmtId="0" fontId="0" fillId="0" borderId="0" xfId="0" applyFill="1" applyBorder="1"/>
    <xf numFmtId="0" fontId="0" fillId="0" borderId="10" xfId="0" applyBorder="1"/>
    <xf numFmtId="0" fontId="0" fillId="0" borderId="11" xfId="0" applyBorder="1"/>
    <xf numFmtId="10" fontId="0" fillId="0" borderId="11" xfId="3" applyNumberFormat="1" applyFont="1" applyBorder="1" applyAlignment="1">
      <alignment horizontal="left"/>
    </xf>
    <xf numFmtId="167" fontId="0" fillId="0" borderId="11" xfId="4" applyNumberFormat="1" applyFont="1" applyBorder="1"/>
    <xf numFmtId="0" fontId="8" fillId="0" borderId="0" xfId="0" applyFont="1" applyBorder="1"/>
    <xf numFmtId="0" fontId="0" fillId="0" borderId="0" xfId="0" applyBorder="1" applyAlignment="1">
      <alignment horizontal="left"/>
    </xf>
    <xf numFmtId="10" fontId="0" fillId="0" borderId="0" xfId="0" applyNumberFormat="1" applyBorder="1" applyAlignment="1">
      <alignment horizontal="left"/>
    </xf>
    <xf numFmtId="10" fontId="0" fillId="0" borderId="11" xfId="0" applyNumberFormat="1" applyBorder="1" applyAlignment="1">
      <alignment horizontal="left"/>
    </xf>
    <xf numFmtId="167" fontId="0" fillId="0" borderId="12" xfId="4" applyNumberFormat="1" applyFont="1" applyBorder="1"/>
    <xf numFmtId="0" fontId="0" fillId="3" borderId="0" xfId="0" applyFill="1" applyAlignment="1">
      <alignment horizontal="left"/>
    </xf>
    <xf numFmtId="10" fontId="6" fillId="0" borderId="0" xfId="0" applyNumberFormat="1" applyFont="1" applyFill="1" applyAlignment="1">
      <alignment horizontal="center"/>
    </xf>
    <xf numFmtId="167" fontId="0" fillId="0" borderId="0" xfId="0" applyNumberFormat="1"/>
    <xf numFmtId="43" fontId="0" fillId="0" borderId="0" xfId="0" applyNumberFormat="1"/>
    <xf numFmtId="43" fontId="0" fillId="0" borderId="2" xfId="0" applyNumberFormat="1" applyBorder="1"/>
    <xf numFmtId="43" fontId="0" fillId="0" borderId="13" xfId="0" applyNumberFormat="1" applyBorder="1"/>
    <xf numFmtId="0" fontId="2" fillId="0" borderId="0" xfId="0" applyFont="1"/>
    <xf numFmtId="167" fontId="0" fillId="0" borderId="2" xfId="0" applyNumberFormat="1" applyBorder="1"/>
    <xf numFmtId="167" fontId="0" fillId="0" borderId="13" xfId="0" applyNumberFormat="1" applyBorder="1"/>
    <xf numFmtId="0" fontId="22" fillId="0" borderId="0" xfId="0" applyFont="1"/>
    <xf numFmtId="0" fontId="6" fillId="0" borderId="0" xfId="0" applyFont="1" applyFill="1" applyAlignment="1">
      <alignment horizontal="left"/>
    </xf>
    <xf numFmtId="16" fontId="21" fillId="0" borderId="0" xfId="0" applyNumberFormat="1" applyFont="1"/>
    <xf numFmtId="0" fontId="21" fillId="0" borderId="0" xfId="0" applyFont="1" applyAlignment="1">
      <alignment wrapText="1"/>
    </xf>
    <xf numFmtId="0" fontId="21" fillId="0" borderId="0" xfId="0" applyFont="1"/>
    <xf numFmtId="167" fontId="21" fillId="0" borderId="0" xfId="4" applyNumberFormat="1" applyFont="1"/>
    <xf numFmtId="43" fontId="0" fillId="0" borderId="0" xfId="4" applyFont="1"/>
    <xf numFmtId="0" fontId="21" fillId="0" borderId="0" xfId="0" applyFont="1" applyAlignment="1">
      <alignment horizontal="center"/>
    </xf>
    <xf numFmtId="43" fontId="23" fillId="0" borderId="14" xfId="4" applyFont="1" applyBorder="1"/>
    <xf numFmtId="43" fontId="21" fillId="0" borderId="0" xfId="4" applyFont="1"/>
    <xf numFmtId="167" fontId="25" fillId="0" borderId="3" xfId="1" applyNumberFormat="1" applyFont="1" applyFill="1" applyBorder="1" applyAlignment="1">
      <alignment horizontal="center"/>
    </xf>
    <xf numFmtId="167" fontId="6" fillId="0" borderId="0" xfId="1" applyNumberFormat="1" applyFont="1" applyFill="1" applyAlignment="1">
      <alignment horizontal="center"/>
    </xf>
    <xf numFmtId="167" fontId="9" fillId="0" borderId="0" xfId="1" applyNumberFormat="1" applyFont="1" applyFill="1" applyAlignment="1">
      <alignment horizontal="center"/>
    </xf>
    <xf numFmtId="167" fontId="0" fillId="0" borderId="0" xfId="1" applyNumberFormat="1" applyFont="1"/>
    <xf numFmtId="167" fontId="24" fillId="0" borderId="3" xfId="1" applyNumberFormat="1" applyFont="1" applyFill="1" applyBorder="1" applyAlignment="1">
      <alignment horizontal="center"/>
    </xf>
    <xf numFmtId="167" fontId="9" fillId="0" borderId="0" xfId="1" applyNumberFormat="1" applyFont="1" applyFill="1" applyBorder="1" applyAlignment="1">
      <alignment horizontal="center"/>
    </xf>
    <xf numFmtId="167" fontId="0" fillId="0" borderId="0" xfId="1" applyNumberFormat="1" applyFont="1" applyBorder="1"/>
    <xf numFmtId="167" fontId="9" fillId="0" borderId="13" xfId="1" applyNumberFormat="1" applyFont="1" applyFill="1" applyBorder="1" applyAlignment="1">
      <alignment horizontal="center"/>
    </xf>
    <xf numFmtId="167" fontId="9" fillId="0" borderId="0" xfId="1" applyNumberFormat="1" applyFont="1" applyFill="1" applyAlignment="1">
      <alignment horizontal="left"/>
    </xf>
    <xf numFmtId="10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10" fontId="0" fillId="0" borderId="0" xfId="3" applyNumberFormat="1" applyFont="1"/>
    <xf numFmtId="167" fontId="26" fillId="0" borderId="0" xfId="4" applyNumberFormat="1" applyFont="1"/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170" fontId="0" fillId="0" borderId="0" xfId="3" applyNumberFormat="1" applyFont="1"/>
    <xf numFmtId="0" fontId="0" fillId="0" borderId="0" xfId="0" applyFont="1"/>
    <xf numFmtId="171" fontId="0" fillId="0" borderId="0" xfId="3" applyNumberFormat="1" applyFont="1"/>
    <xf numFmtId="0" fontId="13" fillId="0" borderId="0" xfId="0" applyFont="1" applyFill="1" applyAlignment="1">
      <alignment horizontal="left"/>
    </xf>
    <xf numFmtId="172" fontId="21" fillId="0" borderId="0" xfId="0" applyNumberFormat="1" applyFont="1"/>
    <xf numFmtId="167" fontId="8" fillId="0" borderId="0" xfId="4" applyNumberFormat="1" applyFont="1"/>
    <xf numFmtId="167" fontId="21" fillId="0" borderId="0" xfId="1" applyNumberFormat="1" applyFont="1"/>
    <xf numFmtId="173" fontId="0" fillId="0" borderId="0" xfId="4" applyNumberFormat="1" applyFont="1"/>
    <xf numFmtId="167" fontId="28" fillId="5" borderId="0" xfId="10" applyNumberFormat="1" applyFont="1" applyFill="1" applyProtection="1"/>
    <xf numFmtId="164" fontId="11" fillId="5" borderId="0" xfId="2" applyFont="1" applyFill="1"/>
    <xf numFmtId="168" fontId="14" fillId="5" borderId="0" xfId="5" applyFont="1" applyFill="1"/>
    <xf numFmtId="174" fontId="11" fillId="0" borderId="0" xfId="2" applyNumberFormat="1" applyFont="1"/>
    <xf numFmtId="164" fontId="8" fillId="0" borderId="0" xfId="2" applyFont="1"/>
    <xf numFmtId="164" fontId="4" fillId="5" borderId="0" xfId="2" applyFill="1"/>
    <xf numFmtId="167" fontId="5" fillId="5" borderId="0" xfId="4" applyNumberFormat="1" applyFont="1" applyFill="1"/>
    <xf numFmtId="43" fontId="0" fillId="0" borderId="0" xfId="1" applyFont="1"/>
    <xf numFmtId="175" fontId="31" fillId="0" borderId="0" xfId="0" applyNumberFormat="1" applyFont="1" applyAlignment="1">
      <alignment horizontal="right"/>
    </xf>
    <xf numFmtId="170" fontId="6" fillId="0" borderId="0" xfId="0" applyNumberFormat="1" applyFont="1" applyFill="1" applyAlignment="1">
      <alignment horizontal="center"/>
    </xf>
  </cellXfs>
  <cellStyles count="11">
    <cellStyle name="Comma" xfId="1" builtinId="3"/>
    <cellStyle name="Comma 10" xfId="4"/>
    <cellStyle name="Currency" xfId="10" builtinId="4"/>
    <cellStyle name="FRxAmtStyle" xfId="2"/>
    <cellStyle name="FRxAmtStyle 10 2" xfId="5"/>
    <cellStyle name="FRxAmtStyle 10 2 2" xfId="7"/>
    <cellStyle name="Normal" xfId="0" builtinId="0"/>
    <cellStyle name="Normal 2" xfId="9"/>
    <cellStyle name="Normal 278" xfId="8"/>
    <cellStyle name="Normal 355 5" xfId="6"/>
    <cellStyle name="Percent 9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styles" Target="style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theme" Target="theme/theme1.xml" Id="rId17" /><Relationship Type="http://schemas.openxmlformats.org/officeDocument/2006/relationships/worksheet" Target="worksheets/sheet2.xml" Id="rId2" /><Relationship Type="http://schemas.openxmlformats.org/officeDocument/2006/relationships/externalLink" Target="externalLinks/externalLink1.xml" Id="rId16" /><Relationship Type="http://schemas.openxmlformats.org/officeDocument/2006/relationships/calcChain" Target="calcChain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10.xml" Id="rId10" /><Relationship Type="http://schemas.openxmlformats.org/officeDocument/2006/relationships/sharedStrings" Target="sharedStrings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OR%20Surveillance%20reports/2021/ROR's/4th%20Quarter/FN/FPUC%20GAS%20ROR%20December%2031,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preadsheet Change Management"/>
      <sheetName val="DATES"/>
      <sheetName val="CPK-ISEXT12"/>
      <sheetName val="COST OF SALES ISEXT-12 SEG 4"/>
      <sheetName val="REVENUE FROM ISEXT12 SEG 3"/>
      <sheetName val="FC Common Alloc Per ROR"/>
      <sheetName val="Common Plant Allocation Factors"/>
      <sheetName val="FC Depreciation Expense"/>
      <sheetName val="Corporate and Skipack Alloc"/>
      <sheetName val="Work_cap"/>
      <sheetName val="BS-13MO"/>
      <sheetName val="FC PP Plant and AD"/>
      <sheetName val="Income Statement"/>
      <sheetName val="Report Summary"/>
      <sheetName val="Avg ROR"/>
      <sheetName val="NOI SCH 2 P 2"/>
      <sheetName val="Year End ROR"/>
      <sheetName val="Work Cap-Avg"/>
      <sheetName val="Work Cap-Yr End"/>
      <sheetName val="NOI SCH 3 P 2"/>
      <sheetName val="Capital Structure"/>
      <sheetName val="Earned Ret on Equity"/>
      <sheetName val="Capital Structure ProForma"/>
      <sheetName val="Rate Base Calc"/>
      <sheetName val="Cap Struct Adj."/>
      <sheetName val="Sht Trm Int Rate"/>
      <sheetName val="PGA"/>
      <sheetName val="Conservation"/>
      <sheetName val="Flex Rates"/>
      <sheetName val="ACQ AMORT"/>
      <sheetName val="Economic Development"/>
      <sheetName val="Int Synch"/>
      <sheetName val="Out of Period"/>
      <sheetName val="AEP Adj"/>
      <sheetName val="Rate Refund"/>
      <sheetName val="Non Utility Plant Gas"/>
      <sheetName val="Comp Cost Rate of Debt"/>
      <sheetName val="Cust Dep Int"/>
      <sheetName val="FN with allocations"/>
      <sheetName val="Plant and Acc Dep bal PP"/>
      <sheetName val="FC with allocations"/>
      <sheetName val="LTD detail - CU Reg"/>
      <sheetName val="CU Consolidated Equity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1">
          <cell r="B11">
            <v>0.17538138419273502</v>
          </cell>
          <cell r="C11">
            <v>0.19493367655493263</v>
          </cell>
          <cell r="D11">
            <v>-2.6963863219386323E-3</v>
          </cell>
          <cell r="E11">
            <v>0.40075371178398028</v>
          </cell>
          <cell r="F11">
            <v>2.4706719004354946E-3</v>
          </cell>
          <cell r="G11">
            <v>0.22915694188985516</v>
          </cell>
        </row>
        <row r="24">
          <cell r="B24">
            <v>7.9590522149324952E-2</v>
          </cell>
          <cell r="C24">
            <v>7.9662094019411156E-2</v>
          </cell>
          <cell r="D24">
            <v>1.0011386433877352E-3</v>
          </cell>
          <cell r="E24">
            <v>0.19003155668817437</v>
          </cell>
          <cell r="F24">
            <v>1.869544000433769E-4</v>
          </cell>
          <cell r="G24">
            <v>0.64952773409965836</v>
          </cell>
        </row>
      </sheetData>
      <sheetData sheetId="8">
        <row r="13">
          <cell r="N13">
            <v>576906.20768648759</v>
          </cell>
        </row>
      </sheetData>
      <sheetData sheetId="9"/>
      <sheetData sheetId="10"/>
      <sheetData sheetId="11"/>
      <sheetData sheetId="12">
        <row r="9">
          <cell r="C9">
            <v>596857.97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30">
          <cell r="C30">
            <v>12225295</v>
          </cell>
          <cell r="D30">
            <v>12235232</v>
          </cell>
          <cell r="E30">
            <v>12243461</v>
          </cell>
          <cell r="F30">
            <v>12244863</v>
          </cell>
          <cell r="G30">
            <v>12190512</v>
          </cell>
          <cell r="H30">
            <v>12192097</v>
          </cell>
          <cell r="I30">
            <v>12201736</v>
          </cell>
          <cell r="J30">
            <v>12217504</v>
          </cell>
          <cell r="K30">
            <v>12226929</v>
          </cell>
          <cell r="L30">
            <v>12194754</v>
          </cell>
          <cell r="M30">
            <v>12204811</v>
          </cell>
          <cell r="N30">
            <v>12209309</v>
          </cell>
          <cell r="O30">
            <v>12191005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3418</v>
          </cell>
          <cell r="H35">
            <v>3418</v>
          </cell>
          <cell r="I35">
            <v>0</v>
          </cell>
          <cell r="J35">
            <v>0</v>
          </cell>
          <cell r="K35">
            <v>0</v>
          </cell>
          <cell r="L35">
            <v>1364</v>
          </cell>
          <cell r="M35">
            <v>0</v>
          </cell>
          <cell r="N35">
            <v>0</v>
          </cell>
          <cell r="O35">
            <v>0</v>
          </cell>
        </row>
        <row r="53">
          <cell r="C53">
            <v>-601375</v>
          </cell>
          <cell r="D53">
            <v>-649606</v>
          </cell>
          <cell r="E53">
            <v>-697833</v>
          </cell>
          <cell r="F53">
            <v>-742448</v>
          </cell>
          <cell r="G53">
            <v>-734925</v>
          </cell>
          <cell r="H53">
            <v>-783218</v>
          </cell>
          <cell r="I53">
            <v>-831093</v>
          </cell>
          <cell r="J53">
            <v>-878925</v>
          </cell>
          <cell r="K53">
            <v>-926927</v>
          </cell>
          <cell r="L53">
            <v>-942929</v>
          </cell>
          <cell r="M53">
            <v>-991185</v>
          </cell>
          <cell r="N53">
            <v>-1039173</v>
          </cell>
          <cell r="O53">
            <v>-911386</v>
          </cell>
          <cell r="P53">
            <v>-10731023</v>
          </cell>
        </row>
      </sheetData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10"/>
  <sheetViews>
    <sheetView topLeftCell="A4" zoomScale="80" zoomScaleNormal="80" workbookViewId="0">
      <pane xSplit="2" ySplit="5" topLeftCell="M166" activePane="bottomRight" state="frozen"/>
      <selection activeCell="L39" sqref="L39"/>
      <selection pane="topRight" activeCell="L39" sqref="L39"/>
      <selection pane="bottomLeft" activeCell="L39" sqref="L39"/>
      <selection pane="bottomRight" activeCell="L39" sqref="L39"/>
    </sheetView>
  </sheetViews>
  <sheetFormatPr defaultRowHeight="15" x14ac:dyDescent="0.25"/>
  <cols>
    <col min="1" max="1" width="59.28515625" customWidth="1"/>
    <col min="2" max="2" width="10" bestFit="1" customWidth="1"/>
    <col min="3" max="15" width="15.42578125" bestFit="1" customWidth="1"/>
    <col min="16" max="16" width="17" bestFit="1" customWidth="1"/>
    <col min="17" max="17" width="15.42578125" bestFit="1" customWidth="1"/>
    <col min="18" max="18" width="7.42578125" bestFit="1" customWidth="1"/>
    <col min="19" max="19" width="15.140625" bestFit="1" customWidth="1"/>
    <col min="20" max="20" width="13.140625" bestFit="1" customWidth="1"/>
    <col min="22" max="22" width="7.85546875" bestFit="1" customWidth="1"/>
    <col min="23" max="23" width="6.140625" bestFit="1" customWidth="1"/>
    <col min="24" max="24" width="8" bestFit="1" customWidth="1"/>
    <col min="27" max="27" width="8.42578125" bestFit="1" customWidth="1"/>
    <col min="28" max="29" width="8.7109375" bestFit="1" customWidth="1"/>
    <col min="30" max="30" width="7.85546875" bestFit="1" customWidth="1"/>
    <col min="31" max="31" width="6.140625" bestFit="1" customWidth="1"/>
    <col min="32" max="32" width="8" bestFit="1" customWidth="1"/>
    <col min="33" max="33" width="8.7109375" bestFit="1" customWidth="1"/>
    <col min="34" max="34" width="7.42578125" bestFit="1" customWidth="1"/>
  </cols>
  <sheetData>
    <row r="1" spans="1:34" ht="22.5" x14ac:dyDescent="0.45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 t="s">
        <v>1</v>
      </c>
      <c r="T1" s="4" t="s">
        <v>2</v>
      </c>
      <c r="U1" s="4"/>
      <c r="V1" s="4"/>
      <c r="W1" s="4"/>
      <c r="X1" s="4"/>
      <c r="Y1" s="4"/>
      <c r="Z1" s="4"/>
      <c r="AA1" s="4" t="s">
        <v>1</v>
      </c>
      <c r="AB1" s="4" t="s">
        <v>3</v>
      </c>
      <c r="AC1" s="4"/>
      <c r="AD1" s="4"/>
      <c r="AE1" s="4"/>
      <c r="AF1" s="4"/>
      <c r="AG1" s="4"/>
      <c r="AH1" s="3"/>
    </row>
    <row r="2" spans="1:34" ht="19.5" x14ac:dyDescent="0.4">
      <c r="A2" s="5" t="s">
        <v>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4" t="s">
        <v>5</v>
      </c>
      <c r="T2" s="4" t="s">
        <v>6</v>
      </c>
      <c r="U2" s="4" t="s">
        <v>7</v>
      </c>
      <c r="V2" s="4" t="s">
        <v>8</v>
      </c>
      <c r="W2" s="4" t="s">
        <v>9</v>
      </c>
      <c r="X2" s="4" t="s">
        <v>10</v>
      </c>
      <c r="Y2" s="4" t="s">
        <v>11</v>
      </c>
      <c r="Z2" s="4"/>
      <c r="AA2" s="4" t="s">
        <v>5</v>
      </c>
      <c r="AB2" s="4" t="s">
        <v>6</v>
      </c>
      <c r="AC2" s="4" t="s">
        <v>7</v>
      </c>
      <c r="AD2" s="4" t="s">
        <v>8</v>
      </c>
      <c r="AE2" s="4" t="s">
        <v>9</v>
      </c>
      <c r="AF2" s="4" t="s">
        <v>10</v>
      </c>
      <c r="AG2" s="4" t="s">
        <v>11</v>
      </c>
      <c r="AH2" s="3"/>
    </row>
    <row r="3" spans="1:34" ht="19.5" x14ac:dyDescent="0.4">
      <c r="A3" s="5" t="s">
        <v>12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4" t="s">
        <v>13</v>
      </c>
      <c r="T3" s="6">
        <v>0.16214999999999999</v>
      </c>
      <c r="U3" s="6">
        <v>0.39171</v>
      </c>
      <c r="V3" s="6">
        <v>0.18387999999999999</v>
      </c>
      <c r="W3" s="6">
        <v>3.5500000000000002E-3</v>
      </c>
      <c r="X3" s="6">
        <v>1.1100000000000001E-3</v>
      </c>
      <c r="Y3" s="6">
        <v>0.25762000000000002</v>
      </c>
      <c r="Z3" s="4"/>
      <c r="AA3" s="4" t="s">
        <v>13</v>
      </c>
      <c r="AB3" s="6">
        <v>0.16214999999999999</v>
      </c>
      <c r="AC3" s="6">
        <v>0.39171</v>
      </c>
      <c r="AD3" s="6">
        <v>0.18387999999999999</v>
      </c>
      <c r="AE3" s="6">
        <v>3.5500000000000002E-3</v>
      </c>
      <c r="AF3" s="6">
        <v>1.1100000000000001E-3</v>
      </c>
      <c r="AG3" s="6">
        <v>0.25762000000000002</v>
      </c>
      <c r="AH3" s="7"/>
    </row>
    <row r="4" spans="1:34" ht="19.5" x14ac:dyDescent="0.4">
      <c r="A4" s="5" t="s">
        <v>14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4" t="s">
        <v>15</v>
      </c>
      <c r="T4" s="8">
        <v>0.2928</v>
      </c>
      <c r="U4" s="8">
        <v>0.70720000000000005</v>
      </c>
      <c r="V4" s="8"/>
      <c r="W4" s="8"/>
      <c r="X4" s="8"/>
      <c r="Y4" s="9"/>
      <c r="Z4" s="4"/>
      <c r="AA4" s="4" t="s">
        <v>15</v>
      </c>
      <c r="AB4" s="8">
        <v>0.2928</v>
      </c>
      <c r="AC4" s="8">
        <v>0.70720000000000005</v>
      </c>
      <c r="AD4" s="8"/>
      <c r="AE4" s="8"/>
      <c r="AF4" s="8"/>
      <c r="AG4" s="9"/>
      <c r="AH4" s="7"/>
    </row>
    <row r="5" spans="1:34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4" t="s">
        <v>16</v>
      </c>
      <c r="T5" s="8">
        <v>0.21299999999999999</v>
      </c>
      <c r="U5" s="8">
        <v>0.34799999999999998</v>
      </c>
      <c r="V5" s="8">
        <v>0.14399999999999999</v>
      </c>
      <c r="W5" s="8">
        <v>1E-3</v>
      </c>
      <c r="X5" s="8">
        <v>1E-3</v>
      </c>
      <c r="Y5" s="8">
        <v>0.29299999999999998</v>
      </c>
      <c r="Z5" s="4"/>
      <c r="AA5" s="4" t="s">
        <v>16</v>
      </c>
      <c r="AB5" s="8">
        <v>0.21299999999999999</v>
      </c>
      <c r="AC5" s="8">
        <v>0.34799999999999998</v>
      </c>
      <c r="AD5" s="8">
        <v>0.14399999999999999</v>
      </c>
      <c r="AE5" s="8">
        <v>1E-3</v>
      </c>
      <c r="AF5" s="8">
        <v>1E-3</v>
      </c>
      <c r="AG5" s="8">
        <v>0.29299999999999998</v>
      </c>
      <c r="AH5" s="7"/>
    </row>
    <row r="6" spans="1:34" x14ac:dyDescent="0.25">
      <c r="C6" s="10" t="s">
        <v>17</v>
      </c>
      <c r="D6" s="10" t="s">
        <v>18</v>
      </c>
      <c r="E6" s="10" t="s">
        <v>19</v>
      </c>
      <c r="F6" s="10" t="s">
        <v>20</v>
      </c>
      <c r="G6" s="10" t="s">
        <v>21</v>
      </c>
      <c r="H6" s="10" t="s">
        <v>22</v>
      </c>
      <c r="I6" s="10" t="s">
        <v>23</v>
      </c>
      <c r="J6" s="10" t="s">
        <v>24</v>
      </c>
      <c r="K6" s="10" t="s">
        <v>25</v>
      </c>
      <c r="L6" s="10" t="s">
        <v>26</v>
      </c>
      <c r="M6" s="10" t="s">
        <v>27</v>
      </c>
      <c r="N6" s="10" t="s">
        <v>28</v>
      </c>
      <c r="O6" s="10" t="s">
        <v>17</v>
      </c>
      <c r="P6" s="2"/>
      <c r="Q6" s="2"/>
      <c r="R6" s="3"/>
      <c r="S6" s="4" t="s">
        <v>29</v>
      </c>
      <c r="T6" s="8">
        <v>0.252</v>
      </c>
      <c r="U6" s="8">
        <v>0.52</v>
      </c>
      <c r="V6" s="8"/>
      <c r="W6" s="8"/>
      <c r="X6" s="8"/>
      <c r="Y6" s="8">
        <v>0.22800000000000001</v>
      </c>
      <c r="Z6" s="4"/>
      <c r="AA6" s="4" t="s">
        <v>29</v>
      </c>
      <c r="AB6" s="8">
        <v>0.252</v>
      </c>
      <c r="AC6" s="8">
        <v>0.52</v>
      </c>
      <c r="AD6" s="8"/>
      <c r="AE6" s="8"/>
      <c r="AF6" s="8"/>
      <c r="AG6" s="8">
        <v>0.22800000000000001</v>
      </c>
      <c r="AH6" s="7"/>
    </row>
    <row r="7" spans="1:34" x14ac:dyDescent="0.25">
      <c r="C7" s="11" t="s">
        <v>30</v>
      </c>
      <c r="D7" s="11" t="s">
        <v>31</v>
      </c>
      <c r="E7" s="11" t="s">
        <v>31</v>
      </c>
      <c r="F7" s="11" t="s">
        <v>31</v>
      </c>
      <c r="G7" s="11" t="s">
        <v>31</v>
      </c>
      <c r="H7" s="11" t="s">
        <v>31</v>
      </c>
      <c r="I7" s="11" t="s">
        <v>31</v>
      </c>
      <c r="J7" s="11" t="s">
        <v>31</v>
      </c>
      <c r="K7" s="11" t="s">
        <v>31</v>
      </c>
      <c r="L7" s="11" t="s">
        <v>31</v>
      </c>
      <c r="M7" s="11" t="s">
        <v>31</v>
      </c>
      <c r="N7" s="11" t="s">
        <v>31</v>
      </c>
      <c r="O7" s="11" t="s">
        <v>31</v>
      </c>
      <c r="P7" s="12" t="s">
        <v>32</v>
      </c>
      <c r="Q7" s="12" t="s">
        <v>33</v>
      </c>
      <c r="R7" s="3"/>
      <c r="S7" s="4" t="s">
        <v>34</v>
      </c>
      <c r="T7" s="8">
        <v>0.192</v>
      </c>
      <c r="U7" s="8">
        <v>0.39610000000000001</v>
      </c>
      <c r="V7" s="8">
        <v>0.13700000000000001</v>
      </c>
      <c r="W7" s="8">
        <v>3.2000000000000002E-3</v>
      </c>
      <c r="X7" s="8">
        <v>2.2000000000000001E-3</v>
      </c>
      <c r="Y7" s="8">
        <v>0.26950000000000002</v>
      </c>
      <c r="Z7" s="4"/>
      <c r="AA7" s="4" t="s">
        <v>34</v>
      </c>
      <c r="AB7" s="8">
        <v>0.192</v>
      </c>
      <c r="AC7" s="8">
        <v>0.39610000000000001</v>
      </c>
      <c r="AD7" s="8">
        <v>0.13700000000000001</v>
      </c>
      <c r="AE7" s="8">
        <v>3.2000000000000002E-3</v>
      </c>
      <c r="AF7" s="8">
        <v>2.2000000000000001E-3</v>
      </c>
      <c r="AG7" s="8">
        <v>0.26950000000000002</v>
      </c>
      <c r="AH7" s="7"/>
    </row>
    <row r="8" spans="1:34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3"/>
    </row>
    <row r="9" spans="1:34" x14ac:dyDescent="0.25">
      <c r="A9" s="13" t="s">
        <v>35</v>
      </c>
      <c r="B9" s="13" t="s">
        <v>36</v>
      </c>
      <c r="C9" s="14">
        <v>-53473801</v>
      </c>
      <c r="D9" s="14">
        <v>-52927683</v>
      </c>
      <c r="E9" s="14">
        <v>-50782991</v>
      </c>
      <c r="F9" s="14">
        <v>-53728742</v>
      </c>
      <c r="G9" s="14">
        <v>-52528295</v>
      </c>
      <c r="H9" s="14">
        <v>-54546955</v>
      </c>
      <c r="I9" s="14">
        <v>-53198317</v>
      </c>
      <c r="J9" s="14">
        <v>-56088549</v>
      </c>
      <c r="K9" s="14">
        <v>-57339401</v>
      </c>
      <c r="L9" s="14">
        <v>-53454763</v>
      </c>
      <c r="M9" s="14">
        <v>-55104746</v>
      </c>
      <c r="N9" s="14">
        <v>-47993900</v>
      </c>
      <c r="O9" s="14">
        <v>-62628904</v>
      </c>
      <c r="P9" s="14">
        <v>-703797045</v>
      </c>
      <c r="Q9" s="14">
        <v>-54138234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3"/>
    </row>
    <row r="10" spans="1:34" x14ac:dyDescent="0.2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3"/>
    </row>
    <row r="11" spans="1:34" ht="19.5" x14ac:dyDescent="0.4">
      <c r="A11" s="5" t="s">
        <v>37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3"/>
    </row>
    <row r="12" spans="1:34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3"/>
    </row>
    <row r="13" spans="1:34" ht="15.75" x14ac:dyDescent="0.3">
      <c r="A13" s="18" t="s">
        <v>38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3"/>
    </row>
    <row r="14" spans="1:34" x14ac:dyDescent="0.2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3"/>
    </row>
    <row r="15" spans="1:34" x14ac:dyDescent="0.25">
      <c r="A15" s="21" t="s">
        <v>39</v>
      </c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3"/>
    </row>
    <row r="16" spans="1:34" x14ac:dyDescent="0.25">
      <c r="A16" s="13" t="s">
        <v>40</v>
      </c>
      <c r="B16" s="13" t="s">
        <v>41</v>
      </c>
      <c r="C16" s="2">
        <v>-1473236</v>
      </c>
      <c r="D16" s="2">
        <v>-1473236</v>
      </c>
      <c r="E16" s="2">
        <v>-1473236</v>
      </c>
      <c r="F16" s="2">
        <v>-1476918</v>
      </c>
      <c r="G16" s="2">
        <v>11909467</v>
      </c>
      <c r="H16" s="2">
        <v>11909467</v>
      </c>
      <c r="I16" s="2">
        <v>11909467</v>
      </c>
      <c r="J16" s="2">
        <v>11909467</v>
      </c>
      <c r="K16" s="2">
        <v>12018628</v>
      </c>
      <c r="L16" s="2">
        <v>11986453</v>
      </c>
      <c r="M16" s="2">
        <v>12004504</v>
      </c>
      <c r="N16" s="2">
        <v>12009002</v>
      </c>
      <c r="O16" s="2">
        <v>11990698</v>
      </c>
      <c r="P16" s="2">
        <v>101750529</v>
      </c>
      <c r="Q16" s="2">
        <v>7826964</v>
      </c>
      <c r="R16" s="24"/>
      <c r="S16" s="25" t="s">
        <v>42</v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3"/>
    </row>
    <row r="17" spans="1:34" x14ac:dyDescent="0.25">
      <c r="A17" s="13" t="s">
        <v>43</v>
      </c>
      <c r="B17" s="13" t="s">
        <v>44</v>
      </c>
      <c r="C17" s="2">
        <v>594214</v>
      </c>
      <c r="D17" s="2">
        <v>594214</v>
      </c>
      <c r="E17" s="2">
        <v>594214</v>
      </c>
      <c r="F17" s="2">
        <v>594214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2376857</v>
      </c>
      <c r="Q17" s="2">
        <v>182835</v>
      </c>
      <c r="R17" s="1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3"/>
    </row>
    <row r="18" spans="1:34" x14ac:dyDescent="0.25">
      <c r="A18" s="13" t="s">
        <v>45</v>
      </c>
      <c r="B18" s="13" t="s">
        <v>46</v>
      </c>
      <c r="C18" s="2">
        <v>7633251</v>
      </c>
      <c r="D18" s="2">
        <v>7633251</v>
      </c>
      <c r="E18" s="2">
        <v>7633251</v>
      </c>
      <c r="F18" s="2">
        <v>7633251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30533004</v>
      </c>
      <c r="Q18" s="2">
        <v>2348693</v>
      </c>
      <c r="R18" s="1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3"/>
    </row>
    <row r="19" spans="1:34" x14ac:dyDescent="0.25">
      <c r="A19" s="13" t="s">
        <v>47</v>
      </c>
      <c r="B19" s="13" t="s">
        <v>48</v>
      </c>
      <c r="C19" s="2">
        <v>734008</v>
      </c>
      <c r="D19" s="2">
        <v>734008</v>
      </c>
      <c r="E19" s="2">
        <v>734008</v>
      </c>
      <c r="F19" s="2">
        <v>734008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2936031</v>
      </c>
      <c r="Q19" s="2">
        <v>225849</v>
      </c>
      <c r="R19" s="1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3"/>
    </row>
    <row r="20" spans="1:34" x14ac:dyDescent="0.25">
      <c r="A20" s="13" t="s">
        <v>49</v>
      </c>
      <c r="B20" s="13" t="s">
        <v>50</v>
      </c>
      <c r="C20" s="2">
        <v>207153</v>
      </c>
      <c r="D20" s="2">
        <v>207153</v>
      </c>
      <c r="E20" s="2">
        <v>207153</v>
      </c>
      <c r="F20" s="2">
        <v>207153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828610</v>
      </c>
      <c r="Q20" s="2">
        <v>63739</v>
      </c>
      <c r="R20" s="1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3"/>
    </row>
    <row r="21" spans="1:34" x14ac:dyDescent="0.25">
      <c r="A21" s="13" t="s">
        <v>51</v>
      </c>
      <c r="B21" s="13" t="s">
        <v>52</v>
      </c>
      <c r="C21" s="2">
        <v>347686</v>
      </c>
      <c r="D21" s="2">
        <v>347686</v>
      </c>
      <c r="E21" s="2">
        <v>347686</v>
      </c>
      <c r="F21" s="2">
        <v>347686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1390745</v>
      </c>
      <c r="Q21" s="2">
        <v>106980</v>
      </c>
      <c r="R21" s="1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3"/>
    </row>
    <row r="22" spans="1:34" x14ac:dyDescent="0.25">
      <c r="A22" s="13" t="s">
        <v>53</v>
      </c>
      <c r="B22" s="13" t="s">
        <v>54</v>
      </c>
      <c r="C22" s="2">
        <v>2202042</v>
      </c>
      <c r="D22" s="2">
        <v>2202042</v>
      </c>
      <c r="E22" s="2">
        <v>2202042</v>
      </c>
      <c r="F22" s="2">
        <v>2202042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8808168</v>
      </c>
      <c r="Q22" s="2">
        <v>677551</v>
      </c>
      <c r="R22" s="1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3"/>
    </row>
    <row r="23" spans="1:34" x14ac:dyDescent="0.25">
      <c r="A23" s="13" t="s">
        <v>55</v>
      </c>
      <c r="B23" s="13" t="s">
        <v>56</v>
      </c>
      <c r="C23" s="2">
        <v>258117</v>
      </c>
      <c r="D23" s="2">
        <v>258117</v>
      </c>
      <c r="E23" s="2">
        <v>258117</v>
      </c>
      <c r="F23" s="2">
        <v>258117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1032466</v>
      </c>
      <c r="Q23" s="2">
        <v>79420</v>
      </c>
      <c r="R23" s="1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3"/>
    </row>
    <row r="24" spans="1:34" x14ac:dyDescent="0.25">
      <c r="A24" s="13" t="s">
        <v>57</v>
      </c>
      <c r="B24" s="13" t="s">
        <v>58</v>
      </c>
      <c r="C24" s="2">
        <v>763766</v>
      </c>
      <c r="D24" s="2">
        <v>763766</v>
      </c>
      <c r="E24" s="2">
        <v>763766</v>
      </c>
      <c r="F24" s="2">
        <v>763766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3055062</v>
      </c>
      <c r="Q24" s="2">
        <v>235005</v>
      </c>
      <c r="R24" s="1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3"/>
    </row>
    <row r="25" spans="1:34" x14ac:dyDescent="0.25">
      <c r="A25" s="13" t="s">
        <v>59</v>
      </c>
      <c r="B25" s="13" t="s">
        <v>60</v>
      </c>
      <c r="C25" s="2">
        <v>640682</v>
      </c>
      <c r="D25" s="2">
        <v>640682</v>
      </c>
      <c r="E25" s="2">
        <v>640682</v>
      </c>
      <c r="F25" s="2">
        <v>640682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2562728</v>
      </c>
      <c r="Q25" s="2">
        <v>197133</v>
      </c>
      <c r="R25" s="1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3"/>
    </row>
    <row r="26" spans="1:34" x14ac:dyDescent="0.25">
      <c r="A26" s="13" t="s">
        <v>61</v>
      </c>
      <c r="B26" s="13" t="s">
        <v>62</v>
      </c>
      <c r="C26" s="2">
        <v>36332</v>
      </c>
      <c r="D26" s="2">
        <v>36332</v>
      </c>
      <c r="E26" s="2">
        <v>36332</v>
      </c>
      <c r="F26" s="2">
        <v>36332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145330</v>
      </c>
      <c r="Q26" s="2">
        <v>11179</v>
      </c>
      <c r="R26" s="1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3"/>
    </row>
    <row r="27" spans="1:34" x14ac:dyDescent="0.25">
      <c r="A27" s="13" t="s">
        <v>63</v>
      </c>
      <c r="B27" s="13" t="s">
        <v>64</v>
      </c>
      <c r="C27" s="2">
        <v>24970</v>
      </c>
      <c r="D27" s="2">
        <v>24970</v>
      </c>
      <c r="E27" s="2">
        <v>24970</v>
      </c>
      <c r="F27" s="2">
        <v>24970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99881</v>
      </c>
      <c r="Q27" s="2">
        <v>7683</v>
      </c>
      <c r="R27" s="1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3"/>
    </row>
    <row r="28" spans="1:34" x14ac:dyDescent="0.25">
      <c r="A28" s="13" t="s">
        <v>65</v>
      </c>
      <c r="B28" s="13" t="s">
        <v>66</v>
      </c>
      <c r="C28" s="2">
        <v>256310</v>
      </c>
      <c r="D28" s="2">
        <v>266247</v>
      </c>
      <c r="E28" s="2">
        <v>274476</v>
      </c>
      <c r="F28" s="2">
        <v>279560</v>
      </c>
      <c r="G28" s="2">
        <v>281045</v>
      </c>
      <c r="H28" s="2">
        <v>282630</v>
      </c>
      <c r="I28" s="2">
        <v>292269</v>
      </c>
      <c r="J28" s="2">
        <v>308037</v>
      </c>
      <c r="K28" s="2">
        <v>208301</v>
      </c>
      <c r="L28" s="2">
        <v>208301</v>
      </c>
      <c r="M28" s="2">
        <v>200307</v>
      </c>
      <c r="N28" s="2">
        <v>200307</v>
      </c>
      <c r="O28" s="2">
        <v>200307</v>
      </c>
      <c r="P28" s="2">
        <v>3258096</v>
      </c>
      <c r="Q28" s="2">
        <v>250623</v>
      </c>
      <c r="R28" s="1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3"/>
    </row>
    <row r="29" spans="1:34" x14ac:dyDescent="0.25">
      <c r="C29" s="26" t="s">
        <v>67</v>
      </c>
      <c r="D29" s="26" t="s">
        <v>67</v>
      </c>
      <c r="E29" s="26" t="s">
        <v>67</v>
      </c>
      <c r="F29" s="26" t="s">
        <v>67</v>
      </c>
      <c r="G29" s="26" t="s">
        <v>67</v>
      </c>
      <c r="H29" s="26" t="s">
        <v>67</v>
      </c>
      <c r="I29" s="26" t="s">
        <v>67</v>
      </c>
      <c r="J29" s="26" t="s">
        <v>67</v>
      </c>
      <c r="K29" s="26" t="s">
        <v>67</v>
      </c>
      <c r="L29" s="26" t="s">
        <v>67</v>
      </c>
      <c r="M29" s="26" t="s">
        <v>67</v>
      </c>
      <c r="N29" s="26" t="s">
        <v>67</v>
      </c>
      <c r="O29" s="26" t="s">
        <v>67</v>
      </c>
      <c r="P29" s="26" t="s">
        <v>67</v>
      </c>
      <c r="Q29" s="26" t="s">
        <v>67</v>
      </c>
      <c r="R29" s="1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3"/>
    </row>
    <row r="30" spans="1:34" x14ac:dyDescent="0.25">
      <c r="A30" s="21" t="s">
        <v>68</v>
      </c>
      <c r="B30" s="22"/>
      <c r="C30" s="23">
        <v>12225295</v>
      </c>
      <c r="D30" s="23">
        <v>12235232</v>
      </c>
      <c r="E30" s="23">
        <v>12243461</v>
      </c>
      <c r="F30" s="23">
        <v>12244863</v>
      </c>
      <c r="G30" s="23">
        <v>12190512</v>
      </c>
      <c r="H30" s="23">
        <v>12192097</v>
      </c>
      <c r="I30" s="23">
        <v>12201736</v>
      </c>
      <c r="J30" s="23">
        <v>12217504</v>
      </c>
      <c r="K30" s="23">
        <v>12226929</v>
      </c>
      <c r="L30" s="23">
        <v>12194754</v>
      </c>
      <c r="M30" s="23">
        <v>12204811</v>
      </c>
      <c r="N30" s="23">
        <v>12209309</v>
      </c>
      <c r="O30" s="23">
        <v>12191005</v>
      </c>
      <c r="P30" s="23">
        <v>158777507</v>
      </c>
      <c r="Q30" s="23">
        <v>12213654</v>
      </c>
      <c r="R30" s="1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7"/>
    </row>
    <row r="31" spans="1:34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1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3"/>
    </row>
    <row r="32" spans="1:34" x14ac:dyDescent="0.25">
      <c r="A32" s="21" t="s">
        <v>69</v>
      </c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3"/>
    </row>
    <row r="33" spans="1:34" x14ac:dyDescent="0.25">
      <c r="A33" s="13" t="s">
        <v>70</v>
      </c>
      <c r="B33" s="13" t="s">
        <v>71</v>
      </c>
      <c r="C33" s="2">
        <v>0</v>
      </c>
      <c r="D33" s="2">
        <v>0</v>
      </c>
      <c r="E33" s="2">
        <v>0</v>
      </c>
      <c r="F33" s="2">
        <v>0</v>
      </c>
      <c r="G33" s="2">
        <v>3418</v>
      </c>
      <c r="H33" s="2">
        <v>3418</v>
      </c>
      <c r="I33" s="2">
        <v>0</v>
      </c>
      <c r="J33" s="2">
        <v>0</v>
      </c>
      <c r="K33" s="2">
        <v>0</v>
      </c>
      <c r="L33" s="2">
        <v>1364</v>
      </c>
      <c r="M33" s="2">
        <v>0</v>
      </c>
      <c r="N33" s="2">
        <v>0</v>
      </c>
      <c r="O33" s="2">
        <v>0</v>
      </c>
      <c r="P33" s="2">
        <v>8200</v>
      </c>
      <c r="Q33" s="2">
        <v>631</v>
      </c>
      <c r="R33" s="15"/>
      <c r="S33" s="25" t="s">
        <v>42</v>
      </c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3"/>
    </row>
    <row r="34" spans="1:34" x14ac:dyDescent="0.25">
      <c r="C34" s="26" t="s">
        <v>67</v>
      </c>
      <c r="D34" s="26" t="s">
        <v>67</v>
      </c>
      <c r="E34" s="26" t="s">
        <v>67</v>
      </c>
      <c r="F34" s="26" t="s">
        <v>67</v>
      </c>
      <c r="G34" s="26" t="s">
        <v>67</v>
      </c>
      <c r="H34" s="26" t="s">
        <v>67</v>
      </c>
      <c r="I34" s="26" t="s">
        <v>67</v>
      </c>
      <c r="J34" s="26" t="s">
        <v>67</v>
      </c>
      <c r="K34" s="26" t="s">
        <v>67</v>
      </c>
      <c r="L34" s="26" t="s">
        <v>67</v>
      </c>
      <c r="M34" s="26" t="s">
        <v>67</v>
      </c>
      <c r="N34" s="26" t="s">
        <v>67</v>
      </c>
      <c r="O34" s="26" t="s">
        <v>67</v>
      </c>
      <c r="P34" s="26" t="s">
        <v>67</v>
      </c>
      <c r="Q34" s="26" t="s">
        <v>67</v>
      </c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3"/>
    </row>
    <row r="35" spans="1:34" x14ac:dyDescent="0.25">
      <c r="A35" s="21" t="s">
        <v>72</v>
      </c>
      <c r="B35" s="22"/>
      <c r="C35" s="23">
        <v>0</v>
      </c>
      <c r="D35" s="23">
        <v>0</v>
      </c>
      <c r="E35" s="23">
        <v>0</v>
      </c>
      <c r="F35" s="23">
        <v>0</v>
      </c>
      <c r="G35" s="23">
        <v>3418</v>
      </c>
      <c r="H35" s="23">
        <v>3418</v>
      </c>
      <c r="I35" s="23">
        <v>0</v>
      </c>
      <c r="J35" s="23">
        <v>0</v>
      </c>
      <c r="K35" s="23">
        <v>0</v>
      </c>
      <c r="L35" s="23">
        <v>1364</v>
      </c>
      <c r="M35" s="23">
        <v>0</v>
      </c>
      <c r="N35" s="23">
        <v>0</v>
      </c>
      <c r="O35" s="23">
        <v>0</v>
      </c>
      <c r="P35" s="23">
        <v>8200</v>
      </c>
      <c r="Q35" s="23">
        <v>631</v>
      </c>
      <c r="R35" s="15">
        <f>SUM(T35:Y35)-Q35</f>
        <v>-631</v>
      </c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27"/>
    </row>
    <row r="36" spans="1:34" x14ac:dyDescent="0.2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3"/>
    </row>
    <row r="37" spans="1:34" x14ac:dyDescent="0.25">
      <c r="A37" s="21" t="s">
        <v>73</v>
      </c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3"/>
    </row>
    <row r="38" spans="1:34" x14ac:dyDescent="0.25">
      <c r="A38" s="13" t="s">
        <v>74</v>
      </c>
      <c r="B38" s="13" t="s">
        <v>75</v>
      </c>
      <c r="C38" s="2">
        <v>1282528</v>
      </c>
      <c r="D38" s="2">
        <v>1234302</v>
      </c>
      <c r="E38" s="2">
        <v>1186004</v>
      </c>
      <c r="F38" s="2">
        <v>1141373</v>
      </c>
      <c r="G38" s="2">
        <v>-737548</v>
      </c>
      <c r="H38" s="2">
        <v>-785378</v>
      </c>
      <c r="I38" s="2">
        <v>-833211</v>
      </c>
      <c r="J38" s="2">
        <v>-881257</v>
      </c>
      <c r="K38" s="2">
        <v>-929435</v>
      </c>
      <c r="L38" s="2">
        <v>-945516</v>
      </c>
      <c r="M38" s="2">
        <v>-993504</v>
      </c>
      <c r="N38" s="2">
        <v>-1041575</v>
      </c>
      <c r="O38" s="2">
        <v>-913291</v>
      </c>
      <c r="P38" s="2">
        <v>-3216507</v>
      </c>
      <c r="Q38" s="2">
        <v>-247424</v>
      </c>
      <c r="R38" s="24"/>
      <c r="S38" s="25" t="s">
        <v>42</v>
      </c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3"/>
    </row>
    <row r="39" spans="1:34" x14ac:dyDescent="0.25">
      <c r="A39" s="13" t="s">
        <v>45</v>
      </c>
      <c r="B39" s="13" t="s">
        <v>76</v>
      </c>
      <c r="C39" s="2">
        <v>-181320</v>
      </c>
      <c r="D39" s="2">
        <v>-181320</v>
      </c>
      <c r="E39" s="2">
        <v>-181320</v>
      </c>
      <c r="F39" s="2">
        <v>-181320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-725282</v>
      </c>
      <c r="Q39" s="2">
        <v>-55791</v>
      </c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3"/>
    </row>
    <row r="40" spans="1:34" x14ac:dyDescent="0.25">
      <c r="A40" s="13" t="s">
        <v>47</v>
      </c>
      <c r="B40" s="13" t="s">
        <v>77</v>
      </c>
      <c r="C40" s="2">
        <v>-377336</v>
      </c>
      <c r="D40" s="2">
        <v>-377336</v>
      </c>
      <c r="E40" s="2">
        <v>-377336</v>
      </c>
      <c r="F40" s="2">
        <v>-377336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-1509345</v>
      </c>
      <c r="Q40" s="2">
        <v>-116103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3"/>
    </row>
    <row r="41" spans="1:34" x14ac:dyDescent="0.25">
      <c r="A41" s="13" t="s">
        <v>49</v>
      </c>
      <c r="B41" s="13" t="s">
        <v>78</v>
      </c>
      <c r="C41" s="2">
        <v>347516</v>
      </c>
      <c r="D41" s="2">
        <v>347516</v>
      </c>
      <c r="E41" s="2">
        <v>347516</v>
      </c>
      <c r="F41" s="2">
        <v>347516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1390064</v>
      </c>
      <c r="Q41" s="2">
        <v>106928</v>
      </c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3"/>
    </row>
    <row r="42" spans="1:34" x14ac:dyDescent="0.25">
      <c r="A42" s="13" t="s">
        <v>51</v>
      </c>
      <c r="B42" s="13" t="s">
        <v>79</v>
      </c>
      <c r="C42" s="2">
        <v>162420</v>
      </c>
      <c r="D42" s="2">
        <v>162420</v>
      </c>
      <c r="E42" s="2">
        <v>162420</v>
      </c>
      <c r="F42" s="2">
        <v>162420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649680</v>
      </c>
      <c r="Q42" s="2">
        <v>49975</v>
      </c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3"/>
    </row>
    <row r="43" spans="1:34" x14ac:dyDescent="0.25">
      <c r="A43" s="13" t="s">
        <v>53</v>
      </c>
      <c r="B43" s="13" t="s">
        <v>80</v>
      </c>
      <c r="C43" s="2">
        <v>-1379260</v>
      </c>
      <c r="D43" s="2">
        <v>-1379260</v>
      </c>
      <c r="E43" s="2">
        <v>-1379260</v>
      </c>
      <c r="F43" s="2">
        <v>-1379260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-5517042</v>
      </c>
      <c r="Q43" s="2">
        <v>-424388</v>
      </c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3"/>
    </row>
    <row r="44" spans="1:34" x14ac:dyDescent="0.25">
      <c r="A44" s="13" t="s">
        <v>55</v>
      </c>
      <c r="B44" s="13" t="s">
        <v>81</v>
      </c>
      <c r="C44" s="2">
        <v>-93792</v>
      </c>
      <c r="D44" s="2">
        <v>-93792</v>
      </c>
      <c r="E44" s="2">
        <v>-93792</v>
      </c>
      <c r="F44" s="2">
        <v>-93792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-375167</v>
      </c>
      <c r="Q44" s="2">
        <v>-28859</v>
      </c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3"/>
    </row>
    <row r="45" spans="1:34" x14ac:dyDescent="0.25">
      <c r="A45" s="13" t="s">
        <v>57</v>
      </c>
      <c r="B45" s="13" t="s">
        <v>82</v>
      </c>
      <c r="C45" s="2">
        <v>-237842</v>
      </c>
      <c r="D45" s="2">
        <v>-237842</v>
      </c>
      <c r="E45" s="2">
        <v>-237842</v>
      </c>
      <c r="F45" s="2">
        <v>-237842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-951369</v>
      </c>
      <c r="Q45" s="2">
        <v>-73182</v>
      </c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3"/>
    </row>
    <row r="46" spans="1:34" x14ac:dyDescent="0.25">
      <c r="A46" s="13" t="s">
        <v>59</v>
      </c>
      <c r="B46" s="13" t="s">
        <v>83</v>
      </c>
      <c r="C46" s="2">
        <v>-99101</v>
      </c>
      <c r="D46" s="2">
        <v>-99101</v>
      </c>
      <c r="E46" s="2">
        <v>-99101</v>
      </c>
      <c r="F46" s="2">
        <v>-99101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-396402</v>
      </c>
      <c r="Q46" s="2">
        <v>-30492</v>
      </c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3"/>
    </row>
    <row r="47" spans="1:34" x14ac:dyDescent="0.25">
      <c r="A47" s="13" t="s">
        <v>61</v>
      </c>
      <c r="B47" s="13" t="s">
        <v>84</v>
      </c>
      <c r="C47" s="2">
        <v>-2779</v>
      </c>
      <c r="D47" s="2">
        <v>-2779</v>
      </c>
      <c r="E47" s="2">
        <v>-2779</v>
      </c>
      <c r="F47" s="2">
        <v>-2779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-11117</v>
      </c>
      <c r="Q47" s="2">
        <v>-855</v>
      </c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3"/>
    </row>
    <row r="48" spans="1:34" x14ac:dyDescent="0.25">
      <c r="A48" s="13" t="s">
        <v>63</v>
      </c>
      <c r="B48" s="13" t="s">
        <v>85</v>
      </c>
      <c r="C48" s="2">
        <v>-24970</v>
      </c>
      <c r="D48" s="2">
        <v>-24970</v>
      </c>
      <c r="E48" s="2">
        <v>-24970</v>
      </c>
      <c r="F48" s="2">
        <v>-24970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-99881</v>
      </c>
      <c r="Q48" s="2">
        <v>-7683</v>
      </c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3"/>
    </row>
    <row r="49" spans="1:34" x14ac:dyDescent="0.25">
      <c r="A49" s="28" t="s">
        <v>86</v>
      </c>
      <c r="B49" s="28" t="s">
        <v>87</v>
      </c>
      <c r="C49" s="29">
        <v>30205</v>
      </c>
      <c r="D49" s="29">
        <v>32003</v>
      </c>
      <c r="E49" s="29">
        <v>32006</v>
      </c>
      <c r="F49" s="29">
        <v>32022</v>
      </c>
      <c r="G49" s="29">
        <v>32001</v>
      </c>
      <c r="H49" s="29">
        <v>31539</v>
      </c>
      <c r="I49" s="29">
        <v>31497</v>
      </c>
      <c r="J49" s="29">
        <v>31475</v>
      </c>
      <c r="K49" s="29">
        <v>31520</v>
      </c>
      <c r="L49" s="29">
        <v>31520</v>
      </c>
      <c r="M49" s="29">
        <v>31252</v>
      </c>
      <c r="N49" s="29">
        <v>31252</v>
      </c>
      <c r="O49" s="29">
        <v>25334</v>
      </c>
      <c r="P49" s="29">
        <v>403625</v>
      </c>
      <c r="Q49" s="29">
        <v>31048</v>
      </c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3"/>
    </row>
    <row r="50" spans="1:34" x14ac:dyDescent="0.25">
      <c r="A50" s="28" t="s">
        <v>88</v>
      </c>
      <c r="B50" s="28" t="s">
        <v>89</v>
      </c>
      <c r="C50" s="29">
        <v>18026</v>
      </c>
      <c r="D50" s="29">
        <v>16224</v>
      </c>
      <c r="E50" s="29">
        <v>16291</v>
      </c>
      <c r="F50" s="29">
        <v>16291</v>
      </c>
      <c r="G50" s="29">
        <v>16291</v>
      </c>
      <c r="H50" s="29">
        <v>16291</v>
      </c>
      <c r="I50" s="29">
        <v>16291</v>
      </c>
      <c r="J50" s="29">
        <v>16526</v>
      </c>
      <c r="K50" s="29">
        <v>16658</v>
      </c>
      <c r="L50" s="29">
        <v>16736</v>
      </c>
      <c r="M50" s="29">
        <v>16736</v>
      </c>
      <c r="N50" s="29">
        <v>16820</v>
      </c>
      <c r="O50" s="29">
        <v>22241</v>
      </c>
      <c r="P50" s="29">
        <v>221422</v>
      </c>
      <c r="Q50" s="29">
        <v>17032</v>
      </c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3"/>
    </row>
    <row r="51" spans="1:34" x14ac:dyDescent="0.25">
      <c r="A51" s="28" t="s">
        <v>90</v>
      </c>
      <c r="B51" s="28" t="s">
        <v>91</v>
      </c>
      <c r="C51" s="29">
        <v>-45669</v>
      </c>
      <c r="D51" s="29">
        <v>-45669</v>
      </c>
      <c r="E51" s="29">
        <v>-45669</v>
      </c>
      <c r="F51" s="29">
        <v>-45669</v>
      </c>
      <c r="G51" s="29">
        <v>-45669</v>
      </c>
      <c r="H51" s="29">
        <v>-45669</v>
      </c>
      <c r="I51" s="29">
        <v>-45669</v>
      </c>
      <c r="J51" s="29">
        <v>-45669</v>
      </c>
      <c r="K51" s="29">
        <v>-45669</v>
      </c>
      <c r="L51" s="29">
        <v>-45669</v>
      </c>
      <c r="M51" s="29">
        <v>-45669</v>
      </c>
      <c r="N51" s="29">
        <v>-45669</v>
      </c>
      <c r="O51" s="29">
        <v>-45669</v>
      </c>
      <c r="P51" s="29">
        <v>-593703</v>
      </c>
      <c r="Q51" s="29">
        <v>-45669</v>
      </c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3"/>
    </row>
    <row r="52" spans="1:34" x14ac:dyDescent="0.25">
      <c r="C52" s="26" t="s">
        <v>67</v>
      </c>
      <c r="D52" s="26" t="s">
        <v>67</v>
      </c>
      <c r="E52" s="26" t="s">
        <v>67</v>
      </c>
      <c r="F52" s="26" t="s">
        <v>67</v>
      </c>
      <c r="G52" s="26" t="s">
        <v>67</v>
      </c>
      <c r="H52" s="26" t="s">
        <v>67</v>
      </c>
      <c r="I52" s="26" t="s">
        <v>67</v>
      </c>
      <c r="J52" s="26" t="s">
        <v>67</v>
      </c>
      <c r="K52" s="26" t="s">
        <v>67</v>
      </c>
      <c r="L52" s="26" t="s">
        <v>67</v>
      </c>
      <c r="M52" s="26" t="s">
        <v>67</v>
      </c>
      <c r="N52" s="26" t="s">
        <v>67</v>
      </c>
      <c r="O52" s="26" t="s">
        <v>67</v>
      </c>
      <c r="P52" s="26" t="s">
        <v>67</v>
      </c>
      <c r="Q52" s="26" t="s">
        <v>67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3"/>
    </row>
    <row r="53" spans="1:34" x14ac:dyDescent="0.25">
      <c r="A53" s="21" t="s">
        <v>92</v>
      </c>
      <c r="B53" s="22"/>
      <c r="C53" s="23">
        <v>-601375</v>
      </c>
      <c r="D53" s="23">
        <v>-649606</v>
      </c>
      <c r="E53" s="23">
        <v>-697833</v>
      </c>
      <c r="F53" s="23">
        <v>-742448</v>
      </c>
      <c r="G53" s="23">
        <v>-734925</v>
      </c>
      <c r="H53" s="23">
        <v>-783218</v>
      </c>
      <c r="I53" s="23">
        <v>-831093</v>
      </c>
      <c r="J53" s="23">
        <v>-878925</v>
      </c>
      <c r="K53" s="23">
        <v>-926927</v>
      </c>
      <c r="L53" s="23">
        <v>-942929</v>
      </c>
      <c r="M53" s="23">
        <v>-991185</v>
      </c>
      <c r="N53" s="23">
        <v>-1039173</v>
      </c>
      <c r="O53" s="23">
        <v>-911386</v>
      </c>
      <c r="P53" s="23">
        <v>-10731023</v>
      </c>
      <c r="Q53" s="23">
        <v>-825463</v>
      </c>
      <c r="R53" s="15">
        <f>SUM(T53:Y53)-Q53</f>
        <v>825463</v>
      </c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27"/>
    </row>
    <row r="54" spans="1:34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3"/>
    </row>
    <row r="55" spans="1:34" ht="15.75" x14ac:dyDescent="0.3">
      <c r="A55" s="18" t="s">
        <v>93</v>
      </c>
      <c r="B55" s="19"/>
      <c r="C55" s="20">
        <v>11623920</v>
      </c>
      <c r="D55" s="20">
        <v>11585626</v>
      </c>
      <c r="E55" s="20">
        <v>11545628</v>
      </c>
      <c r="F55" s="20">
        <v>11502415</v>
      </c>
      <c r="G55" s="20">
        <v>11459004</v>
      </c>
      <c r="H55" s="20">
        <v>11412297</v>
      </c>
      <c r="I55" s="20">
        <v>11370644</v>
      </c>
      <c r="J55" s="20">
        <v>11338578</v>
      </c>
      <c r="K55" s="20">
        <v>11300002</v>
      </c>
      <c r="L55" s="20">
        <v>11253189</v>
      </c>
      <c r="M55" s="20">
        <v>11213626</v>
      </c>
      <c r="N55" s="20">
        <v>11170136</v>
      </c>
      <c r="O55" s="20">
        <v>11279619</v>
      </c>
      <c r="P55" s="20">
        <v>148054684</v>
      </c>
      <c r="Q55" s="20">
        <v>11388822</v>
      </c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3"/>
    </row>
    <row r="56" spans="1:34" ht="15.75" x14ac:dyDescent="0.3">
      <c r="A56" s="18" t="s">
        <v>94</v>
      </c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3"/>
    </row>
    <row r="57" spans="1:34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3"/>
    </row>
    <row r="58" spans="1:34" x14ac:dyDescent="0.25">
      <c r="A58" s="21" t="s">
        <v>95</v>
      </c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3"/>
    </row>
    <row r="59" spans="1:34" x14ac:dyDescent="0.25">
      <c r="A59" s="13" t="s">
        <v>96</v>
      </c>
      <c r="B59" s="13" t="s">
        <v>97</v>
      </c>
      <c r="C59" s="2">
        <v>19699280</v>
      </c>
      <c r="D59" s="2">
        <v>19699280</v>
      </c>
      <c r="E59" s="2">
        <v>19699280</v>
      </c>
      <c r="F59" s="2">
        <v>19699280</v>
      </c>
      <c r="G59" s="2">
        <v>19699280</v>
      </c>
      <c r="H59" s="2">
        <v>19699280</v>
      </c>
      <c r="I59" s="2">
        <v>19699280</v>
      </c>
      <c r="J59" s="2">
        <v>19699280</v>
      </c>
      <c r="K59" s="2">
        <v>19699280</v>
      </c>
      <c r="L59" s="2">
        <v>19699280</v>
      </c>
      <c r="M59" s="2">
        <v>19699280</v>
      </c>
      <c r="N59" s="2">
        <v>19699280</v>
      </c>
      <c r="O59" s="2">
        <v>19699280</v>
      </c>
      <c r="P59" s="2">
        <v>256090643</v>
      </c>
      <c r="Q59" s="2">
        <v>19699280</v>
      </c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3"/>
    </row>
    <row r="60" spans="1:34" x14ac:dyDescent="0.25">
      <c r="A60" s="13" t="s">
        <v>98</v>
      </c>
      <c r="B60" s="13" t="s">
        <v>99</v>
      </c>
      <c r="C60" s="2">
        <v>9502865</v>
      </c>
      <c r="D60" s="2">
        <v>9502865</v>
      </c>
      <c r="E60" s="2">
        <v>9502865</v>
      </c>
      <c r="F60" s="2">
        <v>9502865</v>
      </c>
      <c r="G60" s="2">
        <v>9502865</v>
      </c>
      <c r="H60" s="2">
        <v>9502865</v>
      </c>
      <c r="I60" s="2">
        <v>9502865</v>
      </c>
      <c r="J60" s="2">
        <v>9502865</v>
      </c>
      <c r="K60" s="2">
        <v>9502865</v>
      </c>
      <c r="L60" s="2">
        <v>9502865</v>
      </c>
      <c r="M60" s="2">
        <v>9502865</v>
      </c>
      <c r="N60" s="2">
        <v>9502865</v>
      </c>
      <c r="O60" s="2">
        <v>9502865</v>
      </c>
      <c r="P60" s="2">
        <v>123537243</v>
      </c>
      <c r="Q60" s="2">
        <v>9502865</v>
      </c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3"/>
    </row>
    <row r="61" spans="1:34" x14ac:dyDescent="0.25">
      <c r="A61" s="13" t="s">
        <v>100</v>
      </c>
      <c r="B61" s="13" t="s">
        <v>101</v>
      </c>
      <c r="C61" s="2">
        <v>-234850</v>
      </c>
      <c r="D61" s="2">
        <v>-234850</v>
      </c>
      <c r="E61" s="2">
        <v>-234850</v>
      </c>
      <c r="F61" s="2">
        <v>-234850</v>
      </c>
      <c r="G61" s="2">
        <v>-234850</v>
      </c>
      <c r="H61" s="2">
        <v>-234850</v>
      </c>
      <c r="I61" s="2">
        <v>-234850</v>
      </c>
      <c r="J61" s="2">
        <v>-234850</v>
      </c>
      <c r="K61" s="2">
        <v>-234850</v>
      </c>
      <c r="L61" s="2">
        <v>-234850</v>
      </c>
      <c r="M61" s="2">
        <v>-234850</v>
      </c>
      <c r="N61" s="2">
        <v>-234850</v>
      </c>
      <c r="O61" s="2">
        <v>-234850</v>
      </c>
      <c r="P61" s="2">
        <v>-3053054</v>
      </c>
      <c r="Q61" s="2">
        <v>-234850</v>
      </c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3"/>
    </row>
    <row r="62" spans="1:34" x14ac:dyDescent="0.25">
      <c r="A62" s="13" t="s">
        <v>102</v>
      </c>
      <c r="B62" s="13" t="s">
        <v>103</v>
      </c>
      <c r="C62" s="2">
        <v>2980568</v>
      </c>
      <c r="D62" s="2">
        <v>2980568</v>
      </c>
      <c r="E62" s="2">
        <v>2980568</v>
      </c>
      <c r="F62" s="2">
        <v>2980568</v>
      </c>
      <c r="G62" s="2">
        <v>2980568</v>
      </c>
      <c r="H62" s="2">
        <v>2980568</v>
      </c>
      <c r="I62" s="2">
        <v>2980568</v>
      </c>
      <c r="J62" s="2">
        <v>2980568</v>
      </c>
      <c r="K62" s="2">
        <v>2980568</v>
      </c>
      <c r="L62" s="2">
        <v>2980568</v>
      </c>
      <c r="M62" s="2">
        <v>2980568</v>
      </c>
      <c r="N62" s="2">
        <v>2980568</v>
      </c>
      <c r="O62" s="2">
        <v>2980568</v>
      </c>
      <c r="P62" s="2">
        <v>38747388</v>
      </c>
      <c r="Q62" s="2">
        <v>2980568</v>
      </c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3"/>
    </row>
    <row r="63" spans="1:34" x14ac:dyDescent="0.25">
      <c r="A63" s="13" t="s">
        <v>104</v>
      </c>
      <c r="B63" s="13" t="s">
        <v>105</v>
      </c>
      <c r="C63" s="2">
        <v>77756946</v>
      </c>
      <c r="D63" s="2">
        <v>77756946</v>
      </c>
      <c r="E63" s="2">
        <v>77756946</v>
      </c>
      <c r="F63" s="2">
        <v>77756946</v>
      </c>
      <c r="G63" s="2">
        <v>77756946</v>
      </c>
      <c r="H63" s="2">
        <v>77756946</v>
      </c>
      <c r="I63" s="2">
        <v>77756946</v>
      </c>
      <c r="J63" s="2">
        <v>77756946</v>
      </c>
      <c r="K63" s="2">
        <v>77756946</v>
      </c>
      <c r="L63" s="2">
        <v>77756946</v>
      </c>
      <c r="M63" s="2">
        <v>77756946</v>
      </c>
      <c r="N63" s="2">
        <v>77756946</v>
      </c>
      <c r="O63" s="2">
        <v>77756946</v>
      </c>
      <c r="P63" s="2">
        <v>1010840295</v>
      </c>
      <c r="Q63" s="2">
        <v>77756946</v>
      </c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3"/>
    </row>
    <row r="64" spans="1:34" x14ac:dyDescent="0.25">
      <c r="A64" s="13" t="s">
        <v>106</v>
      </c>
      <c r="B64" s="13" t="s">
        <v>107</v>
      </c>
      <c r="C64" s="2">
        <v>-388179</v>
      </c>
      <c r="D64" s="2">
        <v>-388179</v>
      </c>
      <c r="E64" s="2">
        <v>-388179</v>
      </c>
      <c r="F64" s="2">
        <v>-388179</v>
      </c>
      <c r="G64" s="2">
        <v>-388179</v>
      </c>
      <c r="H64" s="2">
        <v>-388179</v>
      </c>
      <c r="I64" s="2">
        <v>-388179</v>
      </c>
      <c r="J64" s="2">
        <v>-388179</v>
      </c>
      <c r="K64" s="2">
        <v>-388179</v>
      </c>
      <c r="L64" s="2">
        <v>-388179</v>
      </c>
      <c r="M64" s="2">
        <v>-388179</v>
      </c>
      <c r="N64" s="2">
        <v>-388179</v>
      </c>
      <c r="O64" s="2">
        <v>-388179</v>
      </c>
      <c r="P64" s="2">
        <v>-5046328</v>
      </c>
      <c r="Q64" s="2">
        <v>-388179</v>
      </c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3"/>
    </row>
    <row r="65" spans="1:34" x14ac:dyDescent="0.25">
      <c r="C65" s="26" t="s">
        <v>67</v>
      </c>
      <c r="D65" s="26" t="s">
        <v>67</v>
      </c>
      <c r="E65" s="26" t="s">
        <v>67</v>
      </c>
      <c r="F65" s="26" t="s">
        <v>67</v>
      </c>
      <c r="G65" s="26" t="s">
        <v>67</v>
      </c>
      <c r="H65" s="26" t="s">
        <v>67</v>
      </c>
      <c r="I65" s="26" t="s">
        <v>67</v>
      </c>
      <c r="J65" s="26" t="s">
        <v>67</v>
      </c>
      <c r="K65" s="26" t="s">
        <v>67</v>
      </c>
      <c r="L65" s="26" t="s">
        <v>67</v>
      </c>
      <c r="M65" s="26" t="s">
        <v>67</v>
      </c>
      <c r="N65" s="26" t="s">
        <v>67</v>
      </c>
      <c r="O65" s="26" t="s">
        <v>67</v>
      </c>
      <c r="P65" s="26" t="s">
        <v>67</v>
      </c>
      <c r="Q65" s="26" t="s">
        <v>67</v>
      </c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3"/>
    </row>
    <row r="66" spans="1:34" x14ac:dyDescent="0.25">
      <c r="A66" s="21" t="s">
        <v>108</v>
      </c>
      <c r="B66" s="22"/>
      <c r="C66" s="23">
        <v>109316630</v>
      </c>
      <c r="D66" s="23">
        <v>109316630</v>
      </c>
      <c r="E66" s="23">
        <v>109316630</v>
      </c>
      <c r="F66" s="23">
        <v>109316630</v>
      </c>
      <c r="G66" s="23">
        <v>109316630</v>
      </c>
      <c r="H66" s="23">
        <v>109316630</v>
      </c>
      <c r="I66" s="23">
        <v>109316630</v>
      </c>
      <c r="J66" s="23">
        <v>109316630</v>
      </c>
      <c r="K66" s="23">
        <v>109316630</v>
      </c>
      <c r="L66" s="23">
        <v>109316630</v>
      </c>
      <c r="M66" s="23">
        <v>109316630</v>
      </c>
      <c r="N66" s="23">
        <v>109316630</v>
      </c>
      <c r="O66" s="23">
        <v>109316630</v>
      </c>
      <c r="P66" s="23">
        <v>1421116186</v>
      </c>
      <c r="Q66" s="23">
        <v>109316630</v>
      </c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3"/>
    </row>
    <row r="67" spans="1:34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3"/>
    </row>
    <row r="68" spans="1:34" ht="15.75" x14ac:dyDescent="0.3">
      <c r="A68" s="18" t="s">
        <v>109</v>
      </c>
      <c r="B68" s="19"/>
      <c r="C68" s="20">
        <v>109316630</v>
      </c>
      <c r="D68" s="20">
        <v>109316630</v>
      </c>
      <c r="E68" s="20">
        <v>109316630</v>
      </c>
      <c r="F68" s="20">
        <v>109316630</v>
      </c>
      <c r="G68" s="20">
        <v>109316630</v>
      </c>
      <c r="H68" s="20">
        <v>109316630</v>
      </c>
      <c r="I68" s="20">
        <v>109316630</v>
      </c>
      <c r="J68" s="20">
        <v>109316630</v>
      </c>
      <c r="K68" s="20">
        <v>109316630</v>
      </c>
      <c r="L68" s="20">
        <v>109316630</v>
      </c>
      <c r="M68" s="20">
        <v>109316630</v>
      </c>
      <c r="N68" s="20">
        <v>109316630</v>
      </c>
      <c r="O68" s="20">
        <v>109316630</v>
      </c>
      <c r="P68" s="20">
        <v>1421116186</v>
      </c>
      <c r="Q68" s="20">
        <v>109316630</v>
      </c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3"/>
    </row>
    <row r="69" spans="1:34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3"/>
    </row>
    <row r="70" spans="1:34" ht="15.75" x14ac:dyDescent="0.3">
      <c r="A70" s="18" t="s">
        <v>110</v>
      </c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3"/>
    </row>
    <row r="71" spans="1:34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3"/>
    </row>
    <row r="72" spans="1:34" x14ac:dyDescent="0.25">
      <c r="A72" s="21" t="s">
        <v>111</v>
      </c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3"/>
    </row>
    <row r="73" spans="1:34" x14ac:dyDescent="0.25">
      <c r="A73" s="13" t="s">
        <v>112</v>
      </c>
      <c r="B73" s="13" t="s">
        <v>113</v>
      </c>
      <c r="C73" s="2">
        <v>-1389376</v>
      </c>
      <c r="D73" s="2">
        <v>-2744921</v>
      </c>
      <c r="E73" s="2">
        <v>-242641</v>
      </c>
      <c r="F73" s="2">
        <v>-1312016</v>
      </c>
      <c r="G73" s="2">
        <v>-2757235</v>
      </c>
      <c r="H73" s="2">
        <v>-366717</v>
      </c>
      <c r="I73" s="2">
        <v>-1716584</v>
      </c>
      <c r="J73" s="2">
        <v>-1409018</v>
      </c>
      <c r="K73" s="2">
        <v>-459564</v>
      </c>
      <c r="L73" s="2">
        <v>-534721</v>
      </c>
      <c r="M73" s="2">
        <v>701523</v>
      </c>
      <c r="N73" s="2">
        <v>-547137</v>
      </c>
      <c r="O73" s="2">
        <v>279594</v>
      </c>
      <c r="P73" s="2">
        <v>-12498814</v>
      </c>
      <c r="Q73" s="2">
        <v>-961447</v>
      </c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3"/>
    </row>
    <row r="74" spans="1:34" x14ac:dyDescent="0.25">
      <c r="A74" s="13" t="s">
        <v>114</v>
      </c>
      <c r="B74" s="13" t="s">
        <v>115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-283637</v>
      </c>
      <c r="L74" s="2">
        <v>-471767</v>
      </c>
      <c r="M74" s="2">
        <v>-1607513</v>
      </c>
      <c r="N74" s="2">
        <v>-10250485</v>
      </c>
      <c r="O74" s="2">
        <v>-532716</v>
      </c>
      <c r="P74" s="2">
        <v>-13146118</v>
      </c>
      <c r="Q74" s="2">
        <v>-1011240</v>
      </c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3"/>
    </row>
    <row r="75" spans="1:34" x14ac:dyDescent="0.25">
      <c r="A75" s="13" t="s">
        <v>116</v>
      </c>
      <c r="B75" s="13" t="s">
        <v>117</v>
      </c>
      <c r="C75" s="2">
        <v>-6300</v>
      </c>
      <c r="D75" s="2">
        <v>-6300</v>
      </c>
      <c r="E75" s="2">
        <v>-6300</v>
      </c>
      <c r="F75" s="2">
        <v>-6300</v>
      </c>
      <c r="G75" s="2">
        <v>-6300</v>
      </c>
      <c r="H75" s="2">
        <v>-6300</v>
      </c>
      <c r="I75" s="2">
        <v>-6300</v>
      </c>
      <c r="J75" s="2">
        <v>-6300</v>
      </c>
      <c r="K75" s="2">
        <v>-6300</v>
      </c>
      <c r="L75" s="2">
        <v>-6300</v>
      </c>
      <c r="M75" s="2">
        <v>-3980</v>
      </c>
      <c r="N75" s="2">
        <v>-3980</v>
      </c>
      <c r="O75" s="2">
        <v>-3980</v>
      </c>
      <c r="P75" s="2">
        <v>-74942</v>
      </c>
      <c r="Q75" s="2">
        <v>-5765</v>
      </c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3"/>
    </row>
    <row r="76" spans="1:34" x14ac:dyDescent="0.25">
      <c r="A76" s="13" t="s">
        <v>118</v>
      </c>
      <c r="B76" s="13" t="s">
        <v>119</v>
      </c>
      <c r="C76" s="2">
        <v>1750274</v>
      </c>
      <c r="D76" s="2">
        <v>2859989</v>
      </c>
      <c r="E76" s="2">
        <v>2216786</v>
      </c>
      <c r="F76" s="2">
        <v>2598019</v>
      </c>
      <c r="G76" s="2">
        <v>1508544</v>
      </c>
      <c r="H76" s="2">
        <v>2307120</v>
      </c>
      <c r="I76" s="2">
        <v>2774574</v>
      </c>
      <c r="J76" s="2">
        <v>1709538</v>
      </c>
      <c r="K76" s="2">
        <v>1339343</v>
      </c>
      <c r="L76" s="2">
        <v>3986040</v>
      </c>
      <c r="M76" s="2">
        <v>2153479</v>
      </c>
      <c r="N76" s="2">
        <v>1538569</v>
      </c>
      <c r="O76" s="2">
        <v>1662505</v>
      </c>
      <c r="P76" s="2">
        <v>28404780</v>
      </c>
      <c r="Q76" s="2">
        <v>2184983</v>
      </c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3"/>
    </row>
    <row r="77" spans="1:34" x14ac:dyDescent="0.25">
      <c r="A77" s="30" t="s">
        <v>120</v>
      </c>
      <c r="B77" s="31"/>
      <c r="C77" s="32"/>
      <c r="D77" s="32"/>
      <c r="E77" s="32"/>
      <c r="F77" s="32"/>
      <c r="G77" s="32">
        <v>1254991</v>
      </c>
      <c r="H77" s="32"/>
      <c r="I77" s="32"/>
      <c r="J77" s="32"/>
      <c r="K77" s="32"/>
      <c r="L77" s="32"/>
      <c r="M77" s="32"/>
      <c r="N77" s="32">
        <v>9263033</v>
      </c>
      <c r="O77" s="32"/>
      <c r="P77" s="24">
        <f t="shared" ref="P77" si="0">SUM(C77:O77)</f>
        <v>10518024</v>
      </c>
      <c r="Q77" s="32">
        <f>+P77/13</f>
        <v>809078.76923076925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4"/>
    </row>
    <row r="78" spans="1:34" x14ac:dyDescent="0.25">
      <c r="A78" s="35"/>
      <c r="B78" s="35"/>
      <c r="C78" s="36" t="s">
        <v>67</v>
      </c>
      <c r="D78" s="36" t="s">
        <v>67</v>
      </c>
      <c r="E78" s="36" t="s">
        <v>67</v>
      </c>
      <c r="F78" s="36" t="s">
        <v>67</v>
      </c>
      <c r="G78" s="36" t="s">
        <v>67</v>
      </c>
      <c r="H78" s="36" t="s">
        <v>67</v>
      </c>
      <c r="I78" s="36" t="s">
        <v>67</v>
      </c>
      <c r="J78" s="36" t="s">
        <v>67</v>
      </c>
      <c r="K78" s="36" t="s">
        <v>67</v>
      </c>
      <c r="L78" s="36" t="s">
        <v>67</v>
      </c>
      <c r="M78" s="36" t="s">
        <v>67</v>
      </c>
      <c r="N78" s="36" t="s">
        <v>67</v>
      </c>
      <c r="O78" s="36" t="s">
        <v>67</v>
      </c>
      <c r="P78" s="36" t="s">
        <v>67</v>
      </c>
      <c r="Q78" s="36" t="s">
        <v>67</v>
      </c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3"/>
    </row>
    <row r="79" spans="1:34" x14ac:dyDescent="0.25">
      <c r="A79" s="37" t="s">
        <v>121</v>
      </c>
      <c r="B79" s="38"/>
      <c r="C79" s="39">
        <f>SUM(C73:C77)</f>
        <v>354598</v>
      </c>
      <c r="D79" s="39">
        <f t="shared" ref="D79:Q79" si="1">SUM(D73:D77)</f>
        <v>108768</v>
      </c>
      <c r="E79" s="39">
        <f t="shared" si="1"/>
        <v>1967845</v>
      </c>
      <c r="F79" s="39">
        <f t="shared" si="1"/>
        <v>1279703</v>
      </c>
      <c r="G79" s="39">
        <f t="shared" si="1"/>
        <v>0</v>
      </c>
      <c r="H79" s="39">
        <f t="shared" si="1"/>
        <v>1934103</v>
      </c>
      <c r="I79" s="39">
        <f t="shared" si="1"/>
        <v>1051690</v>
      </c>
      <c r="J79" s="39">
        <f t="shared" si="1"/>
        <v>294220</v>
      </c>
      <c r="K79" s="39">
        <f t="shared" si="1"/>
        <v>589842</v>
      </c>
      <c r="L79" s="39">
        <f t="shared" si="1"/>
        <v>2973252</v>
      </c>
      <c r="M79" s="39">
        <f t="shared" si="1"/>
        <v>1243509</v>
      </c>
      <c r="N79" s="39">
        <f t="shared" si="1"/>
        <v>0</v>
      </c>
      <c r="O79" s="39">
        <f t="shared" si="1"/>
        <v>1405403</v>
      </c>
      <c r="P79" s="39">
        <f t="shared" si="1"/>
        <v>13202930</v>
      </c>
      <c r="Q79" s="39">
        <f t="shared" si="1"/>
        <v>1015609.7692307692</v>
      </c>
      <c r="R79" s="15">
        <f>SUM(T79:Y79)-Q79</f>
        <v>0</v>
      </c>
      <c r="S79" s="15" t="s">
        <v>16</v>
      </c>
      <c r="T79" s="15">
        <f>$Q79*T$5</f>
        <v>216324.88084615386</v>
      </c>
      <c r="U79" s="15">
        <f t="shared" ref="U79:Y79" si="2">$Q79*U$5</f>
        <v>353432.19969230768</v>
      </c>
      <c r="V79" s="15">
        <f t="shared" si="2"/>
        <v>146247.80676923075</v>
      </c>
      <c r="W79" s="15">
        <f t="shared" si="2"/>
        <v>1015.6097692307693</v>
      </c>
      <c r="X79" s="15">
        <f t="shared" si="2"/>
        <v>1015.6097692307693</v>
      </c>
      <c r="Y79" s="15">
        <f t="shared" si="2"/>
        <v>297573.6623846154</v>
      </c>
      <c r="Z79" s="15"/>
      <c r="AA79" s="15" t="s">
        <v>16</v>
      </c>
      <c r="AB79" s="15">
        <f>$O79*AB$5</f>
        <v>299350.83899999998</v>
      </c>
      <c r="AC79" s="15">
        <f t="shared" ref="AC79:AG79" si="3">$O79*AC$5</f>
        <v>489080.24399999995</v>
      </c>
      <c r="AD79" s="15">
        <f t="shared" si="3"/>
        <v>202378.03199999998</v>
      </c>
      <c r="AE79" s="15">
        <f t="shared" si="3"/>
        <v>1405.403</v>
      </c>
      <c r="AF79" s="15">
        <f t="shared" si="3"/>
        <v>1405.403</v>
      </c>
      <c r="AG79" s="15">
        <f t="shared" si="3"/>
        <v>411783.07899999997</v>
      </c>
      <c r="AH79" s="27">
        <f>SUM(AB79:AG79)-O79</f>
        <v>0</v>
      </c>
    </row>
    <row r="80" spans="1:34" x14ac:dyDescent="0.25">
      <c r="A80" s="35"/>
      <c r="B80" s="35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3"/>
    </row>
    <row r="81" spans="1:34" x14ac:dyDescent="0.25">
      <c r="A81" s="21" t="s">
        <v>122</v>
      </c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3"/>
    </row>
    <row r="82" spans="1:34" x14ac:dyDescent="0.25">
      <c r="A82" s="13" t="s">
        <v>123</v>
      </c>
      <c r="B82" s="13" t="s">
        <v>124</v>
      </c>
      <c r="C82" s="2">
        <v>-2535037</v>
      </c>
      <c r="D82" s="2">
        <v>-2535037</v>
      </c>
      <c r="E82" s="2">
        <v>-2535037</v>
      </c>
      <c r="F82" s="2">
        <v>-3052502</v>
      </c>
      <c r="G82" s="2">
        <v>-3052502</v>
      </c>
      <c r="H82" s="2">
        <v>-3052502</v>
      </c>
      <c r="I82" s="2">
        <v>-3098873</v>
      </c>
      <c r="J82" s="2">
        <v>-3098873</v>
      </c>
      <c r="K82" s="2">
        <v>-3098873</v>
      </c>
      <c r="L82" s="2">
        <v>-3200347</v>
      </c>
      <c r="M82" s="2">
        <v>-3200347</v>
      </c>
      <c r="N82" s="2">
        <v>-3200347</v>
      </c>
      <c r="O82" s="2">
        <v>-2464378</v>
      </c>
      <c r="P82" s="2">
        <v>-38124651</v>
      </c>
      <c r="Q82" s="2">
        <v>-2932665</v>
      </c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3"/>
    </row>
    <row r="83" spans="1:34" x14ac:dyDescent="0.25">
      <c r="A83" s="13" t="s">
        <v>125</v>
      </c>
      <c r="B83" s="13" t="s">
        <v>126</v>
      </c>
      <c r="C83" s="2">
        <v>-1241115</v>
      </c>
      <c r="D83" s="2">
        <v>0</v>
      </c>
      <c r="E83" s="2">
        <v>0</v>
      </c>
      <c r="F83" s="2">
        <v>-223629</v>
      </c>
      <c r="G83" s="2">
        <v>0</v>
      </c>
      <c r="H83" s="2">
        <v>0</v>
      </c>
      <c r="I83" s="2">
        <v>-538495</v>
      </c>
      <c r="J83" s="2">
        <v>0</v>
      </c>
      <c r="K83" s="2">
        <v>0</v>
      </c>
      <c r="L83" s="2">
        <v>-1860640</v>
      </c>
      <c r="M83" s="2">
        <v>0</v>
      </c>
      <c r="N83" s="2">
        <v>0</v>
      </c>
      <c r="O83" s="2">
        <v>-781627</v>
      </c>
      <c r="P83" s="2">
        <v>-4645506</v>
      </c>
      <c r="Q83" s="2">
        <v>-357347</v>
      </c>
      <c r="R83" s="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</row>
    <row r="84" spans="1:34" x14ac:dyDescent="0.25">
      <c r="A84" s="13" t="s">
        <v>127</v>
      </c>
      <c r="B84" s="13" t="s">
        <v>128</v>
      </c>
      <c r="C84" s="2">
        <v>2535037</v>
      </c>
      <c r="D84" s="2">
        <v>2535037</v>
      </c>
      <c r="E84" s="2">
        <v>2535037</v>
      </c>
      <c r="F84" s="2">
        <v>3052502</v>
      </c>
      <c r="G84" s="2">
        <v>3052502</v>
      </c>
      <c r="H84" s="2">
        <v>3052502</v>
      </c>
      <c r="I84" s="2">
        <v>3098873</v>
      </c>
      <c r="J84" s="2">
        <v>3098873</v>
      </c>
      <c r="K84" s="2">
        <v>3098873</v>
      </c>
      <c r="L84" s="2">
        <v>3200347</v>
      </c>
      <c r="M84" s="2">
        <v>3200347</v>
      </c>
      <c r="N84" s="2">
        <v>3200347</v>
      </c>
      <c r="O84" s="2">
        <v>2464378</v>
      </c>
      <c r="P84" s="2">
        <v>38124651</v>
      </c>
      <c r="Q84" s="2">
        <v>2932665</v>
      </c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3"/>
    </row>
    <row r="85" spans="1:34" x14ac:dyDescent="0.25">
      <c r="C85" s="26" t="s">
        <v>67</v>
      </c>
      <c r="D85" s="26" t="s">
        <v>67</v>
      </c>
      <c r="E85" s="26" t="s">
        <v>67</v>
      </c>
      <c r="F85" s="26" t="s">
        <v>67</v>
      </c>
      <c r="G85" s="26" t="s">
        <v>67</v>
      </c>
      <c r="H85" s="26" t="s">
        <v>67</v>
      </c>
      <c r="I85" s="26" t="s">
        <v>67</v>
      </c>
      <c r="J85" s="26" t="s">
        <v>67</v>
      </c>
      <c r="K85" s="26" t="s">
        <v>67</v>
      </c>
      <c r="L85" s="26" t="s">
        <v>67</v>
      </c>
      <c r="M85" s="26" t="s">
        <v>67</v>
      </c>
      <c r="N85" s="26" t="s">
        <v>67</v>
      </c>
      <c r="O85" s="26" t="s">
        <v>67</v>
      </c>
      <c r="P85" s="26" t="s">
        <v>67</v>
      </c>
      <c r="Q85" s="26" t="s">
        <v>67</v>
      </c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3"/>
    </row>
    <row r="86" spans="1:34" x14ac:dyDescent="0.25">
      <c r="A86" s="21" t="s">
        <v>129</v>
      </c>
      <c r="B86" s="22"/>
      <c r="C86" s="23">
        <v>-1241115</v>
      </c>
      <c r="D86" s="23">
        <v>0</v>
      </c>
      <c r="E86" s="23">
        <v>0</v>
      </c>
      <c r="F86" s="23">
        <v>-223629</v>
      </c>
      <c r="G86" s="23">
        <v>0</v>
      </c>
      <c r="H86" s="23">
        <v>0</v>
      </c>
      <c r="I86" s="23">
        <v>-538495</v>
      </c>
      <c r="J86" s="23">
        <v>0</v>
      </c>
      <c r="K86" s="23">
        <v>0</v>
      </c>
      <c r="L86" s="23">
        <v>-1860640</v>
      </c>
      <c r="M86" s="23">
        <v>0</v>
      </c>
      <c r="N86" s="23">
        <v>0</v>
      </c>
      <c r="O86" s="23">
        <v>-781627</v>
      </c>
      <c r="P86" s="23">
        <v>-4645506</v>
      </c>
      <c r="Q86" s="23">
        <v>-357347</v>
      </c>
      <c r="R86" s="15">
        <f>SUM(T86:Y86)-Q86</f>
        <v>0</v>
      </c>
      <c r="S86" s="15" t="s">
        <v>16</v>
      </c>
      <c r="T86" s="15">
        <f t="shared" ref="T86:Y86" si="4">$Q86*T5</f>
        <v>-76114.910999999993</v>
      </c>
      <c r="U86" s="15">
        <f t="shared" si="4"/>
        <v>-124356.75599999999</v>
      </c>
      <c r="V86" s="15">
        <f t="shared" si="4"/>
        <v>-51457.967999999993</v>
      </c>
      <c r="W86" s="15">
        <f t="shared" si="4"/>
        <v>-357.34699999999998</v>
      </c>
      <c r="X86" s="15">
        <f t="shared" si="4"/>
        <v>-357.34699999999998</v>
      </c>
      <c r="Y86" s="15">
        <f t="shared" si="4"/>
        <v>-104702.67099999999</v>
      </c>
      <c r="Z86" s="15"/>
      <c r="AA86" s="15" t="s">
        <v>16</v>
      </c>
      <c r="AB86" s="15">
        <f t="shared" ref="AB86:AG86" si="5">$O86*AB$5</f>
        <v>-166486.55100000001</v>
      </c>
      <c r="AC86" s="15">
        <f t="shared" si="5"/>
        <v>-272006.196</v>
      </c>
      <c r="AD86" s="15">
        <f t="shared" si="5"/>
        <v>-112554.28799999999</v>
      </c>
      <c r="AE86" s="15">
        <f t="shared" si="5"/>
        <v>-781.62700000000007</v>
      </c>
      <c r="AF86" s="15">
        <f t="shared" si="5"/>
        <v>-781.62700000000007</v>
      </c>
      <c r="AG86" s="15">
        <f t="shared" si="5"/>
        <v>-229016.71099999998</v>
      </c>
      <c r="AH86" s="27">
        <f>SUM(AB86:AG86)-O86</f>
        <v>0</v>
      </c>
    </row>
    <row r="87" spans="1:34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3"/>
    </row>
    <row r="88" spans="1:34" x14ac:dyDescent="0.25">
      <c r="A88" s="21" t="s">
        <v>130</v>
      </c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3"/>
    </row>
    <row r="89" spans="1:34" x14ac:dyDescent="0.25">
      <c r="A89" s="13" t="s">
        <v>131</v>
      </c>
      <c r="B89" s="13" t="s">
        <v>132</v>
      </c>
      <c r="C89" s="2">
        <v>30255</v>
      </c>
      <c r="D89" s="2">
        <v>28460</v>
      </c>
      <c r="E89" s="2">
        <v>26665</v>
      </c>
      <c r="F89" s="2">
        <v>24870</v>
      </c>
      <c r="G89" s="2">
        <v>15254</v>
      </c>
      <c r="H89" s="2">
        <v>13459</v>
      </c>
      <c r="I89" s="2">
        <v>11664</v>
      </c>
      <c r="J89" s="2">
        <v>8972</v>
      </c>
      <c r="K89" s="2">
        <v>7177</v>
      </c>
      <c r="L89" s="2">
        <v>5382</v>
      </c>
      <c r="M89" s="2">
        <v>3587</v>
      </c>
      <c r="N89" s="2">
        <v>1792</v>
      </c>
      <c r="O89" s="2">
        <v>0</v>
      </c>
      <c r="P89" s="2">
        <v>177537</v>
      </c>
      <c r="Q89" s="2">
        <v>13657</v>
      </c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3"/>
    </row>
    <row r="90" spans="1:34" x14ac:dyDescent="0.25">
      <c r="A90" s="13" t="s">
        <v>133</v>
      </c>
      <c r="B90" s="13" t="s">
        <v>134</v>
      </c>
      <c r="C90" s="2">
        <v>-671</v>
      </c>
      <c r="D90" s="2">
        <v>-671</v>
      </c>
      <c r="E90" s="2">
        <v>-671</v>
      </c>
      <c r="F90" s="2">
        <v>-671</v>
      </c>
      <c r="G90" s="2">
        <v>-671</v>
      </c>
      <c r="H90" s="2">
        <v>-671</v>
      </c>
      <c r="I90" s="2">
        <v>-671</v>
      </c>
      <c r="J90" s="2">
        <v>-671</v>
      </c>
      <c r="K90" s="2">
        <v>-671</v>
      </c>
      <c r="L90" s="2">
        <v>-671</v>
      </c>
      <c r="M90" s="2">
        <v>-671</v>
      </c>
      <c r="N90" s="2">
        <v>-671</v>
      </c>
      <c r="O90" s="2">
        <v>-671</v>
      </c>
      <c r="P90" s="2">
        <v>-8726</v>
      </c>
      <c r="Q90" s="2">
        <v>-671</v>
      </c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3"/>
    </row>
    <row r="91" spans="1:34" x14ac:dyDescent="0.25">
      <c r="C91" s="26" t="s">
        <v>67</v>
      </c>
      <c r="D91" s="26" t="s">
        <v>67</v>
      </c>
      <c r="E91" s="26" t="s">
        <v>67</v>
      </c>
      <c r="F91" s="26" t="s">
        <v>67</v>
      </c>
      <c r="G91" s="26" t="s">
        <v>67</v>
      </c>
      <c r="H91" s="26" t="s">
        <v>67</v>
      </c>
      <c r="I91" s="26" t="s">
        <v>67</v>
      </c>
      <c r="J91" s="26" t="s">
        <v>67</v>
      </c>
      <c r="K91" s="26" t="s">
        <v>67</v>
      </c>
      <c r="L91" s="26" t="s">
        <v>67</v>
      </c>
      <c r="M91" s="26" t="s">
        <v>67</v>
      </c>
      <c r="N91" s="26" t="s">
        <v>67</v>
      </c>
      <c r="O91" s="26" t="s">
        <v>67</v>
      </c>
      <c r="P91" s="26" t="s">
        <v>67</v>
      </c>
      <c r="Q91" s="26" t="s">
        <v>67</v>
      </c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3"/>
    </row>
    <row r="92" spans="1:34" x14ac:dyDescent="0.25">
      <c r="A92" s="21" t="s">
        <v>135</v>
      </c>
      <c r="B92" s="22"/>
      <c r="C92" s="23">
        <v>29583</v>
      </c>
      <c r="D92" s="23">
        <v>27788</v>
      </c>
      <c r="E92" s="23">
        <v>25993</v>
      </c>
      <c r="F92" s="23">
        <v>24198</v>
      </c>
      <c r="G92" s="23">
        <v>14583</v>
      </c>
      <c r="H92" s="23">
        <v>12788</v>
      </c>
      <c r="I92" s="23">
        <v>10993</v>
      </c>
      <c r="J92" s="23">
        <v>8301</v>
      </c>
      <c r="K92" s="23">
        <v>6506</v>
      </c>
      <c r="L92" s="23">
        <v>4711</v>
      </c>
      <c r="M92" s="23">
        <v>2916</v>
      </c>
      <c r="N92" s="23">
        <v>1121</v>
      </c>
      <c r="O92" s="23">
        <v>-671</v>
      </c>
      <c r="P92" s="23">
        <v>168811</v>
      </c>
      <c r="Q92" s="23">
        <v>12985</v>
      </c>
      <c r="R92" s="15">
        <f>SUM(T92:Y92)-Q92</f>
        <v>0</v>
      </c>
      <c r="S92" s="15" t="s">
        <v>16</v>
      </c>
      <c r="T92" s="15">
        <f t="shared" ref="T92:Y92" si="6">$Q92*T5</f>
        <v>2765.8049999999998</v>
      </c>
      <c r="U92" s="15">
        <f t="shared" si="6"/>
        <v>4518.78</v>
      </c>
      <c r="V92" s="15">
        <f t="shared" si="6"/>
        <v>1869.84</v>
      </c>
      <c r="W92" s="15">
        <f t="shared" si="6"/>
        <v>12.984999999999999</v>
      </c>
      <c r="X92" s="15">
        <f t="shared" si="6"/>
        <v>12.984999999999999</v>
      </c>
      <c r="Y92" s="15">
        <f t="shared" si="6"/>
        <v>3804.6049999999996</v>
      </c>
      <c r="Z92" s="15"/>
      <c r="AA92" s="15" t="s">
        <v>16</v>
      </c>
      <c r="AB92" s="15">
        <f t="shared" ref="AB92:AG92" si="7">$O92*AB$5</f>
        <v>-142.923</v>
      </c>
      <c r="AC92" s="15">
        <f t="shared" si="7"/>
        <v>-233.50799999999998</v>
      </c>
      <c r="AD92" s="15">
        <f t="shared" si="7"/>
        <v>-96.623999999999995</v>
      </c>
      <c r="AE92" s="15">
        <f t="shared" si="7"/>
        <v>-0.67100000000000004</v>
      </c>
      <c r="AF92" s="15">
        <f t="shared" si="7"/>
        <v>-0.67100000000000004</v>
      </c>
      <c r="AG92" s="15">
        <f t="shared" si="7"/>
        <v>-196.60299999999998</v>
      </c>
      <c r="AH92" s="27">
        <f>SUM(AB92:AG92)-O92</f>
        <v>0</v>
      </c>
    </row>
    <row r="93" spans="1:34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3"/>
    </row>
    <row r="94" spans="1:34" x14ac:dyDescent="0.25">
      <c r="A94" s="21" t="s">
        <v>136</v>
      </c>
      <c r="B94" s="22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3"/>
    </row>
    <row r="95" spans="1:34" x14ac:dyDescent="0.25">
      <c r="A95" s="13" t="s">
        <v>137</v>
      </c>
      <c r="B95" s="13" t="s">
        <v>138</v>
      </c>
      <c r="C95" s="2">
        <v>3462662</v>
      </c>
      <c r="D95" s="2">
        <v>3599197</v>
      </c>
      <c r="E95" s="2">
        <v>3704348</v>
      </c>
      <c r="F95" s="2">
        <v>3850212</v>
      </c>
      <c r="G95" s="2">
        <v>3997591</v>
      </c>
      <c r="H95" s="2">
        <v>4135917</v>
      </c>
      <c r="I95" s="2">
        <v>4277449</v>
      </c>
      <c r="J95" s="2">
        <v>4480472</v>
      </c>
      <c r="K95" s="2">
        <v>4681552</v>
      </c>
      <c r="L95" s="2">
        <v>4912729</v>
      </c>
      <c r="M95" s="2">
        <v>5133262</v>
      </c>
      <c r="N95" s="2">
        <v>5357774</v>
      </c>
      <c r="O95" s="2">
        <v>5587778</v>
      </c>
      <c r="P95" s="2">
        <v>57180942</v>
      </c>
      <c r="Q95" s="2">
        <v>4398534</v>
      </c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3"/>
    </row>
    <row r="96" spans="1:34" x14ac:dyDescent="0.25">
      <c r="A96" s="13" t="s">
        <v>139</v>
      </c>
      <c r="B96" s="13" t="s">
        <v>140</v>
      </c>
      <c r="C96" s="2">
        <v>8842</v>
      </c>
      <c r="D96" s="2">
        <v>6739</v>
      </c>
      <c r="E96" s="2">
        <v>6739</v>
      </c>
      <c r="F96" s="2">
        <v>6796</v>
      </c>
      <c r="G96" s="2">
        <v>6796</v>
      </c>
      <c r="H96" s="2">
        <v>6851</v>
      </c>
      <c r="I96" s="2">
        <v>6952</v>
      </c>
      <c r="J96" s="2">
        <v>7024</v>
      </c>
      <c r="K96" s="2">
        <v>8264</v>
      </c>
      <c r="L96" s="2">
        <v>8264</v>
      </c>
      <c r="M96" s="2">
        <v>8801</v>
      </c>
      <c r="N96" s="2">
        <v>9324</v>
      </c>
      <c r="O96" s="2">
        <v>10140</v>
      </c>
      <c r="P96" s="2">
        <v>101533</v>
      </c>
      <c r="Q96" s="2">
        <v>7810</v>
      </c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3"/>
    </row>
    <row r="97" spans="1:34" x14ac:dyDescent="0.25">
      <c r="A97" s="13" t="s">
        <v>141</v>
      </c>
      <c r="B97" s="13" t="s">
        <v>142</v>
      </c>
      <c r="C97" s="2">
        <v>-878937</v>
      </c>
      <c r="D97" s="2">
        <v>-878937</v>
      </c>
      <c r="E97" s="2">
        <v>-878937</v>
      </c>
      <c r="F97" s="2">
        <v>-878937</v>
      </c>
      <c r="G97" s="2">
        <v>-878937</v>
      </c>
      <c r="H97" s="2">
        <v>-878937</v>
      </c>
      <c r="I97" s="2">
        <v>-878937</v>
      </c>
      <c r="J97" s="2">
        <v>-878937</v>
      </c>
      <c r="K97" s="2">
        <v>-878937</v>
      </c>
      <c r="L97" s="2">
        <v>-878937</v>
      </c>
      <c r="M97" s="2">
        <v>-878937</v>
      </c>
      <c r="N97" s="2">
        <v>-878937</v>
      </c>
      <c r="O97" s="2">
        <v>-878937</v>
      </c>
      <c r="P97" s="2">
        <v>-11426175</v>
      </c>
      <c r="Q97" s="2">
        <v>-878937</v>
      </c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3"/>
    </row>
    <row r="98" spans="1:34" x14ac:dyDescent="0.25">
      <c r="A98" s="13" t="s">
        <v>143</v>
      </c>
      <c r="B98" s="13" t="s">
        <v>144</v>
      </c>
      <c r="C98" s="2">
        <v>240485272</v>
      </c>
      <c r="D98" s="2">
        <v>242284788</v>
      </c>
      <c r="E98" s="2">
        <v>243915313</v>
      </c>
      <c r="F98" s="2">
        <v>246012996</v>
      </c>
      <c r="G98" s="2">
        <v>247865097</v>
      </c>
      <c r="H98" s="2">
        <v>249638357</v>
      </c>
      <c r="I98" s="2">
        <v>251083095</v>
      </c>
      <c r="J98" s="2">
        <v>252810345</v>
      </c>
      <c r="K98" s="2">
        <v>254506936</v>
      </c>
      <c r="L98" s="2">
        <v>256136194</v>
      </c>
      <c r="M98" s="2">
        <v>257678689</v>
      </c>
      <c r="N98" s="2">
        <v>259442865</v>
      </c>
      <c r="O98" s="2">
        <v>261061369</v>
      </c>
      <c r="P98" s="2">
        <v>3262921315</v>
      </c>
      <c r="Q98" s="2">
        <v>250993947</v>
      </c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3"/>
    </row>
    <row r="99" spans="1:34" x14ac:dyDescent="0.25">
      <c r="A99" s="13" t="s">
        <v>145</v>
      </c>
      <c r="B99" s="13" t="s">
        <v>146</v>
      </c>
      <c r="C99" s="2">
        <v>2513</v>
      </c>
      <c r="D99" s="2">
        <v>2513</v>
      </c>
      <c r="E99" s="2">
        <v>2513</v>
      </c>
      <c r="F99" s="2">
        <v>2513</v>
      </c>
      <c r="G99" s="2">
        <v>2513</v>
      </c>
      <c r="H99" s="2">
        <v>2513</v>
      </c>
      <c r="I99" s="2">
        <v>2513</v>
      </c>
      <c r="J99" s="2">
        <v>2513</v>
      </c>
      <c r="K99" s="2">
        <v>2513</v>
      </c>
      <c r="L99" s="2">
        <v>2513</v>
      </c>
      <c r="M99" s="2">
        <v>2513</v>
      </c>
      <c r="N99" s="2">
        <v>2513</v>
      </c>
      <c r="O99" s="2">
        <v>2513</v>
      </c>
      <c r="P99" s="2">
        <v>32665</v>
      </c>
      <c r="Q99" s="2">
        <v>2513</v>
      </c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3"/>
    </row>
    <row r="100" spans="1:34" x14ac:dyDescent="0.25">
      <c r="A100" s="13" t="s">
        <v>147</v>
      </c>
      <c r="B100" s="13" t="s">
        <v>148</v>
      </c>
      <c r="C100" s="2">
        <v>717</v>
      </c>
      <c r="D100" s="2">
        <v>717</v>
      </c>
      <c r="E100" s="2">
        <v>717</v>
      </c>
      <c r="F100" s="2">
        <v>717</v>
      </c>
      <c r="G100" s="2">
        <v>717</v>
      </c>
      <c r="H100" s="2">
        <v>717</v>
      </c>
      <c r="I100" s="2">
        <v>717</v>
      </c>
      <c r="J100" s="2">
        <v>717</v>
      </c>
      <c r="K100" s="2">
        <v>717</v>
      </c>
      <c r="L100" s="2">
        <v>717</v>
      </c>
      <c r="M100" s="2">
        <v>717</v>
      </c>
      <c r="N100" s="2">
        <v>717</v>
      </c>
      <c r="O100" s="2">
        <v>717</v>
      </c>
      <c r="P100" s="2">
        <v>9321</v>
      </c>
      <c r="Q100" s="2">
        <v>717</v>
      </c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3"/>
    </row>
    <row r="101" spans="1:34" x14ac:dyDescent="0.25">
      <c r="A101" s="13" t="s">
        <v>149</v>
      </c>
      <c r="B101" s="13" t="s">
        <v>150</v>
      </c>
      <c r="C101" s="2">
        <v>12973</v>
      </c>
      <c r="D101" s="2">
        <v>12973</v>
      </c>
      <c r="E101" s="2">
        <v>13078</v>
      </c>
      <c r="F101" s="2">
        <v>16203</v>
      </c>
      <c r="G101" s="2">
        <v>16285</v>
      </c>
      <c r="H101" s="2">
        <v>16326</v>
      </c>
      <c r="I101" s="2">
        <v>16435</v>
      </c>
      <c r="J101" s="2">
        <v>28263</v>
      </c>
      <c r="K101" s="2">
        <v>28263</v>
      </c>
      <c r="L101" s="2">
        <v>28263</v>
      </c>
      <c r="M101" s="2">
        <v>28433</v>
      </c>
      <c r="N101" s="2">
        <v>28433</v>
      </c>
      <c r="O101" s="2">
        <v>28433</v>
      </c>
      <c r="P101" s="2">
        <v>274360</v>
      </c>
      <c r="Q101" s="2">
        <v>21105</v>
      </c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3"/>
    </row>
    <row r="102" spans="1:34" x14ac:dyDescent="0.25">
      <c r="A102" s="13" t="s">
        <v>151</v>
      </c>
      <c r="B102" s="13" t="s">
        <v>152</v>
      </c>
      <c r="C102" s="2">
        <v>-161779294</v>
      </c>
      <c r="D102" s="2">
        <v>-162827343</v>
      </c>
      <c r="E102" s="2">
        <v>-163498872</v>
      </c>
      <c r="F102" s="2">
        <v>-164556596</v>
      </c>
      <c r="G102" s="2">
        <v>-166912074</v>
      </c>
      <c r="H102" s="2">
        <v>-168423688</v>
      </c>
      <c r="I102" s="2">
        <v>-169899356</v>
      </c>
      <c r="J102" s="2">
        <v>-171705867</v>
      </c>
      <c r="K102" s="2">
        <v>-172667670</v>
      </c>
      <c r="L102" s="2">
        <v>-174816539</v>
      </c>
      <c r="M102" s="2">
        <v>-174894027</v>
      </c>
      <c r="N102" s="2">
        <v>-174220784</v>
      </c>
      <c r="O102" s="2">
        <v>-176556469</v>
      </c>
      <c r="P102" s="2">
        <v>-2202758579</v>
      </c>
      <c r="Q102" s="2">
        <v>-169442968</v>
      </c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3"/>
    </row>
    <row r="103" spans="1:34" x14ac:dyDescent="0.25">
      <c r="A103" s="13" t="s">
        <v>153</v>
      </c>
      <c r="B103" s="13" t="s">
        <v>154</v>
      </c>
      <c r="C103" s="2">
        <v>3417</v>
      </c>
      <c r="D103" s="2">
        <v>14140</v>
      </c>
      <c r="E103" s="2">
        <v>21627</v>
      </c>
      <c r="F103" s="2">
        <v>24067</v>
      </c>
      <c r="G103" s="2">
        <v>48762</v>
      </c>
      <c r="H103" s="2">
        <v>74953</v>
      </c>
      <c r="I103" s="2">
        <v>103417</v>
      </c>
      <c r="J103" s="2">
        <v>116581</v>
      </c>
      <c r="K103" s="2">
        <v>133789</v>
      </c>
      <c r="L103" s="2">
        <v>155642</v>
      </c>
      <c r="M103" s="2">
        <v>183308</v>
      </c>
      <c r="N103" s="2">
        <v>204950</v>
      </c>
      <c r="O103" s="2">
        <v>229881</v>
      </c>
      <c r="P103" s="2">
        <v>1314534</v>
      </c>
      <c r="Q103" s="2">
        <v>101118</v>
      </c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3"/>
    </row>
    <row r="104" spans="1:34" x14ac:dyDescent="0.25">
      <c r="A104" s="13" t="s">
        <v>155</v>
      </c>
      <c r="B104" s="13" t="s">
        <v>156</v>
      </c>
      <c r="C104" s="2">
        <v>229659708</v>
      </c>
      <c r="D104" s="2">
        <v>228329029</v>
      </c>
      <c r="E104" s="2">
        <v>231048752</v>
      </c>
      <c r="F104" s="2">
        <v>229681128</v>
      </c>
      <c r="G104" s="2">
        <v>232093573</v>
      </c>
      <c r="H104" s="2">
        <v>234438303</v>
      </c>
      <c r="I104" s="2">
        <v>227344494</v>
      </c>
      <c r="J104" s="2">
        <v>221800111</v>
      </c>
      <c r="K104" s="2">
        <v>220167244</v>
      </c>
      <c r="L104" s="2">
        <v>222548779</v>
      </c>
      <c r="M104" s="2">
        <v>219004452</v>
      </c>
      <c r="N104" s="2">
        <v>216358248</v>
      </c>
      <c r="O104" s="2">
        <v>205593022</v>
      </c>
      <c r="P104" s="2">
        <v>2918066843</v>
      </c>
      <c r="Q104" s="2">
        <v>224466680</v>
      </c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3"/>
    </row>
    <row r="105" spans="1:34" x14ac:dyDescent="0.25">
      <c r="A105" s="13" t="s">
        <v>157</v>
      </c>
      <c r="B105" s="13" t="s">
        <v>158</v>
      </c>
      <c r="C105" s="2">
        <v>1066664</v>
      </c>
      <c r="D105" s="2">
        <v>1084631</v>
      </c>
      <c r="E105" s="2">
        <v>1165883</v>
      </c>
      <c r="F105" s="2">
        <v>1146847</v>
      </c>
      <c r="G105" s="2">
        <v>1158095</v>
      </c>
      <c r="H105" s="2">
        <v>1162532</v>
      </c>
      <c r="I105" s="2">
        <v>1168300</v>
      </c>
      <c r="J105" s="2">
        <v>1178009</v>
      </c>
      <c r="K105" s="2">
        <v>1185648</v>
      </c>
      <c r="L105" s="2">
        <v>1226368</v>
      </c>
      <c r="M105" s="2">
        <v>1240534</v>
      </c>
      <c r="N105" s="2">
        <v>1241943</v>
      </c>
      <c r="O105" s="2">
        <v>1232745</v>
      </c>
      <c r="P105" s="2">
        <v>15258199</v>
      </c>
      <c r="Q105" s="2">
        <v>1173708</v>
      </c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3"/>
    </row>
    <row r="106" spans="1:34" x14ac:dyDescent="0.25">
      <c r="A106" s="13" t="s">
        <v>159</v>
      </c>
      <c r="B106" s="13" t="s">
        <v>160</v>
      </c>
      <c r="C106" s="2">
        <v>20980262</v>
      </c>
      <c r="D106" s="2">
        <v>20459978</v>
      </c>
      <c r="E106" s="2">
        <v>21399091</v>
      </c>
      <c r="F106" s="2">
        <v>18339431</v>
      </c>
      <c r="G106" s="2">
        <v>19215225</v>
      </c>
      <c r="H106" s="2">
        <v>18571770</v>
      </c>
      <c r="I106" s="2">
        <v>17047318</v>
      </c>
      <c r="J106" s="2">
        <v>17973455</v>
      </c>
      <c r="K106" s="2">
        <v>17497656</v>
      </c>
      <c r="L106" s="2">
        <v>17114346</v>
      </c>
      <c r="M106" s="2">
        <v>16662541</v>
      </c>
      <c r="N106" s="2">
        <v>15229670</v>
      </c>
      <c r="O106" s="2">
        <v>14639395</v>
      </c>
      <c r="P106" s="2">
        <v>235130139</v>
      </c>
      <c r="Q106" s="2">
        <v>18086934</v>
      </c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3"/>
    </row>
    <row r="107" spans="1:34" x14ac:dyDescent="0.25">
      <c r="A107" s="13" t="s">
        <v>161</v>
      </c>
      <c r="B107" s="13" t="s">
        <v>162</v>
      </c>
      <c r="C107" s="2">
        <v>0</v>
      </c>
      <c r="D107" s="2">
        <v>140</v>
      </c>
      <c r="E107" s="2">
        <v>13091</v>
      </c>
      <c r="F107" s="2">
        <v>9795</v>
      </c>
      <c r="G107" s="2">
        <v>10495</v>
      </c>
      <c r="H107" s="2">
        <v>10910</v>
      </c>
      <c r="I107" s="2">
        <v>12062</v>
      </c>
      <c r="J107" s="2">
        <v>15117</v>
      </c>
      <c r="K107" s="2">
        <v>16482</v>
      </c>
      <c r="L107" s="2">
        <v>22242</v>
      </c>
      <c r="M107" s="2">
        <v>23917</v>
      </c>
      <c r="N107" s="2">
        <v>20337</v>
      </c>
      <c r="O107" s="2">
        <v>20662</v>
      </c>
      <c r="P107" s="2">
        <v>175250</v>
      </c>
      <c r="Q107" s="2">
        <v>13481</v>
      </c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3"/>
    </row>
    <row r="108" spans="1:34" x14ac:dyDescent="0.25">
      <c r="A108" s="13" t="s">
        <v>163</v>
      </c>
      <c r="B108" s="13" t="s">
        <v>164</v>
      </c>
      <c r="C108" s="2">
        <v>0</v>
      </c>
      <c r="D108" s="2">
        <v>0</v>
      </c>
      <c r="E108" s="2">
        <v>0</v>
      </c>
      <c r="F108" s="2">
        <v>18077</v>
      </c>
      <c r="G108" s="2">
        <v>18473</v>
      </c>
      <c r="H108" s="2">
        <v>18894</v>
      </c>
      <c r="I108" s="2">
        <v>74943</v>
      </c>
      <c r="J108" s="2">
        <v>74943</v>
      </c>
      <c r="K108" s="2">
        <v>74943</v>
      </c>
      <c r="L108" s="2">
        <v>75263</v>
      </c>
      <c r="M108" s="2">
        <v>76336</v>
      </c>
      <c r="N108" s="2">
        <v>76336</v>
      </c>
      <c r="O108" s="2">
        <v>76336</v>
      </c>
      <c r="P108" s="2">
        <v>584545</v>
      </c>
      <c r="Q108" s="2">
        <v>44965</v>
      </c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3"/>
    </row>
    <row r="109" spans="1:34" x14ac:dyDescent="0.25">
      <c r="A109" s="13" t="s">
        <v>165</v>
      </c>
      <c r="B109" s="13" t="s">
        <v>166</v>
      </c>
      <c r="C109" s="2">
        <v>37660</v>
      </c>
      <c r="D109" s="2">
        <v>45745</v>
      </c>
      <c r="E109" s="2">
        <v>37660</v>
      </c>
      <c r="F109" s="2">
        <v>37660</v>
      </c>
      <c r="G109" s="2">
        <v>37660</v>
      </c>
      <c r="H109" s="2">
        <v>37660</v>
      </c>
      <c r="I109" s="2">
        <v>65859</v>
      </c>
      <c r="J109" s="2">
        <v>65859</v>
      </c>
      <c r="K109" s="2">
        <v>65859</v>
      </c>
      <c r="L109" s="2">
        <v>67224</v>
      </c>
      <c r="M109" s="2">
        <v>65859</v>
      </c>
      <c r="N109" s="2">
        <v>70357</v>
      </c>
      <c r="O109" s="2">
        <v>69877</v>
      </c>
      <c r="P109" s="2">
        <v>704937</v>
      </c>
      <c r="Q109" s="2">
        <v>54226</v>
      </c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3"/>
    </row>
    <row r="110" spans="1:34" x14ac:dyDescent="0.25">
      <c r="A110" s="13" t="s">
        <v>167</v>
      </c>
      <c r="B110" s="13" t="s">
        <v>168</v>
      </c>
      <c r="C110" s="2">
        <v>-15589439</v>
      </c>
      <c r="D110" s="2">
        <v>-14517311</v>
      </c>
      <c r="E110" s="2">
        <v>-17718666</v>
      </c>
      <c r="F110" s="2">
        <v>-19424705</v>
      </c>
      <c r="G110" s="2">
        <v>-21081721</v>
      </c>
      <c r="H110" s="2">
        <v>-24896226</v>
      </c>
      <c r="I110" s="2">
        <v>-25850627</v>
      </c>
      <c r="J110" s="2">
        <v>-25632295</v>
      </c>
      <c r="K110" s="2">
        <v>-28570512</v>
      </c>
      <c r="L110" s="2">
        <v>-31829503</v>
      </c>
      <c r="M110" s="2">
        <v>-32022457</v>
      </c>
      <c r="N110" s="2">
        <v>-30927041</v>
      </c>
      <c r="O110" s="2">
        <v>-33020023</v>
      </c>
      <c r="P110" s="2">
        <v>-321080525</v>
      </c>
      <c r="Q110" s="2">
        <v>-24698502</v>
      </c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3"/>
    </row>
    <row r="111" spans="1:34" x14ac:dyDescent="0.25">
      <c r="A111" s="13" t="s">
        <v>169</v>
      </c>
      <c r="B111" s="13" t="s">
        <v>170</v>
      </c>
      <c r="C111" s="2">
        <v>-55537772</v>
      </c>
      <c r="D111" s="2">
        <v>-54624880</v>
      </c>
      <c r="E111" s="2">
        <v>-53574667</v>
      </c>
      <c r="F111" s="2">
        <v>-52249012</v>
      </c>
      <c r="G111" s="2">
        <v>-51458853</v>
      </c>
      <c r="H111" s="2">
        <v>-50783422</v>
      </c>
      <c r="I111" s="2">
        <v>-50107466</v>
      </c>
      <c r="J111" s="2">
        <v>-49089240</v>
      </c>
      <c r="K111" s="2">
        <v>-48187925</v>
      </c>
      <c r="L111" s="2">
        <v>-47253622</v>
      </c>
      <c r="M111" s="2">
        <v>-46382705</v>
      </c>
      <c r="N111" s="2">
        <v>-45189932</v>
      </c>
      <c r="O111" s="2">
        <v>-44354199</v>
      </c>
      <c r="P111" s="2">
        <v>-648793695</v>
      </c>
      <c r="Q111" s="2">
        <v>-49907207</v>
      </c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3"/>
    </row>
    <row r="112" spans="1:34" x14ac:dyDescent="0.25">
      <c r="A112" s="13" t="s">
        <v>171</v>
      </c>
      <c r="B112" s="13" t="s">
        <v>172</v>
      </c>
      <c r="C112" s="2">
        <v>139</v>
      </c>
      <c r="D112" s="2">
        <v>139</v>
      </c>
      <c r="E112" s="2">
        <v>139</v>
      </c>
      <c r="F112" s="2">
        <v>139</v>
      </c>
      <c r="G112" s="2">
        <v>139</v>
      </c>
      <c r="H112" s="2">
        <v>139</v>
      </c>
      <c r="I112" s="2">
        <v>139</v>
      </c>
      <c r="J112" s="2">
        <v>139</v>
      </c>
      <c r="K112" s="2">
        <v>139</v>
      </c>
      <c r="L112" s="2">
        <v>139</v>
      </c>
      <c r="M112" s="2">
        <v>139</v>
      </c>
      <c r="N112" s="2">
        <v>139</v>
      </c>
      <c r="O112" s="2">
        <v>139</v>
      </c>
      <c r="P112" s="2">
        <v>1801</v>
      </c>
      <c r="Q112" s="2">
        <v>139</v>
      </c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3"/>
    </row>
    <row r="113" spans="1:34" x14ac:dyDescent="0.25">
      <c r="A113" s="13" t="s">
        <v>173</v>
      </c>
      <c r="B113" s="13" t="s">
        <v>174</v>
      </c>
      <c r="C113" s="2">
        <v>-744049</v>
      </c>
      <c r="D113" s="2">
        <v>-758841</v>
      </c>
      <c r="E113" s="2">
        <v>-758737</v>
      </c>
      <c r="F113" s="2">
        <v>-773601</v>
      </c>
      <c r="G113" s="2">
        <v>-792185</v>
      </c>
      <c r="H113" s="2">
        <v>-796015</v>
      </c>
      <c r="I113" s="2">
        <v>-806810</v>
      </c>
      <c r="J113" s="2">
        <v>-816232</v>
      </c>
      <c r="K113" s="2">
        <v>-823703</v>
      </c>
      <c r="L113" s="2">
        <v>-790242</v>
      </c>
      <c r="M113" s="2">
        <v>-824770</v>
      </c>
      <c r="N113" s="2">
        <v>-799953</v>
      </c>
      <c r="O113" s="2">
        <v>-808476</v>
      </c>
      <c r="P113" s="2">
        <v>-10293614</v>
      </c>
      <c r="Q113" s="2">
        <v>-791816</v>
      </c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3"/>
    </row>
    <row r="114" spans="1:34" x14ac:dyDescent="0.25">
      <c r="A114" s="13" t="s">
        <v>175</v>
      </c>
      <c r="B114" s="13" t="s">
        <v>176</v>
      </c>
      <c r="C114" s="2">
        <v>-4099775</v>
      </c>
      <c r="D114" s="2">
        <v>-4122915</v>
      </c>
      <c r="E114" s="2">
        <v>-4158847</v>
      </c>
      <c r="F114" s="2">
        <v>-4263419</v>
      </c>
      <c r="G114" s="2">
        <v>-4224456</v>
      </c>
      <c r="H114" s="2">
        <v>-4244282</v>
      </c>
      <c r="I114" s="2">
        <v>-4434640</v>
      </c>
      <c r="J114" s="2">
        <v>-4392416</v>
      </c>
      <c r="K114" s="2">
        <v>-4430234</v>
      </c>
      <c r="L114" s="2">
        <v>-4535197</v>
      </c>
      <c r="M114" s="2">
        <v>-4594060</v>
      </c>
      <c r="N114" s="2">
        <v>-4604286</v>
      </c>
      <c r="O114" s="2">
        <v>-4598036</v>
      </c>
      <c r="P114" s="2">
        <v>-56702563</v>
      </c>
      <c r="Q114" s="2">
        <v>-4361736</v>
      </c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3"/>
    </row>
    <row r="115" spans="1:34" x14ac:dyDescent="0.25">
      <c r="A115" s="13" t="s">
        <v>177</v>
      </c>
      <c r="B115" s="13" t="s">
        <v>178</v>
      </c>
      <c r="C115" s="2">
        <v>-85494283</v>
      </c>
      <c r="D115" s="2">
        <v>-86512124</v>
      </c>
      <c r="E115" s="2">
        <v>-88139007</v>
      </c>
      <c r="F115" s="2">
        <v>-87502903</v>
      </c>
      <c r="G115" s="2">
        <v>-90011249</v>
      </c>
      <c r="H115" s="2">
        <v>-91139756</v>
      </c>
      <c r="I115" s="2">
        <v>-91102540</v>
      </c>
      <c r="J115" s="2">
        <v>-91205732</v>
      </c>
      <c r="K115" s="2">
        <v>-91716179</v>
      </c>
      <c r="L115" s="2">
        <v>-90264072</v>
      </c>
      <c r="M115" s="2">
        <v>-89501393</v>
      </c>
      <c r="N115" s="2">
        <v>-84958935</v>
      </c>
      <c r="O115" s="2">
        <v>-86351305</v>
      </c>
      <c r="P115" s="2">
        <v>-1153899479</v>
      </c>
      <c r="Q115" s="2">
        <v>-88761498</v>
      </c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3"/>
    </row>
    <row r="116" spans="1:34" x14ac:dyDescent="0.25">
      <c r="A116" s="13" t="s">
        <v>179</v>
      </c>
      <c r="B116" s="13" t="s">
        <v>180</v>
      </c>
      <c r="C116" s="2">
        <v>1065770</v>
      </c>
      <c r="D116" s="2">
        <v>1027869</v>
      </c>
      <c r="E116" s="2">
        <v>987637</v>
      </c>
      <c r="F116" s="2">
        <v>944119</v>
      </c>
      <c r="G116" s="2">
        <v>911376</v>
      </c>
      <c r="H116" s="2">
        <v>878073</v>
      </c>
      <c r="I116" s="2">
        <v>857939</v>
      </c>
      <c r="J116" s="2">
        <v>833540</v>
      </c>
      <c r="K116" s="2">
        <v>826549</v>
      </c>
      <c r="L116" s="2">
        <v>820155</v>
      </c>
      <c r="M116" s="2">
        <v>818044</v>
      </c>
      <c r="N116" s="2">
        <v>830931</v>
      </c>
      <c r="O116" s="2">
        <v>800877</v>
      </c>
      <c r="P116" s="2">
        <v>11602879</v>
      </c>
      <c r="Q116" s="2">
        <v>892529</v>
      </c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3"/>
    </row>
    <row r="117" spans="1:34" x14ac:dyDescent="0.25">
      <c r="A117" s="13" t="s">
        <v>181</v>
      </c>
      <c r="B117" s="13" t="s">
        <v>182</v>
      </c>
      <c r="C117" s="2">
        <v>13828</v>
      </c>
      <c r="D117" s="2">
        <v>36507</v>
      </c>
      <c r="E117" s="2">
        <v>41340</v>
      </c>
      <c r="F117" s="2">
        <v>46552</v>
      </c>
      <c r="G117" s="2">
        <v>53594</v>
      </c>
      <c r="H117" s="2">
        <v>59856</v>
      </c>
      <c r="I117" s="2">
        <v>66313</v>
      </c>
      <c r="J117" s="2">
        <v>79037</v>
      </c>
      <c r="K117" s="2">
        <v>86704</v>
      </c>
      <c r="L117" s="2">
        <v>92075</v>
      </c>
      <c r="M117" s="2">
        <v>109288</v>
      </c>
      <c r="N117" s="2">
        <v>140089</v>
      </c>
      <c r="O117" s="2">
        <v>169412</v>
      </c>
      <c r="P117" s="2">
        <v>994595</v>
      </c>
      <c r="Q117" s="2">
        <v>76507</v>
      </c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3"/>
    </row>
    <row r="118" spans="1:34" x14ac:dyDescent="0.25">
      <c r="A118" s="13" t="s">
        <v>183</v>
      </c>
      <c r="B118" s="13" t="s">
        <v>184</v>
      </c>
      <c r="C118" s="2">
        <v>215150</v>
      </c>
      <c r="D118" s="2">
        <v>226454</v>
      </c>
      <c r="E118" s="2">
        <v>805759</v>
      </c>
      <c r="F118" s="2">
        <v>1684974</v>
      </c>
      <c r="G118" s="2">
        <v>3522074</v>
      </c>
      <c r="H118" s="2">
        <v>5163047</v>
      </c>
      <c r="I118" s="2">
        <v>5831020</v>
      </c>
      <c r="J118" s="2">
        <v>8318262</v>
      </c>
      <c r="K118" s="2">
        <v>9086838</v>
      </c>
      <c r="L118" s="2">
        <v>9722512</v>
      </c>
      <c r="M118" s="2">
        <v>10121211</v>
      </c>
      <c r="N118" s="2">
        <v>10563971</v>
      </c>
      <c r="O118" s="2">
        <v>10638609</v>
      </c>
      <c r="P118" s="2">
        <v>75899881</v>
      </c>
      <c r="Q118" s="2">
        <v>5838452</v>
      </c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3"/>
    </row>
    <row r="119" spans="1:34" x14ac:dyDescent="0.25">
      <c r="A119" s="13" t="s">
        <v>185</v>
      </c>
      <c r="B119" s="13" t="s">
        <v>186</v>
      </c>
      <c r="C119" s="2">
        <v>26181695</v>
      </c>
      <c r="D119" s="2">
        <v>27282734</v>
      </c>
      <c r="E119" s="2">
        <v>28254246</v>
      </c>
      <c r="F119" s="2">
        <v>30137171</v>
      </c>
      <c r="G119" s="2">
        <v>30591737</v>
      </c>
      <c r="H119" s="2">
        <v>30958800</v>
      </c>
      <c r="I119" s="2">
        <v>33619938</v>
      </c>
      <c r="J119" s="2">
        <v>34166096</v>
      </c>
      <c r="K119" s="2">
        <v>34616573</v>
      </c>
      <c r="L119" s="2">
        <v>34953869</v>
      </c>
      <c r="M119" s="2">
        <v>36339588</v>
      </c>
      <c r="N119" s="2">
        <v>36835746</v>
      </c>
      <c r="O119" s="2">
        <v>38123553</v>
      </c>
      <c r="P119" s="2">
        <v>422061744</v>
      </c>
      <c r="Q119" s="2">
        <v>32466288</v>
      </c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3"/>
    </row>
    <row r="120" spans="1:34" x14ac:dyDescent="0.25">
      <c r="A120" s="13" t="s">
        <v>187</v>
      </c>
      <c r="B120" s="13" t="s">
        <v>188</v>
      </c>
      <c r="C120" s="2">
        <v>52191148</v>
      </c>
      <c r="D120" s="2">
        <v>50638985</v>
      </c>
      <c r="E120" s="2">
        <v>49947468</v>
      </c>
      <c r="F120" s="2">
        <v>47365696</v>
      </c>
      <c r="G120" s="2">
        <v>45450167</v>
      </c>
      <c r="H120" s="2">
        <v>43478485</v>
      </c>
      <c r="I120" s="2">
        <v>49024001</v>
      </c>
      <c r="J120" s="2">
        <v>45659505</v>
      </c>
      <c r="K120" s="2">
        <v>43816500</v>
      </c>
      <c r="L120" s="2">
        <v>45886592</v>
      </c>
      <c r="M120" s="2">
        <v>43281180</v>
      </c>
      <c r="N120" s="2">
        <v>43836782</v>
      </c>
      <c r="O120" s="2">
        <v>42173466</v>
      </c>
      <c r="P120" s="2">
        <v>602749976</v>
      </c>
      <c r="Q120" s="2">
        <v>46365383</v>
      </c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3"/>
    </row>
    <row r="121" spans="1:34" x14ac:dyDescent="0.25">
      <c r="A121" s="13" t="s">
        <v>189</v>
      </c>
      <c r="B121" s="13" t="s">
        <v>190</v>
      </c>
      <c r="C121" s="2">
        <v>-308271772</v>
      </c>
      <c r="D121" s="2">
        <v>-308271772</v>
      </c>
      <c r="E121" s="2">
        <v>-308271772</v>
      </c>
      <c r="F121" s="2">
        <v>-308271772</v>
      </c>
      <c r="G121" s="2">
        <v>-308271772</v>
      </c>
      <c r="H121" s="2">
        <v>-308271772</v>
      </c>
      <c r="I121" s="2">
        <v>-308271772</v>
      </c>
      <c r="J121" s="2">
        <v>-308271772</v>
      </c>
      <c r="K121" s="2">
        <v>-308270572</v>
      </c>
      <c r="L121" s="2">
        <v>-308270572</v>
      </c>
      <c r="M121" s="2">
        <v>-308270572</v>
      </c>
      <c r="N121" s="2">
        <v>-308270572</v>
      </c>
      <c r="O121" s="2">
        <v>-308270572</v>
      </c>
      <c r="P121" s="2">
        <v>-4007527038</v>
      </c>
      <c r="Q121" s="2">
        <v>-308271311</v>
      </c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3"/>
    </row>
    <row r="122" spans="1:34" x14ac:dyDescent="0.25">
      <c r="A122" s="13" t="s">
        <v>191</v>
      </c>
      <c r="B122" s="13" t="s">
        <v>192</v>
      </c>
      <c r="C122" s="2">
        <v>408725</v>
      </c>
      <c r="D122" s="2">
        <v>1410881</v>
      </c>
      <c r="E122" s="2">
        <v>1723886</v>
      </c>
      <c r="F122" s="2">
        <v>1762020</v>
      </c>
      <c r="G122" s="2">
        <v>2997586</v>
      </c>
      <c r="H122" s="2">
        <v>3123189</v>
      </c>
      <c r="I122" s="2">
        <v>4440216</v>
      </c>
      <c r="J122" s="2">
        <v>5185209</v>
      </c>
      <c r="K122" s="2">
        <v>8300459</v>
      </c>
      <c r="L122" s="2">
        <v>8319619</v>
      </c>
      <c r="M122" s="2">
        <v>8386992</v>
      </c>
      <c r="N122" s="2">
        <v>8507397</v>
      </c>
      <c r="O122" s="2">
        <v>8670858</v>
      </c>
      <c r="P122" s="2">
        <v>63237037</v>
      </c>
      <c r="Q122" s="2">
        <v>4864387</v>
      </c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3"/>
    </row>
    <row r="123" spans="1:34" x14ac:dyDescent="0.25">
      <c r="A123" s="13" t="s">
        <v>193</v>
      </c>
      <c r="B123" s="13" t="s">
        <v>194</v>
      </c>
      <c r="C123" s="2">
        <v>3500</v>
      </c>
      <c r="D123" s="2">
        <v>3500</v>
      </c>
      <c r="E123" s="2">
        <v>3500</v>
      </c>
      <c r="F123" s="2">
        <v>3644</v>
      </c>
      <c r="G123" s="2">
        <v>3644</v>
      </c>
      <c r="H123" s="2">
        <v>3644</v>
      </c>
      <c r="I123" s="2">
        <v>3644</v>
      </c>
      <c r="J123" s="2">
        <v>3644</v>
      </c>
      <c r="K123" s="2">
        <v>3644</v>
      </c>
      <c r="L123" s="2">
        <v>3644</v>
      </c>
      <c r="M123" s="2">
        <v>3704</v>
      </c>
      <c r="N123" s="2">
        <v>3704</v>
      </c>
      <c r="O123" s="2">
        <v>3704</v>
      </c>
      <c r="P123" s="2">
        <v>47120</v>
      </c>
      <c r="Q123" s="2">
        <v>3625</v>
      </c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3"/>
    </row>
    <row r="124" spans="1:34" x14ac:dyDescent="0.25">
      <c r="A124" s="13" t="s">
        <v>195</v>
      </c>
      <c r="B124" s="13" t="s">
        <v>196</v>
      </c>
      <c r="C124" s="2">
        <v>-163</v>
      </c>
      <c r="D124" s="2">
        <v>-163</v>
      </c>
      <c r="E124" s="2">
        <v>-163</v>
      </c>
      <c r="F124" s="2">
        <v>-163</v>
      </c>
      <c r="G124" s="2">
        <v>-163</v>
      </c>
      <c r="H124" s="2">
        <v>-163</v>
      </c>
      <c r="I124" s="2">
        <v>-163</v>
      </c>
      <c r="J124" s="2">
        <v>-163</v>
      </c>
      <c r="K124" s="2">
        <v>-163</v>
      </c>
      <c r="L124" s="2">
        <v>-163</v>
      </c>
      <c r="M124" s="2">
        <v>-163</v>
      </c>
      <c r="N124" s="2">
        <v>-163</v>
      </c>
      <c r="O124" s="2">
        <v>-163</v>
      </c>
      <c r="P124" s="2">
        <v>-2117</v>
      </c>
      <c r="Q124" s="2">
        <v>-163</v>
      </c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3"/>
    </row>
    <row r="125" spans="1:34" x14ac:dyDescent="0.25">
      <c r="A125" s="13" t="s">
        <v>197</v>
      </c>
      <c r="B125" s="13" t="s">
        <v>198</v>
      </c>
      <c r="C125" s="2">
        <v>6500</v>
      </c>
      <c r="D125" s="2">
        <v>6500</v>
      </c>
      <c r="E125" s="2">
        <v>6500</v>
      </c>
      <c r="F125" s="2">
        <v>6500</v>
      </c>
      <c r="G125" s="2">
        <v>6500</v>
      </c>
      <c r="H125" s="2">
        <v>6500</v>
      </c>
      <c r="I125" s="2">
        <v>6500</v>
      </c>
      <c r="J125" s="2">
        <v>6500</v>
      </c>
      <c r="K125" s="2">
        <v>6500</v>
      </c>
      <c r="L125" s="2">
        <v>6500</v>
      </c>
      <c r="M125" s="2">
        <v>6500</v>
      </c>
      <c r="N125" s="2">
        <v>6500</v>
      </c>
      <c r="O125" s="2">
        <v>6500</v>
      </c>
      <c r="P125" s="2">
        <v>84500</v>
      </c>
      <c r="Q125" s="2">
        <v>6500</v>
      </c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3"/>
    </row>
    <row r="126" spans="1:34" x14ac:dyDescent="0.25">
      <c r="A126" s="13" t="s">
        <v>199</v>
      </c>
      <c r="B126" s="13" t="s">
        <v>200</v>
      </c>
      <c r="C126" s="2">
        <v>2861715</v>
      </c>
      <c r="D126" s="2">
        <v>2856755</v>
      </c>
      <c r="E126" s="2">
        <v>2844435</v>
      </c>
      <c r="F126" s="2">
        <v>2822765</v>
      </c>
      <c r="G126" s="2">
        <v>2818993</v>
      </c>
      <c r="H126" s="2">
        <v>2822738</v>
      </c>
      <c r="I126" s="2">
        <v>2822548</v>
      </c>
      <c r="J126" s="2">
        <v>2818183</v>
      </c>
      <c r="K126" s="2">
        <v>2810016</v>
      </c>
      <c r="L126" s="2">
        <v>2790680</v>
      </c>
      <c r="M126" s="2">
        <v>2793798</v>
      </c>
      <c r="N126" s="2">
        <v>2792046</v>
      </c>
      <c r="O126" s="2">
        <v>2775908</v>
      </c>
      <c r="P126" s="2">
        <v>36630579</v>
      </c>
      <c r="Q126" s="2">
        <v>2817737</v>
      </c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3"/>
    </row>
    <row r="127" spans="1:34" x14ac:dyDescent="0.25">
      <c r="A127" s="13" t="s">
        <v>201</v>
      </c>
      <c r="B127" s="13" t="s">
        <v>202</v>
      </c>
      <c r="C127" s="2">
        <v>109634</v>
      </c>
      <c r="D127" s="2">
        <v>109634</v>
      </c>
      <c r="E127" s="2">
        <v>109634</v>
      </c>
      <c r="F127" s="2">
        <v>109634</v>
      </c>
      <c r="G127" s="2">
        <v>109634</v>
      </c>
      <c r="H127" s="2">
        <v>109634</v>
      </c>
      <c r="I127" s="2">
        <v>109634</v>
      </c>
      <c r="J127" s="2">
        <v>109634</v>
      </c>
      <c r="K127" s="2">
        <v>109634</v>
      </c>
      <c r="L127" s="2">
        <v>109634</v>
      </c>
      <c r="M127" s="2">
        <v>109634</v>
      </c>
      <c r="N127" s="2">
        <v>109634</v>
      </c>
      <c r="O127" s="2">
        <v>109634</v>
      </c>
      <c r="P127" s="2">
        <v>1425236</v>
      </c>
      <c r="Q127" s="2">
        <v>109634</v>
      </c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3"/>
    </row>
    <row r="128" spans="1:34" x14ac:dyDescent="0.25">
      <c r="A128" s="13" t="s">
        <v>203</v>
      </c>
      <c r="B128" s="13" t="s">
        <v>204</v>
      </c>
      <c r="C128" s="2">
        <v>143190</v>
      </c>
      <c r="D128" s="2">
        <v>146055</v>
      </c>
      <c r="E128" s="2">
        <v>163322</v>
      </c>
      <c r="F128" s="2">
        <v>162714</v>
      </c>
      <c r="G128" s="2">
        <v>166390</v>
      </c>
      <c r="H128" s="2">
        <v>167498</v>
      </c>
      <c r="I128" s="2">
        <v>168548</v>
      </c>
      <c r="J128" s="2">
        <v>170949</v>
      </c>
      <c r="K128" s="2">
        <v>173076</v>
      </c>
      <c r="L128" s="2">
        <v>180121</v>
      </c>
      <c r="M128" s="2">
        <v>184898</v>
      </c>
      <c r="N128" s="2">
        <v>186298</v>
      </c>
      <c r="O128" s="2">
        <v>183748</v>
      </c>
      <c r="P128" s="2">
        <v>2196808</v>
      </c>
      <c r="Q128" s="2">
        <v>168985</v>
      </c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3"/>
    </row>
    <row r="129" spans="1:34" x14ac:dyDescent="0.25">
      <c r="C129" s="26" t="s">
        <v>67</v>
      </c>
      <c r="D129" s="26" t="s">
        <v>67</v>
      </c>
      <c r="E129" s="26" t="s">
        <v>67</v>
      </c>
      <c r="F129" s="26" t="s">
        <v>67</v>
      </c>
      <c r="G129" s="26" t="s">
        <v>67</v>
      </c>
      <c r="H129" s="26" t="s">
        <v>67</v>
      </c>
      <c r="I129" s="26" t="s">
        <v>67</v>
      </c>
      <c r="J129" s="26" t="s">
        <v>67</v>
      </c>
      <c r="K129" s="26" t="s">
        <v>67</v>
      </c>
      <c r="L129" s="26" t="s">
        <v>67</v>
      </c>
      <c r="M129" s="26" t="s">
        <v>67</v>
      </c>
      <c r="N129" s="26" t="s">
        <v>67</v>
      </c>
      <c r="O129" s="26" t="s">
        <v>67</v>
      </c>
      <c r="P129" s="26" t="s">
        <v>67</v>
      </c>
      <c r="Q129" s="26" t="s">
        <v>67</v>
      </c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3"/>
    </row>
    <row r="130" spans="1:34" x14ac:dyDescent="0.25">
      <c r="A130" s="21" t="s">
        <v>205</v>
      </c>
      <c r="B130" s="22"/>
      <c r="C130" s="23">
        <v>-53473801</v>
      </c>
      <c r="D130" s="23">
        <v>-52927683</v>
      </c>
      <c r="E130" s="23">
        <v>-50782991</v>
      </c>
      <c r="F130" s="23">
        <v>-53728742</v>
      </c>
      <c r="G130" s="23">
        <v>-52528295</v>
      </c>
      <c r="H130" s="23">
        <v>-54546955</v>
      </c>
      <c r="I130" s="23">
        <v>-53198317</v>
      </c>
      <c r="J130" s="23">
        <v>-56088549</v>
      </c>
      <c r="K130" s="23">
        <v>-57339401</v>
      </c>
      <c r="L130" s="23">
        <v>-53454763</v>
      </c>
      <c r="M130" s="23">
        <v>-55104746</v>
      </c>
      <c r="N130" s="23">
        <v>-47993900</v>
      </c>
      <c r="O130" s="23">
        <v>-62628904</v>
      </c>
      <c r="P130" s="23">
        <v>-703797045</v>
      </c>
      <c r="Q130" s="23">
        <v>-54138234</v>
      </c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3"/>
    </row>
    <row r="131" spans="1:34" x14ac:dyDescent="0.25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3"/>
    </row>
    <row r="132" spans="1:34" x14ac:dyDescent="0.25">
      <c r="A132" s="21" t="s">
        <v>206</v>
      </c>
      <c r="B132" s="22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3"/>
    </row>
    <row r="133" spans="1:34" x14ac:dyDescent="0.25">
      <c r="A133" s="13" t="s">
        <v>207</v>
      </c>
      <c r="B133" s="13" t="s">
        <v>208</v>
      </c>
      <c r="C133" s="2">
        <v>6052</v>
      </c>
      <c r="D133" s="2">
        <v>5359</v>
      </c>
      <c r="E133" s="2">
        <v>4693</v>
      </c>
      <c r="F133" s="2">
        <v>4045</v>
      </c>
      <c r="G133" s="2">
        <v>3343</v>
      </c>
      <c r="H133" s="2">
        <v>2641</v>
      </c>
      <c r="I133" s="2">
        <v>1939</v>
      </c>
      <c r="J133" s="2">
        <v>1400</v>
      </c>
      <c r="K133" s="2">
        <v>696</v>
      </c>
      <c r="L133" s="2">
        <v>9008</v>
      </c>
      <c r="M133" s="2">
        <v>8092</v>
      </c>
      <c r="N133" s="2">
        <v>7179</v>
      </c>
      <c r="O133" s="2">
        <v>6158</v>
      </c>
      <c r="P133" s="2">
        <v>60605</v>
      </c>
      <c r="Q133" s="2">
        <v>4662</v>
      </c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3"/>
    </row>
    <row r="134" spans="1:34" x14ac:dyDescent="0.25">
      <c r="A134" s="13" t="s">
        <v>209</v>
      </c>
      <c r="B134" s="13" t="s">
        <v>210</v>
      </c>
      <c r="C134" s="2">
        <v>103292</v>
      </c>
      <c r="D134" s="2">
        <v>104376</v>
      </c>
      <c r="E134" s="2">
        <v>113752</v>
      </c>
      <c r="F134" s="2">
        <v>101620</v>
      </c>
      <c r="G134" s="2">
        <v>89487</v>
      </c>
      <c r="H134" s="2">
        <v>77354</v>
      </c>
      <c r="I134" s="2">
        <v>65002</v>
      </c>
      <c r="J134" s="2">
        <v>52651</v>
      </c>
      <c r="K134" s="2">
        <v>39877</v>
      </c>
      <c r="L134" s="2">
        <v>55022</v>
      </c>
      <c r="M134" s="2">
        <v>42248</v>
      </c>
      <c r="N134" s="2">
        <v>46106</v>
      </c>
      <c r="O134" s="2">
        <v>33125</v>
      </c>
      <c r="P134" s="2">
        <v>923910</v>
      </c>
      <c r="Q134" s="2">
        <v>71070</v>
      </c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3"/>
    </row>
    <row r="135" spans="1:34" x14ac:dyDescent="0.25">
      <c r="C135" s="26" t="s">
        <v>67</v>
      </c>
      <c r="D135" s="26" t="s">
        <v>67</v>
      </c>
      <c r="E135" s="26" t="s">
        <v>67</v>
      </c>
      <c r="F135" s="26" t="s">
        <v>67</v>
      </c>
      <c r="G135" s="26" t="s">
        <v>67</v>
      </c>
      <c r="H135" s="26" t="s">
        <v>67</v>
      </c>
      <c r="I135" s="26" t="s">
        <v>67</v>
      </c>
      <c r="J135" s="26" t="s">
        <v>67</v>
      </c>
      <c r="K135" s="26" t="s">
        <v>67</v>
      </c>
      <c r="L135" s="26" t="s">
        <v>67</v>
      </c>
      <c r="M135" s="26" t="s">
        <v>67</v>
      </c>
      <c r="N135" s="26" t="s">
        <v>67</v>
      </c>
      <c r="O135" s="26" t="s">
        <v>67</v>
      </c>
      <c r="P135" s="26" t="s">
        <v>67</v>
      </c>
      <c r="Q135" s="26" t="s">
        <v>67</v>
      </c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3"/>
    </row>
    <row r="136" spans="1:34" x14ac:dyDescent="0.25">
      <c r="A136" s="21" t="s">
        <v>211</v>
      </c>
      <c r="B136" s="22"/>
      <c r="C136" s="23">
        <v>109344</v>
      </c>
      <c r="D136" s="23">
        <v>109735</v>
      </c>
      <c r="E136" s="23">
        <v>118445</v>
      </c>
      <c r="F136" s="23">
        <v>105665</v>
      </c>
      <c r="G136" s="23">
        <v>92830</v>
      </c>
      <c r="H136" s="23">
        <v>79995</v>
      </c>
      <c r="I136" s="23">
        <v>66941</v>
      </c>
      <c r="J136" s="23">
        <v>54051</v>
      </c>
      <c r="K136" s="23">
        <v>40573</v>
      </c>
      <c r="L136" s="23">
        <v>64030</v>
      </c>
      <c r="M136" s="23">
        <v>50340</v>
      </c>
      <c r="N136" s="23">
        <v>53285</v>
      </c>
      <c r="O136" s="23">
        <v>39283</v>
      </c>
      <c r="P136" s="23">
        <v>984515</v>
      </c>
      <c r="Q136" s="23">
        <v>75732</v>
      </c>
      <c r="R136" s="15">
        <f>SUM(T136:Y136)-Q136</f>
        <v>0</v>
      </c>
      <c r="S136" s="15" t="s">
        <v>16</v>
      </c>
      <c r="T136" s="15">
        <f t="shared" ref="T136:Y136" si="8">$Q136*T5</f>
        <v>16130.915999999999</v>
      </c>
      <c r="U136" s="15">
        <f t="shared" si="8"/>
        <v>26354.735999999997</v>
      </c>
      <c r="V136" s="15">
        <f t="shared" si="8"/>
        <v>10905.407999999999</v>
      </c>
      <c r="W136" s="15">
        <f t="shared" si="8"/>
        <v>75.731999999999999</v>
      </c>
      <c r="X136" s="15">
        <f t="shared" si="8"/>
        <v>75.731999999999999</v>
      </c>
      <c r="Y136" s="15">
        <f t="shared" si="8"/>
        <v>22189.475999999999</v>
      </c>
      <c r="Z136" s="15"/>
      <c r="AA136" s="15" t="s">
        <v>16</v>
      </c>
      <c r="AB136" s="15">
        <f t="shared" ref="AB136:AG136" si="9">$O136*AB$5</f>
        <v>8367.2790000000005</v>
      </c>
      <c r="AC136" s="15">
        <f t="shared" si="9"/>
        <v>13670.483999999999</v>
      </c>
      <c r="AD136" s="15">
        <f t="shared" si="9"/>
        <v>5656.7519999999995</v>
      </c>
      <c r="AE136" s="15">
        <f t="shared" si="9"/>
        <v>39.283000000000001</v>
      </c>
      <c r="AF136" s="15">
        <f t="shared" si="9"/>
        <v>39.283000000000001</v>
      </c>
      <c r="AG136" s="15">
        <f t="shared" si="9"/>
        <v>11509.919</v>
      </c>
      <c r="AH136" s="27">
        <f>SUM(AB136:AG136)-O136</f>
        <v>0</v>
      </c>
    </row>
    <row r="137" spans="1:34" x14ac:dyDescent="0.25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3"/>
    </row>
    <row r="138" spans="1:34" x14ac:dyDescent="0.25">
      <c r="A138" s="21" t="s">
        <v>212</v>
      </c>
      <c r="B138" s="22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3"/>
    </row>
    <row r="139" spans="1:34" x14ac:dyDescent="0.25">
      <c r="A139" s="13" t="s">
        <v>213</v>
      </c>
      <c r="B139" s="13" t="s">
        <v>214</v>
      </c>
      <c r="C139" s="2">
        <v>92184</v>
      </c>
      <c r="D139" s="2">
        <v>92184</v>
      </c>
      <c r="E139" s="2">
        <v>92184</v>
      </c>
      <c r="F139" s="2">
        <v>92184</v>
      </c>
      <c r="G139" s="2">
        <v>92184</v>
      </c>
      <c r="H139" s="2">
        <v>127184</v>
      </c>
      <c r="I139" s="2">
        <v>127184</v>
      </c>
      <c r="J139" s="2">
        <v>127184</v>
      </c>
      <c r="K139" s="2">
        <v>127184</v>
      </c>
      <c r="L139" s="2">
        <v>127184</v>
      </c>
      <c r="M139" s="2">
        <v>127184</v>
      </c>
      <c r="N139" s="2">
        <v>127184</v>
      </c>
      <c r="O139" s="2">
        <v>127184</v>
      </c>
      <c r="P139" s="2">
        <v>1478390</v>
      </c>
      <c r="Q139" s="2">
        <v>113722</v>
      </c>
      <c r="R139" s="15">
        <f>SUM(T139:Y139)-Q139</f>
        <v>0</v>
      </c>
      <c r="S139" s="15" t="s">
        <v>16</v>
      </c>
      <c r="T139" s="15">
        <f t="shared" ref="T139:Y139" si="10">$Q139*T5</f>
        <v>24222.786</v>
      </c>
      <c r="U139" s="15">
        <f t="shared" si="10"/>
        <v>39575.255999999994</v>
      </c>
      <c r="V139" s="15">
        <f t="shared" si="10"/>
        <v>16375.967999999999</v>
      </c>
      <c r="W139" s="15">
        <f t="shared" si="10"/>
        <v>113.72200000000001</v>
      </c>
      <c r="X139" s="15">
        <f t="shared" si="10"/>
        <v>113.72200000000001</v>
      </c>
      <c r="Y139" s="15">
        <f t="shared" si="10"/>
        <v>33320.545999999995</v>
      </c>
      <c r="Z139" s="15"/>
      <c r="AA139" s="15" t="s">
        <v>16</v>
      </c>
      <c r="AB139" s="15">
        <f t="shared" ref="AB139:AG139" si="11">$O139*AB$5</f>
        <v>27090.191999999999</v>
      </c>
      <c r="AC139" s="15">
        <f t="shared" si="11"/>
        <v>44260.031999999999</v>
      </c>
      <c r="AD139" s="15">
        <f t="shared" si="11"/>
        <v>18314.495999999999</v>
      </c>
      <c r="AE139" s="15">
        <f t="shared" si="11"/>
        <v>127.184</v>
      </c>
      <c r="AF139" s="15">
        <f t="shared" si="11"/>
        <v>127.184</v>
      </c>
      <c r="AG139" s="15">
        <f t="shared" si="11"/>
        <v>37264.911999999997</v>
      </c>
      <c r="AH139" s="27">
        <f>SUM(AB139:AG139)-O139</f>
        <v>0</v>
      </c>
    </row>
    <row r="140" spans="1:34" x14ac:dyDescent="0.25">
      <c r="C140" s="26" t="s">
        <v>67</v>
      </c>
      <c r="D140" s="26" t="s">
        <v>67</v>
      </c>
      <c r="E140" s="26" t="s">
        <v>67</v>
      </c>
      <c r="F140" s="26" t="s">
        <v>67</v>
      </c>
      <c r="G140" s="26" t="s">
        <v>67</v>
      </c>
      <c r="H140" s="26" t="s">
        <v>67</v>
      </c>
      <c r="I140" s="26" t="s">
        <v>67</v>
      </c>
      <c r="J140" s="26" t="s">
        <v>67</v>
      </c>
      <c r="K140" s="26" t="s">
        <v>67</v>
      </c>
      <c r="L140" s="26" t="s">
        <v>67</v>
      </c>
      <c r="M140" s="26" t="s">
        <v>67</v>
      </c>
      <c r="N140" s="26" t="s">
        <v>67</v>
      </c>
      <c r="O140" s="26" t="s">
        <v>67</v>
      </c>
      <c r="P140" s="26" t="s">
        <v>67</v>
      </c>
      <c r="Q140" s="26" t="s">
        <v>67</v>
      </c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3"/>
    </row>
    <row r="141" spans="1:34" x14ac:dyDescent="0.25">
      <c r="A141" s="21" t="s">
        <v>215</v>
      </c>
      <c r="B141" s="22"/>
      <c r="C141" s="23">
        <v>92184</v>
      </c>
      <c r="D141" s="23">
        <v>92184</v>
      </c>
      <c r="E141" s="23">
        <v>92184</v>
      </c>
      <c r="F141" s="23">
        <v>92184</v>
      </c>
      <c r="G141" s="23">
        <v>92184</v>
      </c>
      <c r="H141" s="23">
        <v>127184</v>
      </c>
      <c r="I141" s="23">
        <v>127184</v>
      </c>
      <c r="J141" s="23">
        <v>127184</v>
      </c>
      <c r="K141" s="23">
        <v>127184</v>
      </c>
      <c r="L141" s="23">
        <v>127184</v>
      </c>
      <c r="M141" s="23">
        <v>127184</v>
      </c>
      <c r="N141" s="23">
        <v>127184</v>
      </c>
      <c r="O141" s="23">
        <v>127184</v>
      </c>
      <c r="P141" s="23">
        <v>1478390</v>
      </c>
      <c r="Q141" s="23">
        <v>113722</v>
      </c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3"/>
    </row>
    <row r="142" spans="1:34" x14ac:dyDescent="0.25">
      <c r="A142" s="40"/>
      <c r="B142" s="40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3"/>
    </row>
    <row r="143" spans="1:34" ht="15.75" x14ac:dyDescent="0.3">
      <c r="A143" s="42" t="s">
        <v>216</v>
      </c>
      <c r="B143" s="43"/>
      <c r="C143" s="44">
        <v>-54129207</v>
      </c>
      <c r="D143" s="44">
        <v>-52589209</v>
      </c>
      <c r="E143" s="44">
        <v>-48578523</v>
      </c>
      <c r="F143" s="44">
        <v>-52450621</v>
      </c>
      <c r="G143" s="44">
        <v>-53583689</v>
      </c>
      <c r="H143" s="44">
        <v>-52392886</v>
      </c>
      <c r="I143" s="44">
        <v>-52480004</v>
      </c>
      <c r="J143" s="44">
        <v>-55604793</v>
      </c>
      <c r="K143" s="44">
        <v>-56575297</v>
      </c>
      <c r="L143" s="44">
        <v>-52146226</v>
      </c>
      <c r="M143" s="44">
        <v>-53680797</v>
      </c>
      <c r="N143" s="44">
        <v>-57075343</v>
      </c>
      <c r="O143" s="44">
        <v>-61839333</v>
      </c>
      <c r="P143" s="44">
        <v>-703125929</v>
      </c>
      <c r="Q143" s="44">
        <v>-54086610</v>
      </c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3"/>
    </row>
    <row r="144" spans="1:34" x14ac:dyDescent="0.25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3"/>
    </row>
    <row r="145" spans="1:34" ht="15.75" x14ac:dyDescent="0.3">
      <c r="A145" s="18" t="s">
        <v>217</v>
      </c>
      <c r="B145" s="19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3"/>
    </row>
    <row r="146" spans="1:34" x14ac:dyDescent="0.25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3"/>
    </row>
    <row r="147" spans="1:34" x14ac:dyDescent="0.25">
      <c r="A147" s="45" t="s">
        <v>218</v>
      </c>
      <c r="B147" s="46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3"/>
    </row>
    <row r="148" spans="1:34" x14ac:dyDescent="0.25">
      <c r="A148" s="48" t="s">
        <v>219</v>
      </c>
      <c r="B148" s="48" t="s">
        <v>220</v>
      </c>
      <c r="C148" s="49">
        <v>795056</v>
      </c>
      <c r="D148" s="49">
        <v>788914</v>
      </c>
      <c r="E148" s="49">
        <v>782772</v>
      </c>
      <c r="F148" s="49">
        <v>776631</v>
      </c>
      <c r="G148" s="49">
        <v>770489</v>
      </c>
      <c r="H148" s="49">
        <v>764347</v>
      </c>
      <c r="I148" s="49">
        <v>758205</v>
      </c>
      <c r="J148" s="49">
        <v>752064</v>
      </c>
      <c r="K148" s="49">
        <v>745922</v>
      </c>
      <c r="L148" s="49">
        <v>739780</v>
      </c>
      <c r="M148" s="49">
        <v>733638</v>
      </c>
      <c r="N148" s="49">
        <v>727497</v>
      </c>
      <c r="O148" s="49">
        <v>721355</v>
      </c>
      <c r="P148" s="49">
        <v>9856669</v>
      </c>
      <c r="Q148" s="49">
        <v>758205</v>
      </c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3"/>
    </row>
    <row r="149" spans="1:34" x14ac:dyDescent="0.25">
      <c r="C149" s="26" t="s">
        <v>67</v>
      </c>
      <c r="D149" s="26" t="s">
        <v>67</v>
      </c>
      <c r="E149" s="26" t="s">
        <v>67</v>
      </c>
      <c r="F149" s="26" t="s">
        <v>67</v>
      </c>
      <c r="G149" s="26" t="s">
        <v>67</v>
      </c>
      <c r="H149" s="26" t="s">
        <v>67</v>
      </c>
      <c r="I149" s="26" t="s">
        <v>67</v>
      </c>
      <c r="J149" s="26" t="s">
        <v>67</v>
      </c>
      <c r="K149" s="26" t="s">
        <v>67</v>
      </c>
      <c r="L149" s="26" t="s">
        <v>67</v>
      </c>
      <c r="M149" s="26" t="s">
        <v>67</v>
      </c>
      <c r="N149" s="26" t="s">
        <v>67</v>
      </c>
      <c r="O149" s="26" t="s">
        <v>67</v>
      </c>
      <c r="P149" s="26" t="s">
        <v>67</v>
      </c>
      <c r="Q149" s="26" t="s">
        <v>67</v>
      </c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3"/>
    </row>
    <row r="150" spans="1:34" x14ac:dyDescent="0.25">
      <c r="A150" s="21" t="s">
        <v>221</v>
      </c>
      <c r="B150" s="22"/>
      <c r="C150" s="23">
        <v>795056</v>
      </c>
      <c r="D150" s="23">
        <v>788914</v>
      </c>
      <c r="E150" s="23">
        <v>782772</v>
      </c>
      <c r="F150" s="23">
        <v>776631</v>
      </c>
      <c r="G150" s="23">
        <v>770489</v>
      </c>
      <c r="H150" s="23">
        <v>764347</v>
      </c>
      <c r="I150" s="23">
        <v>758205</v>
      </c>
      <c r="J150" s="23">
        <v>752064</v>
      </c>
      <c r="K150" s="23">
        <v>745922</v>
      </c>
      <c r="L150" s="23">
        <v>739780</v>
      </c>
      <c r="M150" s="23">
        <v>733638</v>
      </c>
      <c r="N150" s="23">
        <v>727497</v>
      </c>
      <c r="O150" s="23">
        <v>721355</v>
      </c>
      <c r="P150" s="23">
        <v>9856669</v>
      </c>
      <c r="Q150" s="23">
        <v>758205</v>
      </c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3"/>
    </row>
    <row r="151" spans="1:34" x14ac:dyDescent="0.25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3"/>
    </row>
    <row r="152" spans="1:34" x14ac:dyDescent="0.25">
      <c r="A152" s="21" t="s">
        <v>222</v>
      </c>
      <c r="B152" s="22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3"/>
    </row>
    <row r="153" spans="1:34" x14ac:dyDescent="0.25">
      <c r="A153" s="13" t="s">
        <v>223</v>
      </c>
      <c r="B153" s="13" t="s">
        <v>224</v>
      </c>
      <c r="C153" s="2">
        <v>705514</v>
      </c>
      <c r="D153" s="2">
        <v>705514</v>
      </c>
      <c r="E153" s="2">
        <v>705514</v>
      </c>
      <c r="F153" s="2">
        <v>705514</v>
      </c>
      <c r="G153" s="2">
        <v>705514</v>
      </c>
      <c r="H153" s="2">
        <v>705514</v>
      </c>
      <c r="I153" s="2">
        <v>705514</v>
      </c>
      <c r="J153" s="2">
        <v>705514</v>
      </c>
      <c r="K153" s="2">
        <v>705514</v>
      </c>
      <c r="L153" s="2">
        <v>705514</v>
      </c>
      <c r="M153" s="2">
        <v>705514</v>
      </c>
      <c r="N153" s="2">
        <v>705514</v>
      </c>
      <c r="O153" s="2">
        <v>705514</v>
      </c>
      <c r="P153" s="2">
        <v>9171684</v>
      </c>
      <c r="Q153" s="2">
        <v>705514</v>
      </c>
      <c r="R153" s="15"/>
      <c r="S153" s="15" t="s">
        <v>225</v>
      </c>
      <c r="T153" s="15">
        <f>$Q153*T$3</f>
        <v>114399.09509999999</v>
      </c>
      <c r="U153" s="15">
        <f t="shared" ref="U153:Y153" si="12">$Q153*U$3</f>
        <v>276356.88893999998</v>
      </c>
      <c r="V153" s="15">
        <f t="shared" si="12"/>
        <v>129729.91432</v>
      </c>
      <c r="W153" s="15">
        <f t="shared" si="12"/>
        <v>2504.5747000000001</v>
      </c>
      <c r="X153" s="15">
        <f t="shared" si="12"/>
        <v>783.12054000000012</v>
      </c>
      <c r="Y153" s="15">
        <f t="shared" si="12"/>
        <v>181754.51668</v>
      </c>
      <c r="Z153" s="15"/>
      <c r="AA153" s="15"/>
      <c r="AB153" s="15">
        <f>$O153*AB$3</f>
        <v>114399.09509999999</v>
      </c>
      <c r="AC153" s="15">
        <f t="shared" ref="AC153:AG153" si="13">$O153*AC$3</f>
        <v>276356.88893999998</v>
      </c>
      <c r="AD153" s="15">
        <f t="shared" si="13"/>
        <v>129729.91432</v>
      </c>
      <c r="AE153" s="15">
        <f t="shared" si="13"/>
        <v>2504.5747000000001</v>
      </c>
      <c r="AF153" s="15">
        <f t="shared" si="13"/>
        <v>783.12054000000012</v>
      </c>
      <c r="AG153" s="15">
        <f t="shared" si="13"/>
        <v>181754.51668</v>
      </c>
      <c r="AH153" s="3"/>
    </row>
    <row r="154" spans="1:34" x14ac:dyDescent="0.25">
      <c r="A154" s="13" t="s">
        <v>226</v>
      </c>
      <c r="B154" s="13" t="s">
        <v>227</v>
      </c>
      <c r="C154" s="2">
        <v>-95046</v>
      </c>
      <c r="D154" s="2">
        <v>-98388</v>
      </c>
      <c r="E154" s="2">
        <v>-101741</v>
      </c>
      <c r="F154" s="2">
        <v>-105104</v>
      </c>
      <c r="G154" s="2">
        <v>-108477</v>
      </c>
      <c r="H154" s="2">
        <v>-111861</v>
      </c>
      <c r="I154" s="2">
        <v>-115256</v>
      </c>
      <c r="J154" s="2">
        <v>-118661</v>
      </c>
      <c r="K154" s="2">
        <v>-122076</v>
      </c>
      <c r="L154" s="2">
        <v>-125502</v>
      </c>
      <c r="M154" s="2">
        <v>-128939</v>
      </c>
      <c r="N154" s="2">
        <v>-132386</v>
      </c>
      <c r="O154" s="2">
        <v>-135844</v>
      </c>
      <c r="P154" s="2">
        <v>-1499282</v>
      </c>
      <c r="Q154" s="2">
        <v>-115329</v>
      </c>
      <c r="R154" s="15"/>
      <c r="S154" s="15" t="s">
        <v>225</v>
      </c>
      <c r="T154" s="15">
        <f t="shared" ref="T154:Y154" si="14">$Q154*T$3</f>
        <v>-18700.59735</v>
      </c>
      <c r="U154" s="15">
        <f t="shared" si="14"/>
        <v>-45175.52259</v>
      </c>
      <c r="V154" s="15">
        <f t="shared" si="14"/>
        <v>-21206.696519999998</v>
      </c>
      <c r="W154" s="15">
        <f t="shared" si="14"/>
        <v>-409.41795000000002</v>
      </c>
      <c r="X154" s="15">
        <f t="shared" si="14"/>
        <v>-128.01519000000002</v>
      </c>
      <c r="Y154" s="15">
        <f t="shared" si="14"/>
        <v>-29711.056980000001</v>
      </c>
      <c r="Z154" s="15"/>
      <c r="AA154" s="15"/>
      <c r="AB154" s="15">
        <f t="shared" ref="AB154:AG154" si="15">$O154*AB$3</f>
        <v>-22027.104599999999</v>
      </c>
      <c r="AC154" s="15">
        <f t="shared" si="15"/>
        <v>-53211.453240000003</v>
      </c>
      <c r="AD154" s="15">
        <f t="shared" si="15"/>
        <v>-24978.994719999999</v>
      </c>
      <c r="AE154" s="15">
        <f t="shared" si="15"/>
        <v>-482.24620000000004</v>
      </c>
      <c r="AF154" s="15">
        <f t="shared" si="15"/>
        <v>-150.78684000000001</v>
      </c>
      <c r="AG154" s="15">
        <f t="shared" si="15"/>
        <v>-34996.131280000001</v>
      </c>
      <c r="AH154" s="3"/>
    </row>
    <row r="155" spans="1:34" x14ac:dyDescent="0.25">
      <c r="C155" s="26" t="s">
        <v>67</v>
      </c>
      <c r="D155" s="26" t="s">
        <v>67</v>
      </c>
      <c r="E155" s="26" t="s">
        <v>67</v>
      </c>
      <c r="F155" s="26" t="s">
        <v>67</v>
      </c>
      <c r="G155" s="26" t="s">
        <v>67</v>
      </c>
      <c r="H155" s="26" t="s">
        <v>67</v>
      </c>
      <c r="I155" s="26" t="s">
        <v>67</v>
      </c>
      <c r="J155" s="26" t="s">
        <v>67</v>
      </c>
      <c r="K155" s="26" t="s">
        <v>67</v>
      </c>
      <c r="L155" s="26" t="s">
        <v>67</v>
      </c>
      <c r="M155" s="26" t="s">
        <v>67</v>
      </c>
      <c r="N155" s="26" t="s">
        <v>67</v>
      </c>
      <c r="O155" s="26" t="s">
        <v>67</v>
      </c>
      <c r="P155" s="26" t="s">
        <v>67</v>
      </c>
      <c r="Q155" s="26" t="s">
        <v>67</v>
      </c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3"/>
    </row>
    <row r="156" spans="1:34" x14ac:dyDescent="0.25">
      <c r="A156" s="21" t="s">
        <v>228</v>
      </c>
      <c r="B156" s="22"/>
      <c r="C156" s="23">
        <v>610468</v>
      </c>
      <c r="D156" s="23">
        <v>607126</v>
      </c>
      <c r="E156" s="23">
        <v>603773</v>
      </c>
      <c r="F156" s="23">
        <v>600410</v>
      </c>
      <c r="G156" s="23">
        <v>597037</v>
      </c>
      <c r="H156" s="23">
        <v>593653</v>
      </c>
      <c r="I156" s="23">
        <v>590258</v>
      </c>
      <c r="J156" s="23">
        <v>586854</v>
      </c>
      <c r="K156" s="23">
        <v>583438</v>
      </c>
      <c r="L156" s="23">
        <v>580012</v>
      </c>
      <c r="M156" s="23">
        <v>576575</v>
      </c>
      <c r="N156" s="23">
        <v>573128</v>
      </c>
      <c r="O156" s="23">
        <v>569670</v>
      </c>
      <c r="P156" s="23">
        <v>7672403</v>
      </c>
      <c r="Q156" s="23">
        <v>590185</v>
      </c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3"/>
    </row>
    <row r="157" spans="1:34" x14ac:dyDescent="0.25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3"/>
    </row>
    <row r="158" spans="1:34" ht="15.75" x14ac:dyDescent="0.3">
      <c r="A158" s="18" t="s">
        <v>229</v>
      </c>
      <c r="B158" s="19"/>
      <c r="C158" s="20">
        <v>1405524</v>
      </c>
      <c r="D158" s="20">
        <v>1396040</v>
      </c>
      <c r="E158" s="20">
        <v>1386545</v>
      </c>
      <c r="F158" s="20">
        <v>1377041</v>
      </c>
      <c r="G158" s="20">
        <v>1367526</v>
      </c>
      <c r="H158" s="20">
        <v>1358000</v>
      </c>
      <c r="I158" s="20">
        <v>1348464</v>
      </c>
      <c r="J158" s="20">
        <v>1338917</v>
      </c>
      <c r="K158" s="20">
        <v>1329360</v>
      </c>
      <c r="L158" s="20">
        <v>1319792</v>
      </c>
      <c r="M158" s="20">
        <v>1310214</v>
      </c>
      <c r="N158" s="20">
        <v>1300625</v>
      </c>
      <c r="O158" s="20">
        <v>1291025</v>
      </c>
      <c r="P158" s="20">
        <v>17529071</v>
      </c>
      <c r="Q158" s="20">
        <v>1348390</v>
      </c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3"/>
    </row>
    <row r="159" spans="1:34" x14ac:dyDescent="0.25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3"/>
    </row>
    <row r="160" spans="1:34" ht="19.5" x14ac:dyDescent="0.4">
      <c r="A160" s="5" t="s">
        <v>230</v>
      </c>
      <c r="B160" s="16"/>
      <c r="C160" s="17">
        <v>68216866</v>
      </c>
      <c r="D160" s="17">
        <v>69709087</v>
      </c>
      <c r="E160" s="17">
        <v>73670280</v>
      </c>
      <c r="F160" s="17">
        <v>69745464</v>
      </c>
      <c r="G160" s="17">
        <v>68559470</v>
      </c>
      <c r="H160" s="17">
        <v>69694041</v>
      </c>
      <c r="I160" s="17">
        <v>69555733</v>
      </c>
      <c r="J160" s="17">
        <v>66389332</v>
      </c>
      <c r="K160" s="17">
        <v>65370695</v>
      </c>
      <c r="L160" s="17">
        <v>69743385</v>
      </c>
      <c r="M160" s="17">
        <v>68159672</v>
      </c>
      <c r="N160" s="17">
        <v>64712047</v>
      </c>
      <c r="O160" s="17">
        <v>60047940</v>
      </c>
      <c r="P160" s="17">
        <v>883574013</v>
      </c>
      <c r="Q160" s="17">
        <v>67967232</v>
      </c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3"/>
    </row>
    <row r="161" spans="1:34" x14ac:dyDescent="0.25">
      <c r="C161" s="26" t="s">
        <v>231</v>
      </c>
      <c r="D161" s="26" t="s">
        <v>231</v>
      </c>
      <c r="E161" s="26" t="s">
        <v>231</v>
      </c>
      <c r="F161" s="26" t="s">
        <v>231</v>
      </c>
      <c r="G161" s="26" t="s">
        <v>231</v>
      </c>
      <c r="H161" s="26" t="s">
        <v>231</v>
      </c>
      <c r="I161" s="26" t="s">
        <v>231</v>
      </c>
      <c r="J161" s="26" t="s">
        <v>231</v>
      </c>
      <c r="K161" s="26" t="s">
        <v>231</v>
      </c>
      <c r="L161" s="26" t="s">
        <v>231</v>
      </c>
      <c r="M161" s="26" t="s">
        <v>231</v>
      </c>
      <c r="N161" s="26" t="s">
        <v>231</v>
      </c>
      <c r="O161" s="26" t="s">
        <v>231</v>
      </c>
      <c r="P161" s="26" t="s">
        <v>231</v>
      </c>
      <c r="Q161" s="26" t="s">
        <v>231</v>
      </c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3"/>
    </row>
    <row r="162" spans="1:34" x14ac:dyDescent="0.25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3"/>
    </row>
    <row r="163" spans="1:34" ht="19.5" x14ac:dyDescent="0.4">
      <c r="A163" s="50" t="s">
        <v>232</v>
      </c>
      <c r="B163" s="51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3"/>
    </row>
    <row r="164" spans="1:34" x14ac:dyDescent="0.25">
      <c r="A164" s="35"/>
      <c r="B164" s="35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3"/>
    </row>
    <row r="165" spans="1:34" ht="15.75" x14ac:dyDescent="0.3">
      <c r="A165" s="53" t="s">
        <v>233</v>
      </c>
      <c r="B165" s="54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3"/>
    </row>
    <row r="166" spans="1:34" x14ac:dyDescent="0.25">
      <c r="A166" s="35"/>
      <c r="B166" s="35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3"/>
    </row>
    <row r="167" spans="1:34" x14ac:dyDescent="0.25">
      <c r="A167" s="37" t="s">
        <v>234</v>
      </c>
      <c r="B167" s="38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3"/>
    </row>
    <row r="168" spans="1:34" x14ac:dyDescent="0.25">
      <c r="A168" s="31" t="s">
        <v>235</v>
      </c>
      <c r="B168" s="31" t="s">
        <v>236</v>
      </c>
      <c r="C168" s="24">
        <v>385055</v>
      </c>
      <c r="D168" s="24">
        <v>471386</v>
      </c>
      <c r="E168" s="24">
        <v>500065</v>
      </c>
      <c r="F168" s="24">
        <v>442921</v>
      </c>
      <c r="G168" s="24">
        <v>339026</v>
      </c>
      <c r="H168" s="24">
        <v>516903</v>
      </c>
      <c r="I168" s="24">
        <v>387857</v>
      </c>
      <c r="J168" s="24">
        <v>436736</v>
      </c>
      <c r="K168" s="24">
        <v>254440</v>
      </c>
      <c r="L168" s="24">
        <v>452782</v>
      </c>
      <c r="M168" s="24">
        <v>469214</v>
      </c>
      <c r="N168" s="24">
        <v>473553</v>
      </c>
      <c r="O168" s="24">
        <v>378462</v>
      </c>
      <c r="P168" s="24">
        <v>5508399</v>
      </c>
      <c r="Q168" s="24">
        <v>423723</v>
      </c>
      <c r="R168" s="15">
        <f t="shared" ref="R168:R174" si="16">SUM(T168:Y168)+Q168</f>
        <v>0</v>
      </c>
      <c r="S168" s="15" t="s">
        <v>16</v>
      </c>
      <c r="T168" s="15">
        <f t="shared" ref="T168:Y168" si="17">-$Q168*T5</f>
        <v>-90252.998999999996</v>
      </c>
      <c r="U168" s="15">
        <f t="shared" si="17"/>
        <v>-147455.60399999999</v>
      </c>
      <c r="V168" s="15">
        <f t="shared" si="17"/>
        <v>-61016.111999999994</v>
      </c>
      <c r="W168" s="15">
        <f t="shared" si="17"/>
        <v>-423.72300000000001</v>
      </c>
      <c r="X168" s="15">
        <f t="shared" si="17"/>
        <v>-423.72300000000001</v>
      </c>
      <c r="Y168" s="15">
        <f t="shared" si="17"/>
        <v>-124150.83899999999</v>
      </c>
      <c r="Z168" s="15"/>
      <c r="AA168" s="15" t="s">
        <v>16</v>
      </c>
      <c r="AB168" s="15">
        <f t="shared" ref="AB168:AG170" si="18">-$O168*AB$5</f>
        <v>-80612.406000000003</v>
      </c>
      <c r="AC168" s="15">
        <f t="shared" si="18"/>
        <v>-131704.77599999998</v>
      </c>
      <c r="AD168" s="15">
        <f t="shared" si="18"/>
        <v>-54498.527999999998</v>
      </c>
      <c r="AE168" s="15">
        <f t="shared" si="18"/>
        <v>-378.46199999999999</v>
      </c>
      <c r="AF168" s="15">
        <f t="shared" si="18"/>
        <v>-378.46199999999999</v>
      </c>
      <c r="AG168" s="15">
        <f t="shared" si="18"/>
        <v>-110889.36599999999</v>
      </c>
      <c r="AH168" s="27">
        <f t="shared" ref="AH168:AH174" si="19">SUM(AB168:AG168)+O168</f>
        <v>0</v>
      </c>
    </row>
    <row r="169" spans="1:34" x14ac:dyDescent="0.25">
      <c r="A169" s="31" t="s">
        <v>237</v>
      </c>
      <c r="B169" s="31" t="s">
        <v>238</v>
      </c>
      <c r="C169" s="24">
        <v>1792345</v>
      </c>
      <c r="D169" s="24">
        <v>3504029</v>
      </c>
      <c r="E169" s="24">
        <v>7498727</v>
      </c>
      <c r="F169" s="24">
        <v>4592273</v>
      </c>
      <c r="G169" s="24">
        <v>3610018</v>
      </c>
      <c r="H169" s="24">
        <v>4425893</v>
      </c>
      <c r="I169" s="24">
        <v>5610613</v>
      </c>
      <c r="J169" s="24">
        <v>3574884</v>
      </c>
      <c r="K169" s="24">
        <v>2792093</v>
      </c>
      <c r="L169" s="24">
        <v>7230130</v>
      </c>
      <c r="M169" s="24">
        <v>5670562</v>
      </c>
      <c r="N169" s="24">
        <v>1971164</v>
      </c>
      <c r="O169" s="24">
        <v>1212381</v>
      </c>
      <c r="P169" s="24">
        <v>53485114</v>
      </c>
      <c r="Q169" s="24">
        <v>4114240</v>
      </c>
      <c r="R169" s="15">
        <f t="shared" si="16"/>
        <v>0</v>
      </c>
      <c r="S169" s="15" t="s">
        <v>16</v>
      </c>
      <c r="T169" s="15">
        <f t="shared" ref="T169:Y169" si="20">-$Q169*T5</f>
        <v>-876333.12</v>
      </c>
      <c r="U169" s="15">
        <f t="shared" si="20"/>
        <v>-1431755.5199999998</v>
      </c>
      <c r="V169" s="15">
        <f t="shared" si="20"/>
        <v>-592450.55999999994</v>
      </c>
      <c r="W169" s="15">
        <f t="shared" si="20"/>
        <v>-4114.24</v>
      </c>
      <c r="X169" s="15">
        <f t="shared" si="20"/>
        <v>-4114.24</v>
      </c>
      <c r="Y169" s="15">
        <f t="shared" si="20"/>
        <v>-1205472.3199999998</v>
      </c>
      <c r="Z169" s="15"/>
      <c r="AA169" s="15" t="s">
        <v>16</v>
      </c>
      <c r="AB169" s="15">
        <f t="shared" si="18"/>
        <v>-258237.15299999999</v>
      </c>
      <c r="AC169" s="15">
        <f t="shared" si="18"/>
        <v>-421908.58799999999</v>
      </c>
      <c r="AD169" s="15">
        <f t="shared" si="18"/>
        <v>-174582.86399999997</v>
      </c>
      <c r="AE169" s="15">
        <f t="shared" si="18"/>
        <v>-1212.3810000000001</v>
      </c>
      <c r="AF169" s="15">
        <f t="shared" si="18"/>
        <v>-1212.3810000000001</v>
      </c>
      <c r="AG169" s="15">
        <f t="shared" si="18"/>
        <v>-355227.63299999997</v>
      </c>
      <c r="AH169" s="27">
        <f t="shared" si="19"/>
        <v>0</v>
      </c>
    </row>
    <row r="170" spans="1:34" x14ac:dyDescent="0.25">
      <c r="A170" s="31" t="s">
        <v>239</v>
      </c>
      <c r="B170" s="31" t="s">
        <v>240</v>
      </c>
      <c r="C170" s="24">
        <v>51706</v>
      </c>
      <c r="D170" s="24">
        <v>48582</v>
      </c>
      <c r="E170" s="24">
        <v>29984</v>
      </c>
      <c r="F170" s="24">
        <v>19022</v>
      </c>
      <c r="G170" s="24">
        <v>57613</v>
      </c>
      <c r="H170" s="24">
        <v>53084</v>
      </c>
      <c r="I170" s="24">
        <v>106295</v>
      </c>
      <c r="J170" s="24">
        <v>29261</v>
      </c>
      <c r="K170" s="24">
        <v>51484</v>
      </c>
      <c r="L170" s="24">
        <v>85796</v>
      </c>
      <c r="M170" s="24">
        <v>38248</v>
      </c>
      <c r="N170" s="24">
        <v>209760</v>
      </c>
      <c r="O170" s="24">
        <v>56437</v>
      </c>
      <c r="P170" s="24">
        <v>837271</v>
      </c>
      <c r="Q170" s="24">
        <v>64405</v>
      </c>
      <c r="R170" s="15">
        <f t="shared" si="16"/>
        <v>0</v>
      </c>
      <c r="S170" s="15" t="s">
        <v>16</v>
      </c>
      <c r="T170" s="15">
        <f t="shared" ref="T170:Y170" si="21">-$Q170*T5</f>
        <v>-13718.264999999999</v>
      </c>
      <c r="U170" s="15">
        <f t="shared" si="21"/>
        <v>-22412.94</v>
      </c>
      <c r="V170" s="15">
        <f t="shared" si="21"/>
        <v>-9274.32</v>
      </c>
      <c r="W170" s="15">
        <f t="shared" si="21"/>
        <v>-64.405000000000001</v>
      </c>
      <c r="X170" s="15">
        <f t="shared" si="21"/>
        <v>-64.405000000000001</v>
      </c>
      <c r="Y170" s="15">
        <f t="shared" si="21"/>
        <v>-18870.664999999997</v>
      </c>
      <c r="Z170" s="15"/>
      <c r="AA170" s="15" t="s">
        <v>16</v>
      </c>
      <c r="AB170" s="15">
        <f t="shared" si="18"/>
        <v>-12021.081</v>
      </c>
      <c r="AC170" s="15">
        <f t="shared" si="18"/>
        <v>-19640.075999999997</v>
      </c>
      <c r="AD170" s="15">
        <f t="shared" si="18"/>
        <v>-8126.927999999999</v>
      </c>
      <c r="AE170" s="15">
        <f t="shared" si="18"/>
        <v>-56.437000000000005</v>
      </c>
      <c r="AF170" s="15">
        <f t="shared" si="18"/>
        <v>-56.437000000000005</v>
      </c>
      <c r="AG170" s="15">
        <f t="shared" si="18"/>
        <v>-16536.040999999997</v>
      </c>
      <c r="AH170" s="27">
        <f t="shared" si="19"/>
        <v>0</v>
      </c>
    </row>
    <row r="171" spans="1:34" x14ac:dyDescent="0.25">
      <c r="A171" s="31" t="s">
        <v>241</v>
      </c>
      <c r="B171" s="31" t="s">
        <v>242</v>
      </c>
      <c r="C171" s="24">
        <v>1832</v>
      </c>
      <c r="D171" s="24">
        <v>497</v>
      </c>
      <c r="E171" s="24">
        <v>240</v>
      </c>
      <c r="F171" s="24">
        <v>480</v>
      </c>
      <c r="G171" s="24">
        <v>720</v>
      </c>
      <c r="H171" s="24">
        <v>940</v>
      </c>
      <c r="I171" s="24">
        <v>220</v>
      </c>
      <c r="J171" s="24">
        <v>330</v>
      </c>
      <c r="K171" s="24">
        <v>220</v>
      </c>
      <c r="L171" s="24">
        <v>220</v>
      </c>
      <c r="M171" s="24">
        <v>216</v>
      </c>
      <c r="N171" s="24">
        <v>216</v>
      </c>
      <c r="O171" s="24">
        <v>326</v>
      </c>
      <c r="P171" s="24">
        <v>6457</v>
      </c>
      <c r="Q171" s="24">
        <v>497</v>
      </c>
      <c r="R171" s="15">
        <f t="shared" si="16"/>
        <v>0</v>
      </c>
      <c r="S171" s="15" t="s">
        <v>34</v>
      </c>
      <c r="T171" s="15">
        <f t="shared" ref="T171:Y171" si="22">-$Q171*T7</f>
        <v>-95.424000000000007</v>
      </c>
      <c r="U171" s="15">
        <f t="shared" si="22"/>
        <v>-196.86170000000001</v>
      </c>
      <c r="V171" s="15">
        <f t="shared" si="22"/>
        <v>-68.088999999999999</v>
      </c>
      <c r="W171" s="15">
        <f t="shared" si="22"/>
        <v>-1.5904</v>
      </c>
      <c r="X171" s="15">
        <f t="shared" si="22"/>
        <v>-1.0934000000000001</v>
      </c>
      <c r="Y171" s="15">
        <f t="shared" si="22"/>
        <v>-133.94150000000002</v>
      </c>
      <c r="Z171" s="15"/>
      <c r="AA171" s="15" t="s">
        <v>34</v>
      </c>
      <c r="AB171" s="15">
        <f t="shared" ref="AB171:AG175" si="23">-$O171*AB$7</f>
        <v>-62.591999999999999</v>
      </c>
      <c r="AC171" s="15">
        <f t="shared" si="23"/>
        <v>-129.12860000000001</v>
      </c>
      <c r="AD171" s="15">
        <f t="shared" si="23"/>
        <v>-44.662000000000006</v>
      </c>
      <c r="AE171" s="15">
        <f t="shared" si="23"/>
        <v>-1.0432000000000001</v>
      </c>
      <c r="AF171" s="15">
        <f t="shared" si="23"/>
        <v>-0.71720000000000006</v>
      </c>
      <c r="AG171" s="15">
        <f t="shared" si="23"/>
        <v>-87.856999999999999</v>
      </c>
      <c r="AH171" s="27">
        <f t="shared" si="19"/>
        <v>0</v>
      </c>
    </row>
    <row r="172" spans="1:34" x14ac:dyDescent="0.25">
      <c r="A172" s="31" t="s">
        <v>243</v>
      </c>
      <c r="B172" s="31" t="s">
        <v>244</v>
      </c>
      <c r="C172" s="24">
        <v>3520</v>
      </c>
      <c r="D172" s="24">
        <v>0</v>
      </c>
      <c r="E172" s="24">
        <v>0</v>
      </c>
      <c r="F172" s="24">
        <v>940</v>
      </c>
      <c r="G172" s="24">
        <v>5836</v>
      </c>
      <c r="H172" s="24">
        <v>100</v>
      </c>
      <c r="I172" s="24">
        <v>100</v>
      </c>
      <c r="J172" s="24">
        <v>3138</v>
      </c>
      <c r="K172" s="24">
        <v>100</v>
      </c>
      <c r="L172" s="24">
        <v>100</v>
      </c>
      <c r="M172" s="24">
        <v>100</v>
      </c>
      <c r="N172" s="24">
        <v>100</v>
      </c>
      <c r="O172" s="24">
        <v>100</v>
      </c>
      <c r="P172" s="24">
        <v>14134</v>
      </c>
      <c r="Q172" s="24">
        <v>1087</v>
      </c>
      <c r="R172" s="15">
        <f t="shared" si="16"/>
        <v>0</v>
      </c>
      <c r="S172" s="15" t="s">
        <v>34</v>
      </c>
      <c r="T172" s="15">
        <f t="shared" ref="T172:Y175" si="24">-$Q172*T$7</f>
        <v>-208.70400000000001</v>
      </c>
      <c r="U172" s="15">
        <f t="shared" si="24"/>
        <v>-430.5607</v>
      </c>
      <c r="V172" s="15">
        <f t="shared" si="24"/>
        <v>-148.91900000000001</v>
      </c>
      <c r="W172" s="15">
        <f t="shared" si="24"/>
        <v>-3.4784000000000002</v>
      </c>
      <c r="X172" s="15">
        <f t="shared" si="24"/>
        <v>-2.3914</v>
      </c>
      <c r="Y172" s="15">
        <f t="shared" si="24"/>
        <v>-292.94650000000001</v>
      </c>
      <c r="Z172" s="15"/>
      <c r="AA172" s="15" t="s">
        <v>34</v>
      </c>
      <c r="AB172" s="15">
        <f t="shared" si="23"/>
        <v>-19.2</v>
      </c>
      <c r="AC172" s="15">
        <f t="shared" si="23"/>
        <v>-39.61</v>
      </c>
      <c r="AD172" s="15">
        <f t="shared" si="23"/>
        <v>-13.700000000000001</v>
      </c>
      <c r="AE172" s="15">
        <f t="shared" si="23"/>
        <v>-0.32</v>
      </c>
      <c r="AF172" s="15">
        <f t="shared" si="23"/>
        <v>-0.22</v>
      </c>
      <c r="AG172" s="15">
        <f t="shared" si="23"/>
        <v>-26.950000000000003</v>
      </c>
      <c r="AH172" s="27">
        <f t="shared" si="19"/>
        <v>0</v>
      </c>
    </row>
    <row r="173" spans="1:34" x14ac:dyDescent="0.25">
      <c r="A173" s="31" t="s">
        <v>245</v>
      </c>
      <c r="B173" s="31" t="s">
        <v>246</v>
      </c>
      <c r="C173" s="24">
        <v>2353</v>
      </c>
      <c r="D173" s="24">
        <v>2364</v>
      </c>
      <c r="E173" s="24">
        <v>2439</v>
      </c>
      <c r="F173" s="24">
        <v>2456</v>
      </c>
      <c r="G173" s="24">
        <v>-99</v>
      </c>
      <c r="H173" s="24">
        <v>-99</v>
      </c>
      <c r="I173" s="24">
        <v>-99</v>
      </c>
      <c r="J173" s="24">
        <v>2510</v>
      </c>
      <c r="K173" s="24">
        <v>2424</v>
      </c>
      <c r="L173" s="24">
        <v>2387</v>
      </c>
      <c r="M173" s="24">
        <v>0</v>
      </c>
      <c r="N173" s="24">
        <v>2370</v>
      </c>
      <c r="O173" s="24">
        <v>2262</v>
      </c>
      <c r="P173" s="24">
        <v>21266</v>
      </c>
      <c r="Q173" s="24">
        <v>1636</v>
      </c>
      <c r="R173" s="15">
        <f t="shared" si="16"/>
        <v>0</v>
      </c>
      <c r="S173" s="15" t="s">
        <v>34</v>
      </c>
      <c r="T173" s="15">
        <f t="shared" si="24"/>
        <v>-314.11200000000002</v>
      </c>
      <c r="U173" s="15">
        <f t="shared" si="24"/>
        <v>-648.01959999999997</v>
      </c>
      <c r="V173" s="15">
        <f t="shared" si="24"/>
        <v>-224.13200000000001</v>
      </c>
      <c r="W173" s="15">
        <f t="shared" si="24"/>
        <v>-5.2351999999999999</v>
      </c>
      <c r="X173" s="15">
        <f t="shared" si="24"/>
        <v>-3.5992000000000002</v>
      </c>
      <c r="Y173" s="15">
        <f t="shared" si="24"/>
        <v>-440.90200000000004</v>
      </c>
      <c r="Z173" s="15"/>
      <c r="AA173" s="15" t="s">
        <v>34</v>
      </c>
      <c r="AB173" s="15">
        <f t="shared" si="23"/>
        <v>-434.30400000000003</v>
      </c>
      <c r="AC173" s="15">
        <f t="shared" si="23"/>
        <v>-895.97820000000002</v>
      </c>
      <c r="AD173" s="15">
        <f t="shared" si="23"/>
        <v>-309.89400000000001</v>
      </c>
      <c r="AE173" s="15">
        <f t="shared" si="23"/>
        <v>-7.2384000000000004</v>
      </c>
      <c r="AF173" s="15">
        <f t="shared" si="23"/>
        <v>-4.9763999999999999</v>
      </c>
      <c r="AG173" s="15">
        <f t="shared" si="23"/>
        <v>-609.60900000000004</v>
      </c>
      <c r="AH173" s="27">
        <f t="shared" si="19"/>
        <v>0</v>
      </c>
    </row>
    <row r="174" spans="1:34" x14ac:dyDescent="0.25">
      <c r="A174" s="31" t="s">
        <v>247</v>
      </c>
      <c r="B174" s="31" t="s">
        <v>248</v>
      </c>
      <c r="C174" s="24">
        <v>207701</v>
      </c>
      <c r="D174" s="24">
        <v>79227</v>
      </c>
      <c r="E174" s="24">
        <v>63547</v>
      </c>
      <c r="F174" s="24">
        <v>44792</v>
      </c>
      <c r="G174" s="24">
        <v>36745</v>
      </c>
      <c r="H174" s="24">
        <v>92508</v>
      </c>
      <c r="I174" s="24">
        <v>47896</v>
      </c>
      <c r="J174" s="24">
        <v>56866</v>
      </c>
      <c r="K174" s="24">
        <v>27399</v>
      </c>
      <c r="L174" s="24">
        <v>63904</v>
      </c>
      <c r="M174" s="24">
        <v>94557</v>
      </c>
      <c r="N174" s="24">
        <v>62111</v>
      </c>
      <c r="O174" s="24">
        <v>197746</v>
      </c>
      <c r="P174" s="24">
        <v>1074998</v>
      </c>
      <c r="Q174" s="24">
        <v>82692</v>
      </c>
      <c r="R174" s="15">
        <f t="shared" si="16"/>
        <v>0</v>
      </c>
      <c r="S174" s="15" t="s">
        <v>34</v>
      </c>
      <c r="T174" s="15">
        <f>-$Q174*T$7</f>
        <v>-15876.864</v>
      </c>
      <c r="U174" s="15">
        <f t="shared" si="24"/>
        <v>-32754.301200000002</v>
      </c>
      <c r="V174" s="15">
        <f t="shared" si="24"/>
        <v>-11328.804</v>
      </c>
      <c r="W174" s="15">
        <f t="shared" si="24"/>
        <v>-264.61439999999999</v>
      </c>
      <c r="X174" s="15">
        <f t="shared" si="24"/>
        <v>-181.92240000000001</v>
      </c>
      <c r="Y174" s="15">
        <f t="shared" si="24"/>
        <v>-22285.494000000002</v>
      </c>
      <c r="Z174" s="15"/>
      <c r="AA174" s="15" t="s">
        <v>34</v>
      </c>
      <c r="AB174" s="15">
        <f t="shared" si="23"/>
        <v>-37967.232000000004</v>
      </c>
      <c r="AC174" s="15">
        <f t="shared" si="23"/>
        <v>-78327.190600000002</v>
      </c>
      <c r="AD174" s="15">
        <f t="shared" si="23"/>
        <v>-27091.202000000001</v>
      </c>
      <c r="AE174" s="15">
        <f t="shared" si="23"/>
        <v>-632.78719999999998</v>
      </c>
      <c r="AF174" s="15">
        <f t="shared" si="23"/>
        <v>-435.0412</v>
      </c>
      <c r="AG174" s="15">
        <f t="shared" si="23"/>
        <v>-53292.547000000006</v>
      </c>
      <c r="AH174" s="27">
        <f t="shared" si="19"/>
        <v>0</v>
      </c>
    </row>
    <row r="175" spans="1:34" x14ac:dyDescent="0.25">
      <c r="A175" s="31" t="s">
        <v>249</v>
      </c>
      <c r="B175" s="31" t="s">
        <v>250</v>
      </c>
      <c r="C175" s="24">
        <v>4023</v>
      </c>
      <c r="D175" s="24">
        <v>-1325</v>
      </c>
      <c r="E175" s="24">
        <v>-180669</v>
      </c>
      <c r="F175" s="24">
        <v>-12480</v>
      </c>
      <c r="G175" s="24">
        <v>-18058</v>
      </c>
      <c r="H175" s="24">
        <v>-23635</v>
      </c>
      <c r="I175" s="24">
        <v>-8721</v>
      </c>
      <c r="J175" s="24">
        <v>-14298</v>
      </c>
      <c r="K175" s="24">
        <v>-19876</v>
      </c>
      <c r="L175" s="24">
        <v>-8745</v>
      </c>
      <c r="M175" s="24">
        <v>-47739</v>
      </c>
      <c r="N175" s="24">
        <v>-53317</v>
      </c>
      <c r="O175" s="24">
        <v>-58894</v>
      </c>
      <c r="P175" s="24">
        <v>-443734</v>
      </c>
      <c r="Q175" s="24">
        <v>-34133</v>
      </c>
      <c r="R175" s="15"/>
      <c r="S175" s="15" t="s">
        <v>34</v>
      </c>
      <c r="T175" s="15">
        <f>-$Q175*T$7</f>
        <v>6553.5360000000001</v>
      </c>
      <c r="U175" s="15">
        <f t="shared" si="24"/>
        <v>13520.0813</v>
      </c>
      <c r="V175" s="15">
        <f t="shared" si="24"/>
        <v>4676.2210000000005</v>
      </c>
      <c r="W175" s="15">
        <f t="shared" si="24"/>
        <v>109.2256</v>
      </c>
      <c r="X175" s="15">
        <f t="shared" si="24"/>
        <v>75.092600000000004</v>
      </c>
      <c r="Y175" s="15">
        <f t="shared" si="24"/>
        <v>9198.8435000000009</v>
      </c>
      <c r="Z175" s="15"/>
      <c r="AA175" s="15" t="s">
        <v>34</v>
      </c>
      <c r="AB175" s="15">
        <f t="shared" si="23"/>
        <v>11307.648000000001</v>
      </c>
      <c r="AC175" s="15">
        <f t="shared" si="23"/>
        <v>23327.913400000001</v>
      </c>
      <c r="AD175" s="15">
        <f t="shared" si="23"/>
        <v>8068.478000000001</v>
      </c>
      <c r="AE175" s="15">
        <f t="shared" si="23"/>
        <v>188.46080000000001</v>
      </c>
      <c r="AF175" s="15">
        <f t="shared" si="23"/>
        <v>129.5668</v>
      </c>
      <c r="AG175" s="15">
        <f t="shared" si="23"/>
        <v>15871.933000000001</v>
      </c>
      <c r="AH175" s="27"/>
    </row>
    <row r="176" spans="1:34" x14ac:dyDescent="0.25">
      <c r="A176" s="35"/>
      <c r="B176" s="35"/>
      <c r="C176" s="36" t="s">
        <v>67</v>
      </c>
      <c r="D176" s="36" t="s">
        <v>67</v>
      </c>
      <c r="E176" s="36" t="s">
        <v>67</v>
      </c>
      <c r="F176" s="36" t="s">
        <v>67</v>
      </c>
      <c r="G176" s="36" t="s">
        <v>67</v>
      </c>
      <c r="H176" s="36" t="s">
        <v>67</v>
      </c>
      <c r="I176" s="36" t="s">
        <v>67</v>
      </c>
      <c r="J176" s="36" t="s">
        <v>67</v>
      </c>
      <c r="K176" s="36" t="s">
        <v>67</v>
      </c>
      <c r="L176" s="36" t="s">
        <v>67</v>
      </c>
      <c r="M176" s="36" t="s">
        <v>67</v>
      </c>
      <c r="N176" s="36" t="s">
        <v>67</v>
      </c>
      <c r="O176" s="36" t="s">
        <v>67</v>
      </c>
      <c r="P176" s="36" t="s">
        <v>67</v>
      </c>
      <c r="Q176" s="36" t="s">
        <v>67</v>
      </c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3"/>
    </row>
    <row r="177" spans="1:34" x14ac:dyDescent="0.25">
      <c r="A177" s="37" t="s">
        <v>251</v>
      </c>
      <c r="B177" s="38"/>
      <c r="C177" s="39">
        <v>2448535</v>
      </c>
      <c r="D177" s="39">
        <v>4104760</v>
      </c>
      <c r="E177" s="39">
        <v>7914332</v>
      </c>
      <c r="F177" s="39">
        <v>5090402</v>
      </c>
      <c r="G177" s="39">
        <v>4031801</v>
      </c>
      <c r="H177" s="39">
        <v>5065693</v>
      </c>
      <c r="I177" s="39">
        <v>6144160</v>
      </c>
      <c r="J177" s="39">
        <v>4089427</v>
      </c>
      <c r="K177" s="39">
        <v>3108284</v>
      </c>
      <c r="L177" s="39">
        <v>7826574</v>
      </c>
      <c r="M177" s="39">
        <v>6225158</v>
      </c>
      <c r="N177" s="39">
        <v>2665957</v>
      </c>
      <c r="O177" s="39">
        <v>1788819</v>
      </c>
      <c r="P177" s="39">
        <v>60503904</v>
      </c>
      <c r="Q177" s="39">
        <v>4654146</v>
      </c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3"/>
    </row>
    <row r="178" spans="1:34" x14ac:dyDescent="0.25">
      <c r="A178" s="35"/>
      <c r="B178" s="35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3"/>
    </row>
    <row r="179" spans="1:34" x14ac:dyDescent="0.25">
      <c r="A179" s="37" t="s">
        <v>252</v>
      </c>
      <c r="B179" s="38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3"/>
    </row>
    <row r="180" spans="1:34" x14ac:dyDescent="0.25">
      <c r="A180" s="31" t="s">
        <v>253</v>
      </c>
      <c r="B180" s="31" t="s">
        <v>254</v>
      </c>
      <c r="C180" s="24">
        <v>20873</v>
      </c>
      <c r="D180" s="24">
        <v>20873</v>
      </c>
      <c r="E180" s="24">
        <v>20873</v>
      </c>
      <c r="F180" s="24">
        <v>20873</v>
      </c>
      <c r="G180" s="24">
        <v>20873</v>
      </c>
      <c r="H180" s="24">
        <v>20873</v>
      </c>
      <c r="I180" s="24">
        <v>20873</v>
      </c>
      <c r="J180" s="24">
        <v>20873</v>
      </c>
      <c r="K180" s="24">
        <v>20873</v>
      </c>
      <c r="L180" s="24">
        <v>20873</v>
      </c>
      <c r="M180" s="24">
        <v>20873</v>
      </c>
      <c r="N180" s="24">
        <v>20873</v>
      </c>
      <c r="O180" s="24">
        <v>20873</v>
      </c>
      <c r="P180" s="24">
        <v>271346</v>
      </c>
      <c r="Q180" s="24">
        <v>20873</v>
      </c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3"/>
    </row>
    <row r="181" spans="1:34" x14ac:dyDescent="0.25">
      <c r="A181" s="31" t="s">
        <v>255</v>
      </c>
      <c r="B181" s="31" t="s">
        <v>256</v>
      </c>
      <c r="C181" s="24">
        <v>2535037</v>
      </c>
      <c r="D181" s="24">
        <v>2535037</v>
      </c>
      <c r="E181" s="24">
        <v>2535037</v>
      </c>
      <c r="F181" s="24">
        <v>3052502</v>
      </c>
      <c r="G181" s="24">
        <v>3052502</v>
      </c>
      <c r="H181" s="24">
        <v>3052502</v>
      </c>
      <c r="I181" s="24">
        <v>3098873</v>
      </c>
      <c r="J181" s="24">
        <v>3098873</v>
      </c>
      <c r="K181" s="24">
        <v>3098873</v>
      </c>
      <c r="L181" s="24">
        <v>3200347</v>
      </c>
      <c r="M181" s="24">
        <v>3200347</v>
      </c>
      <c r="N181" s="24">
        <v>3200347</v>
      </c>
      <c r="O181" s="24">
        <v>2464378</v>
      </c>
      <c r="P181" s="24">
        <v>38124651</v>
      </c>
      <c r="Q181" s="24">
        <v>2932665</v>
      </c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3"/>
    </row>
    <row r="182" spans="1:34" x14ac:dyDescent="0.25">
      <c r="A182" s="35"/>
      <c r="B182" s="35"/>
      <c r="C182" s="36" t="s">
        <v>67</v>
      </c>
      <c r="D182" s="36" t="s">
        <v>67</v>
      </c>
      <c r="E182" s="36" t="s">
        <v>67</v>
      </c>
      <c r="F182" s="36" t="s">
        <v>67</v>
      </c>
      <c r="G182" s="36" t="s">
        <v>67</v>
      </c>
      <c r="H182" s="36" t="s">
        <v>67</v>
      </c>
      <c r="I182" s="36" t="s">
        <v>67</v>
      </c>
      <c r="J182" s="36" t="s">
        <v>67</v>
      </c>
      <c r="K182" s="36" t="s">
        <v>67</v>
      </c>
      <c r="L182" s="36" t="s">
        <v>67</v>
      </c>
      <c r="M182" s="36" t="s">
        <v>67</v>
      </c>
      <c r="N182" s="36" t="s">
        <v>67</v>
      </c>
      <c r="O182" s="36" t="s">
        <v>67</v>
      </c>
      <c r="P182" s="36" t="s">
        <v>67</v>
      </c>
      <c r="Q182" s="36" t="s">
        <v>67</v>
      </c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3"/>
    </row>
    <row r="183" spans="1:34" x14ac:dyDescent="0.25">
      <c r="A183" s="37" t="s">
        <v>257</v>
      </c>
      <c r="B183" s="38"/>
      <c r="C183" s="39">
        <v>2555910</v>
      </c>
      <c r="D183" s="39">
        <v>2555910</v>
      </c>
      <c r="E183" s="39">
        <v>2555910</v>
      </c>
      <c r="F183" s="39">
        <v>3073374</v>
      </c>
      <c r="G183" s="39">
        <v>3073374</v>
      </c>
      <c r="H183" s="39">
        <v>3073374</v>
      </c>
      <c r="I183" s="39">
        <v>3119745</v>
      </c>
      <c r="J183" s="39">
        <v>3119745</v>
      </c>
      <c r="K183" s="39">
        <v>3119745</v>
      </c>
      <c r="L183" s="39">
        <v>3221219</v>
      </c>
      <c r="M183" s="39">
        <v>3221219</v>
      </c>
      <c r="N183" s="39">
        <v>3221219</v>
      </c>
      <c r="O183" s="39">
        <v>2485251</v>
      </c>
      <c r="P183" s="39">
        <v>38395997</v>
      </c>
      <c r="Q183" s="39">
        <v>2953538</v>
      </c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3"/>
    </row>
    <row r="184" spans="1:34" x14ac:dyDescent="0.25">
      <c r="A184" s="35"/>
      <c r="B184" s="35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3"/>
    </row>
    <row r="185" spans="1:34" x14ac:dyDescent="0.25">
      <c r="A185" s="37" t="s">
        <v>258</v>
      </c>
      <c r="B185" s="38"/>
      <c r="C185" s="39"/>
      <c r="D185" s="39"/>
      <c r="E185" s="39"/>
      <c r="F185" s="39"/>
      <c r="G185" s="39"/>
      <c r="H185" s="39"/>
      <c r="I185" s="39"/>
      <c r="J185" s="24"/>
      <c r="K185" s="24"/>
      <c r="L185" s="24"/>
      <c r="M185" s="24"/>
      <c r="N185" s="24"/>
      <c r="O185" s="24"/>
      <c r="P185" s="24"/>
      <c r="Q185" s="24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3"/>
    </row>
    <row r="186" spans="1:34" x14ac:dyDescent="0.25">
      <c r="A186" s="31" t="s">
        <v>259</v>
      </c>
      <c r="B186" s="31" t="s">
        <v>260</v>
      </c>
      <c r="C186" s="39"/>
      <c r="D186" s="39"/>
      <c r="E186" s="39"/>
      <c r="F186" s="39"/>
      <c r="G186" s="39"/>
      <c r="H186" s="39"/>
      <c r="I186" s="39"/>
      <c r="J186" s="24">
        <v>0</v>
      </c>
      <c r="K186" s="24">
        <v>0</v>
      </c>
      <c r="L186" s="24">
        <v>-350000</v>
      </c>
      <c r="M186" s="24">
        <v>-350000</v>
      </c>
      <c r="N186" s="24">
        <v>-350000</v>
      </c>
      <c r="O186" s="24">
        <v>-350000</v>
      </c>
      <c r="P186" s="24">
        <v>-1400000</v>
      </c>
      <c r="Q186" s="24">
        <v>-107692</v>
      </c>
      <c r="R186" s="15">
        <f>SUM(T186:Y186)+Q186</f>
        <v>0</v>
      </c>
      <c r="S186" s="15" t="s">
        <v>16</v>
      </c>
      <c r="T186" s="15">
        <f t="shared" ref="T186:Y186" si="25">-$Q186*T5</f>
        <v>22938.396000000001</v>
      </c>
      <c r="U186" s="15">
        <f t="shared" si="25"/>
        <v>37476.815999999999</v>
      </c>
      <c r="V186" s="15">
        <f t="shared" si="25"/>
        <v>15507.647999999999</v>
      </c>
      <c r="W186" s="15">
        <f t="shared" si="25"/>
        <v>107.69200000000001</v>
      </c>
      <c r="X186" s="15">
        <f t="shared" si="25"/>
        <v>107.69200000000001</v>
      </c>
      <c r="Y186" s="15">
        <f t="shared" si="25"/>
        <v>31553.755999999998</v>
      </c>
      <c r="Z186" s="15"/>
      <c r="AA186" s="15" t="s">
        <v>16</v>
      </c>
      <c r="AB186" s="15">
        <f t="shared" ref="AB186:AG191" si="26">-$O186*AB$5</f>
        <v>74550</v>
      </c>
      <c r="AC186" s="15">
        <f t="shared" si="26"/>
        <v>121799.99999999999</v>
      </c>
      <c r="AD186" s="15">
        <f t="shared" si="26"/>
        <v>50399.999999999993</v>
      </c>
      <c r="AE186" s="15">
        <f t="shared" si="26"/>
        <v>350</v>
      </c>
      <c r="AF186" s="15">
        <f t="shared" si="26"/>
        <v>350</v>
      </c>
      <c r="AG186" s="15">
        <f t="shared" si="26"/>
        <v>102550</v>
      </c>
      <c r="AH186" s="27">
        <f t="shared" ref="AH186:AH191" si="27">SUM(AB186:AG186)+O186</f>
        <v>0</v>
      </c>
    </row>
    <row r="187" spans="1:34" x14ac:dyDescent="0.25">
      <c r="A187" s="31" t="s">
        <v>261</v>
      </c>
      <c r="B187" s="31" t="s">
        <v>262</v>
      </c>
      <c r="C187" s="24">
        <v>-36797</v>
      </c>
      <c r="D187" s="24">
        <v>-36797</v>
      </c>
      <c r="E187" s="24">
        <v>-36797</v>
      </c>
      <c r="F187" s="24">
        <v>-87919</v>
      </c>
      <c r="G187" s="24">
        <v>-87919</v>
      </c>
      <c r="H187" s="24">
        <v>-87919</v>
      </c>
      <c r="I187" s="24">
        <v>-125028</v>
      </c>
      <c r="J187" s="24">
        <v>-125028</v>
      </c>
      <c r="K187" s="24">
        <v>-125028</v>
      </c>
      <c r="L187" s="24">
        <v>-122753</v>
      </c>
      <c r="M187" s="24">
        <v>-122753</v>
      </c>
      <c r="N187" s="24">
        <v>-122753</v>
      </c>
      <c r="O187" s="24">
        <v>-59545</v>
      </c>
      <c r="P187" s="24">
        <v>-1177031</v>
      </c>
      <c r="Q187" s="24">
        <v>-90541</v>
      </c>
      <c r="R187" s="15">
        <f>SUM(T187:Y187)+Q187</f>
        <v>0</v>
      </c>
      <c r="S187" s="15" t="s">
        <v>16</v>
      </c>
      <c r="T187" s="15">
        <f t="shared" ref="T187:Y187" si="28">-$Q187*T5</f>
        <v>19285.233</v>
      </c>
      <c r="U187" s="15">
        <f t="shared" si="28"/>
        <v>31508.267999999996</v>
      </c>
      <c r="V187" s="15">
        <f t="shared" si="28"/>
        <v>13037.903999999999</v>
      </c>
      <c r="W187" s="15">
        <f t="shared" si="28"/>
        <v>90.540999999999997</v>
      </c>
      <c r="X187" s="15">
        <f t="shared" si="28"/>
        <v>90.540999999999997</v>
      </c>
      <c r="Y187" s="15">
        <f t="shared" si="28"/>
        <v>26528.512999999999</v>
      </c>
      <c r="Z187" s="15"/>
      <c r="AA187" s="15" t="s">
        <v>16</v>
      </c>
      <c r="AB187" s="15">
        <f t="shared" si="26"/>
        <v>12683.084999999999</v>
      </c>
      <c r="AC187" s="15">
        <f t="shared" si="26"/>
        <v>20721.66</v>
      </c>
      <c r="AD187" s="15">
        <f t="shared" si="26"/>
        <v>8574.48</v>
      </c>
      <c r="AE187" s="15">
        <f t="shared" si="26"/>
        <v>59.545000000000002</v>
      </c>
      <c r="AF187" s="15">
        <f t="shared" si="26"/>
        <v>59.545000000000002</v>
      </c>
      <c r="AG187" s="15">
        <f t="shared" si="26"/>
        <v>17446.684999999998</v>
      </c>
      <c r="AH187" s="27">
        <f t="shared" si="27"/>
        <v>0</v>
      </c>
    </row>
    <row r="188" spans="1:34" x14ac:dyDescent="0.25">
      <c r="A188" s="31" t="s">
        <v>263</v>
      </c>
      <c r="B188" s="31" t="s">
        <v>264</v>
      </c>
      <c r="C188" s="24">
        <v>0</v>
      </c>
      <c r="D188" s="24">
        <v>0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-626133</v>
      </c>
      <c r="P188" s="24">
        <v>-626133</v>
      </c>
      <c r="Q188" s="24">
        <v>-48164</v>
      </c>
      <c r="R188" s="15">
        <f>SUM(T188:Y188)+Q188</f>
        <v>0</v>
      </c>
      <c r="S188" s="15" t="s">
        <v>16</v>
      </c>
      <c r="T188" s="15">
        <f t="shared" ref="T188:Y188" si="29">-$Q188*T5</f>
        <v>10258.931999999999</v>
      </c>
      <c r="U188" s="15">
        <f t="shared" si="29"/>
        <v>16761.072</v>
      </c>
      <c r="V188" s="15">
        <f t="shared" si="29"/>
        <v>6935.6159999999991</v>
      </c>
      <c r="W188" s="15">
        <f t="shared" si="29"/>
        <v>48.164000000000001</v>
      </c>
      <c r="X188" s="15">
        <f t="shared" si="29"/>
        <v>48.164000000000001</v>
      </c>
      <c r="Y188" s="15">
        <f t="shared" si="29"/>
        <v>14112.052</v>
      </c>
      <c r="Z188" s="15"/>
      <c r="AA188" s="15" t="s">
        <v>16</v>
      </c>
      <c r="AB188" s="15">
        <f t="shared" si="26"/>
        <v>133366.329</v>
      </c>
      <c r="AC188" s="15">
        <f t="shared" si="26"/>
        <v>217894.28399999999</v>
      </c>
      <c r="AD188" s="15">
        <f t="shared" si="26"/>
        <v>90163.151999999987</v>
      </c>
      <c r="AE188" s="15">
        <f t="shared" si="26"/>
        <v>626.13300000000004</v>
      </c>
      <c r="AF188" s="15">
        <f t="shared" si="26"/>
        <v>626.13300000000004</v>
      </c>
      <c r="AG188" s="15">
        <f t="shared" si="26"/>
        <v>183456.96899999998</v>
      </c>
      <c r="AH188" s="27">
        <f t="shared" si="27"/>
        <v>0</v>
      </c>
    </row>
    <row r="189" spans="1:34" x14ac:dyDescent="0.25">
      <c r="A189" s="31" t="s">
        <v>265</v>
      </c>
      <c r="B189" s="31" t="s">
        <v>266</v>
      </c>
      <c r="C189" s="24">
        <v>-165608</v>
      </c>
      <c r="D189" s="24">
        <v>-165608</v>
      </c>
      <c r="E189" s="24">
        <v>-165608</v>
      </c>
      <c r="F189" s="24">
        <v>-395689</v>
      </c>
      <c r="G189" s="24">
        <v>-395689</v>
      </c>
      <c r="H189" s="24">
        <v>-395689</v>
      </c>
      <c r="I189" s="24">
        <v>-562703</v>
      </c>
      <c r="J189" s="24">
        <v>-562703</v>
      </c>
      <c r="K189" s="24">
        <v>-562703</v>
      </c>
      <c r="L189" s="24">
        <v>-617414</v>
      </c>
      <c r="M189" s="24">
        <v>-617414</v>
      </c>
      <c r="N189" s="24">
        <v>-617414</v>
      </c>
      <c r="O189" s="24">
        <v>-343881</v>
      </c>
      <c r="P189" s="24">
        <v>-5568124</v>
      </c>
      <c r="Q189" s="24">
        <v>-428317</v>
      </c>
      <c r="R189" s="15">
        <f>SUM(T189:Y189)+Q189</f>
        <v>0</v>
      </c>
      <c r="S189" s="15" t="s">
        <v>16</v>
      </c>
      <c r="T189" s="15">
        <f t="shared" ref="T189:Y189" si="30">-$Q189*T5</f>
        <v>91231.520999999993</v>
      </c>
      <c r="U189" s="15">
        <f t="shared" si="30"/>
        <v>149054.31599999999</v>
      </c>
      <c r="V189" s="15">
        <f t="shared" si="30"/>
        <v>61677.647999999994</v>
      </c>
      <c r="W189" s="15">
        <f t="shared" si="30"/>
        <v>428.31700000000001</v>
      </c>
      <c r="X189" s="15">
        <f t="shared" si="30"/>
        <v>428.31700000000001</v>
      </c>
      <c r="Y189" s="15">
        <f t="shared" si="30"/>
        <v>125496.88099999999</v>
      </c>
      <c r="Z189" s="15"/>
      <c r="AA189" s="15" t="s">
        <v>16</v>
      </c>
      <c r="AB189" s="15">
        <f t="shared" si="26"/>
        <v>73246.652999999991</v>
      </c>
      <c r="AC189" s="15">
        <f t="shared" si="26"/>
        <v>119670.58799999999</v>
      </c>
      <c r="AD189" s="15">
        <f t="shared" si="26"/>
        <v>49518.863999999994</v>
      </c>
      <c r="AE189" s="15">
        <f t="shared" si="26"/>
        <v>343.88100000000003</v>
      </c>
      <c r="AF189" s="15">
        <f t="shared" si="26"/>
        <v>343.88100000000003</v>
      </c>
      <c r="AG189" s="15">
        <f t="shared" si="26"/>
        <v>100757.13299999999</v>
      </c>
      <c r="AH189" s="27">
        <f t="shared" si="27"/>
        <v>0</v>
      </c>
    </row>
    <row r="190" spans="1:34" x14ac:dyDescent="0.25">
      <c r="A190" s="31" t="s">
        <v>267</v>
      </c>
      <c r="B190" s="31" t="s">
        <v>268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-165616</v>
      </c>
      <c r="P190" s="24">
        <v>-165616</v>
      </c>
      <c r="Q190" s="24">
        <v>-12740</v>
      </c>
      <c r="R190" s="15"/>
      <c r="S190" s="15" t="s">
        <v>16</v>
      </c>
      <c r="T190" s="15">
        <f t="shared" ref="T190:Y190" si="31">-$Q190*T5</f>
        <v>2713.62</v>
      </c>
      <c r="U190" s="15">
        <f t="shared" si="31"/>
        <v>4433.5199999999995</v>
      </c>
      <c r="V190" s="15">
        <f t="shared" si="31"/>
        <v>1834.56</v>
      </c>
      <c r="W190" s="15">
        <f t="shared" si="31"/>
        <v>12.74</v>
      </c>
      <c r="X190" s="15">
        <f t="shared" si="31"/>
        <v>12.74</v>
      </c>
      <c r="Y190" s="15">
        <f t="shared" si="31"/>
        <v>3732.8199999999997</v>
      </c>
      <c r="Z190" s="15"/>
      <c r="AA190" s="15" t="s">
        <v>16</v>
      </c>
      <c r="AB190" s="15">
        <f t="shared" si="26"/>
        <v>35276.207999999999</v>
      </c>
      <c r="AC190" s="15">
        <f t="shared" si="26"/>
        <v>57634.367999999995</v>
      </c>
      <c r="AD190" s="15">
        <f t="shared" si="26"/>
        <v>23848.703999999998</v>
      </c>
      <c r="AE190" s="15">
        <f t="shared" si="26"/>
        <v>165.61600000000001</v>
      </c>
      <c r="AF190" s="15">
        <f t="shared" si="26"/>
        <v>165.61600000000001</v>
      </c>
      <c r="AG190" s="15">
        <f t="shared" si="26"/>
        <v>48525.487999999998</v>
      </c>
      <c r="AH190" s="27">
        <f t="shared" si="27"/>
        <v>0</v>
      </c>
    </row>
    <row r="191" spans="1:34" x14ac:dyDescent="0.25">
      <c r="A191" s="31" t="s">
        <v>269</v>
      </c>
      <c r="B191" s="31" t="s">
        <v>270</v>
      </c>
      <c r="C191" s="24">
        <v>-621172</v>
      </c>
      <c r="D191" s="24">
        <v>-621172</v>
      </c>
      <c r="E191" s="24">
        <v>-621172</v>
      </c>
      <c r="F191" s="24">
        <v>-621172</v>
      </c>
      <c r="G191" s="24">
        <v>-621172</v>
      </c>
      <c r="H191" s="24">
        <v>-621172</v>
      </c>
      <c r="I191" s="24">
        <v>-621172</v>
      </c>
      <c r="J191" s="24">
        <v>-621172</v>
      </c>
      <c r="K191" s="24">
        <v>-589335</v>
      </c>
      <c r="L191" s="24">
        <v>-589335</v>
      </c>
      <c r="M191" s="24">
        <v>-589335</v>
      </c>
      <c r="N191" s="24">
        <v>-589335</v>
      </c>
      <c r="O191" s="24">
        <v>0</v>
      </c>
      <c r="P191" s="24">
        <v>-7326716</v>
      </c>
      <c r="Q191" s="24">
        <v>-563594</v>
      </c>
      <c r="R191" s="15"/>
      <c r="S191" s="15" t="s">
        <v>16</v>
      </c>
      <c r="T191" s="15">
        <f t="shared" ref="T191:Y191" si="32">-$Q191*T5</f>
        <v>120045.522</v>
      </c>
      <c r="U191" s="15">
        <f t="shared" si="32"/>
        <v>196130.712</v>
      </c>
      <c r="V191" s="15">
        <f t="shared" si="32"/>
        <v>81157.535999999993</v>
      </c>
      <c r="W191" s="15">
        <f t="shared" si="32"/>
        <v>563.59400000000005</v>
      </c>
      <c r="X191" s="15">
        <f t="shared" si="32"/>
        <v>563.59400000000005</v>
      </c>
      <c r="Y191" s="15">
        <f t="shared" si="32"/>
        <v>165133.04199999999</v>
      </c>
      <c r="Z191" s="15"/>
      <c r="AA191" s="15" t="s">
        <v>16</v>
      </c>
      <c r="AB191" s="15">
        <f t="shared" si="26"/>
        <v>0</v>
      </c>
      <c r="AC191" s="15">
        <f t="shared" si="26"/>
        <v>0</v>
      </c>
      <c r="AD191" s="15">
        <f t="shared" si="26"/>
        <v>0</v>
      </c>
      <c r="AE191" s="15">
        <f t="shared" si="26"/>
        <v>0</v>
      </c>
      <c r="AF191" s="15">
        <f t="shared" si="26"/>
        <v>0</v>
      </c>
      <c r="AG191" s="15">
        <f t="shared" si="26"/>
        <v>0</v>
      </c>
      <c r="AH191" s="27">
        <f t="shared" si="27"/>
        <v>0</v>
      </c>
    </row>
    <row r="192" spans="1:34" x14ac:dyDescent="0.25">
      <c r="A192" s="35"/>
      <c r="B192" s="35"/>
      <c r="C192" s="36" t="s">
        <v>67</v>
      </c>
      <c r="D192" s="36" t="s">
        <v>67</v>
      </c>
      <c r="E192" s="36" t="s">
        <v>67</v>
      </c>
      <c r="F192" s="36" t="s">
        <v>67</v>
      </c>
      <c r="G192" s="36" t="s">
        <v>67</v>
      </c>
      <c r="H192" s="36" t="s">
        <v>67</v>
      </c>
      <c r="I192" s="36" t="s">
        <v>67</v>
      </c>
      <c r="J192" s="36" t="s">
        <v>67</v>
      </c>
      <c r="K192" s="36" t="s">
        <v>67</v>
      </c>
      <c r="L192" s="36" t="s">
        <v>67</v>
      </c>
      <c r="M192" s="36" t="s">
        <v>67</v>
      </c>
      <c r="N192" s="36" t="s">
        <v>67</v>
      </c>
      <c r="O192" s="36" t="s">
        <v>67</v>
      </c>
      <c r="P192" s="36" t="s">
        <v>67</v>
      </c>
      <c r="Q192" s="36" t="s">
        <v>67</v>
      </c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27"/>
    </row>
    <row r="193" spans="1:34" x14ac:dyDescent="0.25">
      <c r="A193" s="37" t="s">
        <v>271</v>
      </c>
      <c r="B193" s="38"/>
      <c r="C193" s="39">
        <v>-823577</v>
      </c>
      <c r="D193" s="39">
        <v>-823577</v>
      </c>
      <c r="E193" s="39">
        <v>-823577</v>
      </c>
      <c r="F193" s="39">
        <v>-1104780</v>
      </c>
      <c r="G193" s="39">
        <v>-1104780</v>
      </c>
      <c r="H193" s="39">
        <v>-1104780</v>
      </c>
      <c r="I193" s="39">
        <v>-1308903</v>
      </c>
      <c r="J193" s="39">
        <v>-1308903</v>
      </c>
      <c r="K193" s="39">
        <v>-1277066</v>
      </c>
      <c r="L193" s="39">
        <v>-1679501</v>
      </c>
      <c r="M193" s="39">
        <v>-1679501</v>
      </c>
      <c r="N193" s="39">
        <v>-1679501</v>
      </c>
      <c r="O193" s="39">
        <v>-1545175</v>
      </c>
      <c r="P193" s="39">
        <v>-16263621</v>
      </c>
      <c r="Q193" s="39">
        <v>-1251048</v>
      </c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27"/>
    </row>
    <row r="194" spans="1:34" x14ac:dyDescent="0.25">
      <c r="A194" s="35"/>
      <c r="B194" s="35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27"/>
    </row>
    <row r="195" spans="1:34" x14ac:dyDescent="0.25">
      <c r="A195" s="37" t="s">
        <v>272</v>
      </c>
      <c r="B195" s="38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27"/>
    </row>
    <row r="196" spans="1:34" x14ac:dyDescent="0.25">
      <c r="A196" s="31" t="s">
        <v>273</v>
      </c>
      <c r="B196" s="31" t="s">
        <v>274</v>
      </c>
      <c r="C196" s="24">
        <v>416161</v>
      </c>
      <c r="D196" s="24">
        <v>474353</v>
      </c>
      <c r="E196" s="24">
        <v>464736</v>
      </c>
      <c r="F196" s="24">
        <v>758854</v>
      </c>
      <c r="G196" s="24">
        <v>934347</v>
      </c>
      <c r="H196" s="24">
        <v>1040349</v>
      </c>
      <c r="I196" s="24">
        <v>1203660</v>
      </c>
      <c r="J196" s="24">
        <v>462073</v>
      </c>
      <c r="K196" s="24">
        <v>691405</v>
      </c>
      <c r="L196" s="24">
        <v>843392</v>
      </c>
      <c r="M196" s="24">
        <v>948423</v>
      </c>
      <c r="N196" s="24">
        <v>1144594</v>
      </c>
      <c r="O196" s="24">
        <v>474927</v>
      </c>
      <c r="P196" s="24">
        <v>9857275</v>
      </c>
      <c r="Q196" s="24">
        <v>758252</v>
      </c>
      <c r="R196" s="15">
        <f>SUM(T196:Y196)+Q196</f>
        <v>0</v>
      </c>
      <c r="S196" s="15" t="s">
        <v>34</v>
      </c>
      <c r="T196" s="15">
        <f t="shared" ref="T196:Y199" si="33">-$Q196*T$7</f>
        <v>-145584.38399999999</v>
      </c>
      <c r="U196" s="15">
        <f t="shared" si="33"/>
        <v>-300343.61719999998</v>
      </c>
      <c r="V196" s="15">
        <f t="shared" si="33"/>
        <v>-103880.524</v>
      </c>
      <c r="W196" s="15">
        <f t="shared" si="33"/>
        <v>-2426.4064000000003</v>
      </c>
      <c r="X196" s="15">
        <f t="shared" si="33"/>
        <v>-1668.1544000000001</v>
      </c>
      <c r="Y196" s="15">
        <f t="shared" si="33"/>
        <v>-204348.91400000002</v>
      </c>
      <c r="Z196" s="15"/>
      <c r="AA196" s="15" t="s">
        <v>34</v>
      </c>
      <c r="AB196" s="15">
        <f>-$O196*AB$7</f>
        <v>-91185.983999999997</v>
      </c>
      <c r="AC196" s="15">
        <f t="shared" ref="AC196:AG199" si="34">-$O196*AC$7</f>
        <v>-188118.58470000001</v>
      </c>
      <c r="AD196" s="15">
        <f t="shared" si="34"/>
        <v>-65064.999000000003</v>
      </c>
      <c r="AE196" s="15">
        <f t="shared" si="34"/>
        <v>-1519.7664</v>
      </c>
      <c r="AF196" s="15">
        <f t="shared" si="34"/>
        <v>-1044.8394000000001</v>
      </c>
      <c r="AG196" s="15">
        <f t="shared" si="34"/>
        <v>-127992.82650000001</v>
      </c>
      <c r="AH196" s="27">
        <f>SUM(AB196:AG196)+O196</f>
        <v>0</v>
      </c>
    </row>
    <row r="197" spans="1:34" x14ac:dyDescent="0.25">
      <c r="A197" s="31" t="s">
        <v>275</v>
      </c>
      <c r="B197" s="31" t="s">
        <v>276</v>
      </c>
      <c r="C197" s="24">
        <v>308243</v>
      </c>
      <c r="D197" s="24">
        <v>308243</v>
      </c>
      <c r="E197" s="24">
        <v>308243</v>
      </c>
      <c r="F197" s="24">
        <v>291797</v>
      </c>
      <c r="G197" s="24">
        <v>291797</v>
      </c>
      <c r="H197" s="24">
        <v>291797</v>
      </c>
      <c r="I197" s="24">
        <v>289145</v>
      </c>
      <c r="J197" s="24">
        <v>289145</v>
      </c>
      <c r="K197" s="24">
        <v>289145</v>
      </c>
      <c r="L197" s="24">
        <v>270314</v>
      </c>
      <c r="M197" s="24">
        <v>270314</v>
      </c>
      <c r="N197" s="24">
        <v>270314</v>
      </c>
      <c r="O197" s="24">
        <v>269029</v>
      </c>
      <c r="P197" s="24">
        <v>3747525</v>
      </c>
      <c r="Q197" s="24">
        <v>288271</v>
      </c>
      <c r="R197" s="15">
        <f>SUM(T197:Y197)+Q197</f>
        <v>0</v>
      </c>
      <c r="S197" s="15" t="s">
        <v>34</v>
      </c>
      <c r="T197" s="15">
        <f t="shared" si="33"/>
        <v>-55348.031999999999</v>
      </c>
      <c r="U197" s="15">
        <f t="shared" si="33"/>
        <v>-114184.1431</v>
      </c>
      <c r="V197" s="15">
        <f t="shared" si="33"/>
        <v>-39493.127</v>
      </c>
      <c r="W197" s="15">
        <f t="shared" si="33"/>
        <v>-922.46720000000005</v>
      </c>
      <c r="X197" s="15">
        <f t="shared" si="33"/>
        <v>-634.19620000000009</v>
      </c>
      <c r="Y197" s="15">
        <f t="shared" si="33"/>
        <v>-77689.034500000009</v>
      </c>
      <c r="Z197" s="15"/>
      <c r="AA197" s="15" t="s">
        <v>34</v>
      </c>
      <c r="AB197" s="15">
        <f>-$O197*AB$7</f>
        <v>-51653.567999999999</v>
      </c>
      <c r="AC197" s="15">
        <f t="shared" si="34"/>
        <v>-106562.3869</v>
      </c>
      <c r="AD197" s="15">
        <f t="shared" si="34"/>
        <v>-36856.973000000005</v>
      </c>
      <c r="AE197" s="15">
        <f t="shared" si="34"/>
        <v>-860.89280000000008</v>
      </c>
      <c r="AF197" s="15">
        <f t="shared" si="34"/>
        <v>-591.86380000000008</v>
      </c>
      <c r="AG197" s="15">
        <f t="shared" si="34"/>
        <v>-72503.315500000012</v>
      </c>
      <c r="AH197" s="27">
        <f>SUM(AB197:AG197)+O197</f>
        <v>0</v>
      </c>
    </row>
    <row r="198" spans="1:34" x14ac:dyDescent="0.25">
      <c r="A198" s="31" t="s">
        <v>277</v>
      </c>
      <c r="B198" s="31" t="s">
        <v>278</v>
      </c>
      <c r="C198" s="24">
        <v>1672986</v>
      </c>
      <c r="D198" s="24">
        <v>1953810</v>
      </c>
      <c r="E198" s="24">
        <v>2201560</v>
      </c>
      <c r="F198" s="24">
        <v>704739</v>
      </c>
      <c r="G198" s="24">
        <v>808552</v>
      </c>
      <c r="H198" s="24">
        <v>909695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8251342</v>
      </c>
      <c r="Q198" s="24">
        <v>634719</v>
      </c>
      <c r="R198" s="15">
        <f>SUM(T198:Y198)+Q198</f>
        <v>0</v>
      </c>
      <c r="S198" s="15" t="s">
        <v>34</v>
      </c>
      <c r="T198" s="15">
        <f t="shared" si="33"/>
        <v>-121866.04800000001</v>
      </c>
      <c r="U198" s="15">
        <f t="shared" si="33"/>
        <v>-251412.19589999999</v>
      </c>
      <c r="V198" s="15">
        <f t="shared" si="33"/>
        <v>-86956.503000000012</v>
      </c>
      <c r="W198" s="15">
        <f t="shared" si="33"/>
        <v>-2031.1008000000002</v>
      </c>
      <c r="X198" s="15">
        <f t="shared" si="33"/>
        <v>-1396.3818000000001</v>
      </c>
      <c r="Y198" s="15">
        <f t="shared" si="33"/>
        <v>-171056.77050000001</v>
      </c>
      <c r="Z198" s="15"/>
      <c r="AA198" s="15" t="s">
        <v>34</v>
      </c>
      <c r="AB198" s="15">
        <f>-$O198*AB$7</f>
        <v>0</v>
      </c>
      <c r="AC198" s="15">
        <f t="shared" si="34"/>
        <v>0</v>
      </c>
      <c r="AD198" s="15">
        <f t="shared" si="34"/>
        <v>0</v>
      </c>
      <c r="AE198" s="15">
        <f t="shared" si="34"/>
        <v>0</v>
      </c>
      <c r="AF198" s="15">
        <f t="shared" si="34"/>
        <v>0</v>
      </c>
      <c r="AG198" s="15">
        <f t="shared" si="34"/>
        <v>0</v>
      </c>
      <c r="AH198" s="27"/>
    </row>
    <row r="199" spans="1:34" x14ac:dyDescent="0.25">
      <c r="A199" s="31" t="s">
        <v>279</v>
      </c>
      <c r="B199" s="31" t="s">
        <v>280</v>
      </c>
      <c r="C199" s="24">
        <v>0</v>
      </c>
      <c r="D199" s="24">
        <v>0</v>
      </c>
      <c r="E199" s="24">
        <v>0</v>
      </c>
      <c r="F199" s="24">
        <v>0</v>
      </c>
      <c r="G199" s="24">
        <v>148496</v>
      </c>
      <c r="H199" s="24">
        <v>117435</v>
      </c>
      <c r="I199" s="24">
        <v>70844</v>
      </c>
      <c r="J199" s="24">
        <v>39783</v>
      </c>
      <c r="K199" s="24">
        <v>16603</v>
      </c>
      <c r="L199" s="24">
        <v>0</v>
      </c>
      <c r="M199" s="24">
        <v>0</v>
      </c>
      <c r="N199" s="24">
        <v>0</v>
      </c>
      <c r="O199" s="24">
        <v>0</v>
      </c>
      <c r="P199" s="24">
        <v>393161</v>
      </c>
      <c r="Q199" s="24">
        <v>30243</v>
      </c>
      <c r="R199" s="15">
        <f>SUM(T199:Y199)+Q199</f>
        <v>0</v>
      </c>
      <c r="S199" s="15" t="s">
        <v>34</v>
      </c>
      <c r="T199" s="15">
        <f t="shared" si="33"/>
        <v>-5806.6559999999999</v>
      </c>
      <c r="U199" s="15">
        <f t="shared" si="33"/>
        <v>-11979.2523</v>
      </c>
      <c r="V199" s="15">
        <f t="shared" si="33"/>
        <v>-4143.2910000000002</v>
      </c>
      <c r="W199" s="15">
        <f t="shared" si="33"/>
        <v>-96.777600000000007</v>
      </c>
      <c r="X199" s="15">
        <f t="shared" si="33"/>
        <v>-66.534599999999998</v>
      </c>
      <c r="Y199" s="15">
        <f t="shared" si="33"/>
        <v>-8150.4885000000004</v>
      </c>
      <c r="Z199" s="15"/>
      <c r="AA199" s="15" t="s">
        <v>34</v>
      </c>
      <c r="AB199" s="15">
        <f>-$O199*AB$7</f>
        <v>0</v>
      </c>
      <c r="AC199" s="15">
        <f t="shared" si="34"/>
        <v>0</v>
      </c>
      <c r="AD199" s="15">
        <f t="shared" si="34"/>
        <v>0</v>
      </c>
      <c r="AE199" s="15">
        <f t="shared" si="34"/>
        <v>0</v>
      </c>
      <c r="AF199" s="15">
        <f t="shared" si="34"/>
        <v>0</v>
      </c>
      <c r="AG199" s="15">
        <f t="shared" si="34"/>
        <v>0</v>
      </c>
      <c r="AH199" s="27"/>
    </row>
    <row r="200" spans="1:34" x14ac:dyDescent="0.25">
      <c r="A200" s="35"/>
      <c r="B200" s="35"/>
      <c r="C200" s="36" t="s">
        <v>67</v>
      </c>
      <c r="D200" s="36" t="s">
        <v>67</v>
      </c>
      <c r="E200" s="36" t="s">
        <v>67</v>
      </c>
      <c r="F200" s="36" t="s">
        <v>67</v>
      </c>
      <c r="G200" s="36" t="s">
        <v>67</v>
      </c>
      <c r="H200" s="36" t="s">
        <v>67</v>
      </c>
      <c r="I200" s="36" t="s">
        <v>67</v>
      </c>
      <c r="J200" s="36" t="s">
        <v>67</v>
      </c>
      <c r="K200" s="36" t="s">
        <v>67</v>
      </c>
      <c r="L200" s="36" t="s">
        <v>67</v>
      </c>
      <c r="M200" s="36" t="s">
        <v>67</v>
      </c>
      <c r="N200" s="36" t="s">
        <v>67</v>
      </c>
      <c r="O200" s="36" t="s">
        <v>67</v>
      </c>
      <c r="P200" s="36" t="s">
        <v>67</v>
      </c>
      <c r="Q200" s="36" t="s">
        <v>67</v>
      </c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27"/>
    </row>
    <row r="201" spans="1:34" x14ac:dyDescent="0.25">
      <c r="A201" s="37" t="s">
        <v>281</v>
      </c>
      <c r="B201" s="38"/>
      <c r="C201" s="39">
        <v>2397390</v>
      </c>
      <c r="D201" s="39">
        <v>2736406</v>
      </c>
      <c r="E201" s="39">
        <v>2974539</v>
      </c>
      <c r="F201" s="39">
        <v>1755391</v>
      </c>
      <c r="G201" s="39">
        <v>2183193</v>
      </c>
      <c r="H201" s="39">
        <v>2359277</v>
      </c>
      <c r="I201" s="39">
        <v>1563648</v>
      </c>
      <c r="J201" s="39">
        <v>791000</v>
      </c>
      <c r="K201" s="39">
        <v>997153</v>
      </c>
      <c r="L201" s="39">
        <v>1113706</v>
      </c>
      <c r="M201" s="39">
        <v>1218737</v>
      </c>
      <c r="N201" s="39">
        <v>1414908</v>
      </c>
      <c r="O201" s="39">
        <v>743956</v>
      </c>
      <c r="P201" s="39">
        <v>22249303</v>
      </c>
      <c r="Q201" s="39">
        <v>1711485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27"/>
    </row>
    <row r="202" spans="1:34" x14ac:dyDescent="0.25">
      <c r="A202" s="35"/>
      <c r="B202" s="35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27"/>
    </row>
    <row r="203" spans="1:34" x14ac:dyDescent="0.25">
      <c r="A203" s="37" t="s">
        <v>282</v>
      </c>
      <c r="B203" s="38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27"/>
    </row>
    <row r="204" spans="1:34" x14ac:dyDescent="0.25">
      <c r="A204" s="31" t="s">
        <v>283</v>
      </c>
      <c r="B204" s="31" t="s">
        <v>284</v>
      </c>
      <c r="C204" s="24">
        <v>154852</v>
      </c>
      <c r="D204" s="24">
        <v>154852</v>
      </c>
      <c r="E204" s="24">
        <v>154852</v>
      </c>
      <c r="F204" s="24">
        <v>154852</v>
      </c>
      <c r="G204" s="24">
        <v>154852</v>
      </c>
      <c r="H204" s="24">
        <v>154852</v>
      </c>
      <c r="I204" s="24">
        <v>154852</v>
      </c>
      <c r="J204" s="24">
        <v>154852</v>
      </c>
      <c r="K204" s="24">
        <v>154852</v>
      </c>
      <c r="L204" s="24">
        <v>154852</v>
      </c>
      <c r="M204" s="24">
        <v>154852</v>
      </c>
      <c r="N204" s="24">
        <v>154852</v>
      </c>
      <c r="O204" s="24">
        <v>154852</v>
      </c>
      <c r="P204" s="24">
        <v>2013076</v>
      </c>
      <c r="Q204" s="24">
        <v>154852</v>
      </c>
      <c r="R204" s="15">
        <f>SUM(T204:Y204)+Q204</f>
        <v>0</v>
      </c>
      <c r="S204" s="15" t="s">
        <v>34</v>
      </c>
      <c r="T204" s="15">
        <f>-$Q204*T$6</f>
        <v>-39022.703999999998</v>
      </c>
      <c r="U204" s="15">
        <f t="shared" ref="U204:Y204" si="35">-$Q204*U$6</f>
        <v>-80523.040000000008</v>
      </c>
      <c r="V204" s="15">
        <f t="shared" si="35"/>
        <v>0</v>
      </c>
      <c r="W204" s="15">
        <f t="shared" si="35"/>
        <v>0</v>
      </c>
      <c r="X204" s="15">
        <f t="shared" si="35"/>
        <v>0</v>
      </c>
      <c r="Y204" s="15">
        <f t="shared" si="35"/>
        <v>-35306.256000000001</v>
      </c>
      <c r="Z204" s="15"/>
      <c r="AA204" s="15" t="s">
        <v>34</v>
      </c>
      <c r="AB204" s="15">
        <f>-$O204*AB$6</f>
        <v>-39022.703999999998</v>
      </c>
      <c r="AC204" s="15">
        <f t="shared" ref="AC204:AG204" si="36">-$O204*AC$6</f>
        <v>-80523.040000000008</v>
      </c>
      <c r="AD204" s="15">
        <f t="shared" si="36"/>
        <v>0</v>
      </c>
      <c r="AE204" s="15">
        <f t="shared" si="36"/>
        <v>0</v>
      </c>
      <c r="AF204" s="15">
        <f t="shared" si="36"/>
        <v>0</v>
      </c>
      <c r="AG204" s="15">
        <f t="shared" si="36"/>
        <v>-35306.256000000001</v>
      </c>
      <c r="AH204" s="27">
        <f t="shared" ref="AH204:AH209" si="37">SUM(AB204:AG204)+O204</f>
        <v>0</v>
      </c>
    </row>
    <row r="205" spans="1:34" x14ac:dyDescent="0.25">
      <c r="A205" s="31" t="s">
        <v>285</v>
      </c>
      <c r="B205" s="31" t="s">
        <v>286</v>
      </c>
      <c r="C205" s="24">
        <v>159994</v>
      </c>
      <c r="D205" s="24">
        <v>160120</v>
      </c>
      <c r="E205" s="24">
        <v>160247</v>
      </c>
      <c r="F205" s="24">
        <v>160374</v>
      </c>
      <c r="G205" s="24">
        <v>160502</v>
      </c>
      <c r="H205" s="24">
        <v>160630</v>
      </c>
      <c r="I205" s="24">
        <v>160759</v>
      </c>
      <c r="J205" s="24">
        <v>160887</v>
      </c>
      <c r="K205" s="24">
        <v>161017</v>
      </c>
      <c r="L205" s="24">
        <v>161146</v>
      </c>
      <c r="M205" s="24">
        <v>161276</v>
      </c>
      <c r="N205" s="24">
        <v>161407</v>
      </c>
      <c r="O205" s="24">
        <v>161538</v>
      </c>
      <c r="P205" s="24">
        <v>2089897</v>
      </c>
      <c r="Q205" s="24">
        <v>160761</v>
      </c>
      <c r="R205" s="15">
        <f>SUM(T205:Y205)+Q205</f>
        <v>0</v>
      </c>
      <c r="S205" s="15" t="s">
        <v>34</v>
      </c>
      <c r="T205" s="15">
        <f t="shared" ref="T205:Y209" si="38">-$Q205*T$7</f>
        <v>-30866.112000000001</v>
      </c>
      <c r="U205" s="15">
        <f t="shared" si="38"/>
        <v>-63677.432099999998</v>
      </c>
      <c r="V205" s="15">
        <f t="shared" si="38"/>
        <v>-22024.257000000001</v>
      </c>
      <c r="W205" s="15">
        <f t="shared" si="38"/>
        <v>-514.43520000000001</v>
      </c>
      <c r="X205" s="15">
        <f t="shared" si="38"/>
        <v>-353.67420000000004</v>
      </c>
      <c r="Y205" s="15">
        <f t="shared" si="38"/>
        <v>-43325.089500000002</v>
      </c>
      <c r="Z205" s="15"/>
      <c r="AA205" s="15" t="s">
        <v>34</v>
      </c>
      <c r="AB205" s="15">
        <f t="shared" ref="AB205:AG209" si="39">-$O205*AB$7</f>
        <v>-31015.296000000002</v>
      </c>
      <c r="AC205" s="15">
        <f t="shared" si="39"/>
        <v>-63985.201800000003</v>
      </c>
      <c r="AD205" s="15">
        <f t="shared" si="39"/>
        <v>-22130.706000000002</v>
      </c>
      <c r="AE205" s="15">
        <f t="shared" si="39"/>
        <v>-516.92160000000001</v>
      </c>
      <c r="AF205" s="15">
        <f t="shared" si="39"/>
        <v>-355.3836</v>
      </c>
      <c r="AG205" s="15">
        <f t="shared" si="39"/>
        <v>-43534.491000000002</v>
      </c>
      <c r="AH205" s="27">
        <f t="shared" si="37"/>
        <v>0</v>
      </c>
    </row>
    <row r="206" spans="1:34" x14ac:dyDescent="0.25">
      <c r="A206" s="31" t="s">
        <v>287</v>
      </c>
      <c r="B206" s="31" t="s">
        <v>288</v>
      </c>
      <c r="C206" s="24">
        <v>-9055</v>
      </c>
      <c r="D206" s="24">
        <v>-9055</v>
      </c>
      <c r="E206" s="24">
        <v>-9055</v>
      </c>
      <c r="F206" s="24">
        <v>-13143</v>
      </c>
      <c r="G206" s="24">
        <v>207446</v>
      </c>
      <c r="H206" s="24">
        <v>-9055</v>
      </c>
      <c r="I206" s="24">
        <v>-9055</v>
      </c>
      <c r="J206" s="24">
        <v>197245</v>
      </c>
      <c r="K206" s="24">
        <v>1473</v>
      </c>
      <c r="L206" s="24">
        <v>1473</v>
      </c>
      <c r="M206" s="24">
        <v>1473</v>
      </c>
      <c r="N206" s="24">
        <v>1250</v>
      </c>
      <c r="O206" s="24">
        <v>1081</v>
      </c>
      <c r="P206" s="24">
        <v>353025</v>
      </c>
      <c r="Q206" s="24">
        <v>27156</v>
      </c>
      <c r="R206" s="15">
        <f>SUM(T206:Y206)+Q206</f>
        <v>0</v>
      </c>
      <c r="S206" s="15" t="s">
        <v>34</v>
      </c>
      <c r="T206" s="15">
        <f t="shared" si="38"/>
        <v>-5213.9520000000002</v>
      </c>
      <c r="U206" s="15">
        <f t="shared" si="38"/>
        <v>-10756.491599999999</v>
      </c>
      <c r="V206" s="15">
        <f t="shared" si="38"/>
        <v>-3720.3720000000003</v>
      </c>
      <c r="W206" s="15">
        <f t="shared" si="38"/>
        <v>-86.899200000000008</v>
      </c>
      <c r="X206" s="15">
        <f t="shared" si="38"/>
        <v>-59.743200000000002</v>
      </c>
      <c r="Y206" s="15">
        <f t="shared" si="38"/>
        <v>-7318.5420000000004</v>
      </c>
      <c r="Z206" s="15"/>
      <c r="AA206" s="15" t="s">
        <v>34</v>
      </c>
      <c r="AB206" s="15">
        <f t="shared" si="39"/>
        <v>-207.55199999999999</v>
      </c>
      <c r="AC206" s="15">
        <f t="shared" si="39"/>
        <v>-428.1841</v>
      </c>
      <c r="AD206" s="15">
        <f t="shared" si="39"/>
        <v>-148.09700000000001</v>
      </c>
      <c r="AE206" s="15">
        <f t="shared" si="39"/>
        <v>-3.4592000000000001</v>
      </c>
      <c r="AF206" s="15">
        <f t="shared" si="39"/>
        <v>-2.3782000000000001</v>
      </c>
      <c r="AG206" s="15">
        <f t="shared" si="39"/>
        <v>-291.3295</v>
      </c>
      <c r="AH206" s="27">
        <f t="shared" si="37"/>
        <v>0</v>
      </c>
    </row>
    <row r="207" spans="1:34" x14ac:dyDescent="0.25">
      <c r="A207" s="31" t="s">
        <v>289</v>
      </c>
      <c r="B207" s="31" t="s">
        <v>290</v>
      </c>
      <c r="C207" s="24">
        <v>-10</v>
      </c>
      <c r="D207" s="24">
        <v>-10</v>
      </c>
      <c r="E207" s="24">
        <v>-10</v>
      </c>
      <c r="F207" s="24">
        <v>-10</v>
      </c>
      <c r="G207" s="24">
        <v>-2898</v>
      </c>
      <c r="H207" s="24">
        <v>-10</v>
      </c>
      <c r="I207" s="24">
        <v>-3</v>
      </c>
      <c r="J207" s="24">
        <v>94</v>
      </c>
      <c r="K207" s="24">
        <v>-3</v>
      </c>
      <c r="L207" s="24">
        <v>-3</v>
      </c>
      <c r="M207" s="24">
        <v>-10</v>
      </c>
      <c r="N207" s="24">
        <v>-10</v>
      </c>
      <c r="O207" s="24">
        <v>-10</v>
      </c>
      <c r="P207" s="24">
        <v>-2898</v>
      </c>
      <c r="Q207" s="24">
        <v>-223</v>
      </c>
      <c r="R207" s="15">
        <f>SUM(T207:Y207)+Q207</f>
        <v>0</v>
      </c>
      <c r="S207" s="15" t="s">
        <v>34</v>
      </c>
      <c r="T207" s="15">
        <f t="shared" si="38"/>
        <v>42.816000000000003</v>
      </c>
      <c r="U207" s="15">
        <f t="shared" si="38"/>
        <v>88.330300000000008</v>
      </c>
      <c r="V207" s="15">
        <f t="shared" si="38"/>
        <v>30.551000000000002</v>
      </c>
      <c r="W207" s="15">
        <f t="shared" si="38"/>
        <v>0.71360000000000001</v>
      </c>
      <c r="X207" s="15">
        <f t="shared" si="38"/>
        <v>0.49060000000000004</v>
      </c>
      <c r="Y207" s="15">
        <f t="shared" si="38"/>
        <v>60.098500000000001</v>
      </c>
      <c r="Z207" s="15"/>
      <c r="AA207" s="15" t="s">
        <v>34</v>
      </c>
      <c r="AB207" s="15">
        <f t="shared" si="39"/>
        <v>1.92</v>
      </c>
      <c r="AC207" s="15">
        <f t="shared" si="39"/>
        <v>3.9610000000000003</v>
      </c>
      <c r="AD207" s="15">
        <f t="shared" si="39"/>
        <v>1.37</v>
      </c>
      <c r="AE207" s="15">
        <f t="shared" si="39"/>
        <v>3.2000000000000001E-2</v>
      </c>
      <c r="AF207" s="15">
        <f t="shared" si="39"/>
        <v>2.2000000000000002E-2</v>
      </c>
      <c r="AG207" s="15">
        <f t="shared" si="39"/>
        <v>2.6950000000000003</v>
      </c>
      <c r="AH207" s="27">
        <f t="shared" si="37"/>
        <v>0</v>
      </c>
    </row>
    <row r="208" spans="1:34" x14ac:dyDescent="0.25">
      <c r="A208" s="31" t="s">
        <v>291</v>
      </c>
      <c r="B208" s="31" t="s">
        <v>292</v>
      </c>
      <c r="C208" s="24">
        <v>-17758</v>
      </c>
      <c r="D208" s="24">
        <v>-17758</v>
      </c>
      <c r="E208" s="24">
        <v>-17758</v>
      </c>
      <c r="F208" s="24">
        <v>-17758</v>
      </c>
      <c r="G208" s="24">
        <v>-17758</v>
      </c>
      <c r="H208" s="24">
        <v>-17758</v>
      </c>
      <c r="I208" s="24">
        <v>-17765</v>
      </c>
      <c r="J208" s="24">
        <v>-17696</v>
      </c>
      <c r="K208" s="24">
        <v>-17765</v>
      </c>
      <c r="L208" s="24">
        <v>-17765</v>
      </c>
      <c r="M208" s="24">
        <v>-17758</v>
      </c>
      <c r="N208" s="24">
        <v>-17758</v>
      </c>
      <c r="O208" s="24">
        <v>-9971</v>
      </c>
      <c r="P208" s="24">
        <v>-223027</v>
      </c>
      <c r="Q208" s="24">
        <v>-17156</v>
      </c>
      <c r="R208" s="15">
        <f>SUM(T208:Y208)+Q208</f>
        <v>0</v>
      </c>
      <c r="S208" s="15" t="s">
        <v>34</v>
      </c>
      <c r="T208" s="15">
        <f t="shared" si="38"/>
        <v>3293.9520000000002</v>
      </c>
      <c r="U208" s="15">
        <f t="shared" si="38"/>
        <v>6795.4916000000003</v>
      </c>
      <c r="V208" s="15">
        <f t="shared" si="38"/>
        <v>2350.3720000000003</v>
      </c>
      <c r="W208" s="15">
        <f t="shared" si="38"/>
        <v>54.8992</v>
      </c>
      <c r="X208" s="15">
        <f t="shared" si="38"/>
        <v>37.743200000000002</v>
      </c>
      <c r="Y208" s="15">
        <f t="shared" si="38"/>
        <v>4623.5420000000004</v>
      </c>
      <c r="Z208" s="15"/>
      <c r="AA208" s="15" t="s">
        <v>34</v>
      </c>
      <c r="AB208" s="15">
        <f t="shared" si="39"/>
        <v>1914.432</v>
      </c>
      <c r="AC208" s="15">
        <f t="shared" si="39"/>
        <v>3949.5131000000001</v>
      </c>
      <c r="AD208" s="15">
        <f t="shared" si="39"/>
        <v>1366.027</v>
      </c>
      <c r="AE208" s="15">
        <f t="shared" si="39"/>
        <v>31.907200000000003</v>
      </c>
      <c r="AF208" s="15">
        <f t="shared" si="39"/>
        <v>21.936200000000003</v>
      </c>
      <c r="AG208" s="15">
        <f t="shared" si="39"/>
        <v>2687.1845000000003</v>
      </c>
      <c r="AH208" s="27">
        <f t="shared" si="37"/>
        <v>0</v>
      </c>
    </row>
    <row r="209" spans="1:34" x14ac:dyDescent="0.25">
      <c r="A209" s="31" t="s">
        <v>293</v>
      </c>
      <c r="B209" s="31" t="s">
        <v>294</v>
      </c>
      <c r="C209" s="24">
        <v>0</v>
      </c>
      <c r="D209" s="24">
        <v>-257</v>
      </c>
      <c r="E209" s="24">
        <v>0</v>
      </c>
      <c r="F209" s="24">
        <v>0</v>
      </c>
      <c r="G209" s="24">
        <v>-223797</v>
      </c>
      <c r="H209" s="24">
        <v>0</v>
      </c>
      <c r="I209" s="24">
        <v>0</v>
      </c>
      <c r="J209" s="24">
        <v>433</v>
      </c>
      <c r="K209" s="24">
        <v>0</v>
      </c>
      <c r="L209" s="24">
        <v>0</v>
      </c>
      <c r="M209" s="24">
        <v>0</v>
      </c>
      <c r="N209" s="24">
        <v>0</v>
      </c>
      <c r="O209" s="24">
        <v>-1269</v>
      </c>
      <c r="P209" s="24">
        <v>-224890</v>
      </c>
      <c r="Q209" s="24">
        <v>-17299</v>
      </c>
      <c r="R209" s="15"/>
      <c r="S209" s="15" t="s">
        <v>34</v>
      </c>
      <c r="T209" s="15">
        <f t="shared" si="38"/>
        <v>3321.4079999999999</v>
      </c>
      <c r="U209" s="15">
        <f t="shared" si="38"/>
        <v>6852.1338999999998</v>
      </c>
      <c r="V209" s="15">
        <f t="shared" si="38"/>
        <v>2369.9630000000002</v>
      </c>
      <c r="W209" s="15">
        <f t="shared" si="38"/>
        <v>55.3568</v>
      </c>
      <c r="X209" s="15">
        <f t="shared" si="38"/>
        <v>38.0578</v>
      </c>
      <c r="Y209" s="15">
        <f t="shared" si="38"/>
        <v>4662.0805</v>
      </c>
      <c r="Z209" s="15"/>
      <c r="AA209" s="15" t="s">
        <v>34</v>
      </c>
      <c r="AB209" s="15">
        <f t="shared" si="39"/>
        <v>243.648</v>
      </c>
      <c r="AC209" s="15">
        <f t="shared" si="39"/>
        <v>502.65090000000004</v>
      </c>
      <c r="AD209" s="15">
        <f t="shared" si="39"/>
        <v>173.85300000000001</v>
      </c>
      <c r="AE209" s="15">
        <f t="shared" si="39"/>
        <v>4.0608000000000004</v>
      </c>
      <c r="AF209" s="15">
        <f t="shared" si="39"/>
        <v>2.7918000000000003</v>
      </c>
      <c r="AG209" s="15">
        <f t="shared" si="39"/>
        <v>341.99550000000005</v>
      </c>
      <c r="AH209" s="27">
        <f t="shared" si="37"/>
        <v>0</v>
      </c>
    </row>
    <row r="210" spans="1:34" x14ac:dyDescent="0.25">
      <c r="A210" s="35"/>
      <c r="B210" s="35"/>
      <c r="C210" s="36" t="s">
        <v>67</v>
      </c>
      <c r="D210" s="36" t="s">
        <v>67</v>
      </c>
      <c r="E210" s="36" t="s">
        <v>67</v>
      </c>
      <c r="F210" s="36" t="s">
        <v>67</v>
      </c>
      <c r="G210" s="36" t="s">
        <v>67</v>
      </c>
      <c r="H210" s="36" t="s">
        <v>67</v>
      </c>
      <c r="I210" s="36" t="s">
        <v>67</v>
      </c>
      <c r="J210" s="36" t="s">
        <v>67</v>
      </c>
      <c r="K210" s="36" t="s">
        <v>67</v>
      </c>
      <c r="L210" s="36" t="s">
        <v>67</v>
      </c>
      <c r="M210" s="36" t="s">
        <v>67</v>
      </c>
      <c r="N210" s="36" t="s">
        <v>67</v>
      </c>
      <c r="O210" s="36" t="s">
        <v>67</v>
      </c>
      <c r="P210" s="36" t="s">
        <v>67</v>
      </c>
      <c r="Q210" s="36" t="s">
        <v>67</v>
      </c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27"/>
    </row>
    <row r="211" spans="1:34" x14ac:dyDescent="0.25">
      <c r="A211" s="37" t="s">
        <v>295</v>
      </c>
      <c r="B211" s="38"/>
      <c r="C211" s="39">
        <v>288023</v>
      </c>
      <c r="D211" s="39">
        <v>287893</v>
      </c>
      <c r="E211" s="39">
        <v>288276</v>
      </c>
      <c r="F211" s="39">
        <v>284315</v>
      </c>
      <c r="G211" s="39">
        <v>278346</v>
      </c>
      <c r="H211" s="39">
        <v>288659</v>
      </c>
      <c r="I211" s="39">
        <v>288787</v>
      </c>
      <c r="J211" s="39">
        <v>495815</v>
      </c>
      <c r="K211" s="39">
        <v>299573</v>
      </c>
      <c r="L211" s="39">
        <v>299703</v>
      </c>
      <c r="M211" s="39">
        <v>299833</v>
      </c>
      <c r="N211" s="39">
        <v>299740</v>
      </c>
      <c r="O211" s="39">
        <v>306220</v>
      </c>
      <c r="P211" s="39">
        <v>4005183</v>
      </c>
      <c r="Q211" s="39">
        <v>308091</v>
      </c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27"/>
    </row>
    <row r="212" spans="1:34" x14ac:dyDescent="0.25">
      <c r="A212" s="35"/>
      <c r="B212" s="35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27"/>
    </row>
    <row r="213" spans="1:34" ht="15.75" x14ac:dyDescent="0.3">
      <c r="A213" s="56" t="s">
        <v>296</v>
      </c>
      <c r="B213" s="54"/>
      <c r="C213" s="55">
        <v>6866281</v>
      </c>
      <c r="D213" s="55">
        <v>8861392</v>
      </c>
      <c r="E213" s="55">
        <v>12909480</v>
      </c>
      <c r="F213" s="55">
        <v>9098702</v>
      </c>
      <c r="G213" s="55">
        <v>8461934</v>
      </c>
      <c r="H213" s="55">
        <v>9682223</v>
      </c>
      <c r="I213" s="55">
        <v>9807438</v>
      </c>
      <c r="J213" s="55">
        <v>7187085</v>
      </c>
      <c r="K213" s="55">
        <v>6247689</v>
      </c>
      <c r="L213" s="55">
        <v>10781701</v>
      </c>
      <c r="M213" s="55">
        <v>9285446</v>
      </c>
      <c r="N213" s="55">
        <v>5922323</v>
      </c>
      <c r="O213" s="55">
        <v>3779071</v>
      </c>
      <c r="P213" s="55">
        <v>108890765</v>
      </c>
      <c r="Q213" s="55">
        <v>8376213</v>
      </c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27"/>
    </row>
    <row r="214" spans="1:34" x14ac:dyDescent="0.25">
      <c r="A214" s="35"/>
      <c r="B214" s="35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27"/>
    </row>
    <row r="215" spans="1:34" ht="15.75" x14ac:dyDescent="0.3">
      <c r="A215" s="56" t="s">
        <v>297</v>
      </c>
      <c r="B215" s="54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27"/>
    </row>
    <row r="216" spans="1:34" x14ac:dyDescent="0.25">
      <c r="A216" s="37" t="s">
        <v>298</v>
      </c>
      <c r="B216" s="38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15"/>
      <c r="S216" s="15" t="s">
        <v>299</v>
      </c>
      <c r="T216" s="15"/>
      <c r="U216" s="15"/>
      <c r="V216" s="15"/>
      <c r="W216" s="15"/>
      <c r="X216" s="15"/>
      <c r="Y216" s="15"/>
      <c r="Z216" s="15"/>
      <c r="AA216" s="15" t="s">
        <v>299</v>
      </c>
      <c r="AB216" s="15"/>
      <c r="AC216" s="15"/>
      <c r="AD216" s="15"/>
      <c r="AE216" s="15"/>
      <c r="AF216" s="15"/>
      <c r="AG216" s="15"/>
      <c r="AH216" s="27">
        <f>SUM(AB216:AG216)+O216</f>
        <v>0</v>
      </c>
    </row>
    <row r="217" spans="1:34" x14ac:dyDescent="0.25">
      <c r="A217" s="57" t="s">
        <v>300</v>
      </c>
      <c r="B217" s="58" t="s">
        <v>301</v>
      </c>
      <c r="C217" s="59">
        <v>56547</v>
      </c>
      <c r="D217" s="59">
        <v>56547</v>
      </c>
      <c r="E217" s="59">
        <v>56547</v>
      </c>
      <c r="F217" s="59">
        <v>57651</v>
      </c>
      <c r="G217" s="59">
        <v>57651</v>
      </c>
      <c r="H217" s="59">
        <v>57651</v>
      </c>
      <c r="I217" s="59">
        <v>58755</v>
      </c>
      <c r="J217" s="24">
        <v>58755</v>
      </c>
      <c r="K217" s="24">
        <v>58755</v>
      </c>
      <c r="L217" s="24">
        <v>137747</v>
      </c>
      <c r="M217" s="24">
        <v>137747</v>
      </c>
      <c r="N217" s="24">
        <v>137747</v>
      </c>
      <c r="O217" s="24">
        <v>478666</v>
      </c>
      <c r="P217" s="24">
        <v>1410765</v>
      </c>
      <c r="Q217" s="24">
        <v>108520</v>
      </c>
      <c r="R217" s="15">
        <f t="shared" ref="R217:R229" si="40">SUM(T217:Y217)+Q217</f>
        <v>-2.1704000000027008</v>
      </c>
      <c r="S217" s="15" t="s">
        <v>13</v>
      </c>
      <c r="T217" s="60">
        <f t="shared" ref="T217:Y224" si="41">-$Q217*T$3</f>
        <v>-17596.518</v>
      </c>
      <c r="U217" s="60">
        <f t="shared" si="41"/>
        <v>-42508.369200000001</v>
      </c>
      <c r="V217" s="60">
        <f t="shared" si="41"/>
        <v>-19954.657599999999</v>
      </c>
      <c r="W217" s="60">
        <f t="shared" si="41"/>
        <v>-385.24600000000004</v>
      </c>
      <c r="X217" s="60">
        <f t="shared" si="41"/>
        <v>-120.45720000000001</v>
      </c>
      <c r="Y217" s="60">
        <f t="shared" si="41"/>
        <v>-27956.922400000003</v>
      </c>
      <c r="Z217" s="15"/>
      <c r="AA217" s="15" t="s">
        <v>13</v>
      </c>
      <c r="AB217" s="60">
        <f t="shared" ref="AB217:AG224" si="42">-$O217*AB$3</f>
        <v>-77615.691899999991</v>
      </c>
      <c r="AC217" s="60">
        <v>23</v>
      </c>
      <c r="AD217" s="60">
        <f t="shared" si="42"/>
        <v>-88017.10407999999</v>
      </c>
      <c r="AE217" s="60">
        <f t="shared" si="42"/>
        <v>-1699.2643</v>
      </c>
      <c r="AF217" s="60">
        <f t="shared" si="42"/>
        <v>-531.3192600000001</v>
      </c>
      <c r="AG217" s="60">
        <f t="shared" si="42"/>
        <v>-123313.93492000001</v>
      </c>
      <c r="AH217" s="27">
        <f>SUM(AB217:AG217)+O217</f>
        <v>187511.68553999998</v>
      </c>
    </row>
    <row r="218" spans="1:34" x14ac:dyDescent="0.25">
      <c r="A218" s="31" t="s">
        <v>302</v>
      </c>
      <c r="B218" s="31" t="s">
        <v>303</v>
      </c>
      <c r="C218" s="24">
        <v>107255</v>
      </c>
      <c r="D218" s="24">
        <v>107255</v>
      </c>
      <c r="E218" s="24">
        <v>107255</v>
      </c>
      <c r="F218" s="24">
        <v>297336</v>
      </c>
      <c r="G218" s="24">
        <v>297336</v>
      </c>
      <c r="H218" s="24">
        <v>297336</v>
      </c>
      <c r="I218" s="24">
        <v>461424</v>
      </c>
      <c r="J218" s="24">
        <v>461424</v>
      </c>
      <c r="K218" s="24">
        <v>461424</v>
      </c>
      <c r="L218" s="24">
        <v>436546</v>
      </c>
      <c r="M218" s="24">
        <v>436546</v>
      </c>
      <c r="N218" s="24">
        <v>436546</v>
      </c>
      <c r="O218" s="24">
        <v>-645706</v>
      </c>
      <c r="P218" s="24">
        <v>3261979</v>
      </c>
      <c r="Q218" s="24">
        <v>250921</v>
      </c>
      <c r="R218" s="15">
        <f t="shared" si="40"/>
        <v>-5.0184199999785051</v>
      </c>
      <c r="S218" s="15" t="s">
        <v>13</v>
      </c>
      <c r="T218" s="60">
        <f t="shared" si="41"/>
        <v>-40686.840149999996</v>
      </c>
      <c r="U218" s="60">
        <f t="shared" si="41"/>
        <v>-98288.264909999998</v>
      </c>
      <c r="V218" s="60">
        <f t="shared" si="41"/>
        <v>-46139.353479999998</v>
      </c>
      <c r="W218" s="60">
        <f t="shared" si="41"/>
        <v>-890.76955000000009</v>
      </c>
      <c r="X218" s="60">
        <f t="shared" si="41"/>
        <v>-278.52231</v>
      </c>
      <c r="Y218" s="60">
        <f t="shared" si="41"/>
        <v>-64642.268020000003</v>
      </c>
      <c r="Z218" s="15"/>
      <c r="AA218" s="15" t="s">
        <v>13</v>
      </c>
      <c r="AB218" s="60">
        <f t="shared" si="42"/>
        <v>104701.2279</v>
      </c>
      <c r="AC218" s="60">
        <f t="shared" si="42"/>
        <v>252929.49726</v>
      </c>
      <c r="AD218" s="60">
        <f t="shared" si="42"/>
        <v>118732.41927999999</v>
      </c>
      <c r="AE218" s="60">
        <f t="shared" si="42"/>
        <v>2292.2563</v>
      </c>
      <c r="AF218" s="60">
        <f t="shared" si="42"/>
        <v>716.7336600000001</v>
      </c>
      <c r="AG218" s="60">
        <f t="shared" si="42"/>
        <v>166346.77972000002</v>
      </c>
      <c r="AH218" s="27"/>
    </row>
    <row r="219" spans="1:34" x14ac:dyDescent="0.25">
      <c r="A219" s="31" t="s">
        <v>304</v>
      </c>
      <c r="B219" s="31" t="s">
        <v>305</v>
      </c>
      <c r="C219" s="24">
        <v>15672</v>
      </c>
      <c r="D219" s="24">
        <v>15672</v>
      </c>
      <c r="E219" s="24">
        <v>15672</v>
      </c>
      <c r="F219" s="24">
        <v>15978</v>
      </c>
      <c r="G219" s="24">
        <v>15978</v>
      </c>
      <c r="H219" s="24">
        <v>15978</v>
      </c>
      <c r="I219" s="24">
        <v>16284</v>
      </c>
      <c r="J219" s="24">
        <v>16284</v>
      </c>
      <c r="K219" s="24">
        <v>16284</v>
      </c>
      <c r="L219" s="24">
        <v>38176</v>
      </c>
      <c r="M219" s="24">
        <v>38176</v>
      </c>
      <c r="N219" s="24">
        <v>38176</v>
      </c>
      <c r="O219" s="24">
        <v>132661</v>
      </c>
      <c r="P219" s="24">
        <v>390990</v>
      </c>
      <c r="Q219" s="24">
        <v>30076</v>
      </c>
      <c r="R219" s="15">
        <f t="shared" si="40"/>
        <v>-0.60152000000016415</v>
      </c>
      <c r="S219" s="15" t="s">
        <v>13</v>
      </c>
      <c r="T219" s="60">
        <f t="shared" si="41"/>
        <v>-4876.8233999999993</v>
      </c>
      <c r="U219" s="60">
        <f t="shared" si="41"/>
        <v>-11781.069960000001</v>
      </c>
      <c r="V219" s="60">
        <f t="shared" si="41"/>
        <v>-5530.3748799999994</v>
      </c>
      <c r="W219" s="60">
        <f t="shared" si="41"/>
        <v>-106.7698</v>
      </c>
      <c r="X219" s="60">
        <f t="shared" si="41"/>
        <v>-33.384360000000001</v>
      </c>
      <c r="Y219" s="60">
        <f t="shared" si="41"/>
        <v>-7748.1791200000007</v>
      </c>
      <c r="Z219" s="15"/>
      <c r="AA219" s="15" t="s">
        <v>13</v>
      </c>
      <c r="AB219" s="60">
        <f t="shared" si="42"/>
        <v>-21510.98115</v>
      </c>
      <c r="AC219" s="60">
        <f t="shared" si="42"/>
        <v>-51964.640310000003</v>
      </c>
      <c r="AD219" s="60">
        <f t="shared" si="42"/>
        <v>-24393.704679999999</v>
      </c>
      <c r="AE219" s="60">
        <f t="shared" si="42"/>
        <v>-470.94655</v>
      </c>
      <c r="AF219" s="60">
        <f t="shared" si="42"/>
        <v>-147.25371000000001</v>
      </c>
      <c r="AG219" s="60">
        <f t="shared" si="42"/>
        <v>-34176.126820000005</v>
      </c>
      <c r="AH219" s="27">
        <f t="shared" ref="AH219:AH229" si="43">SUM(AB219:AG219)+O219</f>
        <v>-2.6532199999783188</v>
      </c>
    </row>
    <row r="220" spans="1:34" x14ac:dyDescent="0.25">
      <c r="A220" s="31" t="s">
        <v>306</v>
      </c>
      <c r="B220" s="31" t="s">
        <v>307</v>
      </c>
      <c r="C220" s="24">
        <v>29726</v>
      </c>
      <c r="D220" s="24">
        <v>29726</v>
      </c>
      <c r="E220" s="24">
        <v>29726</v>
      </c>
      <c r="F220" s="24">
        <v>82406</v>
      </c>
      <c r="G220" s="24">
        <v>82406</v>
      </c>
      <c r="H220" s="24">
        <v>82406</v>
      </c>
      <c r="I220" s="24">
        <v>127883</v>
      </c>
      <c r="J220" s="24">
        <v>127883</v>
      </c>
      <c r="K220" s="24">
        <v>127883</v>
      </c>
      <c r="L220" s="24">
        <v>120988</v>
      </c>
      <c r="M220" s="24">
        <v>120988</v>
      </c>
      <c r="N220" s="24">
        <v>120988</v>
      </c>
      <c r="O220" s="24">
        <v>-178954</v>
      </c>
      <c r="P220" s="24">
        <v>904053</v>
      </c>
      <c r="Q220" s="24">
        <v>69543</v>
      </c>
      <c r="R220" s="15">
        <f t="shared" si="40"/>
        <v>-1.3908599999995204</v>
      </c>
      <c r="S220" s="15" t="s">
        <v>13</v>
      </c>
      <c r="T220" s="60">
        <f t="shared" si="41"/>
        <v>-11276.397449999999</v>
      </c>
      <c r="U220" s="60">
        <f t="shared" si="41"/>
        <v>-27240.688529999999</v>
      </c>
      <c r="V220" s="60">
        <f t="shared" si="41"/>
        <v>-12787.56684</v>
      </c>
      <c r="W220" s="60">
        <f t="shared" si="41"/>
        <v>-246.87765000000002</v>
      </c>
      <c r="X220" s="60">
        <f t="shared" si="41"/>
        <v>-77.192730000000012</v>
      </c>
      <c r="Y220" s="60">
        <f t="shared" si="41"/>
        <v>-17915.667660000003</v>
      </c>
      <c r="Z220" s="15"/>
      <c r="AA220" s="15" t="s">
        <v>13</v>
      </c>
      <c r="AB220" s="60">
        <f t="shared" si="42"/>
        <v>29017.391099999997</v>
      </c>
      <c r="AC220" s="60">
        <f t="shared" si="42"/>
        <v>70098.071339999995</v>
      </c>
      <c r="AD220" s="60">
        <f t="shared" si="42"/>
        <v>32906.061519999996</v>
      </c>
      <c r="AE220" s="60">
        <f t="shared" si="42"/>
        <v>635.2867</v>
      </c>
      <c r="AF220" s="60">
        <f t="shared" si="42"/>
        <v>198.63894000000002</v>
      </c>
      <c r="AG220" s="60">
        <f t="shared" si="42"/>
        <v>46102.129480000003</v>
      </c>
      <c r="AH220" s="27">
        <f t="shared" si="43"/>
        <v>3.5790799999958836</v>
      </c>
    </row>
    <row r="221" spans="1:34" x14ac:dyDescent="0.25">
      <c r="A221" s="31" t="s">
        <v>308</v>
      </c>
      <c r="B221" s="31" t="s">
        <v>309</v>
      </c>
      <c r="C221" s="24">
        <v>-544432</v>
      </c>
      <c r="D221" s="24">
        <v>-544432</v>
      </c>
      <c r="E221" s="24">
        <v>-544432</v>
      </c>
      <c r="F221" s="24">
        <v>-544432</v>
      </c>
      <c r="G221" s="24">
        <v>-544432</v>
      </c>
      <c r="H221" s="24">
        <v>-544432</v>
      </c>
      <c r="I221" s="24">
        <v>-544432</v>
      </c>
      <c r="J221" s="24">
        <v>-544432</v>
      </c>
      <c r="K221" s="24">
        <v>-544432</v>
      </c>
      <c r="L221" s="24">
        <v>-544432</v>
      </c>
      <c r="M221" s="24">
        <v>-544432</v>
      </c>
      <c r="N221" s="24">
        <v>-544432</v>
      </c>
      <c r="O221" s="24">
        <v>0</v>
      </c>
      <c r="P221" s="24">
        <v>-6533184</v>
      </c>
      <c r="Q221" s="24">
        <v>-502553</v>
      </c>
      <c r="R221" s="15">
        <f t="shared" si="40"/>
        <v>10.051060000027064</v>
      </c>
      <c r="S221" s="15" t="s">
        <v>13</v>
      </c>
      <c r="T221" s="60">
        <f t="shared" si="41"/>
        <v>81488.968949999995</v>
      </c>
      <c r="U221" s="60">
        <f t="shared" si="41"/>
        <v>196855.03563</v>
      </c>
      <c r="V221" s="60">
        <f t="shared" si="41"/>
        <v>92409.445639999991</v>
      </c>
      <c r="W221" s="60">
        <f t="shared" si="41"/>
        <v>1784.0631500000002</v>
      </c>
      <c r="X221" s="60">
        <f t="shared" si="41"/>
        <v>557.83383000000003</v>
      </c>
      <c r="Y221" s="60">
        <f t="shared" si="41"/>
        <v>129467.70386000001</v>
      </c>
      <c r="Z221" s="15"/>
      <c r="AA221" s="15" t="s">
        <v>13</v>
      </c>
      <c r="AB221" s="60">
        <f t="shared" si="42"/>
        <v>0</v>
      </c>
      <c r="AC221" s="60">
        <f t="shared" si="42"/>
        <v>0</v>
      </c>
      <c r="AD221" s="60">
        <f t="shared" si="42"/>
        <v>0</v>
      </c>
      <c r="AE221" s="60">
        <f t="shared" si="42"/>
        <v>0</v>
      </c>
      <c r="AF221" s="60">
        <f t="shared" si="42"/>
        <v>0</v>
      </c>
      <c r="AG221" s="60">
        <f t="shared" si="42"/>
        <v>0</v>
      </c>
      <c r="AH221" s="27">
        <f t="shared" si="43"/>
        <v>0</v>
      </c>
    </row>
    <row r="222" spans="1:34" x14ac:dyDescent="0.25">
      <c r="A222" s="31" t="s">
        <v>310</v>
      </c>
      <c r="B222" s="31" t="s">
        <v>311</v>
      </c>
      <c r="C222" s="24">
        <v>556790</v>
      </c>
      <c r="D222" s="24">
        <v>556790</v>
      </c>
      <c r="E222" s="24">
        <v>556790</v>
      </c>
      <c r="F222" s="24">
        <v>556790</v>
      </c>
      <c r="G222" s="24">
        <v>556790</v>
      </c>
      <c r="H222" s="24">
        <v>556790</v>
      </c>
      <c r="I222" s="24">
        <v>556790</v>
      </c>
      <c r="J222" s="24">
        <v>556790</v>
      </c>
      <c r="K222" s="24">
        <v>556790</v>
      </c>
      <c r="L222" s="24">
        <v>556790</v>
      </c>
      <c r="M222" s="24">
        <v>556790</v>
      </c>
      <c r="N222" s="24">
        <v>556790</v>
      </c>
      <c r="O222" s="24">
        <v>0</v>
      </c>
      <c r="P222" s="24">
        <v>6681480</v>
      </c>
      <c r="Q222" s="24">
        <v>513960</v>
      </c>
      <c r="R222" s="15">
        <f t="shared" si="40"/>
        <v>-10.279200000048149</v>
      </c>
      <c r="S222" s="15" t="s">
        <v>13</v>
      </c>
      <c r="T222" s="60">
        <f t="shared" si="41"/>
        <v>-83338.614000000001</v>
      </c>
      <c r="U222" s="60">
        <f t="shared" si="41"/>
        <v>-201323.27160000001</v>
      </c>
      <c r="V222" s="60">
        <f t="shared" si="41"/>
        <v>-94506.964799999987</v>
      </c>
      <c r="W222" s="60">
        <f t="shared" si="41"/>
        <v>-1824.558</v>
      </c>
      <c r="X222" s="60">
        <f t="shared" si="41"/>
        <v>-570.49560000000008</v>
      </c>
      <c r="Y222" s="60">
        <f t="shared" si="41"/>
        <v>-132406.37520000001</v>
      </c>
      <c r="Z222" s="15"/>
      <c r="AA222" s="15" t="s">
        <v>13</v>
      </c>
      <c r="AB222" s="60">
        <f t="shared" si="42"/>
        <v>0</v>
      </c>
      <c r="AC222" s="60">
        <f t="shared" si="42"/>
        <v>0</v>
      </c>
      <c r="AD222" s="60">
        <f t="shared" si="42"/>
        <v>0</v>
      </c>
      <c r="AE222" s="60">
        <f t="shared" si="42"/>
        <v>0</v>
      </c>
      <c r="AF222" s="60">
        <f t="shared" si="42"/>
        <v>0</v>
      </c>
      <c r="AG222" s="60">
        <f t="shared" si="42"/>
        <v>0</v>
      </c>
      <c r="AH222" s="27">
        <f t="shared" si="43"/>
        <v>0</v>
      </c>
    </row>
    <row r="223" spans="1:34" x14ac:dyDescent="0.25">
      <c r="A223" s="31" t="s">
        <v>312</v>
      </c>
      <c r="B223" s="31" t="s">
        <v>313</v>
      </c>
      <c r="C223" s="24">
        <v>1196</v>
      </c>
      <c r="D223" s="24">
        <v>1196</v>
      </c>
      <c r="E223" s="24">
        <v>1196</v>
      </c>
      <c r="F223" s="24">
        <v>1196</v>
      </c>
      <c r="G223" s="24">
        <v>1196</v>
      </c>
      <c r="H223" s="24">
        <v>1196</v>
      </c>
      <c r="I223" s="24">
        <v>1196</v>
      </c>
      <c r="J223" s="24">
        <v>1196</v>
      </c>
      <c r="K223" s="24">
        <v>1196</v>
      </c>
      <c r="L223" s="24">
        <v>1196</v>
      </c>
      <c r="M223" s="24">
        <v>1196</v>
      </c>
      <c r="N223" s="24">
        <v>1196</v>
      </c>
      <c r="O223" s="24">
        <v>0</v>
      </c>
      <c r="P223" s="24">
        <v>14352</v>
      </c>
      <c r="Q223" s="24">
        <v>1104</v>
      </c>
      <c r="R223" s="15">
        <f t="shared" si="40"/>
        <v>-2.2080000000187283E-2</v>
      </c>
      <c r="S223" s="15" t="s">
        <v>13</v>
      </c>
      <c r="T223" s="60">
        <f>-$Q223*T$3</f>
        <v>-179.0136</v>
      </c>
      <c r="U223" s="60">
        <f t="shared" si="41"/>
        <v>-432.44783999999999</v>
      </c>
      <c r="V223" s="60">
        <f t="shared" si="41"/>
        <v>-203.00351999999998</v>
      </c>
      <c r="W223" s="60">
        <f t="shared" si="41"/>
        <v>-3.9192</v>
      </c>
      <c r="X223" s="60">
        <f t="shared" si="41"/>
        <v>-1.2254400000000001</v>
      </c>
      <c r="Y223" s="60">
        <f t="shared" si="41"/>
        <v>-284.41248000000002</v>
      </c>
      <c r="Z223" s="15"/>
      <c r="AA223" s="15" t="s">
        <v>13</v>
      </c>
      <c r="AB223" s="60">
        <f>-$O223*AB$3</f>
        <v>0</v>
      </c>
      <c r="AC223" s="60">
        <f t="shared" si="42"/>
        <v>0</v>
      </c>
      <c r="AD223" s="60">
        <f t="shared" si="42"/>
        <v>0</v>
      </c>
      <c r="AE223" s="60">
        <f t="shared" si="42"/>
        <v>0</v>
      </c>
      <c r="AF223" s="60">
        <f t="shared" si="42"/>
        <v>0</v>
      </c>
      <c r="AG223" s="60">
        <f t="shared" si="42"/>
        <v>0</v>
      </c>
      <c r="AH223" s="27">
        <f t="shared" si="43"/>
        <v>0</v>
      </c>
    </row>
    <row r="224" spans="1:34" x14ac:dyDescent="0.25">
      <c r="A224" s="31" t="s">
        <v>314</v>
      </c>
      <c r="B224" s="31" t="s">
        <v>315</v>
      </c>
      <c r="C224" s="24">
        <v>1796</v>
      </c>
      <c r="D224" s="24">
        <v>1796</v>
      </c>
      <c r="E224" s="24">
        <v>1796</v>
      </c>
      <c r="F224" s="24">
        <v>1796</v>
      </c>
      <c r="G224" s="24">
        <v>1796</v>
      </c>
      <c r="H224" s="24">
        <v>1796</v>
      </c>
      <c r="I224" s="24">
        <v>1796</v>
      </c>
      <c r="J224" s="24">
        <v>1796</v>
      </c>
      <c r="K224" s="24">
        <v>1796</v>
      </c>
      <c r="L224" s="24">
        <v>1796</v>
      </c>
      <c r="M224" s="24">
        <v>1796</v>
      </c>
      <c r="N224" s="24">
        <v>1796</v>
      </c>
      <c r="O224" s="24">
        <v>0</v>
      </c>
      <c r="P224" s="24">
        <v>21552</v>
      </c>
      <c r="Q224" s="24">
        <v>1658</v>
      </c>
      <c r="R224" s="15">
        <f t="shared" si="40"/>
        <v>-3.3159999999952561E-2</v>
      </c>
      <c r="S224" s="15" t="s">
        <v>13</v>
      </c>
      <c r="T224" s="60">
        <f>-$Q224*T$3</f>
        <v>-268.84469999999999</v>
      </c>
      <c r="U224" s="60">
        <f t="shared" si="41"/>
        <v>-649.45518000000004</v>
      </c>
      <c r="V224" s="60">
        <f t="shared" si="41"/>
        <v>-304.87304</v>
      </c>
      <c r="W224" s="60">
        <f t="shared" si="41"/>
        <v>-5.8859000000000004</v>
      </c>
      <c r="X224" s="60">
        <f t="shared" si="41"/>
        <v>-1.8403800000000001</v>
      </c>
      <c r="Y224" s="60">
        <f t="shared" si="41"/>
        <v>-427.13396</v>
      </c>
      <c r="Z224" s="15"/>
      <c r="AA224" s="15" t="s">
        <v>13</v>
      </c>
      <c r="AB224" s="60">
        <f>-$O224*AB$3</f>
        <v>0</v>
      </c>
      <c r="AC224" s="60">
        <f t="shared" si="42"/>
        <v>0</v>
      </c>
      <c r="AD224" s="60">
        <f t="shared" si="42"/>
        <v>0</v>
      </c>
      <c r="AE224" s="60">
        <f t="shared" si="42"/>
        <v>0</v>
      </c>
      <c r="AF224" s="60">
        <f t="shared" si="42"/>
        <v>0</v>
      </c>
      <c r="AG224" s="60">
        <f t="shared" si="42"/>
        <v>0</v>
      </c>
      <c r="AH224" s="27">
        <f t="shared" si="43"/>
        <v>0</v>
      </c>
    </row>
    <row r="225" spans="1:34" x14ac:dyDescent="0.25">
      <c r="A225" s="31" t="s">
        <v>316</v>
      </c>
      <c r="B225" s="31" t="s">
        <v>317</v>
      </c>
      <c r="C225" s="24">
        <v>-3559</v>
      </c>
      <c r="D225" s="24">
        <v>-3559</v>
      </c>
      <c r="E225" s="24">
        <v>-3559</v>
      </c>
      <c r="F225" s="24">
        <v>-3559</v>
      </c>
      <c r="G225" s="24">
        <v>-3559</v>
      </c>
      <c r="H225" s="24">
        <v>-3559</v>
      </c>
      <c r="I225" s="24">
        <v>-3559</v>
      </c>
      <c r="J225" s="24">
        <v>-3559</v>
      </c>
      <c r="K225" s="24">
        <v>-3559</v>
      </c>
      <c r="L225" s="24">
        <v>-3559</v>
      </c>
      <c r="M225" s="24">
        <v>-3559</v>
      </c>
      <c r="N225" s="24">
        <v>-3559</v>
      </c>
      <c r="O225" s="24">
        <v>0</v>
      </c>
      <c r="P225" s="24">
        <v>-42708</v>
      </c>
      <c r="Q225" s="24">
        <v>-3285</v>
      </c>
      <c r="R225" s="15">
        <f t="shared" si="40"/>
        <v>6.5700000000106229E-2</v>
      </c>
      <c r="S225" s="15" t="s">
        <v>13</v>
      </c>
      <c r="T225" s="60">
        <f t="shared" ref="T225:Y232" si="44">-$Q225*T$3</f>
        <v>532.66274999999996</v>
      </c>
      <c r="U225" s="60">
        <f t="shared" si="44"/>
        <v>1286.7673500000001</v>
      </c>
      <c r="V225" s="60">
        <f t="shared" si="44"/>
        <v>604.04579999999999</v>
      </c>
      <c r="W225" s="60">
        <f t="shared" si="44"/>
        <v>11.661750000000001</v>
      </c>
      <c r="X225" s="60">
        <f t="shared" si="44"/>
        <v>3.6463500000000004</v>
      </c>
      <c r="Y225" s="60">
        <f t="shared" si="44"/>
        <v>846.2817</v>
      </c>
      <c r="Z225" s="15"/>
      <c r="AA225" s="15" t="s">
        <v>13</v>
      </c>
      <c r="AB225" s="60">
        <f t="shared" ref="AB225:AG232" si="45">-$O225*AB$3</f>
        <v>0</v>
      </c>
      <c r="AC225" s="60">
        <f t="shared" si="45"/>
        <v>0</v>
      </c>
      <c r="AD225" s="60">
        <f t="shared" si="45"/>
        <v>0</v>
      </c>
      <c r="AE225" s="60">
        <f t="shared" si="45"/>
        <v>0</v>
      </c>
      <c r="AF225" s="60">
        <f t="shared" si="45"/>
        <v>0</v>
      </c>
      <c r="AG225" s="60">
        <f t="shared" si="45"/>
        <v>0</v>
      </c>
      <c r="AH225" s="27">
        <f t="shared" si="43"/>
        <v>0</v>
      </c>
    </row>
    <row r="226" spans="1:34" x14ac:dyDescent="0.25">
      <c r="A226" s="31" t="s">
        <v>318</v>
      </c>
      <c r="B226" s="31" t="s">
        <v>319</v>
      </c>
      <c r="C226" s="24">
        <v>1483</v>
      </c>
      <c r="D226" s="24">
        <v>1483</v>
      </c>
      <c r="E226" s="24">
        <v>1483</v>
      </c>
      <c r="F226" s="24">
        <v>1483</v>
      </c>
      <c r="G226" s="24">
        <v>1483</v>
      </c>
      <c r="H226" s="24">
        <v>1483</v>
      </c>
      <c r="I226" s="24">
        <v>1483</v>
      </c>
      <c r="J226" s="24">
        <v>1483</v>
      </c>
      <c r="K226" s="24">
        <v>1483</v>
      </c>
      <c r="L226" s="24">
        <v>1483</v>
      </c>
      <c r="M226" s="24">
        <v>1483</v>
      </c>
      <c r="N226" s="24">
        <v>1483</v>
      </c>
      <c r="O226" s="24">
        <v>0</v>
      </c>
      <c r="P226" s="24">
        <v>17796</v>
      </c>
      <c r="Q226" s="24">
        <v>1369</v>
      </c>
      <c r="R226" s="15">
        <f t="shared" si="40"/>
        <v>-2.7379999999993743E-2</v>
      </c>
      <c r="S226" s="15" t="s">
        <v>13</v>
      </c>
      <c r="T226" s="60">
        <f t="shared" si="44"/>
        <v>-221.98334999999997</v>
      </c>
      <c r="U226" s="60">
        <f t="shared" si="44"/>
        <v>-536.25099</v>
      </c>
      <c r="V226" s="60">
        <f t="shared" si="44"/>
        <v>-251.73172</v>
      </c>
      <c r="W226" s="60">
        <f t="shared" si="44"/>
        <v>-4.8599500000000004</v>
      </c>
      <c r="X226" s="60">
        <f t="shared" si="44"/>
        <v>-1.5195900000000002</v>
      </c>
      <c r="Y226" s="60">
        <f t="shared" si="44"/>
        <v>-352.68178</v>
      </c>
      <c r="Z226" s="15"/>
      <c r="AA226" s="15" t="s">
        <v>13</v>
      </c>
      <c r="AB226" s="60">
        <f t="shared" si="45"/>
        <v>0</v>
      </c>
      <c r="AC226" s="60">
        <f t="shared" si="45"/>
        <v>0</v>
      </c>
      <c r="AD226" s="60">
        <f t="shared" si="45"/>
        <v>0</v>
      </c>
      <c r="AE226" s="60">
        <f t="shared" si="45"/>
        <v>0</v>
      </c>
      <c r="AF226" s="60">
        <f t="shared" si="45"/>
        <v>0</v>
      </c>
      <c r="AG226" s="60">
        <f t="shared" si="45"/>
        <v>0</v>
      </c>
      <c r="AH226" s="27">
        <f t="shared" si="43"/>
        <v>0</v>
      </c>
    </row>
    <row r="227" spans="1:34" x14ac:dyDescent="0.25">
      <c r="A227" s="31" t="s">
        <v>320</v>
      </c>
      <c r="B227" s="31" t="s">
        <v>321</v>
      </c>
      <c r="C227" s="24">
        <v>-1022941</v>
      </c>
      <c r="D227" s="24">
        <v>-1022941</v>
      </c>
      <c r="E227" s="24">
        <v>-1022941</v>
      </c>
      <c r="F227" s="24">
        <v>-1015465</v>
      </c>
      <c r="G227" s="24">
        <v>-1015465</v>
      </c>
      <c r="H227" s="24">
        <v>-1015465</v>
      </c>
      <c r="I227" s="24">
        <v>-1007989</v>
      </c>
      <c r="J227" s="24">
        <v>-1007989</v>
      </c>
      <c r="K227" s="24">
        <v>-1007989</v>
      </c>
      <c r="L227" s="24">
        <v>-1000513</v>
      </c>
      <c r="M227" s="24">
        <v>-1000513</v>
      </c>
      <c r="N227" s="24">
        <v>-1000513</v>
      </c>
      <c r="O227" s="24">
        <v>146357</v>
      </c>
      <c r="P227" s="24">
        <v>-11994367</v>
      </c>
      <c r="Q227" s="24">
        <v>-922644</v>
      </c>
      <c r="R227" s="15">
        <f t="shared" si="40"/>
        <v>18.452879999880679</v>
      </c>
      <c r="S227" s="15" t="s">
        <v>13</v>
      </c>
      <c r="T227" s="60">
        <f t="shared" si="44"/>
        <v>149606.72459999999</v>
      </c>
      <c r="U227" s="60">
        <f t="shared" si="44"/>
        <v>361408.88124000002</v>
      </c>
      <c r="V227" s="60">
        <f t="shared" si="44"/>
        <v>169655.77872</v>
      </c>
      <c r="W227" s="60">
        <f t="shared" si="44"/>
        <v>3275.3862000000004</v>
      </c>
      <c r="X227" s="60">
        <f t="shared" si="44"/>
        <v>1024.1348400000002</v>
      </c>
      <c r="Y227" s="60">
        <f t="shared" si="44"/>
        <v>237691.54728000003</v>
      </c>
      <c r="Z227" s="15"/>
      <c r="AA227" s="15" t="s">
        <v>13</v>
      </c>
      <c r="AB227" s="60">
        <f t="shared" si="45"/>
        <v>-23731.787549999997</v>
      </c>
      <c r="AC227" s="60">
        <f t="shared" si="45"/>
        <v>-57329.500469999999</v>
      </c>
      <c r="AD227" s="60">
        <f t="shared" si="45"/>
        <v>-26912.12516</v>
      </c>
      <c r="AE227" s="60">
        <f t="shared" si="45"/>
        <v>-519.56735000000003</v>
      </c>
      <c r="AF227" s="60">
        <f t="shared" si="45"/>
        <v>-162.45627000000002</v>
      </c>
      <c r="AG227" s="60">
        <f t="shared" si="45"/>
        <v>-37704.490340000004</v>
      </c>
      <c r="AH227" s="27">
        <f t="shared" si="43"/>
        <v>-2.9271399999852292</v>
      </c>
    </row>
    <row r="228" spans="1:34" x14ac:dyDescent="0.25">
      <c r="A228" s="31" t="s">
        <v>322</v>
      </c>
      <c r="B228" s="31" t="s">
        <v>323</v>
      </c>
      <c r="C228" s="24">
        <v>5523</v>
      </c>
      <c r="D228" s="24">
        <v>5523</v>
      </c>
      <c r="E228" s="24">
        <v>5523</v>
      </c>
      <c r="F228" s="24">
        <v>5523</v>
      </c>
      <c r="G228" s="24">
        <v>5523</v>
      </c>
      <c r="H228" s="24">
        <v>5523</v>
      </c>
      <c r="I228" s="24">
        <v>5523</v>
      </c>
      <c r="J228" s="24">
        <v>5523</v>
      </c>
      <c r="K228" s="24">
        <v>5523</v>
      </c>
      <c r="L228" s="24">
        <v>5523</v>
      </c>
      <c r="M228" s="24">
        <v>5523</v>
      </c>
      <c r="N228" s="24">
        <v>5523</v>
      </c>
      <c r="O228" s="24">
        <v>0</v>
      </c>
      <c r="P228" s="24">
        <v>66276</v>
      </c>
      <c r="Q228" s="24">
        <v>5098</v>
      </c>
      <c r="R228" s="15">
        <f t="shared" si="40"/>
        <v>-0.10195999999996275</v>
      </c>
      <c r="S228" s="15" t="s">
        <v>13</v>
      </c>
      <c r="T228" s="60">
        <f t="shared" si="44"/>
        <v>-826.64069999999992</v>
      </c>
      <c r="U228" s="60">
        <f t="shared" si="44"/>
        <v>-1996.93758</v>
      </c>
      <c r="V228" s="60">
        <f t="shared" si="44"/>
        <v>-937.42023999999992</v>
      </c>
      <c r="W228" s="60">
        <f t="shared" si="44"/>
        <v>-18.097900000000003</v>
      </c>
      <c r="X228" s="60">
        <f t="shared" si="44"/>
        <v>-5.6587800000000001</v>
      </c>
      <c r="Y228" s="60">
        <f t="shared" si="44"/>
        <v>-1313.3467600000001</v>
      </c>
      <c r="Z228" s="15"/>
      <c r="AA228" s="15" t="s">
        <v>13</v>
      </c>
      <c r="AB228" s="60">
        <f t="shared" si="45"/>
        <v>0</v>
      </c>
      <c r="AC228" s="60">
        <f t="shared" si="45"/>
        <v>0</v>
      </c>
      <c r="AD228" s="60">
        <f t="shared" si="45"/>
        <v>0</v>
      </c>
      <c r="AE228" s="60">
        <f t="shared" si="45"/>
        <v>0</v>
      </c>
      <c r="AF228" s="60">
        <f t="shared" si="45"/>
        <v>0</v>
      </c>
      <c r="AG228" s="60">
        <f t="shared" si="45"/>
        <v>0</v>
      </c>
      <c r="AH228" s="27">
        <f t="shared" si="43"/>
        <v>0</v>
      </c>
    </row>
    <row r="229" spans="1:34" x14ac:dyDescent="0.25">
      <c r="A229" s="31" t="s">
        <v>324</v>
      </c>
      <c r="B229" s="31" t="s">
        <v>325</v>
      </c>
      <c r="C229" s="24">
        <v>220186</v>
      </c>
      <c r="D229" s="24">
        <v>220186</v>
      </c>
      <c r="E229" s="24">
        <v>220186</v>
      </c>
      <c r="F229" s="24">
        <v>220186</v>
      </c>
      <c r="G229" s="24">
        <v>220186</v>
      </c>
      <c r="H229" s="24">
        <v>220186</v>
      </c>
      <c r="I229" s="24">
        <v>220186</v>
      </c>
      <c r="J229" s="24">
        <v>220186</v>
      </c>
      <c r="K229" s="24">
        <v>220186</v>
      </c>
      <c r="L229" s="24">
        <v>220186</v>
      </c>
      <c r="M229" s="24">
        <v>220186</v>
      </c>
      <c r="N229" s="24">
        <v>220186</v>
      </c>
      <c r="O229" s="24">
        <v>0</v>
      </c>
      <c r="P229" s="24">
        <v>2642232</v>
      </c>
      <c r="Q229" s="24">
        <v>203249</v>
      </c>
      <c r="R229" s="15">
        <f t="shared" si="40"/>
        <v>-4.0649799999955576</v>
      </c>
      <c r="S229" s="15" t="s">
        <v>13</v>
      </c>
      <c r="T229" s="60">
        <f t="shared" si="44"/>
        <v>-32956.825349999999</v>
      </c>
      <c r="U229" s="60">
        <f t="shared" si="44"/>
        <v>-79614.665789999999</v>
      </c>
      <c r="V229" s="60">
        <f t="shared" si="44"/>
        <v>-37373.426119999996</v>
      </c>
      <c r="W229" s="60">
        <f t="shared" si="44"/>
        <v>-721.53395</v>
      </c>
      <c r="X229" s="60">
        <f t="shared" si="44"/>
        <v>-225.60639</v>
      </c>
      <c r="Y229" s="60">
        <f t="shared" si="44"/>
        <v>-52361.007380000003</v>
      </c>
      <c r="Z229" s="15"/>
      <c r="AA229" s="15" t="s">
        <v>13</v>
      </c>
      <c r="AB229" s="60">
        <f t="shared" si="45"/>
        <v>0</v>
      </c>
      <c r="AC229" s="60">
        <f t="shared" si="45"/>
        <v>0</v>
      </c>
      <c r="AD229" s="60">
        <f t="shared" si="45"/>
        <v>0</v>
      </c>
      <c r="AE229" s="60">
        <f t="shared" si="45"/>
        <v>0</v>
      </c>
      <c r="AF229" s="60">
        <f t="shared" si="45"/>
        <v>0</v>
      </c>
      <c r="AG229" s="60">
        <f t="shared" si="45"/>
        <v>0</v>
      </c>
      <c r="AH229" s="27">
        <f t="shared" si="43"/>
        <v>0</v>
      </c>
    </row>
    <row r="230" spans="1:34" x14ac:dyDescent="0.25">
      <c r="A230" s="31" t="s">
        <v>326</v>
      </c>
      <c r="B230" s="31" t="s">
        <v>327</v>
      </c>
      <c r="C230" s="24">
        <v>5054</v>
      </c>
      <c r="D230" s="24">
        <v>5054</v>
      </c>
      <c r="E230" s="24">
        <v>5054</v>
      </c>
      <c r="F230" s="24">
        <v>5054</v>
      </c>
      <c r="G230" s="24">
        <v>5054</v>
      </c>
      <c r="H230" s="24">
        <v>5054</v>
      </c>
      <c r="I230" s="24">
        <v>5054</v>
      </c>
      <c r="J230" s="24">
        <v>5054</v>
      </c>
      <c r="K230" s="24">
        <v>5054</v>
      </c>
      <c r="L230" s="24">
        <v>5054</v>
      </c>
      <c r="M230" s="24">
        <v>5054</v>
      </c>
      <c r="N230" s="24">
        <v>5054</v>
      </c>
      <c r="O230" s="24">
        <v>0</v>
      </c>
      <c r="P230" s="24">
        <v>60648</v>
      </c>
      <c r="Q230" s="24">
        <v>4665</v>
      </c>
      <c r="R230" s="15"/>
      <c r="S230" s="15" t="s">
        <v>13</v>
      </c>
      <c r="T230" s="60">
        <f t="shared" si="44"/>
        <v>-756.4297499999999</v>
      </c>
      <c r="U230" s="60">
        <f t="shared" si="44"/>
        <v>-1827.3271500000001</v>
      </c>
      <c r="V230" s="60">
        <f t="shared" si="44"/>
        <v>-857.8001999999999</v>
      </c>
      <c r="W230" s="60">
        <f t="shared" si="44"/>
        <v>-16.560750000000002</v>
      </c>
      <c r="X230" s="60">
        <f t="shared" si="44"/>
        <v>-5.1781500000000005</v>
      </c>
      <c r="Y230" s="60">
        <f t="shared" si="44"/>
        <v>-1201.7973000000002</v>
      </c>
      <c r="Z230" s="15"/>
      <c r="AA230" s="15" t="s">
        <v>13</v>
      </c>
      <c r="AB230" s="60">
        <f t="shared" si="45"/>
        <v>0</v>
      </c>
      <c r="AC230" s="60">
        <f t="shared" si="45"/>
        <v>0</v>
      </c>
      <c r="AD230" s="60">
        <f t="shared" si="45"/>
        <v>0</v>
      </c>
      <c r="AE230" s="60">
        <f t="shared" si="45"/>
        <v>0</v>
      </c>
      <c r="AF230" s="60">
        <f t="shared" si="45"/>
        <v>0</v>
      </c>
      <c r="AG230" s="60">
        <f t="shared" si="45"/>
        <v>0</v>
      </c>
      <c r="AH230" s="27"/>
    </row>
    <row r="231" spans="1:34" x14ac:dyDescent="0.25">
      <c r="A231" s="31" t="s">
        <v>328</v>
      </c>
      <c r="B231" s="31" t="s">
        <v>329</v>
      </c>
      <c r="C231" s="24">
        <v>8914</v>
      </c>
      <c r="D231" s="24">
        <v>8244</v>
      </c>
      <c r="E231" s="24">
        <v>7574</v>
      </c>
      <c r="F231" s="24">
        <v>6904</v>
      </c>
      <c r="G231" s="24">
        <v>6234</v>
      </c>
      <c r="H231" s="24">
        <v>5564</v>
      </c>
      <c r="I231" s="24">
        <v>4894</v>
      </c>
      <c r="J231" s="24">
        <v>4224</v>
      </c>
      <c r="K231" s="24">
        <v>3554</v>
      </c>
      <c r="L231" s="24">
        <v>2884</v>
      </c>
      <c r="M231" s="24">
        <v>2214</v>
      </c>
      <c r="N231" s="24">
        <v>1544</v>
      </c>
      <c r="O231" s="24">
        <v>874</v>
      </c>
      <c r="P231" s="24">
        <v>63622</v>
      </c>
      <c r="Q231" s="24">
        <v>4894</v>
      </c>
      <c r="R231" s="15"/>
      <c r="S231" s="15" t="s">
        <v>13</v>
      </c>
      <c r="T231" s="60">
        <f t="shared" si="44"/>
        <v>-793.56209999999999</v>
      </c>
      <c r="U231" s="60">
        <f t="shared" si="44"/>
        <v>-1917.02874</v>
      </c>
      <c r="V231" s="60">
        <f t="shared" si="44"/>
        <v>-899.9087199999999</v>
      </c>
      <c r="W231" s="60">
        <f t="shared" si="44"/>
        <v>-17.373699999999999</v>
      </c>
      <c r="X231" s="60">
        <f t="shared" si="44"/>
        <v>-5.4323400000000008</v>
      </c>
      <c r="Y231" s="60">
        <f t="shared" si="44"/>
        <v>-1260.7922800000001</v>
      </c>
      <c r="Z231" s="15"/>
      <c r="AA231" s="15" t="s">
        <v>13</v>
      </c>
      <c r="AB231" s="60">
        <f t="shared" si="45"/>
        <v>-141.7191</v>
      </c>
      <c r="AC231" s="60">
        <f t="shared" si="45"/>
        <v>-342.35453999999999</v>
      </c>
      <c r="AD231" s="60">
        <f t="shared" si="45"/>
        <v>-160.71111999999999</v>
      </c>
      <c r="AE231" s="60">
        <f t="shared" si="45"/>
        <v>-3.1027</v>
      </c>
      <c r="AF231" s="60">
        <f t="shared" si="45"/>
        <v>-0.97014000000000011</v>
      </c>
      <c r="AG231" s="60">
        <f t="shared" si="45"/>
        <v>-225.15988000000002</v>
      </c>
      <c r="AH231" s="27"/>
    </row>
    <row r="232" spans="1:34" x14ac:dyDescent="0.25">
      <c r="A232" s="31" t="s">
        <v>330</v>
      </c>
      <c r="B232" s="31" t="s">
        <v>331</v>
      </c>
      <c r="C232" s="24">
        <v>-92290</v>
      </c>
      <c r="D232" s="24">
        <v>-92290</v>
      </c>
      <c r="E232" s="24">
        <v>-92290</v>
      </c>
      <c r="F232" s="24">
        <v>-92290</v>
      </c>
      <c r="G232" s="24">
        <v>-92290</v>
      </c>
      <c r="H232" s="24">
        <v>-92290</v>
      </c>
      <c r="I232" s="24">
        <v>-92290</v>
      </c>
      <c r="J232" s="24">
        <v>-92290</v>
      </c>
      <c r="K232" s="24">
        <v>-92290</v>
      </c>
      <c r="L232" s="24">
        <v>-92290</v>
      </c>
      <c r="M232" s="24">
        <v>-92290</v>
      </c>
      <c r="N232" s="24">
        <v>-92290</v>
      </c>
      <c r="O232" s="24">
        <v>0</v>
      </c>
      <c r="P232" s="24">
        <v>-1107480</v>
      </c>
      <c r="Q232" s="24">
        <v>-85191</v>
      </c>
      <c r="R232" s="15"/>
      <c r="S232" s="15" t="s">
        <v>13</v>
      </c>
      <c r="T232" s="60">
        <f t="shared" si="44"/>
        <v>13813.720649999999</v>
      </c>
      <c r="U232" s="60">
        <f t="shared" si="44"/>
        <v>33370.16661</v>
      </c>
      <c r="V232" s="60">
        <f t="shared" si="44"/>
        <v>15664.921079999998</v>
      </c>
      <c r="W232" s="60">
        <f t="shared" si="44"/>
        <v>302.42805000000004</v>
      </c>
      <c r="X232" s="60">
        <f t="shared" si="44"/>
        <v>94.562010000000001</v>
      </c>
      <c r="Y232" s="60">
        <f t="shared" si="44"/>
        <v>21946.905420000003</v>
      </c>
      <c r="Z232" s="15"/>
      <c r="AA232" s="15" t="s">
        <v>13</v>
      </c>
      <c r="AB232" s="60">
        <f t="shared" si="45"/>
        <v>0</v>
      </c>
      <c r="AC232" s="60">
        <f t="shared" si="45"/>
        <v>0</v>
      </c>
      <c r="AD232" s="60">
        <f t="shared" si="45"/>
        <v>0</v>
      </c>
      <c r="AE232" s="60">
        <f t="shared" si="45"/>
        <v>0</v>
      </c>
      <c r="AF232" s="60">
        <f t="shared" si="45"/>
        <v>0</v>
      </c>
      <c r="AG232" s="60">
        <f t="shared" si="45"/>
        <v>0</v>
      </c>
      <c r="AH232" s="27"/>
    </row>
    <row r="233" spans="1:34" x14ac:dyDescent="0.25">
      <c r="A233" s="35"/>
      <c r="B233" s="35"/>
      <c r="C233" s="36" t="s">
        <v>67</v>
      </c>
      <c r="D233" s="36" t="s">
        <v>67</v>
      </c>
      <c r="E233" s="36" t="s">
        <v>67</v>
      </c>
      <c r="F233" s="36" t="s">
        <v>67</v>
      </c>
      <c r="G233" s="36" t="s">
        <v>67</v>
      </c>
      <c r="H233" s="36" t="s">
        <v>67</v>
      </c>
      <c r="I233" s="36" t="s">
        <v>67</v>
      </c>
      <c r="J233" s="36" t="s">
        <v>67</v>
      </c>
      <c r="K233" s="36" t="s">
        <v>67</v>
      </c>
      <c r="L233" s="36" t="s">
        <v>67</v>
      </c>
      <c r="M233" s="36" t="s">
        <v>67</v>
      </c>
      <c r="N233" s="36" t="s">
        <v>67</v>
      </c>
      <c r="O233" s="36" t="s">
        <v>67</v>
      </c>
      <c r="P233" s="36" t="s">
        <v>67</v>
      </c>
      <c r="Q233" s="36" t="s">
        <v>67</v>
      </c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27"/>
    </row>
    <row r="234" spans="1:34" x14ac:dyDescent="0.25">
      <c r="A234" s="37" t="s">
        <v>332</v>
      </c>
      <c r="B234" s="38"/>
      <c r="C234" s="39">
        <v>-653081</v>
      </c>
      <c r="D234" s="39">
        <v>-653751</v>
      </c>
      <c r="E234" s="39">
        <v>-654421</v>
      </c>
      <c r="F234" s="39">
        <v>-403443</v>
      </c>
      <c r="G234" s="39">
        <v>-404113</v>
      </c>
      <c r="H234" s="39">
        <v>-404783</v>
      </c>
      <c r="I234" s="39">
        <v>-187002</v>
      </c>
      <c r="J234" s="39">
        <v>-187672</v>
      </c>
      <c r="K234" s="39">
        <v>-188342</v>
      </c>
      <c r="L234" s="39">
        <v>-112425</v>
      </c>
      <c r="M234" s="39">
        <v>-113095</v>
      </c>
      <c r="N234" s="39">
        <v>-113765</v>
      </c>
      <c r="O234" s="39">
        <v>-66102</v>
      </c>
      <c r="P234" s="39">
        <v>-4141995</v>
      </c>
      <c r="Q234" s="39">
        <v>-318615</v>
      </c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27"/>
    </row>
    <row r="235" spans="1:34" x14ac:dyDescent="0.25">
      <c r="A235" s="35"/>
      <c r="B235" s="35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27"/>
    </row>
    <row r="236" spans="1:34" x14ac:dyDescent="0.25">
      <c r="A236" s="37" t="s">
        <v>333</v>
      </c>
      <c r="B236" s="38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27"/>
    </row>
    <row r="237" spans="1:34" x14ac:dyDescent="0.25">
      <c r="A237" s="31" t="s">
        <v>334</v>
      </c>
      <c r="B237" s="31" t="s">
        <v>335</v>
      </c>
      <c r="C237" s="24">
        <v>-336892</v>
      </c>
      <c r="D237" s="24">
        <v>-332882</v>
      </c>
      <c r="E237" s="24">
        <v>-328871</v>
      </c>
      <c r="F237" s="24">
        <v>-324861</v>
      </c>
      <c r="G237" s="24">
        <v>-320850</v>
      </c>
      <c r="H237" s="24">
        <v>-316840</v>
      </c>
      <c r="I237" s="24">
        <v>-312830</v>
      </c>
      <c r="J237" s="24">
        <v>-308820</v>
      </c>
      <c r="K237" s="24">
        <v>-304810</v>
      </c>
      <c r="L237" s="24">
        <v>-300800</v>
      </c>
      <c r="M237" s="24">
        <v>-296790</v>
      </c>
      <c r="N237" s="24">
        <v>-292780</v>
      </c>
      <c r="O237" s="24">
        <v>-288770</v>
      </c>
      <c r="P237" s="24">
        <v>-4066791</v>
      </c>
      <c r="Q237" s="24">
        <v>-312830</v>
      </c>
      <c r="R237" s="15">
        <f>SUM(T237:Y237)+Q237</f>
        <v>6.2565999999642372</v>
      </c>
      <c r="S237" s="15" t="s">
        <v>13</v>
      </c>
      <c r="T237" s="60">
        <f t="shared" ref="T237:Y238" si="46">-$Q237*T$3</f>
        <v>50725.384499999993</v>
      </c>
      <c r="U237" s="60">
        <f t="shared" si="46"/>
        <v>122538.6393</v>
      </c>
      <c r="V237" s="60">
        <f t="shared" si="46"/>
        <v>57523.180399999997</v>
      </c>
      <c r="W237" s="60">
        <f t="shared" si="46"/>
        <v>1110.5465000000002</v>
      </c>
      <c r="X237" s="60">
        <f t="shared" si="46"/>
        <v>347.24130000000002</v>
      </c>
      <c r="Y237" s="60">
        <f t="shared" si="46"/>
        <v>80591.26460000001</v>
      </c>
      <c r="Z237" s="15"/>
      <c r="AA237" s="15" t="s">
        <v>13</v>
      </c>
      <c r="AB237" s="60">
        <f t="shared" ref="AB237:AG238" si="47">-$O237*AB$3</f>
        <v>46824.055499999995</v>
      </c>
      <c r="AC237" s="60">
        <f t="shared" si="47"/>
        <v>113114.09669999999</v>
      </c>
      <c r="AD237" s="60">
        <f t="shared" si="47"/>
        <v>53099.027599999994</v>
      </c>
      <c r="AE237" s="60">
        <f t="shared" si="47"/>
        <v>1025.1335000000001</v>
      </c>
      <c r="AF237" s="60">
        <f t="shared" si="47"/>
        <v>320.53470000000004</v>
      </c>
      <c r="AG237" s="60">
        <f t="shared" si="47"/>
        <v>74392.9274</v>
      </c>
      <c r="AH237" s="27">
        <f>SUM(AB237:AG237)+O237</f>
        <v>5.7753999999840744</v>
      </c>
    </row>
    <row r="238" spans="1:34" x14ac:dyDescent="0.25">
      <c r="A238" s="31" t="s">
        <v>336</v>
      </c>
      <c r="B238" s="31" t="s">
        <v>337</v>
      </c>
      <c r="C238" s="24">
        <v>301770</v>
      </c>
      <c r="D238" s="24">
        <v>300404</v>
      </c>
      <c r="E238" s="24">
        <v>299038</v>
      </c>
      <c r="F238" s="24">
        <v>297672</v>
      </c>
      <c r="G238" s="24">
        <v>296306</v>
      </c>
      <c r="H238" s="24">
        <v>294940</v>
      </c>
      <c r="I238" s="24">
        <v>293575</v>
      </c>
      <c r="J238" s="24">
        <v>292210</v>
      </c>
      <c r="K238" s="24">
        <v>290845</v>
      </c>
      <c r="L238" s="24">
        <v>289480</v>
      </c>
      <c r="M238" s="24">
        <v>288115</v>
      </c>
      <c r="N238" s="24">
        <v>286750</v>
      </c>
      <c r="O238" s="24">
        <v>285385</v>
      </c>
      <c r="P238" s="24">
        <v>3816495</v>
      </c>
      <c r="Q238" s="24">
        <v>293577</v>
      </c>
      <c r="R238" s="15">
        <f>SUM(T238:Y238)+Q238</f>
        <v>-5.8715399999637157</v>
      </c>
      <c r="S238" s="15" t="s">
        <v>13</v>
      </c>
      <c r="T238" s="60">
        <f t="shared" si="46"/>
        <v>-47603.510549999999</v>
      </c>
      <c r="U238" s="60">
        <f t="shared" si="46"/>
        <v>-114997.04667</v>
      </c>
      <c r="V238" s="60">
        <f t="shared" si="46"/>
        <v>-53982.938759999997</v>
      </c>
      <c r="W238" s="60">
        <f t="shared" si="46"/>
        <v>-1042.1983500000001</v>
      </c>
      <c r="X238" s="60">
        <f t="shared" si="46"/>
        <v>-325.87047000000001</v>
      </c>
      <c r="Y238" s="60">
        <f t="shared" si="46"/>
        <v>-75631.30674</v>
      </c>
      <c r="Z238" s="15"/>
      <c r="AA238" s="15" t="s">
        <v>13</v>
      </c>
      <c r="AB238" s="60">
        <f t="shared" si="47"/>
        <v>-46275.177749999995</v>
      </c>
      <c r="AC238" s="60">
        <f t="shared" si="47"/>
        <v>-111788.15835</v>
      </c>
      <c r="AD238" s="60">
        <f t="shared" si="47"/>
        <v>-52476.593799999995</v>
      </c>
      <c r="AE238" s="60">
        <f t="shared" si="47"/>
        <v>-1013.11675</v>
      </c>
      <c r="AF238" s="60">
        <f t="shared" si="47"/>
        <v>-316.77735000000001</v>
      </c>
      <c r="AG238" s="60">
        <f t="shared" si="47"/>
        <v>-73520.883700000006</v>
      </c>
      <c r="AH238" s="27">
        <f>SUM(AB238:AG238)+O238</f>
        <v>-5.7076999999699183</v>
      </c>
    </row>
    <row r="239" spans="1:34" x14ac:dyDescent="0.25">
      <c r="A239" s="35"/>
      <c r="B239" s="35"/>
      <c r="C239" s="36" t="s">
        <v>67</v>
      </c>
      <c r="D239" s="36" t="s">
        <v>67</v>
      </c>
      <c r="E239" s="36" t="s">
        <v>67</v>
      </c>
      <c r="F239" s="36" t="s">
        <v>67</v>
      </c>
      <c r="G239" s="36" t="s">
        <v>67</v>
      </c>
      <c r="H239" s="36" t="s">
        <v>67</v>
      </c>
      <c r="I239" s="36" t="s">
        <v>67</v>
      </c>
      <c r="J239" s="36" t="s">
        <v>67</v>
      </c>
      <c r="K239" s="36" t="s">
        <v>67</v>
      </c>
      <c r="L239" s="36" t="s">
        <v>67</v>
      </c>
      <c r="M239" s="36" t="s">
        <v>67</v>
      </c>
      <c r="N239" s="36" t="s">
        <v>67</v>
      </c>
      <c r="O239" s="36" t="s">
        <v>67</v>
      </c>
      <c r="P239" s="36" t="s">
        <v>67</v>
      </c>
      <c r="Q239" s="36" t="s">
        <v>67</v>
      </c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27"/>
    </row>
    <row r="240" spans="1:34" x14ac:dyDescent="0.25">
      <c r="A240" s="37" t="s">
        <v>338</v>
      </c>
      <c r="B240" s="38"/>
      <c r="C240" s="39">
        <v>-35122</v>
      </c>
      <c r="D240" s="39">
        <v>-32477</v>
      </c>
      <c r="E240" s="39">
        <v>-29833</v>
      </c>
      <c r="F240" s="39">
        <v>-27188</v>
      </c>
      <c r="G240" s="39">
        <v>-24544</v>
      </c>
      <c r="H240" s="39">
        <v>-21899</v>
      </c>
      <c r="I240" s="39">
        <v>-19254</v>
      </c>
      <c r="J240" s="39">
        <v>-16609</v>
      </c>
      <c r="K240" s="39">
        <v>-13964</v>
      </c>
      <c r="L240" s="39">
        <v>-11319</v>
      </c>
      <c r="M240" s="39">
        <v>-8674</v>
      </c>
      <c r="N240" s="39">
        <v>-6029</v>
      </c>
      <c r="O240" s="39">
        <v>-3384</v>
      </c>
      <c r="P240" s="39">
        <v>-250297</v>
      </c>
      <c r="Q240" s="39">
        <v>-19254</v>
      </c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27"/>
    </row>
    <row r="241" spans="1:34" x14ac:dyDescent="0.25">
      <c r="A241" s="35"/>
      <c r="B241" s="35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27"/>
    </row>
    <row r="242" spans="1:34" x14ac:dyDescent="0.25">
      <c r="A242" s="21" t="s">
        <v>339</v>
      </c>
      <c r="B242" s="22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27"/>
    </row>
    <row r="243" spans="1:34" x14ac:dyDescent="0.25">
      <c r="A243" s="13" t="s">
        <v>340</v>
      </c>
      <c r="B243" s="13" t="s">
        <v>341</v>
      </c>
      <c r="C243" s="2">
        <v>-7496577</v>
      </c>
      <c r="D243" s="2">
        <v>-7994795</v>
      </c>
      <c r="E243" s="2">
        <v>-8076462</v>
      </c>
      <c r="F243" s="2">
        <v>-8313380</v>
      </c>
      <c r="G243" s="2">
        <v>-8857881</v>
      </c>
      <c r="H243" s="2">
        <v>-8939548</v>
      </c>
      <c r="I243" s="2">
        <v>-9431662</v>
      </c>
      <c r="J243" s="2">
        <v>-9976163</v>
      </c>
      <c r="K243" s="2">
        <v>-10057830</v>
      </c>
      <c r="L243" s="2">
        <v>-10294748</v>
      </c>
      <c r="M243" s="2">
        <v>-10376415</v>
      </c>
      <c r="N243" s="2">
        <v>-10458082</v>
      </c>
      <c r="O243" s="2">
        <v>-13579024</v>
      </c>
      <c r="P243" s="2">
        <v>-123852568</v>
      </c>
      <c r="Q243" s="2">
        <v>-9527121</v>
      </c>
      <c r="R243" s="15">
        <f t="shared" ref="R243:R248" si="48">SUM(T243:Y243)+Q243</f>
        <v>0</v>
      </c>
      <c r="S243" s="15" t="s">
        <v>29</v>
      </c>
      <c r="T243" s="15">
        <f t="shared" ref="T243:Y248" si="49">-$Q243*T$6</f>
        <v>2400834.4920000001</v>
      </c>
      <c r="U243" s="15">
        <f t="shared" si="49"/>
        <v>4954102.92</v>
      </c>
      <c r="V243" s="15">
        <f t="shared" si="49"/>
        <v>0</v>
      </c>
      <c r="W243" s="15">
        <f t="shared" si="49"/>
        <v>0</v>
      </c>
      <c r="X243" s="15">
        <f t="shared" si="49"/>
        <v>0</v>
      </c>
      <c r="Y243" s="15">
        <f t="shared" si="49"/>
        <v>2172183.588</v>
      </c>
      <c r="Z243" s="15"/>
      <c r="AA243" s="15" t="s">
        <v>29</v>
      </c>
      <c r="AB243" s="15">
        <f t="shared" ref="AB243:AG248" si="50">-$O243*AB$6</f>
        <v>3421914.048</v>
      </c>
      <c r="AC243" s="15">
        <f t="shared" si="50"/>
        <v>7061092.4800000004</v>
      </c>
      <c r="AD243" s="15">
        <f t="shared" si="50"/>
        <v>0</v>
      </c>
      <c r="AE243" s="15">
        <f t="shared" si="50"/>
        <v>0</v>
      </c>
      <c r="AF243" s="15">
        <f t="shared" si="50"/>
        <v>0</v>
      </c>
      <c r="AG243" s="15">
        <f t="shared" si="50"/>
        <v>3096017.4720000001</v>
      </c>
      <c r="AH243" s="27">
        <f t="shared" ref="AH243:AH248" si="51">SUM(AB243:AG243)+O243</f>
        <v>0</v>
      </c>
    </row>
    <row r="244" spans="1:34" x14ac:dyDescent="0.25">
      <c r="A244" s="13" t="s">
        <v>342</v>
      </c>
      <c r="B244" s="13" t="s">
        <v>343</v>
      </c>
      <c r="C244" s="2">
        <v>-87726</v>
      </c>
      <c r="D244" s="2">
        <v>-86440</v>
      </c>
      <c r="E244" s="2">
        <v>-85154</v>
      </c>
      <c r="F244" s="2">
        <v>-83868</v>
      </c>
      <c r="G244" s="2">
        <v>-82582</v>
      </c>
      <c r="H244" s="2">
        <v>-81296</v>
      </c>
      <c r="I244" s="2">
        <v>-80010</v>
      </c>
      <c r="J244" s="2">
        <v>-78724</v>
      </c>
      <c r="K244" s="2">
        <v>-77438</v>
      </c>
      <c r="L244" s="2">
        <v>-76152</v>
      </c>
      <c r="M244" s="2">
        <v>-74866</v>
      </c>
      <c r="N244" s="2">
        <v>-73580</v>
      </c>
      <c r="O244" s="2">
        <v>7455</v>
      </c>
      <c r="P244" s="2">
        <v>-960381</v>
      </c>
      <c r="Q244" s="2">
        <v>-73875</v>
      </c>
      <c r="R244" s="15">
        <f t="shared" si="48"/>
        <v>0</v>
      </c>
      <c r="S244" s="15" t="s">
        <v>29</v>
      </c>
      <c r="T244" s="15">
        <f t="shared" si="49"/>
        <v>18616.5</v>
      </c>
      <c r="U244" s="15">
        <f t="shared" si="49"/>
        <v>38415</v>
      </c>
      <c r="V244" s="15">
        <f t="shared" si="49"/>
        <v>0</v>
      </c>
      <c r="W244" s="15">
        <f t="shared" si="49"/>
        <v>0</v>
      </c>
      <c r="X244" s="15">
        <f t="shared" si="49"/>
        <v>0</v>
      </c>
      <c r="Y244" s="15">
        <f t="shared" si="49"/>
        <v>16843.5</v>
      </c>
      <c r="Z244" s="15"/>
      <c r="AA244" s="15" t="s">
        <v>29</v>
      </c>
      <c r="AB244" s="15">
        <f t="shared" si="50"/>
        <v>-1878.66</v>
      </c>
      <c r="AC244" s="15">
        <f t="shared" si="50"/>
        <v>-3876.6</v>
      </c>
      <c r="AD244" s="15">
        <f t="shared" si="50"/>
        <v>0</v>
      </c>
      <c r="AE244" s="15">
        <f t="shared" si="50"/>
        <v>0</v>
      </c>
      <c r="AF244" s="15">
        <f t="shared" si="50"/>
        <v>0</v>
      </c>
      <c r="AG244" s="15">
        <f t="shared" si="50"/>
        <v>-1699.74</v>
      </c>
      <c r="AH244" s="27">
        <f t="shared" si="51"/>
        <v>0</v>
      </c>
    </row>
    <row r="245" spans="1:34" x14ac:dyDescent="0.25">
      <c r="A245" s="13" t="s">
        <v>344</v>
      </c>
      <c r="B245" s="13" t="s">
        <v>345</v>
      </c>
      <c r="C245" s="2">
        <v>-478218</v>
      </c>
      <c r="D245" s="2">
        <v>-485418</v>
      </c>
      <c r="E245" s="2">
        <v>-492618</v>
      </c>
      <c r="F245" s="2">
        <v>-499818</v>
      </c>
      <c r="G245" s="2">
        <v>-507018</v>
      </c>
      <c r="H245" s="2">
        <v>-514218</v>
      </c>
      <c r="I245" s="2">
        <v>-521418</v>
      </c>
      <c r="J245" s="2">
        <v>-528618</v>
      </c>
      <c r="K245" s="2">
        <v>-535818</v>
      </c>
      <c r="L245" s="2">
        <v>-543018</v>
      </c>
      <c r="M245" s="2">
        <v>-550218</v>
      </c>
      <c r="N245" s="2">
        <v>-557418</v>
      </c>
      <c r="O245" s="2">
        <v>-598688</v>
      </c>
      <c r="P245" s="2">
        <v>-6812507</v>
      </c>
      <c r="Q245" s="2">
        <v>-524039</v>
      </c>
      <c r="R245" s="15">
        <f t="shared" si="48"/>
        <v>0</v>
      </c>
      <c r="S245" s="15" t="s">
        <v>29</v>
      </c>
      <c r="T245" s="15">
        <f t="shared" si="49"/>
        <v>132057.82800000001</v>
      </c>
      <c r="U245" s="15">
        <f t="shared" si="49"/>
        <v>272500.28000000003</v>
      </c>
      <c r="V245" s="15">
        <f t="shared" si="49"/>
        <v>0</v>
      </c>
      <c r="W245" s="15">
        <f t="shared" si="49"/>
        <v>0</v>
      </c>
      <c r="X245" s="15">
        <f t="shared" si="49"/>
        <v>0</v>
      </c>
      <c r="Y245" s="15">
        <f t="shared" si="49"/>
        <v>119480.89200000001</v>
      </c>
      <c r="Z245" s="15"/>
      <c r="AA245" s="15" t="s">
        <v>29</v>
      </c>
      <c r="AB245" s="15">
        <f t="shared" si="50"/>
        <v>150869.37599999999</v>
      </c>
      <c r="AC245" s="15">
        <f t="shared" si="50"/>
        <v>311317.76000000001</v>
      </c>
      <c r="AD245" s="15">
        <f t="shared" si="50"/>
        <v>0</v>
      </c>
      <c r="AE245" s="15">
        <f t="shared" si="50"/>
        <v>0</v>
      </c>
      <c r="AF245" s="15">
        <f t="shared" si="50"/>
        <v>0</v>
      </c>
      <c r="AG245" s="15">
        <f t="shared" si="50"/>
        <v>136500.864</v>
      </c>
      <c r="AH245" s="27">
        <f t="shared" si="51"/>
        <v>0</v>
      </c>
    </row>
    <row r="246" spans="1:34" x14ac:dyDescent="0.25">
      <c r="A246" s="13" t="s">
        <v>346</v>
      </c>
      <c r="B246" s="13" t="s">
        <v>347</v>
      </c>
      <c r="C246" s="2">
        <v>-95590</v>
      </c>
      <c r="D246" s="2">
        <v>-96700</v>
      </c>
      <c r="E246" s="2">
        <v>-97810</v>
      </c>
      <c r="F246" s="2">
        <v>-98920</v>
      </c>
      <c r="G246" s="2">
        <v>-100030</v>
      </c>
      <c r="H246" s="2">
        <v>-101140</v>
      </c>
      <c r="I246" s="2">
        <v>-102250</v>
      </c>
      <c r="J246" s="2">
        <v>-103360</v>
      </c>
      <c r="K246" s="2">
        <v>-104470</v>
      </c>
      <c r="L246" s="2">
        <v>-105580</v>
      </c>
      <c r="M246" s="2">
        <v>-106690</v>
      </c>
      <c r="N246" s="2">
        <v>-107800</v>
      </c>
      <c r="O246" s="2">
        <v>-102586</v>
      </c>
      <c r="P246" s="2">
        <v>-1322925</v>
      </c>
      <c r="Q246" s="2">
        <v>-101763</v>
      </c>
      <c r="R246" s="15">
        <f t="shared" si="48"/>
        <v>0</v>
      </c>
      <c r="S246" s="15" t="s">
        <v>29</v>
      </c>
      <c r="T246" s="15">
        <f t="shared" si="49"/>
        <v>25644.276000000002</v>
      </c>
      <c r="U246" s="15">
        <f t="shared" si="49"/>
        <v>52916.76</v>
      </c>
      <c r="V246" s="15">
        <f t="shared" si="49"/>
        <v>0</v>
      </c>
      <c r="W246" s="15">
        <f t="shared" si="49"/>
        <v>0</v>
      </c>
      <c r="X246" s="15">
        <f t="shared" si="49"/>
        <v>0</v>
      </c>
      <c r="Y246" s="15">
        <f t="shared" si="49"/>
        <v>23201.964</v>
      </c>
      <c r="Z246" s="15"/>
      <c r="AA246" s="15" t="s">
        <v>29</v>
      </c>
      <c r="AB246" s="15">
        <f t="shared" si="50"/>
        <v>25851.671999999999</v>
      </c>
      <c r="AC246" s="15">
        <f t="shared" si="50"/>
        <v>53344.72</v>
      </c>
      <c r="AD246" s="15">
        <f t="shared" si="50"/>
        <v>0</v>
      </c>
      <c r="AE246" s="15">
        <f t="shared" si="50"/>
        <v>0</v>
      </c>
      <c r="AF246" s="15">
        <f t="shared" si="50"/>
        <v>0</v>
      </c>
      <c r="AG246" s="15">
        <f t="shared" si="50"/>
        <v>23389.608</v>
      </c>
      <c r="AH246" s="27">
        <f t="shared" si="51"/>
        <v>0</v>
      </c>
    </row>
    <row r="247" spans="1:34" x14ac:dyDescent="0.25">
      <c r="A247" s="13" t="s">
        <v>348</v>
      </c>
      <c r="B247" s="13" t="s">
        <v>349</v>
      </c>
      <c r="C247" s="2">
        <v>-6856</v>
      </c>
      <c r="D247" s="2">
        <v>-6856</v>
      </c>
      <c r="E247" s="2">
        <v>-6856</v>
      </c>
      <c r="F247" s="2">
        <v>-6856</v>
      </c>
      <c r="G247" s="2">
        <v>-6856</v>
      </c>
      <c r="H247" s="2">
        <v>-6856</v>
      </c>
      <c r="I247" s="2">
        <v>-6856</v>
      </c>
      <c r="J247" s="2">
        <v>-6856</v>
      </c>
      <c r="K247" s="2">
        <v>-6856</v>
      </c>
      <c r="L247" s="2">
        <v>-6856</v>
      </c>
      <c r="M247" s="2">
        <v>-6856</v>
      </c>
      <c r="N247" s="2">
        <v>-6856</v>
      </c>
      <c r="O247" s="2">
        <v>-8652</v>
      </c>
      <c r="P247" s="2">
        <v>-90928</v>
      </c>
      <c r="Q247" s="2">
        <v>-6994</v>
      </c>
      <c r="R247" s="15">
        <f t="shared" si="48"/>
        <v>0</v>
      </c>
      <c r="S247" s="15" t="s">
        <v>29</v>
      </c>
      <c r="T247" s="15">
        <f t="shared" si="49"/>
        <v>1762.4880000000001</v>
      </c>
      <c r="U247" s="15">
        <f t="shared" si="49"/>
        <v>3636.88</v>
      </c>
      <c r="V247" s="15">
        <f t="shared" si="49"/>
        <v>0</v>
      </c>
      <c r="W247" s="15">
        <f t="shared" si="49"/>
        <v>0</v>
      </c>
      <c r="X247" s="15">
        <f t="shared" si="49"/>
        <v>0</v>
      </c>
      <c r="Y247" s="15">
        <f t="shared" si="49"/>
        <v>1594.6320000000001</v>
      </c>
      <c r="Z247" s="15"/>
      <c r="AA247" s="15" t="s">
        <v>29</v>
      </c>
      <c r="AB247" s="15">
        <f t="shared" si="50"/>
        <v>2180.3040000000001</v>
      </c>
      <c r="AC247" s="15">
        <f t="shared" si="50"/>
        <v>4499.04</v>
      </c>
      <c r="AD247" s="15">
        <f t="shared" si="50"/>
        <v>0</v>
      </c>
      <c r="AE247" s="15">
        <f t="shared" si="50"/>
        <v>0</v>
      </c>
      <c r="AF247" s="15">
        <f t="shared" si="50"/>
        <v>0</v>
      </c>
      <c r="AG247" s="15">
        <f t="shared" si="50"/>
        <v>1972.6560000000002</v>
      </c>
      <c r="AH247" s="27">
        <f t="shared" si="51"/>
        <v>0</v>
      </c>
    </row>
    <row r="248" spans="1:34" x14ac:dyDescent="0.25">
      <c r="A248" s="13" t="s">
        <v>350</v>
      </c>
      <c r="B248" s="13" t="s">
        <v>351</v>
      </c>
      <c r="C248" s="2">
        <v>230135</v>
      </c>
      <c r="D248" s="2">
        <v>233981</v>
      </c>
      <c r="E248" s="2">
        <v>237282</v>
      </c>
      <c r="F248" s="2">
        <v>241356</v>
      </c>
      <c r="G248" s="2">
        <v>245182</v>
      </c>
      <c r="H248" s="2">
        <v>249692</v>
      </c>
      <c r="I248" s="2">
        <v>253234</v>
      </c>
      <c r="J248" s="2">
        <v>260270</v>
      </c>
      <c r="K248" s="2">
        <v>271290</v>
      </c>
      <c r="L248" s="2">
        <v>273557</v>
      </c>
      <c r="M248" s="2">
        <v>276381</v>
      </c>
      <c r="N248" s="2">
        <v>282173</v>
      </c>
      <c r="O248" s="2">
        <v>259223</v>
      </c>
      <c r="P248" s="2">
        <v>3313757</v>
      </c>
      <c r="Q248" s="2">
        <v>254904</v>
      </c>
      <c r="R248" s="15">
        <f t="shared" si="48"/>
        <v>0</v>
      </c>
      <c r="S248" s="15" t="s">
        <v>29</v>
      </c>
      <c r="T248" s="15">
        <f t="shared" si="49"/>
        <v>-64235.807999999997</v>
      </c>
      <c r="U248" s="15">
        <f t="shared" si="49"/>
        <v>-132550.08000000002</v>
      </c>
      <c r="V248" s="15">
        <f t="shared" si="49"/>
        <v>0</v>
      </c>
      <c r="W248" s="15">
        <f t="shared" si="49"/>
        <v>0</v>
      </c>
      <c r="X248" s="15">
        <f t="shared" si="49"/>
        <v>0</v>
      </c>
      <c r="Y248" s="15">
        <f t="shared" si="49"/>
        <v>-58118.112000000001</v>
      </c>
      <c r="Z248" s="15"/>
      <c r="AA248" s="15" t="s">
        <v>29</v>
      </c>
      <c r="AB248" s="15">
        <f t="shared" si="50"/>
        <v>-65324.196000000004</v>
      </c>
      <c r="AC248" s="15">
        <f t="shared" si="50"/>
        <v>-134795.96</v>
      </c>
      <c r="AD248" s="15">
        <f t="shared" si="50"/>
        <v>0</v>
      </c>
      <c r="AE248" s="15">
        <f t="shared" si="50"/>
        <v>0</v>
      </c>
      <c r="AF248" s="15">
        <f t="shared" si="50"/>
        <v>0</v>
      </c>
      <c r="AG248" s="15">
        <f t="shared" si="50"/>
        <v>-59102.844000000005</v>
      </c>
      <c r="AH248" s="27">
        <f t="shared" si="51"/>
        <v>0</v>
      </c>
    </row>
    <row r="249" spans="1:34" x14ac:dyDescent="0.25">
      <c r="C249" s="26" t="s">
        <v>67</v>
      </c>
      <c r="D249" s="26" t="s">
        <v>67</v>
      </c>
      <c r="E249" s="26" t="s">
        <v>67</v>
      </c>
      <c r="F249" s="26" t="s">
        <v>67</v>
      </c>
      <c r="G249" s="26" t="s">
        <v>67</v>
      </c>
      <c r="H249" s="26" t="s">
        <v>67</v>
      </c>
      <c r="I249" s="26" t="s">
        <v>67</v>
      </c>
      <c r="J249" s="26" t="s">
        <v>67</v>
      </c>
      <c r="K249" s="26" t="s">
        <v>67</v>
      </c>
      <c r="L249" s="26" t="s">
        <v>67</v>
      </c>
      <c r="M249" s="26" t="s">
        <v>67</v>
      </c>
      <c r="N249" s="26" t="s">
        <v>67</v>
      </c>
      <c r="O249" s="26" t="s">
        <v>67</v>
      </c>
      <c r="P249" s="26" t="s">
        <v>67</v>
      </c>
      <c r="Q249" s="26" t="s">
        <v>67</v>
      </c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27"/>
    </row>
    <row r="250" spans="1:34" x14ac:dyDescent="0.25">
      <c r="A250" s="21" t="s">
        <v>352</v>
      </c>
      <c r="B250" s="22"/>
      <c r="C250" s="23">
        <v>-7934832</v>
      </c>
      <c r="D250" s="23">
        <v>-8436228</v>
      </c>
      <c r="E250" s="23">
        <v>-8521619</v>
      </c>
      <c r="F250" s="23">
        <v>-8761486</v>
      </c>
      <c r="G250" s="23">
        <v>-9309186</v>
      </c>
      <c r="H250" s="23">
        <v>-9393367</v>
      </c>
      <c r="I250" s="23">
        <v>-9888963</v>
      </c>
      <c r="J250" s="23">
        <v>-10433452</v>
      </c>
      <c r="K250" s="23">
        <v>-10511123</v>
      </c>
      <c r="L250" s="23">
        <v>-10752798</v>
      </c>
      <c r="M250" s="23">
        <v>-10838664</v>
      </c>
      <c r="N250" s="23">
        <v>-10921564</v>
      </c>
      <c r="O250" s="23">
        <v>-14022271</v>
      </c>
      <c r="P250" s="23">
        <v>-129725553</v>
      </c>
      <c r="Q250" s="23">
        <v>-9978889</v>
      </c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27"/>
    </row>
    <row r="251" spans="1:34" x14ac:dyDescent="0.25"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3"/>
    </row>
    <row r="252" spans="1:34" x14ac:dyDescent="0.25">
      <c r="A252" s="21" t="s">
        <v>353</v>
      </c>
      <c r="B252" s="22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3"/>
    </row>
    <row r="253" spans="1:34" x14ac:dyDescent="0.25">
      <c r="A253" s="13" t="s">
        <v>354</v>
      </c>
      <c r="B253" s="13" t="s">
        <v>355</v>
      </c>
      <c r="C253" s="2">
        <v>453491</v>
      </c>
      <c r="D253" s="2">
        <v>450022</v>
      </c>
      <c r="E253" s="2">
        <v>446542</v>
      </c>
      <c r="F253" s="2">
        <v>443052</v>
      </c>
      <c r="G253" s="2">
        <v>439551</v>
      </c>
      <c r="H253" s="2">
        <v>436039</v>
      </c>
      <c r="I253" s="2">
        <v>432516</v>
      </c>
      <c r="J253" s="2">
        <v>428982</v>
      </c>
      <c r="K253" s="2">
        <v>425438</v>
      </c>
      <c r="L253" s="2">
        <v>421882</v>
      </c>
      <c r="M253" s="2">
        <v>418315</v>
      </c>
      <c r="N253" s="2">
        <v>414738</v>
      </c>
      <c r="O253" s="2">
        <v>411149</v>
      </c>
      <c r="P253" s="2">
        <v>5621717</v>
      </c>
      <c r="Q253" s="2">
        <v>432440</v>
      </c>
      <c r="R253" s="15">
        <f>SUM(T253:Y253)+Q253</f>
        <v>-8.6488000000244938</v>
      </c>
      <c r="S253" s="15" t="s">
        <v>225</v>
      </c>
      <c r="T253" s="15">
        <f t="shared" ref="T253:Y253" si="52">-$Q253*T$3</f>
        <v>-70120.145999999993</v>
      </c>
      <c r="U253" s="15">
        <f t="shared" si="52"/>
        <v>-169391.0724</v>
      </c>
      <c r="V253" s="15">
        <f t="shared" si="52"/>
        <v>-79517.06719999999</v>
      </c>
      <c r="W253" s="15">
        <f t="shared" si="52"/>
        <v>-1535.162</v>
      </c>
      <c r="X253" s="15">
        <f t="shared" si="52"/>
        <v>-480.00840000000005</v>
      </c>
      <c r="Y253" s="15">
        <f t="shared" si="52"/>
        <v>-111405.1928</v>
      </c>
      <c r="Z253" s="15"/>
      <c r="AA253" s="15" t="s">
        <v>225</v>
      </c>
      <c r="AB253" s="15">
        <f t="shared" ref="AB253:AG253" si="53">-$O253*AB$3</f>
        <v>-66667.81035</v>
      </c>
      <c r="AC253" s="15">
        <f t="shared" si="53"/>
        <v>-161051.17478999999</v>
      </c>
      <c r="AD253" s="15">
        <f t="shared" si="53"/>
        <v>-75602.078119999991</v>
      </c>
      <c r="AE253" s="15">
        <f t="shared" si="53"/>
        <v>-1459.5789500000001</v>
      </c>
      <c r="AF253" s="15">
        <f t="shared" si="53"/>
        <v>-456.37539000000004</v>
      </c>
      <c r="AG253" s="15">
        <f t="shared" si="53"/>
        <v>-105920.20538</v>
      </c>
      <c r="AH253" s="27">
        <f>SUM(AB253:AG253)+O253</f>
        <v>-8.2229799999622628</v>
      </c>
    </row>
    <row r="254" spans="1:34" x14ac:dyDescent="0.25"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27"/>
    </row>
    <row r="255" spans="1:34" ht="15.75" x14ac:dyDescent="0.3">
      <c r="A255" s="18" t="s">
        <v>356</v>
      </c>
      <c r="B255" s="19"/>
      <c r="C255" s="20">
        <v>-8169545</v>
      </c>
      <c r="D255" s="20">
        <v>-8672435</v>
      </c>
      <c r="E255" s="20">
        <v>-8759330</v>
      </c>
      <c r="F255" s="20">
        <v>-8749066</v>
      </c>
      <c r="G255" s="20">
        <v>-9298292</v>
      </c>
      <c r="H255" s="20">
        <v>-9384010</v>
      </c>
      <c r="I255" s="20">
        <v>-9662703</v>
      </c>
      <c r="J255" s="20">
        <v>-10208750</v>
      </c>
      <c r="K255" s="20">
        <v>-10287992</v>
      </c>
      <c r="L255" s="20">
        <v>-10454659</v>
      </c>
      <c r="M255" s="20">
        <v>-10542118</v>
      </c>
      <c r="N255" s="20">
        <v>-10626620</v>
      </c>
      <c r="O255" s="20">
        <v>-13684461</v>
      </c>
      <c r="P255" s="20">
        <v>-128499980</v>
      </c>
      <c r="Q255" s="20">
        <v>-9884614</v>
      </c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3"/>
    </row>
    <row r="256" spans="1:34" x14ac:dyDescent="0.25"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3"/>
    </row>
    <row r="257" spans="1:34" ht="15.75" x14ac:dyDescent="0.3">
      <c r="A257" s="18" t="s">
        <v>357</v>
      </c>
      <c r="B257" s="19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3"/>
    </row>
    <row r="258" spans="1:34" x14ac:dyDescent="0.25"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3"/>
    </row>
    <row r="259" spans="1:34" x14ac:dyDescent="0.25">
      <c r="A259" s="21" t="s">
        <v>358</v>
      </c>
      <c r="B259" s="22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3"/>
    </row>
    <row r="260" spans="1:34" x14ac:dyDescent="0.25">
      <c r="A260" s="13" t="s">
        <v>359</v>
      </c>
      <c r="B260" s="13" t="s">
        <v>360</v>
      </c>
      <c r="C260" s="2">
        <v>-2986058</v>
      </c>
      <c r="D260" s="2">
        <v>-2986058</v>
      </c>
      <c r="E260" s="2">
        <v>-2986058</v>
      </c>
      <c r="F260" s="2">
        <v>-2964036</v>
      </c>
      <c r="G260" s="2">
        <v>-2964036</v>
      </c>
      <c r="H260" s="2">
        <v>-2964036</v>
      </c>
      <c r="I260" s="2">
        <v>-2942014</v>
      </c>
      <c r="J260" s="2">
        <v>-2942014</v>
      </c>
      <c r="K260" s="2">
        <v>-2942014</v>
      </c>
      <c r="L260" s="2">
        <v>-2919992</v>
      </c>
      <c r="M260" s="2">
        <v>-2919992</v>
      </c>
      <c r="N260" s="2">
        <v>-2919992</v>
      </c>
      <c r="O260" s="2">
        <v>-2500241</v>
      </c>
      <c r="P260" s="2">
        <v>-37936536</v>
      </c>
      <c r="Q260" s="2">
        <v>-2918195</v>
      </c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3"/>
    </row>
    <row r="261" spans="1:34" x14ac:dyDescent="0.25">
      <c r="A261" s="13" t="s">
        <v>361</v>
      </c>
      <c r="B261" s="13" t="s">
        <v>362</v>
      </c>
      <c r="C261" s="2">
        <v>-538104</v>
      </c>
      <c r="D261" s="2">
        <v>-538104</v>
      </c>
      <c r="E261" s="2">
        <v>-538104</v>
      </c>
      <c r="F261" s="2">
        <v>-684428</v>
      </c>
      <c r="G261" s="2">
        <v>-684428</v>
      </c>
      <c r="H261" s="2">
        <v>-684428</v>
      </c>
      <c r="I261" s="2">
        <v>-691280</v>
      </c>
      <c r="J261" s="2">
        <v>-691280</v>
      </c>
      <c r="K261" s="2">
        <v>-691280</v>
      </c>
      <c r="L261" s="2">
        <v>-707956</v>
      </c>
      <c r="M261" s="2">
        <v>-707956</v>
      </c>
      <c r="N261" s="2">
        <v>-707956</v>
      </c>
      <c r="O261" s="2">
        <v>-590721</v>
      </c>
      <c r="P261" s="2">
        <v>-8456023</v>
      </c>
      <c r="Q261" s="2">
        <v>-650463</v>
      </c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3"/>
    </row>
    <row r="262" spans="1:34" x14ac:dyDescent="0.25">
      <c r="A262" s="13" t="s">
        <v>363</v>
      </c>
      <c r="B262" s="13" t="s">
        <v>364</v>
      </c>
      <c r="C262" s="2">
        <v>73044291</v>
      </c>
      <c r="D262" s="2">
        <v>73044291</v>
      </c>
      <c r="E262" s="2">
        <v>73044291</v>
      </c>
      <c r="F262" s="2">
        <v>73044291</v>
      </c>
      <c r="G262" s="2">
        <v>73044291</v>
      </c>
      <c r="H262" s="2">
        <v>73044291</v>
      </c>
      <c r="I262" s="2">
        <v>73044291</v>
      </c>
      <c r="J262" s="2">
        <v>73044291</v>
      </c>
      <c r="K262" s="2">
        <v>73044291</v>
      </c>
      <c r="L262" s="2">
        <v>73044291</v>
      </c>
      <c r="M262" s="2">
        <v>73044291</v>
      </c>
      <c r="N262" s="2">
        <v>73044291</v>
      </c>
      <c r="O262" s="2">
        <v>73044291</v>
      </c>
      <c r="P262" s="2">
        <v>949575785</v>
      </c>
      <c r="Q262" s="2">
        <v>73044291</v>
      </c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3"/>
    </row>
    <row r="263" spans="1:34" x14ac:dyDescent="0.25">
      <c r="C263" s="26" t="s">
        <v>67</v>
      </c>
      <c r="D263" s="26" t="s">
        <v>67</v>
      </c>
      <c r="E263" s="26" t="s">
        <v>67</v>
      </c>
      <c r="F263" s="26" t="s">
        <v>67</v>
      </c>
      <c r="G263" s="26" t="s">
        <v>67</v>
      </c>
      <c r="H263" s="26" t="s">
        <v>67</v>
      </c>
      <c r="I263" s="26" t="s">
        <v>67</v>
      </c>
      <c r="J263" s="26" t="s">
        <v>67</v>
      </c>
      <c r="K263" s="26" t="s">
        <v>67</v>
      </c>
      <c r="L263" s="26" t="s">
        <v>67</v>
      </c>
      <c r="M263" s="26" t="s">
        <v>67</v>
      </c>
      <c r="N263" s="26" t="s">
        <v>67</v>
      </c>
      <c r="O263" s="26" t="s">
        <v>67</v>
      </c>
      <c r="P263" s="26" t="s">
        <v>67</v>
      </c>
      <c r="Q263" s="26" t="s">
        <v>67</v>
      </c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3"/>
    </row>
    <row r="264" spans="1:34" x14ac:dyDescent="0.25">
      <c r="A264" s="21" t="s">
        <v>365</v>
      </c>
      <c r="B264" s="22"/>
      <c r="C264" s="23">
        <v>69520130</v>
      </c>
      <c r="D264" s="23">
        <v>69520130</v>
      </c>
      <c r="E264" s="23">
        <v>69520130</v>
      </c>
      <c r="F264" s="23">
        <v>69395828</v>
      </c>
      <c r="G264" s="23">
        <v>69395828</v>
      </c>
      <c r="H264" s="23">
        <v>69395828</v>
      </c>
      <c r="I264" s="23">
        <v>69410997</v>
      </c>
      <c r="J264" s="23">
        <v>69410997</v>
      </c>
      <c r="K264" s="23">
        <v>69410997</v>
      </c>
      <c r="L264" s="23">
        <v>69416344</v>
      </c>
      <c r="M264" s="23">
        <v>69416344</v>
      </c>
      <c r="N264" s="23">
        <v>69416344</v>
      </c>
      <c r="O264" s="23">
        <v>69953330</v>
      </c>
      <c r="P264" s="23">
        <v>903183227</v>
      </c>
      <c r="Q264" s="23">
        <v>69475633</v>
      </c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3"/>
    </row>
    <row r="265" spans="1:34" x14ac:dyDescent="0.25"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3"/>
    </row>
    <row r="266" spans="1:34" ht="15.75" x14ac:dyDescent="0.3">
      <c r="A266" s="18" t="s">
        <v>366</v>
      </c>
      <c r="B266" s="19"/>
      <c r="C266" s="20">
        <v>69520130</v>
      </c>
      <c r="D266" s="20">
        <v>69520130</v>
      </c>
      <c r="E266" s="20">
        <v>69520130</v>
      </c>
      <c r="F266" s="20">
        <v>69395828</v>
      </c>
      <c r="G266" s="20">
        <v>69395828</v>
      </c>
      <c r="H266" s="20">
        <v>69395828</v>
      </c>
      <c r="I266" s="20">
        <v>69410997</v>
      </c>
      <c r="J266" s="20">
        <v>69410997</v>
      </c>
      <c r="K266" s="20">
        <v>69410997</v>
      </c>
      <c r="L266" s="20">
        <v>69416344</v>
      </c>
      <c r="M266" s="20">
        <v>69416344</v>
      </c>
      <c r="N266" s="20">
        <v>69416344</v>
      </c>
      <c r="O266" s="20">
        <v>69953330</v>
      </c>
      <c r="P266" s="20">
        <v>903183227</v>
      </c>
      <c r="Q266" s="20">
        <v>69475633</v>
      </c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3"/>
    </row>
    <row r="267" spans="1:34" x14ac:dyDescent="0.25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3"/>
    </row>
    <row r="268" spans="1:34" ht="19.5" x14ac:dyDescent="0.4">
      <c r="A268" s="5" t="s">
        <v>367</v>
      </c>
      <c r="B268" s="16"/>
      <c r="C268" s="17">
        <v>68216866</v>
      </c>
      <c r="D268" s="17">
        <v>69709087</v>
      </c>
      <c r="E268" s="17">
        <v>73670280</v>
      </c>
      <c r="F268" s="17">
        <v>69745464</v>
      </c>
      <c r="G268" s="17">
        <v>68559470</v>
      </c>
      <c r="H268" s="17">
        <v>69694041</v>
      </c>
      <c r="I268" s="17">
        <v>69555733</v>
      </c>
      <c r="J268" s="17">
        <v>66389332</v>
      </c>
      <c r="K268" s="17">
        <v>65370695</v>
      </c>
      <c r="L268" s="17">
        <v>69743385</v>
      </c>
      <c r="M268" s="17">
        <v>68159672</v>
      </c>
      <c r="N268" s="17">
        <v>64712047</v>
      </c>
      <c r="O268" s="17">
        <v>60047940</v>
      </c>
      <c r="P268" s="17">
        <v>883574013</v>
      </c>
      <c r="Q268" s="17">
        <v>67967232</v>
      </c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3"/>
    </row>
    <row r="269" spans="1:34" x14ac:dyDescent="0.25">
      <c r="C269" s="26" t="s">
        <v>231</v>
      </c>
      <c r="D269" s="26" t="s">
        <v>231</v>
      </c>
      <c r="E269" s="26" t="s">
        <v>231</v>
      </c>
      <c r="F269" s="26" t="s">
        <v>231</v>
      </c>
      <c r="G269" s="26" t="s">
        <v>231</v>
      </c>
      <c r="H269" s="26" t="s">
        <v>231</v>
      </c>
      <c r="I269" s="26" t="s">
        <v>231</v>
      </c>
      <c r="J269" s="26" t="s">
        <v>231</v>
      </c>
      <c r="K269" s="26" t="s">
        <v>231</v>
      </c>
      <c r="L269" s="26" t="s">
        <v>231</v>
      </c>
      <c r="M269" s="26" t="s">
        <v>231</v>
      </c>
      <c r="N269" s="26" t="s">
        <v>231</v>
      </c>
      <c r="O269" s="26" t="s">
        <v>231</v>
      </c>
      <c r="P269" s="26" t="s">
        <v>231</v>
      </c>
      <c r="Q269" s="26" t="s">
        <v>231</v>
      </c>
      <c r="R269" s="15"/>
      <c r="S269" s="15"/>
      <c r="T269" s="61">
        <f t="shared" ref="T269:Y269" si="54">SUM(T79:T268)-SUM(T216:T232)-T237-T238</f>
        <v>1602765.1645961539</v>
      </c>
      <c r="U269" s="61">
        <f t="shared" si="54"/>
        <v>3544427.0313423076</v>
      </c>
      <c r="V269" s="61">
        <f t="shared" si="54"/>
        <v>-592203.78563076933</v>
      </c>
      <c r="W269" s="61">
        <f t="shared" si="54"/>
        <v>-8063.4330807692313</v>
      </c>
      <c r="X269" s="61">
        <f t="shared" si="54"/>
        <v>-6531.8278807692313</v>
      </c>
      <c r="Y269" s="61">
        <f t="shared" si="54"/>
        <v>1034269.7747846154</v>
      </c>
      <c r="Z269" s="61"/>
      <c r="AA269" s="61"/>
      <c r="AB269" s="61">
        <f t="shared" ref="AB269:AG269" si="55">SUM(AB79:AB268)-SUM(AB216:AB232)-AB237-AB238</f>
        <v>3467646.4111499996</v>
      </c>
      <c r="AC269" s="61">
        <f t="shared" si="55"/>
        <v>7101688.950410001</v>
      </c>
      <c r="AD269" s="61">
        <f t="shared" si="55"/>
        <v>-13906.415519999988</v>
      </c>
      <c r="AE269" s="61">
        <f t="shared" si="55"/>
        <v>-2067.7514499999997</v>
      </c>
      <c r="AF269" s="61">
        <f t="shared" si="55"/>
        <v>-1417.6776900000002</v>
      </c>
      <c r="AG269" s="61">
        <f t="shared" si="55"/>
        <v>3124602.6535199997</v>
      </c>
      <c r="AH269" s="3"/>
    </row>
    <row r="270" spans="1:34" x14ac:dyDescent="0.25"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3"/>
    </row>
    <row r="271" spans="1:34" x14ac:dyDescent="0.25"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3"/>
    </row>
    <row r="272" spans="1:34" x14ac:dyDescent="0.25"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spans="1:34" x14ac:dyDescent="0.25"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1:34" x14ac:dyDescent="0.25">
      <c r="A274" s="13" t="s">
        <v>368</v>
      </c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62" t="s">
        <v>369</v>
      </c>
      <c r="R274" s="3"/>
      <c r="S274" s="3"/>
      <c r="T274" s="3"/>
      <c r="U274" s="3" t="s">
        <v>370</v>
      </c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1:34" x14ac:dyDescent="0.25">
      <c r="A275" s="13" t="s">
        <v>371</v>
      </c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62" t="s">
        <v>372</v>
      </c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1:34" x14ac:dyDescent="0.25"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1:34" x14ac:dyDescent="0.25">
      <c r="A277" s="35"/>
      <c r="B277" s="35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1:34" x14ac:dyDescent="0.25">
      <c r="A278" s="35"/>
      <c r="B278" s="35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1:34" x14ac:dyDescent="0.25">
      <c r="A279" s="35"/>
      <c r="B279" s="35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1:34" x14ac:dyDescent="0.25">
      <c r="A280" s="35"/>
      <c r="B280" s="35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1:34" x14ac:dyDescent="0.25">
      <c r="A281" s="35"/>
      <c r="B281" s="35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1:34" x14ac:dyDescent="0.2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24"/>
      <c r="P282" s="24"/>
      <c r="Q282" s="24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1:34" x14ac:dyDescent="0.2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24"/>
      <c r="P283" s="24"/>
      <c r="Q283" s="24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spans="1:34" x14ac:dyDescent="0.2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24"/>
      <c r="P284" s="24"/>
      <c r="Q284" s="24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1:34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24"/>
      <c r="P285" s="24"/>
      <c r="Q285" s="24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1:34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24"/>
      <c r="P286" s="24"/>
      <c r="Q286" s="24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1:34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24"/>
      <c r="P287" s="24"/>
      <c r="Q287" s="24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1:34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24"/>
      <c r="P288" s="24"/>
      <c r="Q288" s="24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1:34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24"/>
      <c r="P289" s="24"/>
      <c r="Q289" s="24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1:34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24"/>
      <c r="P290" s="24"/>
      <c r="Q290" s="24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1:34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24"/>
      <c r="P291" s="24"/>
      <c r="Q291" s="24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1:34" x14ac:dyDescent="0.2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24"/>
      <c r="P292" s="24"/>
      <c r="Q292" s="24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1:34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24"/>
      <c r="P293" s="24"/>
      <c r="Q293" s="24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spans="1:34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24"/>
      <c r="P294" s="24"/>
      <c r="Q294" s="24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spans="1:34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24"/>
      <c r="P295" s="24"/>
      <c r="Q295" s="24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spans="1:34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24"/>
      <c r="P296" s="24"/>
      <c r="Q296" s="24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24"/>
      <c r="P297" s="24"/>
      <c r="Q297" s="24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spans="1:34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24"/>
      <c r="P298" s="24"/>
      <c r="Q298" s="24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24"/>
      <c r="P299" s="24"/>
      <c r="Q299" s="24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spans="1:34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24"/>
      <c r="P300" s="24"/>
      <c r="Q300" s="24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spans="1:34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24"/>
      <c r="P301" s="24"/>
      <c r="Q301" s="24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spans="1:34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24"/>
      <c r="P302" s="24"/>
      <c r="Q302" s="24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 spans="1:34" x14ac:dyDescent="0.2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24"/>
      <c r="P303" s="24"/>
      <c r="Q303" s="24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 spans="1:34" x14ac:dyDescent="0.25">
      <c r="A304" s="35"/>
      <c r="B304" s="35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spans="1:34" x14ac:dyDescent="0.25">
      <c r="A305" s="35"/>
      <c r="B305" s="35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spans="1:34" x14ac:dyDescent="0.25">
      <c r="A306" s="35"/>
      <c r="B306" s="35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spans="1:34" x14ac:dyDescent="0.25">
      <c r="A307" s="35"/>
      <c r="B307" s="35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spans="1:34" x14ac:dyDescent="0.25">
      <c r="A308" s="35"/>
      <c r="B308" s="35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64"/>
      <c r="P309" s="64"/>
      <c r="Q309" s="64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spans="1:34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0"/>
  <sheetViews>
    <sheetView topLeftCell="F25" zoomScale="80" zoomScaleNormal="80" workbookViewId="0">
      <selection activeCell="L39" sqref="L39"/>
    </sheetView>
  </sheetViews>
  <sheetFormatPr defaultRowHeight="15" x14ac:dyDescent="0.25"/>
  <cols>
    <col min="1" max="1" width="61.7109375" bestFit="1" customWidth="1"/>
    <col min="2" max="14" width="11.28515625" bestFit="1" customWidth="1"/>
    <col min="15" max="15" width="11.5703125" bestFit="1" customWidth="1"/>
    <col min="16" max="16" width="4.7109375" bestFit="1" customWidth="1"/>
    <col min="17" max="17" width="12.7109375" bestFit="1" customWidth="1"/>
    <col min="18" max="18" width="13.28515625" bestFit="1" customWidth="1"/>
    <col min="19" max="19" width="12.140625" customWidth="1"/>
    <col min="20" max="20" width="11.42578125" customWidth="1"/>
    <col min="21" max="21" width="8.85546875" customWidth="1"/>
    <col min="22" max="22" width="8.42578125" bestFit="1" customWidth="1"/>
    <col min="23" max="23" width="12.140625" customWidth="1"/>
    <col min="25" max="25" width="8.42578125" bestFit="1" customWidth="1"/>
    <col min="26" max="28" width="11.42578125" bestFit="1" customWidth="1"/>
    <col min="29" max="29" width="9.28515625" bestFit="1" customWidth="1"/>
    <col min="30" max="30" width="8.42578125" bestFit="1" customWidth="1"/>
    <col min="31" max="31" width="11.85546875" bestFit="1" customWidth="1"/>
  </cols>
  <sheetData>
    <row r="1" spans="1:31" ht="15.75" x14ac:dyDescent="0.25">
      <c r="A1" s="112" t="s">
        <v>450</v>
      </c>
      <c r="Q1" s="4"/>
      <c r="R1" s="113" t="s">
        <v>2</v>
      </c>
      <c r="S1" s="4"/>
      <c r="T1" s="4"/>
      <c r="U1" s="4"/>
      <c r="V1" s="4"/>
      <c r="W1" s="4"/>
      <c r="X1" s="4"/>
      <c r="Y1" s="4" t="s">
        <v>1</v>
      </c>
      <c r="Z1" s="4" t="s">
        <v>3</v>
      </c>
      <c r="AA1" s="4"/>
      <c r="AB1" s="4"/>
      <c r="AC1" s="4"/>
      <c r="AD1" s="4"/>
      <c r="AE1" s="4"/>
    </row>
    <row r="2" spans="1:31" x14ac:dyDescent="0.25">
      <c r="Q2" s="4" t="s">
        <v>5</v>
      </c>
      <c r="R2" s="4" t="s">
        <v>6</v>
      </c>
      <c r="S2" s="4" t="s">
        <v>7</v>
      </c>
      <c r="T2" s="4" t="s">
        <v>8</v>
      </c>
      <c r="U2" s="4" t="s">
        <v>9</v>
      </c>
      <c r="V2" s="4" t="s">
        <v>10</v>
      </c>
      <c r="W2" s="4" t="s">
        <v>11</v>
      </c>
      <c r="X2" s="4"/>
      <c r="Y2" s="4" t="s">
        <v>5</v>
      </c>
      <c r="Z2" s="4" t="s">
        <v>6</v>
      </c>
      <c r="AA2" s="4" t="s">
        <v>7</v>
      </c>
      <c r="AB2" s="4" t="s">
        <v>8</v>
      </c>
      <c r="AC2" s="4" t="s">
        <v>9</v>
      </c>
      <c r="AD2" s="4" t="s">
        <v>10</v>
      </c>
      <c r="AE2" s="4" t="s">
        <v>11</v>
      </c>
    </row>
    <row r="3" spans="1:31" x14ac:dyDescent="0.25">
      <c r="Q3" s="4" t="s">
        <v>451</v>
      </c>
      <c r="R3" s="104">
        <f>'[1]Common Plant Allocation Factors'!C24</f>
        <v>7.9662094019411156E-2</v>
      </c>
      <c r="S3" s="104">
        <f>'[1]Common Plant Allocation Factors'!E24</f>
        <v>0.19003155668817437</v>
      </c>
      <c r="T3" s="104">
        <f>'[1]Common Plant Allocation Factors'!B24</f>
        <v>7.9590522149324952E-2</v>
      </c>
      <c r="U3" s="104">
        <f>'[1]Common Plant Allocation Factors'!D24</f>
        <v>1.0011386433877352E-3</v>
      </c>
      <c r="V3" s="104">
        <f>'[1]Common Plant Allocation Factors'!F24</f>
        <v>1.869544000433769E-4</v>
      </c>
      <c r="W3" s="104">
        <f>'[1]Common Plant Allocation Factors'!G24</f>
        <v>0.64952773409965836</v>
      </c>
      <c r="X3" s="4"/>
      <c r="Y3" s="4" t="s">
        <v>452</v>
      </c>
      <c r="Z3" s="104">
        <f>R3</f>
        <v>7.9662094019411156E-2</v>
      </c>
      <c r="AA3" s="104">
        <f t="shared" ref="AA3:AE3" si="0">S3</f>
        <v>0.19003155668817437</v>
      </c>
      <c r="AB3" s="104">
        <f t="shared" si="0"/>
        <v>7.9590522149324952E-2</v>
      </c>
      <c r="AC3" s="104">
        <f t="shared" si="0"/>
        <v>1.0011386433877352E-3</v>
      </c>
      <c r="AD3" s="104">
        <f t="shared" si="0"/>
        <v>1.869544000433769E-4</v>
      </c>
      <c r="AE3" s="104">
        <f t="shared" si="0"/>
        <v>0.64952773409965836</v>
      </c>
    </row>
    <row r="4" spans="1:31" x14ac:dyDescent="0.25"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26.25" x14ac:dyDescent="0.25">
      <c r="A5" s="112" t="s">
        <v>453</v>
      </c>
      <c r="B5" s="114">
        <v>44915</v>
      </c>
      <c r="C5" s="114">
        <v>44582</v>
      </c>
      <c r="D5" s="114">
        <v>44613</v>
      </c>
      <c r="E5" s="114">
        <v>44641</v>
      </c>
      <c r="F5" s="114">
        <v>44672</v>
      </c>
      <c r="G5" s="114">
        <v>44702</v>
      </c>
      <c r="H5" s="114">
        <v>44733</v>
      </c>
      <c r="I5" s="114">
        <v>44763</v>
      </c>
      <c r="J5" s="114">
        <v>44794</v>
      </c>
      <c r="K5" s="114">
        <v>44825</v>
      </c>
      <c r="L5" s="114">
        <v>44855</v>
      </c>
      <c r="M5" s="114">
        <v>44886</v>
      </c>
      <c r="N5" s="114">
        <v>44916</v>
      </c>
      <c r="O5" s="115" t="s">
        <v>12</v>
      </c>
      <c r="Q5" s="4"/>
      <c r="R5" s="6"/>
      <c r="S5" s="6"/>
      <c r="T5" s="6"/>
      <c r="U5" s="6"/>
      <c r="V5" s="6"/>
      <c r="W5" s="6"/>
      <c r="X5" s="4"/>
      <c r="Y5" s="4"/>
      <c r="Z5" s="6"/>
      <c r="AA5" s="6"/>
      <c r="AB5" s="6"/>
      <c r="AC5" s="6"/>
      <c r="AD5" s="6"/>
      <c r="AE5" s="6"/>
    </row>
    <row r="6" spans="1:31" x14ac:dyDescent="0.25">
      <c r="A6" s="116" t="s">
        <v>454</v>
      </c>
      <c r="B6" s="117">
        <f>SUM(B7:B16)</f>
        <v>14389776.240000002</v>
      </c>
      <c r="C6" s="117">
        <f t="shared" ref="C6:O6" si="1">SUM(C7:C16)</f>
        <v>14399872.160000004</v>
      </c>
      <c r="D6" s="117">
        <f t="shared" si="1"/>
        <v>14217086.630000005</v>
      </c>
      <c r="E6" s="117">
        <f t="shared" si="1"/>
        <v>14331910.310000002</v>
      </c>
      <c r="F6" s="117">
        <f t="shared" si="1"/>
        <v>14402447.750000002</v>
      </c>
      <c r="G6" s="117">
        <f t="shared" si="1"/>
        <v>14488993.130000001</v>
      </c>
      <c r="H6" s="117">
        <f t="shared" si="1"/>
        <v>14599094.330000002</v>
      </c>
      <c r="I6" s="117">
        <f t="shared" si="1"/>
        <v>14726238.840000002</v>
      </c>
      <c r="J6" s="117">
        <f t="shared" si="1"/>
        <v>14934878.860000001</v>
      </c>
      <c r="K6" s="117">
        <f t="shared" si="1"/>
        <v>15033615.440000003</v>
      </c>
      <c r="L6" s="117">
        <f t="shared" si="1"/>
        <v>15326651.670000004</v>
      </c>
      <c r="M6" s="117">
        <f t="shared" si="1"/>
        <v>15323172.600000003</v>
      </c>
      <c r="N6" s="117">
        <f t="shared" si="1"/>
        <v>15392407.290000001</v>
      </c>
      <c r="O6" s="117">
        <f t="shared" si="1"/>
        <v>14735857.326923078</v>
      </c>
      <c r="Q6" s="4"/>
      <c r="R6" s="122">
        <f>$O6*R$3</f>
        <v>1173889.2518339751</v>
      </c>
      <c r="S6" s="122">
        <f t="shared" ref="S6:W18" si="2">$O6*S$3</f>
        <v>2800277.9069700325</v>
      </c>
      <c r="T6" s="122">
        <f t="shared" si="2"/>
        <v>1172834.5789677636</v>
      </c>
      <c r="U6" s="122">
        <f t="shared" si="2"/>
        <v>14752.636213430987</v>
      </c>
      <c r="V6" s="122">
        <f t="shared" si="2"/>
        <v>2754.9333656797035</v>
      </c>
      <c r="W6" s="122">
        <f t="shared" si="2"/>
        <v>9571348.0195721947</v>
      </c>
      <c r="X6" s="123"/>
      <c r="Y6" s="123"/>
      <c r="Z6" s="122">
        <f>$N6*Z$3</f>
        <v>1226191.3967210497</v>
      </c>
      <c r="AA6" s="122">
        <f t="shared" ref="AA6:AE18" si="3">$N6*AA$3</f>
        <v>2925043.1184971035</v>
      </c>
      <c r="AB6" s="122">
        <f t="shared" si="3"/>
        <v>1225089.7333461759</v>
      </c>
      <c r="AC6" s="122">
        <f t="shared" si="3"/>
        <v>15409.933752782086</v>
      </c>
      <c r="AD6" s="122">
        <f t="shared" si="3"/>
        <v>2877.6782701252509</v>
      </c>
      <c r="AE6" s="122">
        <f t="shared" si="3"/>
        <v>9997795.4294127636</v>
      </c>
    </row>
    <row r="7" spans="1:31" x14ac:dyDescent="0.25">
      <c r="A7" t="s">
        <v>455</v>
      </c>
      <c r="B7" s="68">
        <v>5966.29</v>
      </c>
      <c r="C7" s="68">
        <v>5966.29</v>
      </c>
      <c r="D7" s="68">
        <v>5966.29</v>
      </c>
      <c r="E7" s="68">
        <v>5966.29</v>
      </c>
      <c r="F7" s="68">
        <v>5966.29</v>
      </c>
      <c r="G7" s="68">
        <v>5966.29</v>
      </c>
      <c r="H7" s="68">
        <v>5966.29</v>
      </c>
      <c r="I7" s="68">
        <v>5966.29</v>
      </c>
      <c r="J7" s="68">
        <v>5966.29</v>
      </c>
      <c r="K7" s="68">
        <v>5966.29</v>
      </c>
      <c r="L7" s="68">
        <v>5966.29</v>
      </c>
      <c r="M7" s="68">
        <v>5966.29</v>
      </c>
      <c r="N7" s="68">
        <v>5966.29</v>
      </c>
      <c r="O7" s="68">
        <f>SUM(B7:N7)/13</f>
        <v>5966.2899999999991</v>
      </c>
      <c r="R7" s="124">
        <f t="shared" ref="R7:W20" si="4">$O7*R$3</f>
        <v>475.28715492707249</v>
      </c>
      <c r="S7" s="124">
        <f t="shared" si="2"/>
        <v>1133.7833763530878</v>
      </c>
      <c r="T7" s="124">
        <f t="shared" si="2"/>
        <v>474.86013639429592</v>
      </c>
      <c r="U7" s="124">
        <f t="shared" si="2"/>
        <v>5.9730834766578091</v>
      </c>
      <c r="V7" s="124">
        <f t="shared" si="2"/>
        <v>1.1154241674347989</v>
      </c>
      <c r="W7" s="124">
        <f t="shared" si="2"/>
        <v>3875.27082468145</v>
      </c>
      <c r="X7" s="125"/>
      <c r="Y7" s="125"/>
      <c r="Z7" s="124">
        <f t="shared" ref="Z7:AE20" si="5">$N7*Z$3</f>
        <v>475.28715492707261</v>
      </c>
      <c r="AA7" s="124">
        <f t="shared" si="3"/>
        <v>1133.7833763530878</v>
      </c>
      <c r="AB7" s="124">
        <f t="shared" si="3"/>
        <v>474.86013639429598</v>
      </c>
      <c r="AC7" s="124">
        <f t="shared" si="3"/>
        <v>5.97308347665781</v>
      </c>
      <c r="AD7" s="124">
        <f t="shared" si="3"/>
        <v>1.1154241674347991</v>
      </c>
      <c r="AE7" s="124">
        <f t="shared" si="3"/>
        <v>3875.2708246814504</v>
      </c>
    </row>
    <row r="8" spans="1:31" x14ac:dyDescent="0.25">
      <c r="A8" t="s">
        <v>434</v>
      </c>
      <c r="B8" s="68">
        <v>5204446.2700000005</v>
      </c>
      <c r="C8" s="68">
        <v>5204446.2700000005</v>
      </c>
      <c r="D8" s="68">
        <v>5047142.1800000006</v>
      </c>
      <c r="E8" s="68">
        <v>5047142.1800000006</v>
      </c>
      <c r="F8" s="68">
        <v>5047142.1800000006</v>
      </c>
      <c r="G8" s="68">
        <v>5047142.1800000006</v>
      </c>
      <c r="H8" s="68">
        <v>5047142.1800000006</v>
      </c>
      <c r="I8" s="68">
        <v>5047142.1800000006</v>
      </c>
      <c r="J8" s="68">
        <v>5047142.1800000006</v>
      </c>
      <c r="K8" s="68">
        <v>5047142.1800000006</v>
      </c>
      <c r="L8" s="68">
        <v>5047142.1800000006</v>
      </c>
      <c r="M8" s="68">
        <v>5047142.1800000006</v>
      </c>
      <c r="N8" s="68">
        <v>5047142.1800000006</v>
      </c>
      <c r="O8" s="68">
        <f t="shared" ref="O8:O19" si="6">SUM(B8:N8)/13</f>
        <v>5071342.8092307691</v>
      </c>
      <c r="R8" s="124">
        <f t="shared" si="4"/>
        <v>403993.78767360625</v>
      </c>
      <c r="S8" s="124">
        <f t="shared" si="2"/>
        <v>963715.16853750229</v>
      </c>
      <c r="T8" s="124">
        <f t="shared" si="2"/>
        <v>403630.82218490134</v>
      </c>
      <c r="U8" s="124">
        <f t="shared" si="2"/>
        <v>5077.1172601874378</v>
      </c>
      <c r="V8" s="124">
        <f t="shared" si="2"/>
        <v>948.10985231403197</v>
      </c>
      <c r="W8" s="124">
        <f t="shared" si="2"/>
        <v>3293977.8037222573</v>
      </c>
      <c r="X8" s="125"/>
      <c r="Y8" s="125"/>
      <c r="Z8" s="124">
        <f t="shared" si="5"/>
        <v>402065.91487249581</v>
      </c>
      <c r="AA8" s="124">
        <f t="shared" si="3"/>
        <v>959116.28529194603</v>
      </c>
      <c r="AB8" s="124">
        <f t="shared" si="3"/>
        <v>401704.6814680823</v>
      </c>
      <c r="AC8" s="124">
        <f t="shared" si="3"/>
        <v>5052.8890750702167</v>
      </c>
      <c r="AD8" s="124">
        <f t="shared" si="3"/>
        <v>943.58543819552153</v>
      </c>
      <c r="AE8" s="124">
        <f t="shared" si="3"/>
        <v>3278258.8238542103</v>
      </c>
    </row>
    <row r="9" spans="1:31" x14ac:dyDescent="0.25">
      <c r="A9" t="s">
        <v>456</v>
      </c>
      <c r="B9" s="68">
        <v>421491.92</v>
      </c>
      <c r="C9" s="68">
        <v>421491.92</v>
      </c>
      <c r="D9" s="68">
        <v>421491.92</v>
      </c>
      <c r="E9" s="68">
        <v>421491.92</v>
      </c>
      <c r="F9" s="68">
        <v>421491.92</v>
      </c>
      <c r="G9" s="68">
        <v>421491.92</v>
      </c>
      <c r="H9" s="68">
        <v>421491.92</v>
      </c>
      <c r="I9" s="68">
        <v>421491.92</v>
      </c>
      <c r="J9" s="68">
        <v>421491.92</v>
      </c>
      <c r="K9" s="68">
        <v>421491.92</v>
      </c>
      <c r="L9" s="68">
        <v>421491.92</v>
      </c>
      <c r="M9" s="68">
        <v>421491.92</v>
      </c>
      <c r="N9" s="68">
        <v>421491.92</v>
      </c>
      <c r="O9" s="68">
        <f t="shared" si="6"/>
        <v>421491.92</v>
      </c>
      <c r="R9" s="124">
        <f t="shared" si="4"/>
        <v>33576.928959462122</v>
      </c>
      <c r="S9" s="124">
        <f t="shared" si="2"/>
        <v>80096.76568908745</v>
      </c>
      <c r="T9" s="124">
        <f t="shared" si="2"/>
        <v>33546.761994521497</v>
      </c>
      <c r="U9" s="124">
        <f t="shared" si="2"/>
        <v>421.97184898769177</v>
      </c>
      <c r="V9" s="124">
        <f t="shared" si="2"/>
        <v>78.799769026731013</v>
      </c>
      <c r="W9" s="124">
        <f t="shared" si="2"/>
        <v>273770.69173891447</v>
      </c>
      <c r="X9" s="125"/>
      <c r="Y9" s="125"/>
      <c r="Z9" s="124">
        <f t="shared" si="5"/>
        <v>33576.928959462122</v>
      </c>
      <c r="AA9" s="124">
        <f t="shared" si="3"/>
        <v>80096.76568908745</v>
      </c>
      <c r="AB9" s="124">
        <f t="shared" si="3"/>
        <v>33546.761994521497</v>
      </c>
      <c r="AC9" s="124">
        <f t="shared" si="3"/>
        <v>421.97184898769177</v>
      </c>
      <c r="AD9" s="124">
        <f t="shared" si="3"/>
        <v>78.799769026731013</v>
      </c>
      <c r="AE9" s="124">
        <f t="shared" si="3"/>
        <v>273770.69173891447</v>
      </c>
    </row>
    <row r="10" spans="1:31" x14ac:dyDescent="0.25">
      <c r="A10" t="s">
        <v>435</v>
      </c>
      <c r="B10" s="68">
        <v>1110199.5099999998</v>
      </c>
      <c r="C10" s="68">
        <v>1110199.5099999998</v>
      </c>
      <c r="D10" s="68">
        <v>1119766.2299999997</v>
      </c>
      <c r="E10" s="68">
        <v>1193136.53</v>
      </c>
      <c r="F10" s="68">
        <v>1193136.53</v>
      </c>
      <c r="G10" s="68">
        <v>1195878.7100000002</v>
      </c>
      <c r="H10" s="68">
        <v>1182442.1100000001</v>
      </c>
      <c r="I10" s="68">
        <v>1182442.1100000001</v>
      </c>
      <c r="J10" s="68">
        <v>1182442.1100000001</v>
      </c>
      <c r="K10" s="68">
        <v>1182442.1100000001</v>
      </c>
      <c r="L10" s="68">
        <v>1182442.1100000001</v>
      </c>
      <c r="M10" s="68">
        <v>1182442.1100000001</v>
      </c>
      <c r="N10" s="68">
        <v>1182442.1100000001</v>
      </c>
      <c r="O10" s="68">
        <f t="shared" si="6"/>
        <v>1169185.5223076921</v>
      </c>
      <c r="R10" s="124">
        <f t="shared" si="4"/>
        <v>93139.767004209702</v>
      </c>
      <c r="S10" s="124">
        <f t="shared" si="2"/>
        <v>222182.14486140694</v>
      </c>
      <c r="T10" s="124">
        <f t="shared" si="2"/>
        <v>93056.08620990043</v>
      </c>
      <c r="U10" s="124">
        <f t="shared" si="2"/>
        <v>1170.5168076717034</v>
      </c>
      <c r="V10" s="124">
        <f t="shared" si="2"/>
        <v>218.58437786243684</v>
      </c>
      <c r="W10" s="124">
        <f t="shared" si="2"/>
        <v>759418.42304664082</v>
      </c>
      <c r="X10" s="125"/>
      <c r="Y10" s="125"/>
      <c r="Z10" s="124">
        <f t="shared" si="5"/>
        <v>94195.81453933091</v>
      </c>
      <c r="AA10" s="124">
        <f t="shared" si="3"/>
        <v>224701.31485694952</v>
      </c>
      <c r="AB10" s="124">
        <f t="shared" si="3"/>
        <v>94111.184946249545</v>
      </c>
      <c r="AC10" s="124">
        <f t="shared" si="3"/>
        <v>1183.7884898899313</v>
      </c>
      <c r="AD10" s="124">
        <f t="shared" si="3"/>
        <v>221.0627552610747</v>
      </c>
      <c r="AE10" s="124">
        <f t="shared" si="3"/>
        <v>768028.94441231911</v>
      </c>
    </row>
    <row r="11" spans="1:31" x14ac:dyDescent="0.25">
      <c r="A11" t="s">
        <v>457</v>
      </c>
      <c r="B11" s="68">
        <v>3817517.6700000013</v>
      </c>
      <c r="C11" s="68">
        <v>3821752.0400000024</v>
      </c>
      <c r="D11" s="68">
        <v>3822561.0000000023</v>
      </c>
      <c r="E11" s="68">
        <v>3810907.0000000023</v>
      </c>
      <c r="F11" s="68">
        <v>3800958.6200000015</v>
      </c>
      <c r="G11" s="68">
        <v>3802145.390000002</v>
      </c>
      <c r="H11" s="68">
        <v>3793826.390000002</v>
      </c>
      <c r="I11" s="68">
        <v>3793826.390000002</v>
      </c>
      <c r="J11" s="68">
        <v>3791738.3900000011</v>
      </c>
      <c r="K11" s="68">
        <v>3850064.3900000011</v>
      </c>
      <c r="L11" s="68">
        <v>3856926.3900000011</v>
      </c>
      <c r="M11" s="68">
        <v>3852154.0300000017</v>
      </c>
      <c r="N11" s="68">
        <v>3850066.0300000017</v>
      </c>
      <c r="O11" s="68">
        <f t="shared" si="6"/>
        <v>3820341.8253846169</v>
      </c>
      <c r="R11" s="124">
        <f t="shared" si="4"/>
        <v>304336.42968007817</v>
      </c>
      <c r="S11" s="124">
        <f t="shared" si="2"/>
        <v>725985.50415878033</v>
      </c>
      <c r="T11" s="124">
        <f t="shared" si="2"/>
        <v>304063.00067126687</v>
      </c>
      <c r="U11" s="124">
        <f t="shared" si="2"/>
        <v>3824.6918323429791</v>
      </c>
      <c r="V11" s="124">
        <f t="shared" si="2"/>
        <v>714.22971392540035</v>
      </c>
      <c r="W11" s="124">
        <f t="shared" si="2"/>
        <v>2481417.9693282228</v>
      </c>
      <c r="X11" s="125"/>
      <c r="Y11" s="125"/>
      <c r="Z11" s="124">
        <f t="shared" si="5"/>
        <v>306704.32206280116</v>
      </c>
      <c r="AA11" s="124">
        <f t="shared" si="3"/>
        <v>731634.04103315971</v>
      </c>
      <c r="AB11" s="124">
        <f t="shared" si="3"/>
        <v>306428.76563707873</v>
      </c>
      <c r="AC11" s="124">
        <f t="shared" si="3"/>
        <v>3854.4498822274049</v>
      </c>
      <c r="AD11" s="124">
        <f t="shared" si="3"/>
        <v>719.78678476603625</v>
      </c>
      <c r="AE11" s="124">
        <f t="shared" si="3"/>
        <v>2500724.6645999686</v>
      </c>
    </row>
    <row r="12" spans="1:31" x14ac:dyDescent="0.25">
      <c r="A12" t="s">
        <v>436</v>
      </c>
      <c r="B12" s="68">
        <v>408872.10000000003</v>
      </c>
      <c r="C12" s="68">
        <v>408872.10000000003</v>
      </c>
      <c r="D12" s="68">
        <v>349634.40000000008</v>
      </c>
      <c r="E12" s="68">
        <v>343422.68000000005</v>
      </c>
      <c r="F12" s="68">
        <v>330586.02</v>
      </c>
      <c r="G12" s="68">
        <v>362249.77</v>
      </c>
      <c r="H12" s="68">
        <v>416778.64999999997</v>
      </c>
      <c r="I12" s="68">
        <v>451533.37</v>
      </c>
      <c r="J12" s="68">
        <v>597442.09</v>
      </c>
      <c r="K12" s="68">
        <v>637795.80999999994</v>
      </c>
      <c r="L12" s="68">
        <v>739356.33999999985</v>
      </c>
      <c r="M12" s="68">
        <v>782299.66999999981</v>
      </c>
      <c r="N12" s="68">
        <v>871991.45999999973</v>
      </c>
      <c r="O12" s="68">
        <f t="shared" si="6"/>
        <v>515448.80461538461</v>
      </c>
      <c r="R12" s="124">
        <f t="shared" si="4"/>
        <v>41061.731135463859</v>
      </c>
      <c r="S12" s="124">
        <f t="shared" si="2"/>
        <v>97951.538734120171</v>
      </c>
      <c r="T12" s="124">
        <f t="shared" si="2"/>
        <v>41024.839500583839</v>
      </c>
      <c r="U12" s="124">
        <f t="shared" si="2"/>
        <v>516.03571698847588</v>
      </c>
      <c r="V12" s="124">
        <f t="shared" si="2"/>
        <v>96.365422019945029</v>
      </c>
      <c r="W12" s="124">
        <f t="shared" si="2"/>
        <v>334798.29410620831</v>
      </c>
      <c r="X12" s="125"/>
      <c r="Y12" s="125"/>
      <c r="Z12" s="124">
        <f t="shared" si="5"/>
        <v>69464.665670643575</v>
      </c>
      <c r="AA12" s="124">
        <f t="shared" si="3"/>
        <v>165705.89456259389</v>
      </c>
      <c r="AB12" s="124">
        <f t="shared" si="3"/>
        <v>69402.255611152184</v>
      </c>
      <c r="AC12" s="124">
        <f t="shared" si="3"/>
        <v>872.98434731009024</v>
      </c>
      <c r="AD12" s="124">
        <f t="shared" si="3"/>
        <v>163.02264024724823</v>
      </c>
      <c r="AE12" s="124">
        <f t="shared" si="3"/>
        <v>566382.63716805272</v>
      </c>
    </row>
    <row r="13" spans="1:31" x14ac:dyDescent="0.25">
      <c r="A13" t="s">
        <v>437</v>
      </c>
      <c r="B13" s="68">
        <v>133969.25</v>
      </c>
      <c r="C13" s="68">
        <v>133969.25</v>
      </c>
      <c r="D13" s="68">
        <v>133969.25</v>
      </c>
      <c r="E13" s="68">
        <v>133969.25</v>
      </c>
      <c r="F13" s="68">
        <v>133969.25</v>
      </c>
      <c r="G13" s="68">
        <v>133969.25</v>
      </c>
      <c r="H13" s="68">
        <v>133969.25</v>
      </c>
      <c r="I13" s="68">
        <v>133969.25</v>
      </c>
      <c r="J13" s="68">
        <v>133969.25</v>
      </c>
      <c r="K13" s="68">
        <v>133969.25</v>
      </c>
      <c r="L13" s="68">
        <v>133969.25</v>
      </c>
      <c r="M13" s="68">
        <v>133969.25</v>
      </c>
      <c r="N13" s="68">
        <v>133969.25</v>
      </c>
      <c r="O13" s="68">
        <f t="shared" si="6"/>
        <v>133969.25</v>
      </c>
      <c r="R13" s="124">
        <f t="shared" si="4"/>
        <v>10672.270989209997</v>
      </c>
      <c r="S13" s="124">
        <f t="shared" si="2"/>
        <v>25458.385125847202</v>
      </c>
      <c r="T13" s="124">
        <f t="shared" si="2"/>
        <v>10662.682559453451</v>
      </c>
      <c r="U13" s="124">
        <f t="shared" si="2"/>
        <v>134.12179320067233</v>
      </c>
      <c r="V13" s="124">
        <f t="shared" si="2"/>
        <v>25.04614075801117</v>
      </c>
      <c r="W13" s="124">
        <f t="shared" si="2"/>
        <v>87016.743391530661</v>
      </c>
      <c r="X13" s="125"/>
      <c r="Y13" s="125"/>
      <c r="Z13" s="124">
        <f t="shared" si="5"/>
        <v>10672.270989209997</v>
      </c>
      <c r="AA13" s="124">
        <f t="shared" si="3"/>
        <v>25458.385125847202</v>
      </c>
      <c r="AB13" s="124">
        <f t="shared" si="3"/>
        <v>10662.682559453451</v>
      </c>
      <c r="AC13" s="124">
        <f t="shared" si="3"/>
        <v>134.12179320067233</v>
      </c>
      <c r="AD13" s="124">
        <f t="shared" si="3"/>
        <v>25.04614075801117</v>
      </c>
      <c r="AE13" s="124">
        <f t="shared" si="3"/>
        <v>87016.743391530661</v>
      </c>
    </row>
    <row r="14" spans="1:31" x14ac:dyDescent="0.25">
      <c r="A14" t="s">
        <v>438</v>
      </c>
      <c r="B14" s="68">
        <v>1642872.16</v>
      </c>
      <c r="C14" s="68">
        <v>1648733.7100000002</v>
      </c>
      <c r="D14" s="68">
        <v>1672114.2900000003</v>
      </c>
      <c r="E14" s="68">
        <v>1786165.45</v>
      </c>
      <c r="F14" s="68">
        <v>1855637.9300000004</v>
      </c>
      <c r="G14" s="68">
        <v>1906590.61</v>
      </c>
      <c r="H14" s="68">
        <v>1983918.53</v>
      </c>
      <c r="I14" s="68">
        <v>2076308.32</v>
      </c>
      <c r="J14" s="68">
        <v>2141127.62</v>
      </c>
      <c r="K14" s="68">
        <v>2141184.48</v>
      </c>
      <c r="L14" s="68">
        <v>2325798.1800000006</v>
      </c>
      <c r="M14" s="68">
        <v>2284148.14</v>
      </c>
      <c r="N14" s="68">
        <v>2265779.04</v>
      </c>
      <c r="O14" s="68">
        <f t="shared" si="6"/>
        <v>1979259.8815384617</v>
      </c>
      <c r="R14" s="124">
        <f t="shared" si="4"/>
        <v>157671.98677196552</v>
      </c>
      <c r="S14" s="124">
        <f t="shared" si="2"/>
        <v>376121.83637920546</v>
      </c>
      <c r="T14" s="124">
        <f t="shared" si="2"/>
        <v>157530.32744085722</v>
      </c>
      <c r="U14" s="124">
        <f t="shared" si="2"/>
        <v>1981.5135527151849</v>
      </c>
      <c r="V14" s="124">
        <f t="shared" si="2"/>
        <v>370.03134368294832</v>
      </c>
      <c r="W14" s="124">
        <f t="shared" si="2"/>
        <v>1285584.1860500353</v>
      </c>
      <c r="X14" s="125"/>
      <c r="Y14" s="125"/>
      <c r="Z14" s="124">
        <f t="shared" si="5"/>
        <v>180496.70291169116</v>
      </c>
      <c r="AA14" s="124">
        <f t="shared" si="3"/>
        <v>430569.51808263728</v>
      </c>
      <c r="AB14" s="124">
        <f t="shared" si="3"/>
        <v>180334.53686859622</v>
      </c>
      <c r="AC14" s="124">
        <f t="shared" si="3"/>
        <v>2268.358954321965</v>
      </c>
      <c r="AD14" s="124">
        <f t="shared" si="3"/>
        <v>423.59736105405847</v>
      </c>
      <c r="AE14" s="124">
        <f t="shared" si="3"/>
        <v>1471686.3258216991</v>
      </c>
    </row>
    <row r="15" spans="1:31" x14ac:dyDescent="0.25">
      <c r="A15" t="s">
        <v>458</v>
      </c>
      <c r="B15" s="68">
        <v>1244509.3299999998</v>
      </c>
      <c r="C15" s="68">
        <v>1244509.3299999998</v>
      </c>
      <c r="D15" s="68">
        <v>1244509.3299999998</v>
      </c>
      <c r="E15" s="68">
        <v>1244509.3299999998</v>
      </c>
      <c r="F15" s="68">
        <v>1244509.3299999998</v>
      </c>
      <c r="G15" s="68">
        <v>1244509.3299999998</v>
      </c>
      <c r="H15" s="68">
        <v>1244509.3299999998</v>
      </c>
      <c r="I15" s="68">
        <v>1244509.3299999998</v>
      </c>
      <c r="J15" s="68">
        <v>1244509.3299999998</v>
      </c>
      <c r="K15" s="68">
        <v>1244509.3299999998</v>
      </c>
      <c r="L15" s="68">
        <v>1244509.3299999998</v>
      </c>
      <c r="M15" s="68">
        <v>1244509.3299999998</v>
      </c>
      <c r="N15" s="68">
        <v>1244509.3299999998</v>
      </c>
      <c r="O15" s="68">
        <f t="shared" si="6"/>
        <v>1244509.3299999998</v>
      </c>
      <c r="R15" s="124">
        <f t="shared" si="4"/>
        <v>99140.219254494368</v>
      </c>
      <c r="S15" s="124">
        <f t="shared" si="2"/>
        <v>236496.04529285687</v>
      </c>
      <c r="T15" s="124">
        <f t="shared" si="2"/>
        <v>99051.147394406536</v>
      </c>
      <c r="U15" s="124">
        <f t="shared" si="2"/>
        <v>1245.926382319579</v>
      </c>
      <c r="V15" s="124">
        <f t="shared" si="2"/>
        <v>232.66649513853491</v>
      </c>
      <c r="W15" s="124">
        <f t="shared" si="2"/>
        <v>808343.32518078387</v>
      </c>
      <c r="X15" s="125"/>
      <c r="Y15" s="125"/>
      <c r="Z15" s="124">
        <f t="shared" si="5"/>
        <v>99140.219254494368</v>
      </c>
      <c r="AA15" s="124">
        <f t="shared" si="3"/>
        <v>236496.04529285687</v>
      </c>
      <c r="AB15" s="124">
        <f t="shared" si="3"/>
        <v>99051.147394406536</v>
      </c>
      <c r="AC15" s="124">
        <f t="shared" si="3"/>
        <v>1245.926382319579</v>
      </c>
      <c r="AD15" s="124">
        <f t="shared" si="3"/>
        <v>232.66649513853491</v>
      </c>
      <c r="AE15" s="124">
        <f t="shared" si="3"/>
        <v>808343.32518078387</v>
      </c>
    </row>
    <row r="16" spans="1:31" x14ac:dyDescent="0.25">
      <c r="A16" t="s">
        <v>441</v>
      </c>
      <c r="B16" s="68">
        <v>399931.74</v>
      </c>
      <c r="C16" s="68">
        <v>399931.74</v>
      </c>
      <c r="D16" s="68">
        <v>399931.74</v>
      </c>
      <c r="E16" s="68">
        <v>345199.68000000005</v>
      </c>
      <c r="F16" s="68">
        <v>369049.68000000005</v>
      </c>
      <c r="G16" s="68">
        <v>369049.68000000005</v>
      </c>
      <c r="H16" s="68">
        <v>369049.68000000005</v>
      </c>
      <c r="I16" s="68">
        <v>369049.68000000005</v>
      </c>
      <c r="J16" s="68">
        <v>369049.68000000005</v>
      </c>
      <c r="K16" s="68">
        <v>369049.68000000005</v>
      </c>
      <c r="L16" s="68">
        <v>369049.68000000005</v>
      </c>
      <c r="M16" s="68">
        <v>369049.68000000005</v>
      </c>
      <c r="N16" s="68">
        <v>369049.68000000005</v>
      </c>
      <c r="O16" s="68">
        <f t="shared" si="6"/>
        <v>374341.69384615391</v>
      </c>
      <c r="R16" s="124">
        <f t="shared" si="4"/>
        <v>29820.843210557938</v>
      </c>
      <c r="S16" s="124">
        <f t="shared" si="2"/>
        <v>71136.734814872616</v>
      </c>
      <c r="T16" s="124">
        <f t="shared" si="2"/>
        <v>29794.050875478133</v>
      </c>
      <c r="U16" s="124">
        <f t="shared" si="2"/>
        <v>374.76793554060544</v>
      </c>
      <c r="V16" s="124">
        <f t="shared" si="2"/>
        <v>69.98482678422917</v>
      </c>
      <c r="W16" s="124">
        <f t="shared" si="2"/>
        <v>243145.31218292037</v>
      </c>
      <c r="X16" s="125"/>
      <c r="Y16" s="125"/>
      <c r="Z16" s="124">
        <f t="shared" si="5"/>
        <v>29399.270305993607</v>
      </c>
      <c r="AA16" s="124">
        <f t="shared" si="3"/>
        <v>70131.085185672622</v>
      </c>
      <c r="AB16" s="124">
        <f t="shared" si="3"/>
        <v>29372.856730241288</v>
      </c>
      <c r="AC16" s="124">
        <f t="shared" si="3"/>
        <v>369.46989597787785</v>
      </c>
      <c r="AD16" s="124">
        <f t="shared" si="3"/>
        <v>68.995461510600236</v>
      </c>
      <c r="AE16" s="124">
        <f t="shared" si="3"/>
        <v>239708.00242060403</v>
      </c>
    </row>
    <row r="17" spans="1:32" x14ac:dyDescent="0.25">
      <c r="A17" s="116" t="s">
        <v>459</v>
      </c>
      <c r="B17" s="117">
        <f t="shared" ref="B17:O17" si="7">SUM(B18:B19)</f>
        <v>475306.17</v>
      </c>
      <c r="C17" s="117">
        <f t="shared" si="7"/>
        <v>475306.17</v>
      </c>
      <c r="D17" s="117">
        <f t="shared" si="7"/>
        <v>475306.17</v>
      </c>
      <c r="E17" s="117">
        <f t="shared" si="7"/>
        <v>475306.17</v>
      </c>
      <c r="F17" s="117">
        <f t="shared" si="7"/>
        <v>475306.17</v>
      </c>
      <c r="G17" s="117">
        <f t="shared" si="7"/>
        <v>475306.17</v>
      </c>
      <c r="H17" s="117">
        <f t="shared" si="7"/>
        <v>475306.17</v>
      </c>
      <c r="I17" s="117">
        <f t="shared" si="7"/>
        <v>475306.17</v>
      </c>
      <c r="J17" s="117">
        <f t="shared" si="7"/>
        <v>475306.17</v>
      </c>
      <c r="K17" s="117">
        <f t="shared" si="7"/>
        <v>475306.17</v>
      </c>
      <c r="L17" s="117">
        <f t="shared" si="7"/>
        <v>475306.17</v>
      </c>
      <c r="M17" s="117">
        <f t="shared" si="7"/>
        <v>475306.17</v>
      </c>
      <c r="N17" s="117">
        <f t="shared" si="7"/>
        <v>475306.17</v>
      </c>
      <c r="O17" s="117">
        <f t="shared" si="7"/>
        <v>475306.17</v>
      </c>
      <c r="R17" s="126">
        <f t="shared" si="4"/>
        <v>37863.884802546221</v>
      </c>
      <c r="S17" s="126">
        <f t="shared" si="2"/>
        <v>90323.171388594041</v>
      </c>
      <c r="T17" s="126">
        <f t="shared" si="2"/>
        <v>37829.866251095809</v>
      </c>
      <c r="U17" s="126">
        <f t="shared" si="2"/>
        <v>475.84737422762021</v>
      </c>
      <c r="V17" s="126">
        <f t="shared" si="2"/>
        <v>88.860579849265307</v>
      </c>
      <c r="W17" s="126">
        <f t="shared" si="2"/>
        <v>308724.53960368701</v>
      </c>
      <c r="X17" s="125"/>
      <c r="Y17" s="125"/>
      <c r="Z17" s="126">
        <f t="shared" si="5"/>
        <v>37863.884802546221</v>
      </c>
      <c r="AA17" s="126">
        <f t="shared" si="3"/>
        <v>90323.171388594041</v>
      </c>
      <c r="AB17" s="126">
        <f t="shared" si="3"/>
        <v>37829.866251095809</v>
      </c>
      <c r="AC17" s="126">
        <f t="shared" si="3"/>
        <v>475.84737422762021</v>
      </c>
      <c r="AD17" s="126">
        <f t="shared" si="3"/>
        <v>88.860579849265307</v>
      </c>
      <c r="AE17" s="126">
        <f t="shared" si="3"/>
        <v>308724.53960368701</v>
      </c>
    </row>
    <row r="18" spans="1:32" x14ac:dyDescent="0.25">
      <c r="A18" t="s">
        <v>435</v>
      </c>
      <c r="B18" s="68">
        <v>5656.13</v>
      </c>
      <c r="C18" s="68">
        <v>5656.13</v>
      </c>
      <c r="D18" s="68">
        <v>5656.13</v>
      </c>
      <c r="E18" s="68">
        <v>5656.13</v>
      </c>
      <c r="F18" s="68">
        <v>5656.13</v>
      </c>
      <c r="G18" s="68">
        <v>5656.13</v>
      </c>
      <c r="H18" s="68">
        <v>5656.13</v>
      </c>
      <c r="I18" s="68">
        <v>5656.13</v>
      </c>
      <c r="J18" s="68">
        <v>5656.13</v>
      </c>
      <c r="K18" s="68">
        <v>5656.13</v>
      </c>
      <c r="L18" s="68">
        <v>5656.13</v>
      </c>
      <c r="M18" s="68">
        <v>5656.13</v>
      </c>
      <c r="N18" s="68">
        <v>5656.13</v>
      </c>
      <c r="O18" s="68">
        <f t="shared" si="6"/>
        <v>5656.1299999999992</v>
      </c>
      <c r="R18" s="127">
        <f t="shared" si="4"/>
        <v>450.57915984601198</v>
      </c>
      <c r="S18" s="127">
        <f t="shared" si="2"/>
        <v>1074.8431887306836</v>
      </c>
      <c r="T18" s="127">
        <f t="shared" si="2"/>
        <v>450.1743400444613</v>
      </c>
      <c r="U18" s="127">
        <f t="shared" si="2"/>
        <v>5.66257031502467</v>
      </c>
      <c r="V18" s="127">
        <f t="shared" si="2"/>
        <v>1.0574383907173452</v>
      </c>
      <c r="W18" s="127">
        <f t="shared" si="2"/>
        <v>3673.8133026731002</v>
      </c>
      <c r="X18" s="128"/>
      <c r="Y18" s="128"/>
      <c r="Z18" s="127">
        <f t="shared" si="5"/>
        <v>450.57915984601203</v>
      </c>
      <c r="AA18" s="127">
        <f t="shared" si="3"/>
        <v>1074.8431887306838</v>
      </c>
      <c r="AB18" s="127">
        <f t="shared" si="3"/>
        <v>450.17434004446136</v>
      </c>
      <c r="AC18" s="127">
        <f t="shared" si="3"/>
        <v>5.6625703150246709</v>
      </c>
      <c r="AD18" s="127">
        <f t="shared" si="3"/>
        <v>1.0574383907173455</v>
      </c>
      <c r="AE18" s="127">
        <f t="shared" si="3"/>
        <v>3673.8133026731007</v>
      </c>
      <c r="AF18" s="89"/>
    </row>
    <row r="19" spans="1:32" x14ac:dyDescent="0.25">
      <c r="A19" t="s">
        <v>441</v>
      </c>
      <c r="B19" s="68">
        <v>469650.04</v>
      </c>
      <c r="C19" s="68">
        <v>469650.04</v>
      </c>
      <c r="D19" s="68">
        <v>469650.04</v>
      </c>
      <c r="E19" s="68">
        <v>469650.04</v>
      </c>
      <c r="F19" s="68">
        <v>469650.04</v>
      </c>
      <c r="G19" s="68">
        <v>469650.04</v>
      </c>
      <c r="H19" s="68">
        <v>469650.04</v>
      </c>
      <c r="I19" s="68">
        <v>469650.04</v>
      </c>
      <c r="J19" s="68">
        <v>469650.04</v>
      </c>
      <c r="K19" s="68">
        <v>469650.04</v>
      </c>
      <c r="L19" s="68">
        <v>469650.04</v>
      </c>
      <c r="M19" s="68">
        <v>469650.04</v>
      </c>
      <c r="N19" s="68">
        <v>469650.04</v>
      </c>
      <c r="O19" s="68">
        <f t="shared" si="6"/>
        <v>469650.04</v>
      </c>
      <c r="R19" s="124">
        <f t="shared" si="4"/>
        <v>37413.305642700208</v>
      </c>
      <c r="S19" s="124">
        <f t="shared" si="4"/>
        <v>89248.328199863361</v>
      </c>
      <c r="T19" s="124">
        <f t="shared" si="4"/>
        <v>37379.691911051348</v>
      </c>
      <c r="U19" s="124">
        <f t="shared" si="4"/>
        <v>470.18480391259556</v>
      </c>
      <c r="V19" s="124">
        <f t="shared" si="4"/>
        <v>87.803141458547955</v>
      </c>
      <c r="W19" s="124">
        <f t="shared" si="4"/>
        <v>305050.7263010139</v>
      </c>
      <c r="X19" s="125"/>
      <c r="Y19" s="125"/>
      <c r="Z19" s="124">
        <f t="shared" si="5"/>
        <v>37413.305642700208</v>
      </c>
      <c r="AA19" s="124">
        <f t="shared" si="5"/>
        <v>89248.328199863361</v>
      </c>
      <c r="AB19" s="124">
        <f t="shared" si="5"/>
        <v>37379.691911051348</v>
      </c>
      <c r="AC19" s="124">
        <f t="shared" si="5"/>
        <v>470.18480391259556</v>
      </c>
      <c r="AD19" s="124">
        <f t="shared" si="5"/>
        <v>87.803141458547955</v>
      </c>
      <c r="AE19" s="124">
        <f t="shared" si="5"/>
        <v>305050.7263010139</v>
      </c>
    </row>
    <row r="20" spans="1:32" ht="15.75" thickBot="1" x14ac:dyDescent="0.3">
      <c r="A20" s="116" t="s">
        <v>443</v>
      </c>
      <c r="B20" s="117">
        <f t="shared" ref="B20:O20" si="8">B17+B6</f>
        <v>14865082.410000002</v>
      </c>
      <c r="C20" s="117">
        <f t="shared" si="8"/>
        <v>14875178.330000004</v>
      </c>
      <c r="D20" s="117">
        <f t="shared" si="8"/>
        <v>14692392.800000004</v>
      </c>
      <c r="E20" s="117">
        <f t="shared" si="8"/>
        <v>14807216.480000002</v>
      </c>
      <c r="F20" s="117">
        <f t="shared" si="8"/>
        <v>14877753.920000002</v>
      </c>
      <c r="G20" s="117">
        <f t="shared" si="8"/>
        <v>14964299.300000001</v>
      </c>
      <c r="H20" s="117">
        <f t="shared" si="8"/>
        <v>15074400.500000002</v>
      </c>
      <c r="I20" s="117">
        <f t="shared" si="8"/>
        <v>15201545.010000002</v>
      </c>
      <c r="J20" s="117">
        <f t="shared" si="8"/>
        <v>15410185.030000001</v>
      </c>
      <c r="K20" s="117">
        <f t="shared" si="8"/>
        <v>15508921.610000003</v>
      </c>
      <c r="L20" s="117">
        <f t="shared" si="8"/>
        <v>15801957.840000004</v>
      </c>
      <c r="M20" s="117">
        <f t="shared" si="8"/>
        <v>15798478.770000003</v>
      </c>
      <c r="N20" s="117">
        <f t="shared" si="8"/>
        <v>15867713.460000001</v>
      </c>
      <c r="O20" s="117">
        <f t="shared" si="8"/>
        <v>15211163.496923078</v>
      </c>
      <c r="R20" s="129">
        <f t="shared" si="4"/>
        <v>1211753.1366365212</v>
      </c>
      <c r="S20" s="129">
        <f t="shared" si="4"/>
        <v>2890601.0783586265</v>
      </c>
      <c r="T20" s="129">
        <f t="shared" si="4"/>
        <v>1210664.4452188595</v>
      </c>
      <c r="U20" s="129">
        <f t="shared" si="4"/>
        <v>15228.483587658608</v>
      </c>
      <c r="V20" s="129">
        <f t="shared" si="4"/>
        <v>2843.7939455289688</v>
      </c>
      <c r="W20" s="129">
        <f t="shared" si="4"/>
        <v>9880072.5591758825</v>
      </c>
      <c r="X20" s="125"/>
      <c r="Y20" s="125"/>
      <c r="Z20" s="129">
        <f t="shared" si="5"/>
        <v>1264055.281523596</v>
      </c>
      <c r="AA20" s="129">
        <f t="shared" si="5"/>
        <v>3015366.2898856974</v>
      </c>
      <c r="AB20" s="129">
        <f t="shared" si="5"/>
        <v>1262919.5995972718</v>
      </c>
      <c r="AC20" s="129">
        <f t="shared" si="5"/>
        <v>15885.781127009706</v>
      </c>
      <c r="AD20" s="129">
        <f t="shared" si="5"/>
        <v>2966.5388499745163</v>
      </c>
      <c r="AE20" s="129">
        <f t="shared" si="5"/>
        <v>10306519.969016451</v>
      </c>
    </row>
    <row r="21" spans="1:32" ht="15.75" thickTop="1" x14ac:dyDescent="0.25"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</row>
    <row r="22" spans="1:32" ht="15.75" x14ac:dyDescent="0.25">
      <c r="A22" s="112" t="s">
        <v>74</v>
      </c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</row>
    <row r="23" spans="1:32" x14ac:dyDescent="0.25">
      <c r="A23" s="116" t="s">
        <v>454</v>
      </c>
      <c r="B23" s="117">
        <f>SUM(B24:B33)</f>
        <v>4264123.080000001</v>
      </c>
      <c r="C23" s="117">
        <f t="shared" ref="C23:O23" si="9">SUM(C24:C33)</f>
        <v>4442648.1999999983</v>
      </c>
      <c r="D23" s="117">
        <f t="shared" si="9"/>
        <v>4383745.53</v>
      </c>
      <c r="E23" s="117">
        <f t="shared" si="9"/>
        <v>4472407.8600000013</v>
      </c>
      <c r="F23" s="117">
        <f t="shared" si="9"/>
        <v>4598536.57</v>
      </c>
      <c r="G23" s="117">
        <f t="shared" si="9"/>
        <v>4768382.1899999995</v>
      </c>
      <c r="H23" s="117">
        <f t="shared" si="9"/>
        <v>4924031.08</v>
      </c>
      <c r="I23" s="117">
        <f t="shared" si="9"/>
        <v>5111202.5599999996</v>
      </c>
      <c r="J23" s="117">
        <f t="shared" si="9"/>
        <v>5298179.1899999995</v>
      </c>
      <c r="K23" s="117">
        <f t="shared" si="9"/>
        <v>5363657.2799999993</v>
      </c>
      <c r="L23" s="117">
        <f t="shared" si="9"/>
        <v>5553518.8499999996</v>
      </c>
      <c r="M23" s="117">
        <f t="shared" si="9"/>
        <v>5679412.879999999</v>
      </c>
      <c r="N23" s="117">
        <f t="shared" si="9"/>
        <v>5841590.54</v>
      </c>
      <c r="O23" s="117">
        <f t="shared" si="9"/>
        <v>4977033.5238461532</v>
      </c>
      <c r="R23" s="122">
        <f t="shared" ref="R23:W37" si="10">$O23*R$3</f>
        <v>396480.91251439345</v>
      </c>
      <c r="S23" s="122">
        <f t="shared" si="10"/>
        <v>945793.42822571448</v>
      </c>
      <c r="T23" s="122">
        <f t="shared" si="10"/>
        <v>396124.69691761007</v>
      </c>
      <c r="U23" s="122">
        <f t="shared" si="10"/>
        <v>4982.7005901586172</v>
      </c>
      <c r="V23" s="122">
        <f t="shared" si="10"/>
        <v>930.47831644643156</v>
      </c>
      <c r="W23" s="122">
        <f t="shared" si="10"/>
        <v>3232721.3072818299</v>
      </c>
      <c r="X23" s="125"/>
      <c r="Y23" s="125"/>
      <c r="Z23" s="122">
        <f t="shared" ref="Z23:AE37" si="11">$N23*Z$3</f>
        <v>465353.33482038276</v>
      </c>
      <c r="AA23" s="122">
        <f t="shared" si="11"/>
        <v>1110086.5438511132</v>
      </c>
      <c r="AB23" s="122">
        <f t="shared" si="11"/>
        <v>464935.24126115709</v>
      </c>
      <c r="AC23" s="122">
        <f t="shared" si="11"/>
        <v>5848.2420284422278</v>
      </c>
      <c r="AD23" s="122">
        <f t="shared" si="11"/>
        <v>1092.111054704766</v>
      </c>
      <c r="AE23" s="122">
        <f t="shared" si="11"/>
        <v>3794275.0669841999</v>
      </c>
    </row>
    <row r="24" spans="1:32" x14ac:dyDescent="0.25">
      <c r="A24" t="s">
        <v>455</v>
      </c>
      <c r="B24" s="68">
        <v>5966.29</v>
      </c>
      <c r="C24" s="68">
        <v>5966.29</v>
      </c>
      <c r="D24" s="68">
        <v>5966.29</v>
      </c>
      <c r="E24" s="68">
        <v>5966.29</v>
      </c>
      <c r="F24" s="68">
        <v>5966.29</v>
      </c>
      <c r="G24" s="68">
        <v>5966.29</v>
      </c>
      <c r="H24" s="68">
        <v>5966.29</v>
      </c>
      <c r="I24" s="68">
        <v>5966.29</v>
      </c>
      <c r="J24" s="68">
        <v>5966.29</v>
      </c>
      <c r="K24" s="68">
        <v>5966.29</v>
      </c>
      <c r="L24" s="68">
        <v>5966.29</v>
      </c>
      <c r="M24" s="68">
        <v>5966.29</v>
      </c>
      <c r="N24" s="68">
        <v>5966.29</v>
      </c>
      <c r="O24" s="68">
        <f>SUM(B24:N24)/13</f>
        <v>5966.2899999999991</v>
      </c>
      <c r="R24" s="124">
        <f t="shared" si="10"/>
        <v>475.28715492707249</v>
      </c>
      <c r="S24" s="124">
        <f t="shared" si="10"/>
        <v>1133.7833763530878</v>
      </c>
      <c r="T24" s="124">
        <f t="shared" si="10"/>
        <v>474.86013639429592</v>
      </c>
      <c r="U24" s="124">
        <f t="shared" si="10"/>
        <v>5.9730834766578091</v>
      </c>
      <c r="V24" s="124">
        <f t="shared" si="10"/>
        <v>1.1154241674347989</v>
      </c>
      <c r="W24" s="124">
        <f t="shared" si="10"/>
        <v>3875.27082468145</v>
      </c>
      <c r="X24" s="125"/>
      <c r="Y24" s="125"/>
      <c r="Z24" s="124">
        <f t="shared" si="11"/>
        <v>475.28715492707261</v>
      </c>
      <c r="AA24" s="124">
        <f t="shared" si="11"/>
        <v>1133.7833763530878</v>
      </c>
      <c r="AB24" s="124">
        <f t="shared" si="11"/>
        <v>474.86013639429598</v>
      </c>
      <c r="AC24" s="124">
        <f t="shared" si="11"/>
        <v>5.97308347665781</v>
      </c>
      <c r="AD24" s="124">
        <f t="shared" si="11"/>
        <v>1.1154241674347991</v>
      </c>
      <c r="AE24" s="124">
        <f t="shared" si="11"/>
        <v>3875.2708246814504</v>
      </c>
    </row>
    <row r="25" spans="1:32" x14ac:dyDescent="0.25">
      <c r="A25" t="s">
        <v>434</v>
      </c>
      <c r="B25" s="68">
        <v>1084808.5500000003</v>
      </c>
      <c r="C25" s="68">
        <v>1107567.3599999996</v>
      </c>
      <c r="D25" s="68">
        <v>979732.93000000017</v>
      </c>
      <c r="E25" s="68">
        <v>1001902.41</v>
      </c>
      <c r="F25" s="68">
        <v>1024071.9100000004</v>
      </c>
      <c r="G25" s="68">
        <v>1046241.3600000002</v>
      </c>
      <c r="H25" s="68">
        <v>1068410.8700000001</v>
      </c>
      <c r="I25" s="68">
        <v>1090580.3500000001</v>
      </c>
      <c r="J25" s="68">
        <v>1112196.21</v>
      </c>
      <c r="K25" s="68">
        <v>1133812.0700000003</v>
      </c>
      <c r="L25" s="68">
        <v>1155427.9300000006</v>
      </c>
      <c r="M25" s="68">
        <v>1177043.7699999998</v>
      </c>
      <c r="N25" s="68">
        <v>1198659.6400000004</v>
      </c>
      <c r="O25" s="68">
        <f t="shared" ref="O25:O36" si="12">SUM(B25:N25)/13</f>
        <v>1090804.2584615387</v>
      </c>
      <c r="R25" s="124">
        <f t="shared" si="10"/>
        <v>86895.75139433716</v>
      </c>
      <c r="S25" s="124">
        <f t="shared" si="10"/>
        <v>207287.2312775359</v>
      </c>
      <c r="T25" s="124">
        <f t="shared" si="10"/>
        <v>86817.680493661072</v>
      </c>
      <c r="U25" s="124">
        <f t="shared" si="10"/>
        <v>1092.0462955177493</v>
      </c>
      <c r="V25" s="124">
        <f t="shared" si="10"/>
        <v>203.9306557054376</v>
      </c>
      <c r="W25" s="124">
        <f t="shared" si="10"/>
        <v>708507.61834478134</v>
      </c>
      <c r="X25" s="125"/>
      <c r="Y25" s="125"/>
      <c r="Z25" s="124">
        <f t="shared" si="11"/>
        <v>95487.73693895356</v>
      </c>
      <c r="AA25" s="124">
        <f t="shared" si="11"/>
        <v>227783.15732848676</v>
      </c>
      <c r="AB25" s="124">
        <f t="shared" si="11"/>
        <v>95401.946626921897</v>
      </c>
      <c r="AC25" s="124">
        <f t="shared" si="11"/>
        <v>1200.0244858732315</v>
      </c>
      <c r="AD25" s="124">
        <f t="shared" si="11"/>
        <v>224.09469385241022</v>
      </c>
      <c r="AE25" s="124">
        <f t="shared" si="11"/>
        <v>778562.67992591241</v>
      </c>
    </row>
    <row r="26" spans="1:32" x14ac:dyDescent="0.25">
      <c r="A26" t="s">
        <v>456</v>
      </c>
      <c r="B26" s="68">
        <v>109178.11</v>
      </c>
      <c r="C26" s="68">
        <v>112727.13</v>
      </c>
      <c r="D26" s="68">
        <v>116276.15</v>
      </c>
      <c r="E26" s="68">
        <v>119825.17</v>
      </c>
      <c r="F26" s="68">
        <v>123374.19</v>
      </c>
      <c r="G26" s="68">
        <v>126923.21</v>
      </c>
      <c r="H26" s="68">
        <v>130472.23</v>
      </c>
      <c r="I26" s="68">
        <v>134021.25</v>
      </c>
      <c r="J26" s="68">
        <v>137570.26999999999</v>
      </c>
      <c r="K26" s="68">
        <v>141119.29</v>
      </c>
      <c r="L26" s="68">
        <v>144668.31</v>
      </c>
      <c r="M26" s="68">
        <v>148217.32999999999</v>
      </c>
      <c r="N26" s="68">
        <v>151766.35</v>
      </c>
      <c r="O26" s="68">
        <f t="shared" si="12"/>
        <v>130472.23000000001</v>
      </c>
      <c r="R26" s="124">
        <f t="shared" si="10"/>
        <v>10393.691053182238</v>
      </c>
      <c r="S26" s="124">
        <f t="shared" si="10"/>
        <v>24793.840971477526</v>
      </c>
      <c r="T26" s="124">
        <f t="shared" si="10"/>
        <v>10384.352911686819</v>
      </c>
      <c r="U26" s="124">
        <f t="shared" si="10"/>
        <v>130.62079134197256</v>
      </c>
      <c r="V26" s="124">
        <f t="shared" si="10"/>
        <v>24.392357481971484</v>
      </c>
      <c r="W26" s="124">
        <f t="shared" si="10"/>
        <v>84745.331914829469</v>
      </c>
      <c r="X26" s="125"/>
      <c r="Y26" s="125"/>
      <c r="Z26" s="124">
        <f t="shared" si="11"/>
        <v>12090.025242682861</v>
      </c>
      <c r="AA26" s="124">
        <f t="shared" si="11"/>
        <v>28840.395743382313</v>
      </c>
      <c r="AB26" s="124">
        <f t="shared" si="11"/>
        <v>12079.163041197204</v>
      </c>
      <c r="AC26" s="124">
        <f t="shared" si="11"/>
        <v>151.93915775090821</v>
      </c>
      <c r="AD26" s="124">
        <f t="shared" si="11"/>
        <v>28.373386911023154</v>
      </c>
      <c r="AE26" s="124">
        <f t="shared" si="11"/>
        <v>98576.453428075692</v>
      </c>
    </row>
    <row r="27" spans="1:32" x14ac:dyDescent="0.25">
      <c r="A27" t="s">
        <v>435</v>
      </c>
      <c r="B27" s="68">
        <v>363991.47</v>
      </c>
      <c r="C27" s="68">
        <v>374382.50000000012</v>
      </c>
      <c r="D27" s="68">
        <v>384773.50000000006</v>
      </c>
      <c r="E27" s="68">
        <v>360909.99</v>
      </c>
      <c r="F27" s="68">
        <v>371615.07000000007</v>
      </c>
      <c r="G27" s="68">
        <v>369981.44000000006</v>
      </c>
      <c r="H27" s="68">
        <v>367032.34000000008</v>
      </c>
      <c r="I27" s="68">
        <v>377519.84999999992</v>
      </c>
      <c r="J27" s="68">
        <v>388007.35000000003</v>
      </c>
      <c r="K27" s="68">
        <v>398494.87</v>
      </c>
      <c r="L27" s="68">
        <v>408982.38</v>
      </c>
      <c r="M27" s="68">
        <v>419469.89999999997</v>
      </c>
      <c r="N27" s="68">
        <v>429957.38000000006</v>
      </c>
      <c r="O27" s="68">
        <f t="shared" si="12"/>
        <v>385778.31076923083</v>
      </c>
      <c r="R27" s="124">
        <f t="shared" si="10"/>
        <v>30731.908063148083</v>
      </c>
      <c r="S27" s="124">
        <f t="shared" si="10"/>
        <v>73310.05293201124</v>
      </c>
      <c r="T27" s="124">
        <f t="shared" si="10"/>
        <v>30704.297188007629</v>
      </c>
      <c r="U27" s="124">
        <f t="shared" si="10"/>
        <v>386.21757469191988</v>
      </c>
      <c r="V27" s="124">
        <f t="shared" si="10"/>
        <v>72.122952639608954</v>
      </c>
      <c r="W27" s="124">
        <f t="shared" si="10"/>
        <v>250573.71205873232</v>
      </c>
      <c r="X27" s="125"/>
      <c r="Y27" s="125"/>
      <c r="Z27" s="124">
        <f t="shared" si="11"/>
        <v>34251.305229899692</v>
      </c>
      <c r="AA27" s="124">
        <f t="shared" si="11"/>
        <v>81705.470230968946</v>
      </c>
      <c r="AB27" s="124">
        <f t="shared" si="11"/>
        <v>34220.53237615573</v>
      </c>
      <c r="AC27" s="124">
        <f t="shared" si="11"/>
        <v>430.44694812774497</v>
      </c>
      <c r="AD27" s="124">
        <f t="shared" si="11"/>
        <v>80.382424022122223</v>
      </c>
      <c r="AE27" s="124">
        <f t="shared" si="11"/>
        <v>279269.24279082578</v>
      </c>
    </row>
    <row r="28" spans="1:32" x14ac:dyDescent="0.25">
      <c r="A28" t="s">
        <v>457</v>
      </c>
      <c r="B28" s="68">
        <v>1198726.8099999998</v>
      </c>
      <c r="C28" s="68">
        <v>1264562.9299999985</v>
      </c>
      <c r="D28" s="68">
        <v>1303031.1599999999</v>
      </c>
      <c r="E28" s="68">
        <v>1348422.4000000008</v>
      </c>
      <c r="F28" s="68">
        <v>1383397.1599999997</v>
      </c>
      <c r="G28" s="68">
        <v>1448396.9300000002</v>
      </c>
      <c r="H28" s="68">
        <v>1502735.3899999994</v>
      </c>
      <c r="I28" s="68">
        <v>1567480.9099999995</v>
      </c>
      <c r="J28" s="68">
        <v>1629974.97</v>
      </c>
      <c r="K28" s="68">
        <v>1694129.8699999996</v>
      </c>
      <c r="L28" s="68">
        <v>1759259.6599999995</v>
      </c>
      <c r="M28" s="68">
        <v>1819652.1299999997</v>
      </c>
      <c r="N28" s="68">
        <v>1884816.2699999996</v>
      </c>
      <c r="O28" s="68">
        <f t="shared" si="12"/>
        <v>1523429.7376923074</v>
      </c>
      <c r="R28" s="124">
        <f t="shared" si="10"/>
        <v>121359.60299601147</v>
      </c>
      <c r="S28" s="124">
        <f t="shared" si="10"/>
        <v>289499.72455872636</v>
      </c>
      <c r="T28" s="124">
        <f t="shared" si="10"/>
        <v>121250.5682807399</v>
      </c>
      <c r="U28" s="124">
        <f t="shared" si="10"/>
        <v>1525.16438088981</v>
      </c>
      <c r="V28" s="124">
        <f t="shared" si="10"/>
        <v>284.81189261850437</v>
      </c>
      <c r="W28" s="124">
        <f t="shared" si="10"/>
        <v>989509.86558332131</v>
      </c>
      <c r="X28" s="125"/>
      <c r="Y28" s="125"/>
      <c r="Z28" s="124">
        <f t="shared" si="11"/>
        <v>150148.4109100558</v>
      </c>
      <c r="AA28" s="124">
        <f t="shared" si="11"/>
        <v>358174.5698592983</v>
      </c>
      <c r="AB28" s="124">
        <f t="shared" si="11"/>
        <v>150013.51108484299</v>
      </c>
      <c r="AC28" s="124">
        <f t="shared" si="11"/>
        <v>1886.9624035829306</v>
      </c>
      <c r="AD28" s="124">
        <f t="shared" si="11"/>
        <v>352.37469494984538</v>
      </c>
      <c r="AE28" s="124">
        <f t="shared" si="11"/>
        <v>1224240.4410472696</v>
      </c>
    </row>
    <row r="29" spans="1:32" x14ac:dyDescent="0.25">
      <c r="A29" t="s">
        <v>436</v>
      </c>
      <c r="B29" s="68">
        <v>311762.18999999994</v>
      </c>
      <c r="C29" s="68">
        <v>318574.70000000007</v>
      </c>
      <c r="D29" s="68">
        <v>265162.27999999997</v>
      </c>
      <c r="E29" s="68">
        <v>264661.89</v>
      </c>
      <c r="F29" s="68">
        <v>251436.98000000004</v>
      </c>
      <c r="G29" s="68">
        <v>256906.24999999997</v>
      </c>
      <c r="H29" s="68">
        <v>258429.03</v>
      </c>
      <c r="I29" s="68">
        <v>265334.85000000003</v>
      </c>
      <c r="J29" s="68">
        <v>272596.31</v>
      </c>
      <c r="K29" s="68">
        <v>206448.59999999995</v>
      </c>
      <c r="L29" s="68">
        <v>217038.00999999998</v>
      </c>
      <c r="M29" s="68">
        <v>218492.61</v>
      </c>
      <c r="N29" s="68">
        <v>231490.42000000004</v>
      </c>
      <c r="O29" s="68">
        <f t="shared" si="12"/>
        <v>256794.93230769227</v>
      </c>
      <c r="R29" s="124">
        <f t="shared" si="10"/>
        <v>20456.822041203704</v>
      </c>
      <c r="S29" s="124">
        <f t="shared" si="10"/>
        <v>48799.140736065121</v>
      </c>
      <c r="T29" s="124">
        <f t="shared" si="10"/>
        <v>20438.442747669782</v>
      </c>
      <c r="U29" s="124">
        <f t="shared" si="10"/>
        <v>257.08733015936832</v>
      </c>
      <c r="V29" s="124">
        <f t="shared" si="10"/>
        <v>48.008942503764189</v>
      </c>
      <c r="W29" s="124">
        <f t="shared" si="10"/>
        <v>166795.43051009052</v>
      </c>
      <c r="X29" s="125"/>
      <c r="Y29" s="125"/>
      <c r="Z29" s="124">
        <f t="shared" si="11"/>
        <v>18441.011602632982</v>
      </c>
      <c r="AA29" s="124">
        <f t="shared" si="11"/>
        <v>43990.484870999302</v>
      </c>
      <c r="AB29" s="124">
        <f t="shared" si="11"/>
        <v>18424.443400366537</v>
      </c>
      <c r="AC29" s="124">
        <f t="shared" si="11"/>
        <v>231.75400503605707</v>
      </c>
      <c r="AD29" s="124">
        <f t="shared" si="11"/>
        <v>43.278152586889341</v>
      </c>
      <c r="AE29" s="124">
        <f t="shared" si="11"/>
        <v>150359.44796837826</v>
      </c>
    </row>
    <row r="30" spans="1:32" x14ac:dyDescent="0.25">
      <c r="A30" t="s">
        <v>437</v>
      </c>
      <c r="B30" s="68">
        <v>62150.06</v>
      </c>
      <c r="C30" s="68">
        <v>63746.04</v>
      </c>
      <c r="D30" s="68">
        <v>65342.02</v>
      </c>
      <c r="E30" s="68">
        <v>66938</v>
      </c>
      <c r="F30" s="68">
        <v>68533.98</v>
      </c>
      <c r="G30" s="68">
        <v>70129.960000000006</v>
      </c>
      <c r="H30" s="68">
        <v>71725.94</v>
      </c>
      <c r="I30" s="68">
        <v>73321.919999999998</v>
      </c>
      <c r="J30" s="68">
        <v>74917.899999999994</v>
      </c>
      <c r="K30" s="68">
        <v>76513.88</v>
      </c>
      <c r="L30" s="68">
        <v>78109.86</v>
      </c>
      <c r="M30" s="68">
        <v>79705.84</v>
      </c>
      <c r="N30" s="68">
        <v>81301.820000000007</v>
      </c>
      <c r="O30" s="68">
        <f t="shared" si="12"/>
        <v>71725.94</v>
      </c>
      <c r="R30" s="124">
        <f t="shared" si="10"/>
        <v>5713.8385759106432</v>
      </c>
      <c r="S30" s="124">
        <f t="shared" si="10"/>
        <v>13630.192033122594</v>
      </c>
      <c r="T30" s="124">
        <f t="shared" si="10"/>
        <v>5708.7050162511523</v>
      </c>
      <c r="U30" s="124">
        <f t="shared" si="10"/>
        <v>71.807610267310096</v>
      </c>
      <c r="V30" s="124">
        <f t="shared" si="10"/>
        <v>13.409480080247249</v>
      </c>
      <c r="W30" s="124">
        <f t="shared" si="10"/>
        <v>46587.98728436805</v>
      </c>
      <c r="X30" s="125"/>
      <c r="Y30" s="125"/>
      <c r="Z30" s="124">
        <f t="shared" si="11"/>
        <v>6476.6732287892428</v>
      </c>
      <c r="AA30" s="124">
        <f t="shared" si="11"/>
        <v>15449.911416181751</v>
      </c>
      <c r="AB30" s="124">
        <f t="shared" si="11"/>
        <v>6470.8543054904312</v>
      </c>
      <c r="AC30" s="124">
        <f t="shared" si="11"/>
        <v>81.394393779753841</v>
      </c>
      <c r="AD30" s="124">
        <f t="shared" si="11"/>
        <v>15.199732980534622</v>
      </c>
      <c r="AE30" s="124">
        <f t="shared" si="11"/>
        <v>52807.786922778294</v>
      </c>
    </row>
    <row r="31" spans="1:32" x14ac:dyDescent="0.25">
      <c r="A31" t="s">
        <v>438</v>
      </c>
      <c r="B31" s="68">
        <v>467973.24999999994</v>
      </c>
      <c r="C31" s="68">
        <v>515339.49999999994</v>
      </c>
      <c r="D31" s="68">
        <v>563464.06999999995</v>
      </c>
      <c r="E31" s="68">
        <v>612287.91000000027</v>
      </c>
      <c r="F31" s="68">
        <v>659222.98</v>
      </c>
      <c r="G31" s="68">
        <v>713294.13</v>
      </c>
      <c r="H31" s="68">
        <v>769091.71999999986</v>
      </c>
      <c r="I31" s="68">
        <v>827185.26000000024</v>
      </c>
      <c r="J31" s="68">
        <v>887533.42</v>
      </c>
      <c r="K31" s="68">
        <v>898131.30999999982</v>
      </c>
      <c r="L31" s="68">
        <v>955400.69999999972</v>
      </c>
      <c r="M31" s="68">
        <v>962574.65000000014</v>
      </c>
      <c r="N31" s="68">
        <v>989717.41</v>
      </c>
      <c r="O31" s="68">
        <f t="shared" si="12"/>
        <v>755478.17769230774</v>
      </c>
      <c r="R31" s="124">
        <f t="shared" si="10"/>
        <v>60182.973620938028</v>
      </c>
      <c r="S31" s="124">
        <f t="shared" si="10"/>
        <v>143564.69415081444</v>
      </c>
      <c r="T31" s="124">
        <f t="shared" si="10"/>
        <v>60128.902634951271</v>
      </c>
      <c r="U31" s="124">
        <f t="shared" si="10"/>
        <v>756.33839792391529</v>
      </c>
      <c r="V31" s="124">
        <f t="shared" si="10"/>
        <v>141.23996945632908</v>
      </c>
      <c r="W31" s="124">
        <f t="shared" si="10"/>
        <v>490704.02891822369</v>
      </c>
      <c r="X31" s="125"/>
      <c r="Y31" s="125"/>
      <c r="Z31" s="124">
        <f t="shared" si="11"/>
        <v>78842.961368068107</v>
      </c>
      <c r="AA31" s="124">
        <f t="shared" si="11"/>
        <v>188077.54010368811</v>
      </c>
      <c r="AB31" s="124">
        <f t="shared" si="11"/>
        <v>78772.125442177523</v>
      </c>
      <c r="AC31" s="124">
        <f t="shared" si="11"/>
        <v>990.84434518462297</v>
      </c>
      <c r="AD31" s="124">
        <f t="shared" si="11"/>
        <v>185.03202459903488</v>
      </c>
      <c r="AE31" s="124">
        <f t="shared" si="11"/>
        <v>642848.9067162826</v>
      </c>
    </row>
    <row r="32" spans="1:32" x14ac:dyDescent="0.25">
      <c r="A32" t="s">
        <v>458</v>
      </c>
      <c r="B32" s="68">
        <v>475428.39</v>
      </c>
      <c r="C32" s="68">
        <v>490496.15999999986</v>
      </c>
      <c r="D32" s="68">
        <v>505563.94</v>
      </c>
      <c r="E32" s="68">
        <v>520631.73000000004</v>
      </c>
      <c r="F32" s="68">
        <v>535699.52999999991</v>
      </c>
      <c r="G32" s="68">
        <v>550767.30999999982</v>
      </c>
      <c r="H32" s="68">
        <v>565835.12000000011</v>
      </c>
      <c r="I32" s="68">
        <v>580902.89</v>
      </c>
      <c r="J32" s="68">
        <v>595970.66</v>
      </c>
      <c r="K32" s="68">
        <v>611038.43000000005</v>
      </c>
      <c r="L32" s="68">
        <v>626106.22000000009</v>
      </c>
      <c r="M32" s="68">
        <v>641174.01</v>
      </c>
      <c r="N32" s="68">
        <v>656241.77999999991</v>
      </c>
      <c r="O32" s="68">
        <f t="shared" si="12"/>
        <v>565835.09</v>
      </c>
      <c r="R32" s="124">
        <f t="shared" si="10"/>
        <v>45075.608139061973</v>
      </c>
      <c r="S32" s="124">
        <f t="shared" si="10"/>
        <v>107526.52298149324</v>
      </c>
      <c r="T32" s="124">
        <f t="shared" si="10"/>
        <v>45035.110263510272</v>
      </c>
      <c r="U32" s="124">
        <f t="shared" si="10"/>
        <v>566.47937438377699</v>
      </c>
      <c r="V32" s="124">
        <f t="shared" si="10"/>
        <v>105.78535977444017</v>
      </c>
      <c r="W32" s="124">
        <f t="shared" si="10"/>
        <v>367525.58388177626</v>
      </c>
      <c r="X32" s="125"/>
      <c r="Y32" s="125"/>
      <c r="Z32" s="124">
        <f t="shared" si="11"/>
        <v>52277.594377825728</v>
      </c>
      <c r="AA32" s="124">
        <f t="shared" si="11"/>
        <v>124706.64701721843</v>
      </c>
      <c r="AB32" s="124">
        <f t="shared" si="11"/>
        <v>52230.625926402427</v>
      </c>
      <c r="AC32" s="124">
        <f t="shared" si="11"/>
        <v>656.98900536355245</v>
      </c>
      <c r="AD32" s="124">
        <f t="shared" si="11"/>
        <v>122.68728826329772</v>
      </c>
      <c r="AE32" s="124">
        <f t="shared" si="11"/>
        <v>426247.23638492642</v>
      </c>
    </row>
    <row r="33" spans="1:31" x14ac:dyDescent="0.25">
      <c r="A33" t="s">
        <v>441</v>
      </c>
      <c r="B33" s="68">
        <v>184137.96000000002</v>
      </c>
      <c r="C33" s="68">
        <v>189285.59</v>
      </c>
      <c r="D33" s="68">
        <v>194433.19</v>
      </c>
      <c r="E33" s="68">
        <v>170862.07</v>
      </c>
      <c r="F33" s="68">
        <v>175218.48</v>
      </c>
      <c r="G33" s="68">
        <v>179775.31</v>
      </c>
      <c r="H33" s="68">
        <v>184332.15</v>
      </c>
      <c r="I33" s="68">
        <v>188888.98999999996</v>
      </c>
      <c r="J33" s="68">
        <v>193445.81000000003</v>
      </c>
      <c r="K33" s="68">
        <v>198002.67</v>
      </c>
      <c r="L33" s="68">
        <v>202559.49</v>
      </c>
      <c r="M33" s="68">
        <v>207116.35</v>
      </c>
      <c r="N33" s="68">
        <v>211673.18000000002</v>
      </c>
      <c r="O33" s="68">
        <f t="shared" si="12"/>
        <v>190748.55692307695</v>
      </c>
      <c r="R33" s="124">
        <f t="shared" si="10"/>
        <v>15195.429475673156</v>
      </c>
      <c r="S33" s="124">
        <f t="shared" si="10"/>
        <v>36248.24520811515</v>
      </c>
      <c r="T33" s="124">
        <f t="shared" si="10"/>
        <v>15181.777244737927</v>
      </c>
      <c r="U33" s="124">
        <f t="shared" si="10"/>
        <v>190.96575150613742</v>
      </c>
      <c r="V33" s="124">
        <f t="shared" si="10"/>
        <v>35.661282018693775</v>
      </c>
      <c r="W33" s="124">
        <f t="shared" si="10"/>
        <v>123896.47796102587</v>
      </c>
      <c r="X33" s="125"/>
      <c r="Y33" s="125"/>
      <c r="Z33" s="124">
        <f t="shared" si="11"/>
        <v>16862.328766547744</v>
      </c>
      <c r="AA33" s="124">
        <f t="shared" si="11"/>
        <v>40224.583904536143</v>
      </c>
      <c r="AB33" s="124">
        <f t="shared" si="11"/>
        <v>16847.178921208048</v>
      </c>
      <c r="AC33" s="124">
        <f t="shared" si="11"/>
        <v>211.91420026676789</v>
      </c>
      <c r="AD33" s="124">
        <f t="shared" si="11"/>
        <v>39.573232372173727</v>
      </c>
      <c r="AE33" s="124">
        <f t="shared" si="11"/>
        <v>137487.60097506913</v>
      </c>
    </row>
    <row r="34" spans="1:31" x14ac:dyDescent="0.25">
      <c r="A34" s="116" t="s">
        <v>459</v>
      </c>
      <c r="B34" s="117">
        <f t="shared" ref="B34:O34" si="13">SUM(B35:B36)</f>
        <v>203388.01</v>
      </c>
      <c r="C34" s="117">
        <f t="shared" si="13"/>
        <v>209120.79</v>
      </c>
      <c r="D34" s="117">
        <f t="shared" si="13"/>
        <v>214853.54999999996</v>
      </c>
      <c r="E34" s="117">
        <f t="shared" si="13"/>
        <v>220586.33</v>
      </c>
      <c r="F34" s="117">
        <f t="shared" si="13"/>
        <v>226319.09</v>
      </c>
      <c r="G34" s="117">
        <f t="shared" si="13"/>
        <v>232051.86</v>
      </c>
      <c r="H34" s="117">
        <f t="shared" si="13"/>
        <v>237784.63</v>
      </c>
      <c r="I34" s="117">
        <f t="shared" si="13"/>
        <v>243517.39</v>
      </c>
      <c r="J34" s="117">
        <f t="shared" si="13"/>
        <v>249250.17</v>
      </c>
      <c r="K34" s="117">
        <f t="shared" si="13"/>
        <v>254982.93</v>
      </c>
      <c r="L34" s="117">
        <f t="shared" si="13"/>
        <v>260715.70999999996</v>
      </c>
      <c r="M34" s="117">
        <f t="shared" si="13"/>
        <v>266448.46000000002</v>
      </c>
      <c r="N34" s="117">
        <f t="shared" si="13"/>
        <v>272181.23</v>
      </c>
      <c r="O34" s="117">
        <f t="shared" si="13"/>
        <v>237784.62692307692</v>
      </c>
      <c r="R34" s="126">
        <f t="shared" si="10"/>
        <v>18942.421306316759</v>
      </c>
      <c r="S34" s="126">
        <f t="shared" si="10"/>
        <v>45186.582810709086</v>
      </c>
      <c r="T34" s="126">
        <f t="shared" si="10"/>
        <v>18925.402615890125</v>
      </c>
      <c r="U34" s="126">
        <f t="shared" si="10"/>
        <v>238.05537881622797</v>
      </c>
      <c r="V34" s="126">
        <f t="shared" si="10"/>
        <v>44.454882265942054</v>
      </c>
      <c r="W34" s="126">
        <f t="shared" si="10"/>
        <v>154447.70992907876</v>
      </c>
      <c r="X34" s="125"/>
      <c r="Y34" s="125"/>
      <c r="Z34" s="126">
        <f t="shared" si="11"/>
        <v>21682.526734578973</v>
      </c>
      <c r="AA34" s="126">
        <f t="shared" si="11"/>
        <v>51723.022838202021</v>
      </c>
      <c r="AB34" s="126">
        <f t="shared" si="11"/>
        <v>21663.046214945509</v>
      </c>
      <c r="AC34" s="126">
        <f t="shared" si="11"/>
        <v>272.49114735780512</v>
      </c>
      <c r="AD34" s="126">
        <f t="shared" si="11"/>
        <v>50.885478557718372</v>
      </c>
      <c r="AE34" s="126">
        <f t="shared" si="11"/>
        <v>176789.25758635794</v>
      </c>
    </row>
    <row r="35" spans="1:31" x14ac:dyDescent="0.25">
      <c r="A35" t="s">
        <v>435</v>
      </c>
      <c r="B35" s="68">
        <v>5057.0599999999995</v>
      </c>
      <c r="C35" s="68">
        <v>5106.5400000000009</v>
      </c>
      <c r="D35" s="68">
        <v>5156.0200000000004</v>
      </c>
      <c r="E35" s="68">
        <v>5205.5</v>
      </c>
      <c r="F35" s="68">
        <v>5254.98</v>
      </c>
      <c r="G35" s="68">
        <v>5304.46</v>
      </c>
      <c r="H35" s="68">
        <v>5353.94</v>
      </c>
      <c r="I35" s="68">
        <v>5403.42</v>
      </c>
      <c r="J35" s="68">
        <v>5452.9000000000005</v>
      </c>
      <c r="K35" s="68">
        <v>5502.38</v>
      </c>
      <c r="L35" s="68">
        <v>5551.86</v>
      </c>
      <c r="M35" s="68">
        <v>5601.34</v>
      </c>
      <c r="N35" s="68">
        <v>5650.81</v>
      </c>
      <c r="O35" s="68">
        <f t="shared" si="12"/>
        <v>5353.9392307692306</v>
      </c>
      <c r="R35" s="124">
        <f t="shared" si="10"/>
        <v>426.50601037575228</v>
      </c>
      <c r="S35" s="124">
        <f t="shared" si="10"/>
        <v>1017.4174064369637</v>
      </c>
      <c r="T35" s="124">
        <f t="shared" si="10"/>
        <v>426.12281893267823</v>
      </c>
      <c r="U35" s="124">
        <f t="shared" si="10"/>
        <v>5.3600354582726819</v>
      </c>
      <c r="V35" s="124">
        <f t="shared" si="10"/>
        <v>1.0009424967571603</v>
      </c>
      <c r="W35" s="124">
        <f t="shared" si="10"/>
        <v>3477.532017068806</v>
      </c>
      <c r="X35" s="125"/>
      <c r="Y35" s="125"/>
      <c r="Z35" s="124">
        <f t="shared" si="11"/>
        <v>450.15535750582876</v>
      </c>
      <c r="AA35" s="124">
        <f t="shared" si="11"/>
        <v>1073.8322208491027</v>
      </c>
      <c r="AB35" s="124">
        <f t="shared" si="11"/>
        <v>449.75091846662696</v>
      </c>
      <c r="AC35" s="124">
        <f t="shared" si="11"/>
        <v>5.6572442574418478</v>
      </c>
      <c r="AD35" s="124">
        <f t="shared" si="11"/>
        <v>1.0564437933091146</v>
      </c>
      <c r="AE35" s="124">
        <f t="shared" si="11"/>
        <v>3670.3578151276906</v>
      </c>
    </row>
    <row r="36" spans="1:31" x14ac:dyDescent="0.25">
      <c r="A36" t="s">
        <v>441</v>
      </c>
      <c r="B36" s="68">
        <v>198330.95</v>
      </c>
      <c r="C36" s="68">
        <v>204014.25</v>
      </c>
      <c r="D36" s="68">
        <v>209697.52999999997</v>
      </c>
      <c r="E36" s="68">
        <v>215380.83</v>
      </c>
      <c r="F36" s="68">
        <v>221064.11</v>
      </c>
      <c r="G36" s="68">
        <v>226747.4</v>
      </c>
      <c r="H36" s="68">
        <v>232430.69</v>
      </c>
      <c r="I36" s="68">
        <v>238113.97</v>
      </c>
      <c r="J36" s="68">
        <v>243797.27000000002</v>
      </c>
      <c r="K36" s="68">
        <v>249480.55</v>
      </c>
      <c r="L36" s="68">
        <v>255163.84999999998</v>
      </c>
      <c r="M36" s="68">
        <v>260847.12000000002</v>
      </c>
      <c r="N36" s="68">
        <v>266530.42</v>
      </c>
      <c r="O36" s="68">
        <f t="shared" si="12"/>
        <v>232430.68769230769</v>
      </c>
      <c r="R36" s="124">
        <f t="shared" si="10"/>
        <v>18515.915295941006</v>
      </c>
      <c r="S36" s="124">
        <f t="shared" si="10"/>
        <v>44169.16540427212</v>
      </c>
      <c r="T36" s="124">
        <f t="shared" si="10"/>
        <v>18499.279796957446</v>
      </c>
      <c r="U36" s="124">
        <f t="shared" si="10"/>
        <v>232.69534335795527</v>
      </c>
      <c r="V36" s="124">
        <f t="shared" si="10"/>
        <v>43.453939769184892</v>
      </c>
      <c r="W36" s="124">
        <f t="shared" si="10"/>
        <v>150970.17791200997</v>
      </c>
      <c r="X36" s="125"/>
      <c r="Y36" s="125"/>
      <c r="Z36" s="124">
        <f t="shared" si="11"/>
        <v>21232.371377073141</v>
      </c>
      <c r="AA36" s="124">
        <f t="shared" si="11"/>
        <v>50649.190617352921</v>
      </c>
      <c r="AB36" s="124">
        <f t="shared" si="11"/>
        <v>21213.295296478882</v>
      </c>
      <c r="AC36" s="124">
        <f t="shared" si="11"/>
        <v>266.83390310036327</v>
      </c>
      <c r="AD36" s="124">
        <f t="shared" si="11"/>
        <v>49.829034764409258</v>
      </c>
      <c r="AE36" s="124">
        <f t="shared" si="11"/>
        <v>173118.89977123027</v>
      </c>
    </row>
    <row r="37" spans="1:31" ht="15.75" thickBot="1" x14ac:dyDescent="0.3">
      <c r="A37" s="116" t="s">
        <v>443</v>
      </c>
      <c r="B37" s="117">
        <f t="shared" ref="B37:O37" si="14">B34+B23</f>
        <v>4467511.0900000008</v>
      </c>
      <c r="C37" s="117">
        <f t="shared" si="14"/>
        <v>4651768.9899999984</v>
      </c>
      <c r="D37" s="117">
        <f t="shared" si="14"/>
        <v>4598599.08</v>
      </c>
      <c r="E37" s="117">
        <f t="shared" si="14"/>
        <v>4692994.1900000013</v>
      </c>
      <c r="F37" s="117">
        <f t="shared" si="14"/>
        <v>4824855.66</v>
      </c>
      <c r="G37" s="117">
        <f t="shared" si="14"/>
        <v>5000434.05</v>
      </c>
      <c r="H37" s="117">
        <f t="shared" si="14"/>
        <v>5161815.71</v>
      </c>
      <c r="I37" s="117">
        <f t="shared" si="14"/>
        <v>5354719.9499999993</v>
      </c>
      <c r="J37" s="117">
        <f t="shared" si="14"/>
        <v>5547429.3599999994</v>
      </c>
      <c r="K37" s="117">
        <f t="shared" si="14"/>
        <v>5618640.209999999</v>
      </c>
      <c r="L37" s="117">
        <f t="shared" si="14"/>
        <v>5814234.5599999996</v>
      </c>
      <c r="M37" s="117">
        <f t="shared" si="14"/>
        <v>5945861.3399999989</v>
      </c>
      <c r="N37" s="117">
        <f t="shared" si="14"/>
        <v>6113771.7699999996</v>
      </c>
      <c r="O37" s="117">
        <f t="shared" si="14"/>
        <v>5214818.15076923</v>
      </c>
      <c r="R37" s="129">
        <f t="shared" si="10"/>
        <v>415423.33382071019</v>
      </c>
      <c r="S37" s="129">
        <f t="shared" si="10"/>
        <v>990980.01103642362</v>
      </c>
      <c r="T37" s="129">
        <f t="shared" si="10"/>
        <v>415050.09953350021</v>
      </c>
      <c r="U37" s="129">
        <f t="shared" si="10"/>
        <v>5220.755968974845</v>
      </c>
      <c r="V37" s="129">
        <f t="shared" si="10"/>
        <v>974.93319871237361</v>
      </c>
      <c r="W37" s="129">
        <f t="shared" si="10"/>
        <v>3387169.0172109087</v>
      </c>
      <c r="X37" s="125"/>
      <c r="Y37" s="125"/>
      <c r="Z37" s="129">
        <f t="shared" si="11"/>
        <v>487035.86155496171</v>
      </c>
      <c r="AA37" s="129">
        <f t="shared" si="11"/>
        <v>1161809.566689315</v>
      </c>
      <c r="AB37" s="129">
        <f t="shared" si="11"/>
        <v>486598.28747610259</v>
      </c>
      <c r="AC37" s="129">
        <f t="shared" si="11"/>
        <v>6120.7331758000319</v>
      </c>
      <c r="AD37" s="129">
        <f t="shared" si="11"/>
        <v>1142.9965332624843</v>
      </c>
      <c r="AE37" s="129">
        <f t="shared" si="11"/>
        <v>3971064.3245705576</v>
      </c>
    </row>
    <row r="38" spans="1:31" ht="15.75" thickTop="1" x14ac:dyDescent="0.25"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</row>
    <row r="39" spans="1:31" ht="15.75" x14ac:dyDescent="0.25">
      <c r="A39" s="112" t="s">
        <v>460</v>
      </c>
      <c r="O39" s="119" t="s">
        <v>32</v>
      </c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</row>
    <row r="40" spans="1:31" x14ac:dyDescent="0.25">
      <c r="A40" s="116" t="s">
        <v>454</v>
      </c>
      <c r="B40" s="117"/>
      <c r="C40" s="117">
        <f t="shared" ref="C40:O40" si="15">SUM(C41:C50)</f>
        <v>178525.11999999997</v>
      </c>
      <c r="D40" s="117">
        <f t="shared" si="15"/>
        <v>177549.57999999996</v>
      </c>
      <c r="E40" s="117">
        <f t="shared" si="15"/>
        <v>176533.65</v>
      </c>
      <c r="F40" s="117">
        <f t="shared" si="15"/>
        <v>179378.47999999995</v>
      </c>
      <c r="G40" s="117">
        <f t="shared" si="15"/>
        <v>182073.93</v>
      </c>
      <c r="H40" s="117">
        <f t="shared" si="15"/>
        <v>183893.32999999996</v>
      </c>
      <c r="I40" s="117">
        <f t="shared" si="15"/>
        <v>187171.47999999995</v>
      </c>
      <c r="J40" s="117">
        <f t="shared" si="15"/>
        <v>186976.63</v>
      </c>
      <c r="K40" s="117">
        <f t="shared" si="15"/>
        <v>190375.07999999993</v>
      </c>
      <c r="L40" s="117">
        <f t="shared" si="15"/>
        <v>194534.86000000004</v>
      </c>
      <c r="M40" s="117">
        <f t="shared" si="15"/>
        <v>199636.56</v>
      </c>
      <c r="N40" s="117">
        <f t="shared" si="15"/>
        <v>199933.55999999994</v>
      </c>
      <c r="O40" s="117">
        <f t="shared" si="15"/>
        <v>2236582.2599999998</v>
      </c>
      <c r="R40" s="125"/>
      <c r="S40" s="125"/>
      <c r="T40" s="125"/>
      <c r="U40" s="125"/>
      <c r="V40" s="125"/>
      <c r="W40" s="125"/>
      <c r="X40" s="125"/>
      <c r="Y40" s="125"/>
      <c r="Z40" s="122">
        <f>$O40*Z$3</f>
        <v>178170.82627826708</v>
      </c>
      <c r="AA40" s="122">
        <f t="shared" ref="AA40:AE54" si="16">$O40*AA$3</f>
        <v>425021.20852895512</v>
      </c>
      <c r="AB40" s="122">
        <f t="shared" si="16"/>
        <v>178010.74990331725</v>
      </c>
      <c r="AC40" s="122">
        <f t="shared" si="16"/>
        <v>2239.1289296014747</v>
      </c>
      <c r="AD40" s="122">
        <f t="shared" si="16"/>
        <v>418.13889456595996</v>
      </c>
      <c r="AE40" s="122">
        <f t="shared" si="16"/>
        <v>1452722.2074652929</v>
      </c>
    </row>
    <row r="41" spans="1:31" x14ac:dyDescent="0.25">
      <c r="A41" t="s">
        <v>455</v>
      </c>
      <c r="B41" s="118"/>
      <c r="C41" s="118">
        <v>0</v>
      </c>
      <c r="D41" s="118">
        <v>0</v>
      </c>
      <c r="E41" s="118">
        <v>0</v>
      </c>
      <c r="F41" s="118">
        <v>0</v>
      </c>
      <c r="G41" s="118">
        <v>0</v>
      </c>
      <c r="H41" s="118">
        <v>0</v>
      </c>
      <c r="I41" s="118">
        <v>0</v>
      </c>
      <c r="J41" s="118">
        <v>0</v>
      </c>
      <c r="K41" s="118">
        <v>0</v>
      </c>
      <c r="L41" s="118">
        <v>0</v>
      </c>
      <c r="M41" s="118">
        <v>0</v>
      </c>
      <c r="N41" s="118">
        <v>0</v>
      </c>
      <c r="O41" s="118">
        <f>SUM(C41:N41)</f>
        <v>0</v>
      </c>
      <c r="P41" s="118"/>
      <c r="Q41" s="118"/>
      <c r="R41" s="124"/>
      <c r="S41" s="124"/>
      <c r="T41" s="124"/>
      <c r="U41" s="124"/>
      <c r="V41" s="124"/>
      <c r="W41" s="124"/>
      <c r="X41" s="125"/>
      <c r="Y41" s="125"/>
      <c r="Z41" s="124">
        <f t="shared" ref="Z41:Z54" si="17">$O41*Z$3</f>
        <v>0</v>
      </c>
      <c r="AA41" s="124">
        <f t="shared" si="16"/>
        <v>0</v>
      </c>
      <c r="AB41" s="124">
        <f t="shared" si="16"/>
        <v>0</v>
      </c>
      <c r="AC41" s="124">
        <f t="shared" si="16"/>
        <v>0</v>
      </c>
      <c r="AD41" s="124">
        <f t="shared" si="16"/>
        <v>0</v>
      </c>
      <c r="AE41" s="124">
        <f t="shared" si="16"/>
        <v>0</v>
      </c>
    </row>
    <row r="42" spans="1:31" x14ac:dyDescent="0.25">
      <c r="A42" t="s">
        <v>434</v>
      </c>
      <c r="B42" s="118"/>
      <c r="C42" s="118">
        <v>22758.81</v>
      </c>
      <c r="D42" s="118">
        <v>22758.82</v>
      </c>
      <c r="E42" s="118">
        <v>22169.480000000007</v>
      </c>
      <c r="F42" s="118">
        <v>22169.500000000004</v>
      </c>
      <c r="G42" s="118">
        <v>22169.450000000008</v>
      </c>
      <c r="H42" s="118">
        <v>22169.510000000006</v>
      </c>
      <c r="I42" s="118">
        <v>22169.480000000007</v>
      </c>
      <c r="J42" s="118">
        <v>21615.860000000004</v>
      </c>
      <c r="K42" s="118">
        <v>21615.860000000004</v>
      </c>
      <c r="L42" s="118">
        <v>21615.860000000004</v>
      </c>
      <c r="M42" s="118">
        <v>21615.840000000004</v>
      </c>
      <c r="N42" s="118">
        <v>21615.870000000003</v>
      </c>
      <c r="O42" s="118">
        <f t="shared" ref="O42:O53" si="18">SUM(C42:N42)</f>
        <v>264444.34000000008</v>
      </c>
      <c r="P42" s="118"/>
      <c r="Q42" s="118"/>
      <c r="R42" s="125"/>
      <c r="S42" s="125"/>
      <c r="T42" s="125"/>
      <c r="U42" s="125"/>
      <c r="V42" s="125"/>
      <c r="W42" s="125"/>
      <c r="X42" s="125"/>
      <c r="Y42" s="125"/>
      <c r="Z42" s="124">
        <f t="shared" si="17"/>
        <v>21066.189875981137</v>
      </c>
      <c r="AA42" s="124">
        <f t="shared" si="16"/>
        <v>50252.76958757687</v>
      </c>
      <c r="AB42" s="124">
        <f t="shared" si="16"/>
        <v>21047.263100033626</v>
      </c>
      <c r="AC42" s="124">
        <f t="shared" si="16"/>
        <v>264.74544779916505</v>
      </c>
      <c r="AD42" s="124">
        <f t="shared" si="16"/>
        <v>49.439032929566793</v>
      </c>
      <c r="AE42" s="124">
        <f t="shared" si="16"/>
        <v>171763.93295567972</v>
      </c>
    </row>
    <row r="43" spans="1:31" x14ac:dyDescent="0.25">
      <c r="A43" t="s">
        <v>456</v>
      </c>
      <c r="B43" s="118"/>
      <c r="C43" s="118">
        <v>3549.02</v>
      </c>
      <c r="D43" s="118">
        <v>3549.02</v>
      </c>
      <c r="E43" s="118">
        <v>3549.02</v>
      </c>
      <c r="F43" s="118">
        <v>3549.02</v>
      </c>
      <c r="G43" s="118">
        <v>3549.02</v>
      </c>
      <c r="H43" s="118">
        <v>3549.02</v>
      </c>
      <c r="I43" s="118">
        <v>3549.02</v>
      </c>
      <c r="J43" s="118">
        <v>3549.02</v>
      </c>
      <c r="K43" s="118">
        <v>3549.02</v>
      </c>
      <c r="L43" s="118">
        <v>3549.02</v>
      </c>
      <c r="M43" s="118">
        <v>3549.02</v>
      </c>
      <c r="N43" s="118">
        <v>3549.02</v>
      </c>
      <c r="O43" s="118">
        <f t="shared" si="18"/>
        <v>42588.239999999991</v>
      </c>
      <c r="P43" s="118"/>
      <c r="Q43" s="118"/>
      <c r="R43" s="125"/>
      <c r="S43" s="125"/>
      <c r="T43" s="125"/>
      <c r="U43" s="125"/>
      <c r="V43" s="125"/>
      <c r="W43" s="125"/>
      <c r="X43" s="125"/>
      <c r="Y43" s="125"/>
      <c r="Z43" s="124">
        <f t="shared" si="17"/>
        <v>3392.6683790012462</v>
      </c>
      <c r="AA43" s="124">
        <f t="shared" si="16"/>
        <v>8093.1095438095736</v>
      </c>
      <c r="AB43" s="124">
        <f t="shared" si="16"/>
        <v>3389.6202590207663</v>
      </c>
      <c r="AC43" s="124">
        <f t="shared" si="16"/>
        <v>42.63673281787127</v>
      </c>
      <c r="AD43" s="124">
        <f t="shared" si="16"/>
        <v>7.9620588581033438</v>
      </c>
      <c r="AE43" s="124">
        <f t="shared" si="16"/>
        <v>27662.24302649243</v>
      </c>
    </row>
    <row r="44" spans="1:31" x14ac:dyDescent="0.25">
      <c r="A44" t="s">
        <v>435</v>
      </c>
      <c r="B44" s="118"/>
      <c r="C44" s="118">
        <v>10391.029999999999</v>
      </c>
      <c r="D44" s="118">
        <v>10390.999999999996</v>
      </c>
      <c r="E44" s="118">
        <v>9812.9999999999982</v>
      </c>
      <c r="F44" s="118">
        <v>10705.079999999998</v>
      </c>
      <c r="G44" s="118">
        <v>10594.679999999998</v>
      </c>
      <c r="H44" s="118">
        <v>10487.499999999998</v>
      </c>
      <c r="I44" s="118">
        <v>10487.509999999998</v>
      </c>
      <c r="J44" s="118">
        <v>10487.5</v>
      </c>
      <c r="K44" s="118">
        <v>10487.519999999999</v>
      </c>
      <c r="L44" s="118">
        <v>10487.509999999997</v>
      </c>
      <c r="M44" s="118">
        <v>10487.519999999999</v>
      </c>
      <c r="N44" s="118">
        <v>10487.479999999998</v>
      </c>
      <c r="O44" s="118">
        <f t="shared" si="18"/>
        <v>125307.32999999999</v>
      </c>
      <c r="P44" s="118"/>
      <c r="Q44" s="118"/>
      <c r="R44" s="125"/>
      <c r="S44" s="125"/>
      <c r="T44" s="125"/>
      <c r="U44" s="125"/>
      <c r="V44" s="125"/>
      <c r="W44" s="125"/>
      <c r="X44" s="125"/>
      <c r="Y44" s="125"/>
      <c r="Z44" s="124">
        <f t="shared" si="17"/>
        <v>9982.2443037813791</v>
      </c>
      <c r="AA44" s="124">
        <f t="shared" si="16"/>
        <v>23812.346984338772</v>
      </c>
      <c r="AB44" s="124">
        <f t="shared" si="16"/>
        <v>9973.2758238377701</v>
      </c>
      <c r="AC44" s="124">
        <f t="shared" si="16"/>
        <v>125.45001036273923</v>
      </c>
      <c r="AD44" s="124">
        <f t="shared" si="16"/>
        <v>23.42675670118744</v>
      </c>
      <c r="AE44" s="124">
        <f t="shared" si="16"/>
        <v>81390.586120978129</v>
      </c>
    </row>
    <row r="45" spans="1:31" x14ac:dyDescent="0.25">
      <c r="A45" t="s">
        <v>457</v>
      </c>
      <c r="B45" s="118"/>
      <c r="C45" s="118">
        <v>65836.12</v>
      </c>
      <c r="D45" s="118">
        <v>65089.529999999955</v>
      </c>
      <c r="E45" s="118">
        <v>65225.27</v>
      </c>
      <c r="F45" s="118">
        <v>64627.369999999966</v>
      </c>
      <c r="G45" s="118">
        <v>64999.76999999999</v>
      </c>
      <c r="H45" s="118">
        <v>64745.45999999997</v>
      </c>
      <c r="I45" s="118">
        <v>64745.51999999996</v>
      </c>
      <c r="J45" s="118">
        <v>62494.06</v>
      </c>
      <c r="K45" s="118">
        <v>64154.899999999958</v>
      </c>
      <c r="L45" s="118">
        <v>65129.789999999994</v>
      </c>
      <c r="M45" s="118">
        <v>65164.829999999987</v>
      </c>
      <c r="N45" s="118">
        <v>65164.139999999978</v>
      </c>
      <c r="O45" s="118">
        <f t="shared" si="18"/>
        <v>777376.75999999978</v>
      </c>
      <c r="P45" s="118"/>
      <c r="Q45" s="118"/>
      <c r="R45" s="125"/>
      <c r="S45" s="125"/>
      <c r="T45" s="125"/>
      <c r="U45" s="125"/>
      <c r="V45" s="125"/>
      <c r="W45" s="125"/>
      <c r="X45" s="125"/>
      <c r="Y45" s="125"/>
      <c r="Z45" s="124">
        <f t="shared" si="17"/>
        <v>61927.460543625202</v>
      </c>
      <c r="AA45" s="124">
        <f t="shared" si="16"/>
        <v>147726.11583600927</v>
      </c>
      <c r="AB45" s="124">
        <f t="shared" si="16"/>
        <v>61871.822235150452</v>
      </c>
      <c r="AC45" s="124">
        <f t="shared" si="16"/>
        <v>778.26191490755275</v>
      </c>
      <c r="AD45" s="124">
        <f t="shared" si="16"/>
        <v>145.33400577346416</v>
      </c>
      <c r="AE45" s="124">
        <f t="shared" si="16"/>
        <v>504927.76546453376</v>
      </c>
    </row>
    <row r="46" spans="1:31" x14ac:dyDescent="0.25">
      <c r="A46" t="s">
        <v>436</v>
      </c>
      <c r="B46" s="118"/>
      <c r="C46" s="118">
        <v>6812.51</v>
      </c>
      <c r="D46" s="118">
        <v>5825.2800000000016</v>
      </c>
      <c r="E46" s="118">
        <v>5711.3300000000008</v>
      </c>
      <c r="F46" s="118">
        <v>5373.2500000000009</v>
      </c>
      <c r="G46" s="118">
        <v>5469.27</v>
      </c>
      <c r="H46" s="118">
        <v>5923.6200000000008</v>
      </c>
      <c r="I46" s="118">
        <v>6905.82</v>
      </c>
      <c r="J46" s="118">
        <v>7261.4600000000009</v>
      </c>
      <c r="K46" s="118">
        <v>8669.9000000000015</v>
      </c>
      <c r="L46" s="118">
        <v>10589.410000000002</v>
      </c>
      <c r="M46" s="118">
        <v>12104.600000000002</v>
      </c>
      <c r="N46" s="118">
        <v>12997.810000000001</v>
      </c>
      <c r="O46" s="118">
        <f t="shared" si="18"/>
        <v>93644.260000000009</v>
      </c>
      <c r="P46" s="118"/>
      <c r="Q46" s="118"/>
      <c r="R46" s="125"/>
      <c r="S46" s="125"/>
      <c r="T46" s="125"/>
      <c r="U46" s="125"/>
      <c r="V46" s="125"/>
      <c r="W46" s="125"/>
      <c r="X46" s="125"/>
      <c r="Y46" s="125"/>
      <c r="Z46" s="124">
        <f t="shared" si="17"/>
        <v>7459.897844498184</v>
      </c>
      <c r="AA46" s="124">
        <f t="shared" si="16"/>
        <v>17795.364502712142</v>
      </c>
      <c r="AB46" s="124">
        <f t="shared" si="16"/>
        <v>7453.1955496871451</v>
      </c>
      <c r="AC46" s="124">
        <f t="shared" si="16"/>
        <v>93.750887417448368</v>
      </c>
      <c r="AD46" s="124">
        <f t="shared" si="16"/>
        <v>17.507206445805998</v>
      </c>
      <c r="AE46" s="124">
        <f t="shared" si="16"/>
        <v>60824.544009239282</v>
      </c>
    </row>
    <row r="47" spans="1:31" x14ac:dyDescent="0.25">
      <c r="A47" t="s">
        <v>437</v>
      </c>
      <c r="B47" s="118"/>
      <c r="C47" s="118">
        <v>1595.98</v>
      </c>
      <c r="D47" s="118">
        <v>1595.98</v>
      </c>
      <c r="E47" s="118">
        <v>1595.98</v>
      </c>
      <c r="F47" s="118">
        <v>1595.98</v>
      </c>
      <c r="G47" s="118">
        <v>1595.98</v>
      </c>
      <c r="H47" s="118">
        <v>1595.98</v>
      </c>
      <c r="I47" s="118">
        <v>1595.98</v>
      </c>
      <c r="J47" s="118">
        <v>1595.98</v>
      </c>
      <c r="K47" s="118">
        <v>1595.98</v>
      </c>
      <c r="L47" s="118">
        <v>1595.98</v>
      </c>
      <c r="M47" s="118">
        <v>1595.98</v>
      </c>
      <c r="N47" s="118">
        <v>1595.98</v>
      </c>
      <c r="O47" s="118">
        <f t="shared" si="18"/>
        <v>19151.759999999998</v>
      </c>
      <c r="P47" s="118"/>
      <c r="Q47" s="118"/>
      <c r="R47" s="125"/>
      <c r="S47" s="125"/>
      <c r="T47" s="125"/>
      <c r="U47" s="125"/>
      <c r="V47" s="125"/>
      <c r="W47" s="125"/>
      <c r="X47" s="125"/>
      <c r="Y47" s="125"/>
      <c r="Z47" s="124">
        <f t="shared" si="17"/>
        <v>1525.6693057571977</v>
      </c>
      <c r="AA47" s="124">
        <f t="shared" si="16"/>
        <v>3639.43876611831</v>
      </c>
      <c r="AB47" s="124">
        <f t="shared" si="16"/>
        <v>1524.2985784785556</v>
      </c>
      <c r="AC47" s="124">
        <f t="shared" si="16"/>
        <v>19.17356702488749</v>
      </c>
      <c r="AD47" s="124">
        <f t="shared" si="16"/>
        <v>3.5805058005747434</v>
      </c>
      <c r="AE47" s="124">
        <f t="shared" si="16"/>
        <v>12439.599276820472</v>
      </c>
    </row>
    <row r="48" spans="1:31" x14ac:dyDescent="0.25">
      <c r="A48" t="s">
        <v>438</v>
      </c>
      <c r="B48" s="118"/>
      <c r="C48" s="118">
        <v>47366.249999999993</v>
      </c>
      <c r="D48" s="118">
        <v>48124.569999999992</v>
      </c>
      <c r="E48" s="118">
        <v>48823.839999999989</v>
      </c>
      <c r="F48" s="118">
        <v>51934.069999999992</v>
      </c>
      <c r="G48" s="118">
        <v>54071.149999999994</v>
      </c>
      <c r="H48" s="118">
        <v>55797.590000000004</v>
      </c>
      <c r="I48" s="118">
        <v>58093.539999999994</v>
      </c>
      <c r="J48" s="118">
        <v>60348.159999999996</v>
      </c>
      <c r="K48" s="118">
        <v>60677.27</v>
      </c>
      <c r="L48" s="118">
        <v>61942.680000000037</v>
      </c>
      <c r="M48" s="118">
        <v>65494.120000000017</v>
      </c>
      <c r="N48" s="118">
        <v>64898.66</v>
      </c>
      <c r="O48" s="118">
        <f t="shared" si="18"/>
        <v>677571.9</v>
      </c>
      <c r="P48" s="118"/>
      <c r="Q48" s="118"/>
      <c r="R48" s="125"/>
      <c r="S48" s="125"/>
      <c r="T48" s="125"/>
      <c r="U48" s="125"/>
      <c r="V48" s="125"/>
      <c r="W48" s="125"/>
      <c r="X48" s="125"/>
      <c r="Y48" s="125"/>
      <c r="Z48" s="124">
        <f t="shared" si="17"/>
        <v>53976.796402711057</v>
      </c>
      <c r="AA48" s="124">
        <f t="shared" si="16"/>
        <v>128760.04292516402</v>
      </c>
      <c r="AB48" s="124">
        <f t="shared" si="16"/>
        <v>53928.301314710196</v>
      </c>
      <c r="AC48" s="124">
        <f t="shared" si="16"/>
        <v>678.34341276365024</v>
      </c>
      <c r="AD48" s="124">
        <f t="shared" si="16"/>
        <v>126.67504805075097</v>
      </c>
      <c r="AE48" s="124">
        <f t="shared" si="16"/>
        <v>440101.7408966003</v>
      </c>
    </row>
    <row r="49" spans="1:31" x14ac:dyDescent="0.25">
      <c r="A49" t="s">
        <v>458</v>
      </c>
      <c r="B49" s="118"/>
      <c r="C49" s="118">
        <v>15067.77</v>
      </c>
      <c r="D49" s="118">
        <v>15067.78</v>
      </c>
      <c r="E49" s="118">
        <v>15067.79</v>
      </c>
      <c r="F49" s="118">
        <v>15067.800000000001</v>
      </c>
      <c r="G49" s="118">
        <v>15067.78</v>
      </c>
      <c r="H49" s="118">
        <v>15067.810000000001</v>
      </c>
      <c r="I49" s="118">
        <v>15067.77</v>
      </c>
      <c r="J49" s="118">
        <v>15067.77</v>
      </c>
      <c r="K49" s="118">
        <v>15067.77</v>
      </c>
      <c r="L49" s="118">
        <v>15067.79</v>
      </c>
      <c r="M49" s="118">
        <v>15067.79</v>
      </c>
      <c r="N49" s="118">
        <v>15067.77</v>
      </c>
      <c r="O49" s="118">
        <f t="shared" si="18"/>
        <v>180813.39</v>
      </c>
      <c r="P49" s="118"/>
      <c r="Q49" s="118"/>
      <c r="R49" s="125"/>
      <c r="S49" s="125"/>
      <c r="T49" s="125"/>
      <c r="U49" s="125"/>
      <c r="V49" s="125"/>
      <c r="W49" s="125"/>
      <c r="X49" s="125"/>
      <c r="Y49" s="125"/>
      <c r="Z49" s="124">
        <f t="shared" si="17"/>
        <v>14403.973274148459</v>
      </c>
      <c r="AA49" s="124">
        <f t="shared" si="16"/>
        <v>34360.249971765981</v>
      </c>
      <c r="AB49" s="124">
        <f t="shared" si="16"/>
        <v>14391.032121689532</v>
      </c>
      <c r="AC49" s="124">
        <f t="shared" si="16"/>
        <v>181.0192719709375</v>
      </c>
      <c r="AD49" s="124">
        <f t="shared" si="16"/>
        <v>33.803858847259129</v>
      </c>
      <c r="AE49" s="124">
        <f t="shared" si="16"/>
        <v>117443.31150157783</v>
      </c>
    </row>
    <row r="50" spans="1:31" x14ac:dyDescent="0.25">
      <c r="A50" t="s">
        <v>441</v>
      </c>
      <c r="B50" s="118"/>
      <c r="C50" s="118">
        <v>5147.6299999999992</v>
      </c>
      <c r="D50" s="118">
        <v>5147.6000000000004</v>
      </c>
      <c r="E50" s="118">
        <v>4577.9399999999996</v>
      </c>
      <c r="F50" s="118">
        <v>4356.41</v>
      </c>
      <c r="G50" s="118">
        <v>4556.83</v>
      </c>
      <c r="H50" s="118">
        <v>4556.8399999999992</v>
      </c>
      <c r="I50" s="118">
        <v>4556.8399999999992</v>
      </c>
      <c r="J50" s="118">
        <v>4556.8200000000006</v>
      </c>
      <c r="K50" s="118">
        <v>4556.8599999999997</v>
      </c>
      <c r="L50" s="118">
        <v>4556.8200000000006</v>
      </c>
      <c r="M50" s="118">
        <v>4556.8599999999997</v>
      </c>
      <c r="N50" s="118">
        <v>4556.83</v>
      </c>
      <c r="O50" s="118">
        <f t="shared" si="18"/>
        <v>55684.28</v>
      </c>
      <c r="P50" s="118"/>
      <c r="Q50" s="118"/>
      <c r="R50" s="125"/>
      <c r="S50" s="125"/>
      <c r="T50" s="125"/>
      <c r="U50" s="125"/>
      <c r="V50" s="125"/>
      <c r="W50" s="125"/>
      <c r="X50" s="125"/>
      <c r="Y50" s="125"/>
      <c r="Z50" s="124">
        <f t="shared" si="17"/>
        <v>4435.9263487632161</v>
      </c>
      <c r="AA50" s="124">
        <f t="shared" si="16"/>
        <v>10581.770411460175</v>
      </c>
      <c r="AB50" s="124">
        <f t="shared" si="16"/>
        <v>4431.9409207092122</v>
      </c>
      <c r="AC50" s="124">
        <f t="shared" si="16"/>
        <v>55.747684537222796</v>
      </c>
      <c r="AD50" s="124">
        <f t="shared" si="16"/>
        <v>10.410421159247411</v>
      </c>
      <c r="AE50" s="124">
        <f t="shared" si="16"/>
        <v>36168.484213370924</v>
      </c>
    </row>
    <row r="51" spans="1:31" x14ac:dyDescent="0.25">
      <c r="A51" s="116" t="s">
        <v>461</v>
      </c>
      <c r="B51" s="120"/>
      <c r="C51" s="117">
        <f t="shared" ref="C51:P51" si="19">SUM(C52:C53)</f>
        <v>5732.78</v>
      </c>
      <c r="D51" s="117">
        <f t="shared" si="19"/>
        <v>5732.7599999999993</v>
      </c>
      <c r="E51" s="117">
        <f t="shared" si="19"/>
        <v>5732.78</v>
      </c>
      <c r="F51" s="117">
        <f t="shared" si="19"/>
        <v>5732.7599999999993</v>
      </c>
      <c r="G51" s="117">
        <f t="shared" si="19"/>
        <v>5732.7699999999995</v>
      </c>
      <c r="H51" s="117">
        <f t="shared" si="19"/>
        <v>5732.7699999999995</v>
      </c>
      <c r="I51" s="117">
        <f t="shared" si="19"/>
        <v>5732.7599999999993</v>
      </c>
      <c r="J51" s="117">
        <f t="shared" si="19"/>
        <v>5732.78</v>
      </c>
      <c r="K51" s="117">
        <f t="shared" si="19"/>
        <v>5732.7599999999993</v>
      </c>
      <c r="L51" s="117">
        <f t="shared" si="19"/>
        <v>5732.78</v>
      </c>
      <c r="M51" s="117">
        <f t="shared" si="19"/>
        <v>5732.7499999999991</v>
      </c>
      <c r="N51" s="117">
        <f t="shared" si="19"/>
        <v>5732.77</v>
      </c>
      <c r="O51" s="117">
        <f t="shared" si="19"/>
        <v>68793.22</v>
      </c>
      <c r="P51" s="117">
        <f t="shared" si="19"/>
        <v>0</v>
      </c>
      <c r="Q51" s="118"/>
      <c r="R51" s="125"/>
      <c r="S51" s="125"/>
      <c r="T51" s="125"/>
      <c r="U51" s="125"/>
      <c r="V51" s="125"/>
      <c r="W51" s="125"/>
      <c r="X51" s="125"/>
      <c r="Y51" s="125"/>
      <c r="Z51" s="126">
        <f t="shared" si="17"/>
        <v>5480.2119595380364</v>
      </c>
      <c r="AA51" s="126">
        <f t="shared" si="16"/>
        <v>13072.882686192052</v>
      </c>
      <c r="AB51" s="126">
        <f t="shared" si="16"/>
        <v>5475.2883001333839</v>
      </c>
      <c r="AC51" s="126">
        <f t="shared" si="16"/>
        <v>68.871550945074006</v>
      </c>
      <c r="AD51" s="126">
        <f t="shared" si="16"/>
        <v>12.861195172152037</v>
      </c>
      <c r="AE51" s="126">
        <f t="shared" si="16"/>
        <v>44683.104308019298</v>
      </c>
    </row>
    <row r="52" spans="1:31" x14ac:dyDescent="0.25">
      <c r="A52" t="s">
        <v>435</v>
      </c>
      <c r="B52" s="118"/>
      <c r="C52" s="118">
        <v>49.480000000000004</v>
      </c>
      <c r="D52" s="118">
        <v>49.480000000000004</v>
      </c>
      <c r="E52" s="118">
        <v>49.480000000000004</v>
      </c>
      <c r="F52" s="118">
        <v>49.480000000000004</v>
      </c>
      <c r="G52" s="118">
        <v>49.480000000000004</v>
      </c>
      <c r="H52" s="118">
        <v>49.480000000000004</v>
      </c>
      <c r="I52" s="118">
        <v>49.480000000000004</v>
      </c>
      <c r="J52" s="118">
        <v>49.480000000000004</v>
      </c>
      <c r="K52" s="118">
        <v>49.480000000000004</v>
      </c>
      <c r="L52" s="118">
        <v>49.480000000000004</v>
      </c>
      <c r="M52" s="118">
        <v>49.480000000000004</v>
      </c>
      <c r="N52" s="118">
        <v>49.47</v>
      </c>
      <c r="O52" s="118">
        <f t="shared" si="18"/>
        <v>593.75000000000011</v>
      </c>
      <c r="P52" s="118"/>
      <c r="Q52" s="118"/>
      <c r="R52" s="125"/>
      <c r="S52" s="125"/>
      <c r="T52" s="125"/>
      <c r="U52" s="125"/>
      <c r="V52" s="125"/>
      <c r="W52" s="125"/>
      <c r="X52" s="125"/>
      <c r="Y52" s="125"/>
      <c r="Z52" s="124">
        <f t="shared" si="17"/>
        <v>47.29936832402538</v>
      </c>
      <c r="AA52" s="124">
        <f t="shared" si="16"/>
        <v>112.83123678360356</v>
      </c>
      <c r="AB52" s="124">
        <f t="shared" si="16"/>
        <v>47.2568725261617</v>
      </c>
      <c r="AC52" s="124">
        <f t="shared" si="16"/>
        <v>0.59442606951146792</v>
      </c>
      <c r="AD52" s="124">
        <f t="shared" si="16"/>
        <v>0.11100417502575505</v>
      </c>
      <c r="AE52" s="124">
        <f t="shared" si="16"/>
        <v>385.65709212167224</v>
      </c>
    </row>
    <row r="53" spans="1:31" x14ac:dyDescent="0.25">
      <c r="A53" t="s">
        <v>441</v>
      </c>
      <c r="B53" s="118"/>
      <c r="C53" s="118">
        <v>5683.3</v>
      </c>
      <c r="D53" s="118">
        <v>5683.28</v>
      </c>
      <c r="E53" s="118">
        <v>5683.3</v>
      </c>
      <c r="F53" s="118">
        <v>5683.28</v>
      </c>
      <c r="G53" s="118">
        <v>5683.29</v>
      </c>
      <c r="H53" s="118">
        <v>5683.29</v>
      </c>
      <c r="I53" s="118">
        <v>5683.28</v>
      </c>
      <c r="J53" s="118">
        <v>5683.3</v>
      </c>
      <c r="K53" s="118">
        <v>5683.28</v>
      </c>
      <c r="L53" s="118">
        <v>5683.3</v>
      </c>
      <c r="M53" s="118">
        <v>5683.2699999999995</v>
      </c>
      <c r="N53" s="118">
        <v>5683.3</v>
      </c>
      <c r="O53" s="118">
        <f t="shared" si="18"/>
        <v>68199.47</v>
      </c>
      <c r="P53" s="118"/>
      <c r="Q53" s="118"/>
      <c r="R53" s="125"/>
      <c r="S53" s="125"/>
      <c r="T53" s="125"/>
      <c r="U53" s="125"/>
      <c r="V53" s="125"/>
      <c r="W53" s="125"/>
      <c r="X53" s="125"/>
      <c r="Y53" s="125"/>
      <c r="Z53" s="124">
        <f t="shared" si="17"/>
        <v>5432.9125912140107</v>
      </c>
      <c r="AA53" s="124">
        <f t="shared" si="16"/>
        <v>12960.051449408447</v>
      </c>
      <c r="AB53" s="124">
        <f t="shared" si="16"/>
        <v>5428.0314276072231</v>
      </c>
      <c r="AC53" s="124">
        <f t="shared" si="16"/>
        <v>68.277124875562549</v>
      </c>
      <c r="AD53" s="124">
        <f t="shared" si="16"/>
        <v>12.750190997126282</v>
      </c>
      <c r="AE53" s="124">
        <f t="shared" si="16"/>
        <v>44297.447215897628</v>
      </c>
    </row>
    <row r="54" spans="1:31" ht="15.75" thickBot="1" x14ac:dyDescent="0.3">
      <c r="B54" s="117"/>
      <c r="C54" s="117">
        <f t="shared" ref="C54:O54" si="20">C51+C40</f>
        <v>184257.89999999997</v>
      </c>
      <c r="D54" s="117">
        <f t="shared" si="20"/>
        <v>183282.33999999997</v>
      </c>
      <c r="E54" s="117">
        <f t="shared" si="20"/>
        <v>182266.43</v>
      </c>
      <c r="F54" s="117">
        <f t="shared" si="20"/>
        <v>185111.23999999996</v>
      </c>
      <c r="G54" s="117">
        <f t="shared" si="20"/>
        <v>187806.69999999998</v>
      </c>
      <c r="H54" s="117">
        <f t="shared" si="20"/>
        <v>189626.09999999995</v>
      </c>
      <c r="I54" s="117">
        <f t="shared" si="20"/>
        <v>192904.23999999996</v>
      </c>
      <c r="J54" s="117">
        <f t="shared" si="20"/>
        <v>192709.41</v>
      </c>
      <c r="K54" s="117">
        <f t="shared" si="20"/>
        <v>196107.83999999994</v>
      </c>
      <c r="L54" s="117">
        <f t="shared" si="20"/>
        <v>200267.64000000004</v>
      </c>
      <c r="M54" s="117">
        <f t="shared" si="20"/>
        <v>205369.31</v>
      </c>
      <c r="N54" s="117">
        <f t="shared" si="20"/>
        <v>205666.32999999993</v>
      </c>
      <c r="O54" s="117">
        <f t="shared" si="20"/>
        <v>2305375.48</v>
      </c>
      <c r="P54" s="118"/>
      <c r="Q54" s="118"/>
      <c r="R54" s="125"/>
      <c r="S54" s="125"/>
      <c r="T54" s="125"/>
      <c r="U54" s="125"/>
      <c r="V54" s="125"/>
      <c r="W54" s="125"/>
      <c r="X54" s="125"/>
      <c r="Y54" s="125"/>
      <c r="Z54" s="129">
        <f t="shared" si="17"/>
        <v>183651.03823780513</v>
      </c>
      <c r="AA54" s="129">
        <f t="shared" si="16"/>
        <v>438094.09121514717</v>
      </c>
      <c r="AB54" s="129">
        <f t="shared" si="16"/>
        <v>183486.03820345065</v>
      </c>
      <c r="AC54" s="129">
        <f t="shared" si="16"/>
        <v>2308.0004805465487</v>
      </c>
      <c r="AD54" s="129">
        <f t="shared" si="16"/>
        <v>431.00008973811202</v>
      </c>
      <c r="AE54" s="129">
        <f t="shared" si="16"/>
        <v>1497405.3117733123</v>
      </c>
    </row>
    <row r="55" spans="1:31" ht="16.5" thickTop="1" x14ac:dyDescent="0.25">
      <c r="A55" s="112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25"/>
      <c r="S55" s="125"/>
      <c r="T55" s="125"/>
      <c r="U55" s="125"/>
      <c r="V55" s="125"/>
      <c r="W55" s="125"/>
      <c r="X55" s="125"/>
      <c r="Y55" s="125"/>
      <c r="Z55" s="130" t="s">
        <v>462</v>
      </c>
      <c r="AA55" s="124"/>
      <c r="AB55" s="124"/>
      <c r="AC55" s="124"/>
      <c r="AD55" s="124"/>
      <c r="AE55" s="124"/>
    </row>
    <row r="56" spans="1:31" x14ac:dyDescent="0.25">
      <c r="A56" s="116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18"/>
      <c r="Q56" s="118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</row>
    <row r="57" spans="1:31" x14ac:dyDescent="0.25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</row>
    <row r="58" spans="1:31" x14ac:dyDescent="0.25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</row>
    <row r="59" spans="1:31" x14ac:dyDescent="0.25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</row>
    <row r="60" spans="1:31" x14ac:dyDescent="0.25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</row>
    <row r="61" spans="1:31" x14ac:dyDescent="0.25"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</row>
    <row r="62" spans="1:31" x14ac:dyDescent="0.25"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</row>
    <row r="63" spans="1:31" x14ac:dyDescent="0.25"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</row>
    <row r="64" spans="1:31" x14ac:dyDescent="0.25"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</row>
    <row r="65" spans="1:31" x14ac:dyDescent="0.25"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</row>
    <row r="66" spans="1:31" x14ac:dyDescent="0.25"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</row>
    <row r="67" spans="1:31" x14ac:dyDescent="0.25">
      <c r="A67" s="116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</row>
    <row r="68" spans="1:31" x14ac:dyDescent="0.25"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</row>
    <row r="69" spans="1:31" x14ac:dyDescent="0.25"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</row>
    <row r="70" spans="1:31" x14ac:dyDescent="0.25">
      <c r="A70" s="116"/>
      <c r="B70" s="116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0"/>
  <sheetViews>
    <sheetView zoomScale="80" zoomScaleNormal="80" workbookViewId="0">
      <pane xSplit="1" ySplit="5" topLeftCell="H30" activePane="bottomRight" state="frozen"/>
      <selection activeCell="L39" sqref="L39"/>
      <selection pane="topRight" activeCell="L39" sqref="L39"/>
      <selection pane="bottomLeft" activeCell="L39" sqref="L39"/>
      <selection pane="bottomRight" activeCell="L39" sqref="L39"/>
    </sheetView>
  </sheetViews>
  <sheetFormatPr defaultRowHeight="15" x14ac:dyDescent="0.25"/>
  <cols>
    <col min="1" max="1" width="61.7109375" bestFit="1" customWidth="1"/>
    <col min="2" max="14" width="11.28515625" bestFit="1" customWidth="1"/>
    <col min="15" max="15" width="11.5703125" bestFit="1" customWidth="1"/>
    <col min="16" max="16" width="4.7109375" bestFit="1" customWidth="1"/>
    <col min="17" max="17" width="12.7109375" bestFit="1" customWidth="1"/>
    <col min="18" max="18" width="13.28515625" bestFit="1" customWidth="1"/>
    <col min="19" max="19" width="12.140625" customWidth="1"/>
    <col min="20" max="20" width="11.42578125" customWidth="1"/>
    <col min="21" max="21" width="8.85546875" customWidth="1"/>
    <col min="22" max="22" width="8.42578125" bestFit="1" customWidth="1"/>
    <col min="23" max="23" width="12.140625" customWidth="1"/>
    <col min="25" max="25" width="8.42578125" bestFit="1" customWidth="1"/>
    <col min="26" max="28" width="11.42578125" bestFit="1" customWidth="1"/>
    <col min="29" max="29" width="9.28515625" bestFit="1" customWidth="1"/>
    <col min="30" max="30" width="8.42578125" bestFit="1" customWidth="1"/>
    <col min="31" max="31" width="11.85546875" bestFit="1" customWidth="1"/>
  </cols>
  <sheetData>
    <row r="1" spans="1:31" ht="15.75" x14ac:dyDescent="0.25">
      <c r="A1" s="112" t="s">
        <v>450</v>
      </c>
      <c r="Q1" s="4"/>
      <c r="R1" s="113" t="s">
        <v>2</v>
      </c>
      <c r="S1" s="4"/>
      <c r="T1" s="4"/>
      <c r="U1" s="4"/>
      <c r="V1" s="4"/>
      <c r="W1" s="4"/>
      <c r="X1" s="4"/>
      <c r="Y1" s="4" t="s">
        <v>1</v>
      </c>
      <c r="Z1" s="4" t="s">
        <v>3</v>
      </c>
      <c r="AA1" s="4"/>
      <c r="AB1" s="4"/>
      <c r="AC1" s="4"/>
      <c r="AD1" s="4"/>
      <c r="AE1" s="4"/>
    </row>
    <row r="2" spans="1:31" x14ac:dyDescent="0.25">
      <c r="Q2" s="4" t="s">
        <v>5</v>
      </c>
      <c r="R2" s="4" t="s">
        <v>6</v>
      </c>
      <c r="S2" s="4" t="s">
        <v>7</v>
      </c>
      <c r="T2" s="4" t="s">
        <v>8</v>
      </c>
      <c r="U2" s="4" t="s">
        <v>9</v>
      </c>
      <c r="V2" s="4" t="s">
        <v>10</v>
      </c>
      <c r="W2" s="4" t="s">
        <v>11</v>
      </c>
      <c r="X2" s="4"/>
      <c r="Y2" s="4" t="s">
        <v>5</v>
      </c>
      <c r="Z2" s="4" t="s">
        <v>6</v>
      </c>
      <c r="AA2" s="4" t="s">
        <v>7</v>
      </c>
      <c r="AB2" s="4" t="s">
        <v>8</v>
      </c>
      <c r="AC2" s="4" t="s">
        <v>9</v>
      </c>
      <c r="AD2" s="4" t="s">
        <v>10</v>
      </c>
      <c r="AE2" s="4" t="s">
        <v>11</v>
      </c>
    </row>
    <row r="3" spans="1:31" x14ac:dyDescent="0.25">
      <c r="Q3" s="4" t="s">
        <v>451</v>
      </c>
      <c r="R3" s="104">
        <f>'[1]Common Plant Allocation Factors'!C24</f>
        <v>7.9662094019411156E-2</v>
      </c>
      <c r="S3" s="104">
        <f>'[1]Common Plant Allocation Factors'!E24</f>
        <v>0.19003155668817437</v>
      </c>
      <c r="T3" s="104">
        <f>'[1]Common Plant Allocation Factors'!B24</f>
        <v>7.9590522149324952E-2</v>
      </c>
      <c r="U3" s="104">
        <f>'[1]Common Plant Allocation Factors'!D24</f>
        <v>1.0011386433877352E-3</v>
      </c>
      <c r="V3" s="104">
        <f>'[1]Common Plant Allocation Factors'!F24</f>
        <v>1.869544000433769E-4</v>
      </c>
      <c r="W3" s="104">
        <f>'[1]Common Plant Allocation Factors'!G24</f>
        <v>0.64952773409965836</v>
      </c>
      <c r="X3" s="4"/>
      <c r="Y3" s="4" t="s">
        <v>452</v>
      </c>
      <c r="Z3" s="104">
        <f>R3</f>
        <v>7.9662094019411156E-2</v>
      </c>
      <c r="AA3" s="104">
        <f t="shared" ref="AA3:AE3" si="0">S3</f>
        <v>0.19003155668817437</v>
      </c>
      <c r="AB3" s="104">
        <f t="shared" si="0"/>
        <v>7.9590522149324952E-2</v>
      </c>
      <c r="AC3" s="104">
        <f t="shared" si="0"/>
        <v>1.0011386433877352E-3</v>
      </c>
      <c r="AD3" s="104">
        <f t="shared" si="0"/>
        <v>1.869544000433769E-4</v>
      </c>
      <c r="AE3" s="104">
        <f t="shared" si="0"/>
        <v>0.64952773409965836</v>
      </c>
    </row>
    <row r="4" spans="1:31" x14ac:dyDescent="0.25"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26.25" x14ac:dyDescent="0.25">
      <c r="A5" s="112" t="s">
        <v>453</v>
      </c>
      <c r="B5" s="141">
        <v>44916</v>
      </c>
      <c r="C5" s="114">
        <f>B5+30</f>
        <v>44946</v>
      </c>
      <c r="D5" s="114">
        <f t="shared" ref="D5:N5" si="1">C5+30</f>
        <v>44976</v>
      </c>
      <c r="E5" s="114">
        <f t="shared" si="1"/>
        <v>45006</v>
      </c>
      <c r="F5" s="114">
        <f t="shared" si="1"/>
        <v>45036</v>
      </c>
      <c r="G5" s="114">
        <f t="shared" si="1"/>
        <v>45066</v>
      </c>
      <c r="H5" s="114">
        <f t="shared" si="1"/>
        <v>45096</v>
      </c>
      <c r="I5" s="114">
        <f t="shared" si="1"/>
        <v>45126</v>
      </c>
      <c r="J5" s="114">
        <f t="shared" si="1"/>
        <v>45156</v>
      </c>
      <c r="K5" s="114">
        <f t="shared" si="1"/>
        <v>45186</v>
      </c>
      <c r="L5" s="114">
        <f t="shared" si="1"/>
        <v>45216</v>
      </c>
      <c r="M5" s="114">
        <f t="shared" si="1"/>
        <v>45246</v>
      </c>
      <c r="N5" s="114">
        <f t="shared" si="1"/>
        <v>45276</v>
      </c>
      <c r="O5" s="115" t="s">
        <v>12</v>
      </c>
      <c r="Q5" s="4"/>
      <c r="R5" s="6"/>
      <c r="S5" s="6"/>
      <c r="T5" s="6"/>
      <c r="U5" s="6"/>
      <c r="V5" s="6"/>
      <c r="W5" s="6"/>
      <c r="X5" s="4"/>
      <c r="Y5" s="4"/>
      <c r="Z5" s="6"/>
      <c r="AA5" s="6"/>
      <c r="AB5" s="6"/>
      <c r="AC5" s="6"/>
      <c r="AD5" s="6"/>
      <c r="AE5" s="6"/>
    </row>
    <row r="6" spans="1:31" x14ac:dyDescent="0.25">
      <c r="A6" s="116" t="s">
        <v>454</v>
      </c>
      <c r="B6" s="117">
        <f>SUM(B7:B16)</f>
        <v>15392407.290000001</v>
      </c>
      <c r="C6" s="117">
        <f t="shared" ref="C6:O6" si="2">SUM(C7:C16)</f>
        <v>15553935.290000001</v>
      </c>
      <c r="D6" s="117">
        <f t="shared" si="2"/>
        <v>15553935.290000001</v>
      </c>
      <c r="E6" s="117">
        <f t="shared" si="2"/>
        <v>15603935.290000001</v>
      </c>
      <c r="F6" s="117">
        <f t="shared" si="2"/>
        <v>15603935.290000001</v>
      </c>
      <c r="G6" s="117">
        <f t="shared" si="2"/>
        <v>15603935.290000001</v>
      </c>
      <c r="H6" s="117">
        <f t="shared" si="2"/>
        <v>15814881.290000001</v>
      </c>
      <c r="I6" s="117">
        <f t="shared" si="2"/>
        <v>15814881.290000001</v>
      </c>
      <c r="J6" s="117">
        <f t="shared" si="2"/>
        <v>15814881.290000001</v>
      </c>
      <c r="K6" s="117">
        <f t="shared" si="2"/>
        <v>15814881.290000001</v>
      </c>
      <c r="L6" s="117">
        <f t="shared" si="2"/>
        <v>15814881.290000001</v>
      </c>
      <c r="M6" s="117">
        <f t="shared" si="2"/>
        <v>15814881.290000001</v>
      </c>
      <c r="N6" s="117">
        <f t="shared" si="2"/>
        <v>17673214.289999999</v>
      </c>
      <c r="O6" s="117">
        <f t="shared" si="2"/>
        <v>15836506.597692307</v>
      </c>
      <c r="Q6" s="4"/>
      <c r="R6" s="122">
        <f>$O6*R$3</f>
        <v>1261569.2775243896</v>
      </c>
      <c r="S6" s="122">
        <f t="shared" ref="S6:W18" si="3">$O6*S$3</f>
        <v>3009436.0012620129</v>
      </c>
      <c r="T6" s="122">
        <f t="shared" si="3"/>
        <v>1260435.8291315604</v>
      </c>
      <c r="U6" s="122">
        <f t="shared" si="3"/>
        <v>15854.538731214594</v>
      </c>
      <c r="V6" s="122">
        <f t="shared" si="3"/>
        <v>2960.7045897545449</v>
      </c>
      <c r="W6" s="122">
        <f t="shared" si="3"/>
        <v>10286250.246453375</v>
      </c>
      <c r="X6" s="123"/>
      <c r="Y6" s="123"/>
      <c r="Z6" s="122">
        <f>$N6*Z$3</f>
        <v>1407885.2583951808</v>
      </c>
      <c r="AA6" s="122">
        <f t="shared" ref="AA6:AE18" si="4">$N6*AA$3</f>
        <v>3358468.4232123881</v>
      </c>
      <c r="AB6" s="122">
        <f t="shared" si="4"/>
        <v>1406620.3533980113</v>
      </c>
      <c r="AC6" s="122">
        <f t="shared" si="4"/>
        <v>17693.337778591333</v>
      </c>
      <c r="AD6" s="122">
        <f t="shared" si="4"/>
        <v>3304.0851744249849</v>
      </c>
      <c r="AE6" s="122">
        <f t="shared" si="4"/>
        <v>11479242.832041401</v>
      </c>
    </row>
    <row r="7" spans="1:31" x14ac:dyDescent="0.25">
      <c r="A7" t="s">
        <v>455</v>
      </c>
      <c r="B7" s="68">
        <f>'Corporate and Skipjack Alloc 21'!N7</f>
        <v>5966.29</v>
      </c>
      <c r="C7" s="68">
        <f>B7</f>
        <v>5966.29</v>
      </c>
      <c r="D7" s="68">
        <f t="shared" ref="D7:N7" si="5">C7</f>
        <v>5966.29</v>
      </c>
      <c r="E7" s="68">
        <f t="shared" si="5"/>
        <v>5966.29</v>
      </c>
      <c r="F7" s="68">
        <f t="shared" si="5"/>
        <v>5966.29</v>
      </c>
      <c r="G7" s="68">
        <f t="shared" si="5"/>
        <v>5966.29</v>
      </c>
      <c r="H7" s="68">
        <f t="shared" si="5"/>
        <v>5966.29</v>
      </c>
      <c r="I7" s="68">
        <f t="shared" si="5"/>
        <v>5966.29</v>
      </c>
      <c r="J7" s="68">
        <f t="shared" si="5"/>
        <v>5966.29</v>
      </c>
      <c r="K7" s="68">
        <f t="shared" si="5"/>
        <v>5966.29</v>
      </c>
      <c r="L7" s="68">
        <f t="shared" si="5"/>
        <v>5966.29</v>
      </c>
      <c r="M7" s="68">
        <f t="shared" si="5"/>
        <v>5966.29</v>
      </c>
      <c r="N7" s="68">
        <f t="shared" si="5"/>
        <v>5966.29</v>
      </c>
      <c r="O7" s="68">
        <f>SUM(B7:N7)/13</f>
        <v>5966.2899999999991</v>
      </c>
      <c r="R7" s="124">
        <f t="shared" ref="R7:W20" si="6">$O7*R$3</f>
        <v>475.28715492707249</v>
      </c>
      <c r="S7" s="124">
        <f t="shared" si="3"/>
        <v>1133.7833763530878</v>
      </c>
      <c r="T7" s="124">
        <f t="shared" si="3"/>
        <v>474.86013639429592</v>
      </c>
      <c r="U7" s="124">
        <f t="shared" si="3"/>
        <v>5.9730834766578091</v>
      </c>
      <c r="V7" s="124">
        <f t="shared" si="3"/>
        <v>1.1154241674347989</v>
      </c>
      <c r="W7" s="124">
        <f t="shared" si="3"/>
        <v>3875.27082468145</v>
      </c>
      <c r="X7" s="125"/>
      <c r="Y7" s="125"/>
      <c r="Z7" s="124">
        <f t="shared" ref="Z7:AE20" si="7">$N7*Z$3</f>
        <v>475.28715492707261</v>
      </c>
      <c r="AA7" s="124">
        <f t="shared" si="4"/>
        <v>1133.7833763530878</v>
      </c>
      <c r="AB7" s="124">
        <f t="shared" si="4"/>
        <v>474.86013639429598</v>
      </c>
      <c r="AC7" s="124">
        <f t="shared" si="4"/>
        <v>5.97308347665781</v>
      </c>
      <c r="AD7" s="124">
        <f t="shared" si="4"/>
        <v>1.1154241674347991</v>
      </c>
      <c r="AE7" s="124">
        <f t="shared" si="4"/>
        <v>3875.2708246814504</v>
      </c>
    </row>
    <row r="8" spans="1:31" x14ac:dyDescent="0.25">
      <c r="A8" t="s">
        <v>434</v>
      </c>
      <c r="B8" s="68">
        <f>'Corporate and Skipjack Alloc 21'!N8</f>
        <v>5047142.1800000006</v>
      </c>
      <c r="C8" s="68">
        <f t="shared" ref="C8:N19" si="8">B8</f>
        <v>5047142.1800000006</v>
      </c>
      <c r="D8" s="68">
        <f t="shared" si="8"/>
        <v>5047142.1800000006</v>
      </c>
      <c r="E8" s="68">
        <f t="shared" si="8"/>
        <v>5047142.1800000006</v>
      </c>
      <c r="F8" s="68">
        <f t="shared" si="8"/>
        <v>5047142.1800000006</v>
      </c>
      <c r="G8" s="68">
        <f t="shared" si="8"/>
        <v>5047142.1800000006</v>
      </c>
      <c r="H8" s="68">
        <f t="shared" si="8"/>
        <v>5047142.1800000006</v>
      </c>
      <c r="I8" s="68">
        <f t="shared" si="8"/>
        <v>5047142.1800000006</v>
      </c>
      <c r="J8" s="68">
        <f t="shared" si="8"/>
        <v>5047142.1800000006</v>
      </c>
      <c r="K8" s="68">
        <f t="shared" si="8"/>
        <v>5047142.1800000006</v>
      </c>
      <c r="L8" s="68">
        <f t="shared" si="8"/>
        <v>5047142.1800000006</v>
      </c>
      <c r="M8" s="68">
        <f t="shared" si="8"/>
        <v>5047142.1800000006</v>
      </c>
      <c r="N8" s="68">
        <f t="shared" si="8"/>
        <v>5047142.1800000006</v>
      </c>
      <c r="O8" s="68">
        <f t="shared" ref="O8:O19" si="9">SUM(B8:N8)/13</f>
        <v>5047142.1800000006</v>
      </c>
      <c r="R8" s="124">
        <f t="shared" si="6"/>
        <v>402065.91487249581</v>
      </c>
      <c r="S8" s="124">
        <f t="shared" si="3"/>
        <v>959116.28529194603</v>
      </c>
      <c r="T8" s="124">
        <f t="shared" si="3"/>
        <v>401704.6814680823</v>
      </c>
      <c r="U8" s="124">
        <f t="shared" si="3"/>
        <v>5052.8890750702167</v>
      </c>
      <c r="V8" s="124">
        <f t="shared" si="3"/>
        <v>943.58543819552153</v>
      </c>
      <c r="W8" s="124">
        <f t="shared" si="3"/>
        <v>3278258.8238542103</v>
      </c>
      <c r="X8" s="125"/>
      <c r="Y8" s="125"/>
      <c r="Z8" s="124">
        <f t="shared" si="7"/>
        <v>402065.91487249581</v>
      </c>
      <c r="AA8" s="124">
        <f t="shared" si="4"/>
        <v>959116.28529194603</v>
      </c>
      <c r="AB8" s="124">
        <f t="shared" si="4"/>
        <v>401704.6814680823</v>
      </c>
      <c r="AC8" s="124">
        <f t="shared" si="4"/>
        <v>5052.8890750702167</v>
      </c>
      <c r="AD8" s="124">
        <f t="shared" si="4"/>
        <v>943.58543819552153</v>
      </c>
      <c r="AE8" s="124">
        <f t="shared" si="4"/>
        <v>3278258.8238542103</v>
      </c>
    </row>
    <row r="9" spans="1:31" x14ac:dyDescent="0.25">
      <c r="A9" t="s">
        <v>456</v>
      </c>
      <c r="B9" s="68">
        <f>'Corporate and Skipjack Alloc 21'!N9</f>
        <v>421491.92</v>
      </c>
      <c r="C9" s="68">
        <f t="shared" si="8"/>
        <v>421491.92</v>
      </c>
      <c r="D9" s="68">
        <f t="shared" si="8"/>
        <v>421491.92</v>
      </c>
      <c r="E9" s="68">
        <f t="shared" si="8"/>
        <v>421491.92</v>
      </c>
      <c r="F9" s="68">
        <f t="shared" si="8"/>
        <v>421491.92</v>
      </c>
      <c r="G9" s="68">
        <f t="shared" si="8"/>
        <v>421491.92</v>
      </c>
      <c r="H9" s="68">
        <f t="shared" si="8"/>
        <v>421491.92</v>
      </c>
      <c r="I9" s="68">
        <f t="shared" si="8"/>
        <v>421491.92</v>
      </c>
      <c r="J9" s="68">
        <f t="shared" si="8"/>
        <v>421491.92</v>
      </c>
      <c r="K9" s="68">
        <f t="shared" si="8"/>
        <v>421491.92</v>
      </c>
      <c r="L9" s="68">
        <f t="shared" si="8"/>
        <v>421491.92</v>
      </c>
      <c r="M9" s="68">
        <f t="shared" si="8"/>
        <v>421491.92</v>
      </c>
      <c r="N9" s="68">
        <f t="shared" si="8"/>
        <v>421491.92</v>
      </c>
      <c r="O9" s="68">
        <f t="shared" si="9"/>
        <v>421491.92</v>
      </c>
      <c r="R9" s="124">
        <f t="shared" si="6"/>
        <v>33576.928959462122</v>
      </c>
      <c r="S9" s="124">
        <f t="shared" si="3"/>
        <v>80096.76568908745</v>
      </c>
      <c r="T9" s="124">
        <f t="shared" si="3"/>
        <v>33546.761994521497</v>
      </c>
      <c r="U9" s="124">
        <f t="shared" si="3"/>
        <v>421.97184898769177</v>
      </c>
      <c r="V9" s="124">
        <f t="shared" si="3"/>
        <v>78.799769026731013</v>
      </c>
      <c r="W9" s="124">
        <f t="shared" si="3"/>
        <v>273770.69173891447</v>
      </c>
      <c r="X9" s="125"/>
      <c r="Y9" s="125"/>
      <c r="Z9" s="124">
        <f t="shared" si="7"/>
        <v>33576.928959462122</v>
      </c>
      <c r="AA9" s="124">
        <f t="shared" si="4"/>
        <v>80096.76568908745</v>
      </c>
      <c r="AB9" s="124">
        <f t="shared" si="4"/>
        <v>33546.761994521497</v>
      </c>
      <c r="AC9" s="124">
        <f t="shared" si="4"/>
        <v>421.97184898769177</v>
      </c>
      <c r="AD9" s="124">
        <f t="shared" si="4"/>
        <v>78.799769026731013</v>
      </c>
      <c r="AE9" s="124">
        <f t="shared" si="4"/>
        <v>273770.69173891447</v>
      </c>
    </row>
    <row r="10" spans="1:31" x14ac:dyDescent="0.25">
      <c r="A10" t="s">
        <v>435</v>
      </c>
      <c r="B10" s="68">
        <f>'Corporate and Skipjack Alloc 21'!N10</f>
        <v>1182442.1100000001</v>
      </c>
      <c r="C10" s="68">
        <f t="shared" si="8"/>
        <v>1182442.1100000001</v>
      </c>
      <c r="D10" s="68">
        <f t="shared" si="8"/>
        <v>1182442.1100000001</v>
      </c>
      <c r="E10" s="68">
        <f t="shared" si="8"/>
        <v>1182442.1100000001</v>
      </c>
      <c r="F10" s="68">
        <f t="shared" si="8"/>
        <v>1182442.1100000001</v>
      </c>
      <c r="G10" s="68">
        <f t="shared" si="8"/>
        <v>1182442.1100000001</v>
      </c>
      <c r="H10" s="68">
        <f t="shared" si="8"/>
        <v>1182442.1100000001</v>
      </c>
      <c r="I10" s="68">
        <f t="shared" si="8"/>
        <v>1182442.1100000001</v>
      </c>
      <c r="J10" s="68">
        <f t="shared" si="8"/>
        <v>1182442.1100000001</v>
      </c>
      <c r="K10" s="68">
        <f t="shared" si="8"/>
        <v>1182442.1100000001</v>
      </c>
      <c r="L10" s="68">
        <f t="shared" si="8"/>
        <v>1182442.1100000001</v>
      </c>
      <c r="M10" s="68">
        <f t="shared" si="8"/>
        <v>1182442.1100000001</v>
      </c>
      <c r="N10" s="68">
        <f t="shared" si="8"/>
        <v>1182442.1100000001</v>
      </c>
      <c r="O10" s="68">
        <f t="shared" si="9"/>
        <v>1182442.1099999999</v>
      </c>
      <c r="R10" s="124">
        <f t="shared" si="6"/>
        <v>94195.814539330895</v>
      </c>
      <c r="S10" s="124">
        <f t="shared" si="3"/>
        <v>224701.3148569495</v>
      </c>
      <c r="T10" s="124">
        <f t="shared" si="3"/>
        <v>94111.184946249516</v>
      </c>
      <c r="U10" s="124">
        <f t="shared" si="3"/>
        <v>1183.788489889931</v>
      </c>
      <c r="V10" s="124">
        <f t="shared" si="3"/>
        <v>221.06275526107464</v>
      </c>
      <c r="W10" s="124">
        <f t="shared" si="3"/>
        <v>768028.94441231887</v>
      </c>
      <c r="X10" s="125"/>
      <c r="Y10" s="125"/>
      <c r="Z10" s="124">
        <f t="shared" si="7"/>
        <v>94195.81453933091</v>
      </c>
      <c r="AA10" s="124">
        <f t="shared" si="4"/>
        <v>224701.31485694952</v>
      </c>
      <c r="AB10" s="124">
        <f t="shared" si="4"/>
        <v>94111.184946249545</v>
      </c>
      <c r="AC10" s="124">
        <f t="shared" si="4"/>
        <v>1183.7884898899313</v>
      </c>
      <c r="AD10" s="124">
        <f t="shared" si="4"/>
        <v>221.0627552610747</v>
      </c>
      <c r="AE10" s="124">
        <f t="shared" si="4"/>
        <v>768028.94441231911</v>
      </c>
    </row>
    <row r="11" spans="1:31" x14ac:dyDescent="0.25">
      <c r="A11" t="s">
        <v>457</v>
      </c>
      <c r="B11" s="68">
        <f>'Corporate and Skipjack Alloc 21'!N11</f>
        <v>3850066.0300000017</v>
      </c>
      <c r="C11" s="68">
        <f>B11+161528</f>
        <v>4011594.0300000017</v>
      </c>
      <c r="D11" s="68">
        <f t="shared" si="8"/>
        <v>4011594.0300000017</v>
      </c>
      <c r="E11" s="68">
        <f>D11+50000</f>
        <v>4061594.0300000017</v>
      </c>
      <c r="F11" s="68">
        <f t="shared" si="8"/>
        <v>4061594.0300000017</v>
      </c>
      <c r="G11" s="68">
        <f t="shared" si="8"/>
        <v>4061594.0300000017</v>
      </c>
      <c r="H11" s="68">
        <f>G11+210946</f>
        <v>4272540.0300000012</v>
      </c>
      <c r="I11" s="68">
        <f t="shared" si="8"/>
        <v>4272540.0300000012</v>
      </c>
      <c r="J11" s="68">
        <f t="shared" si="8"/>
        <v>4272540.0300000012</v>
      </c>
      <c r="K11" s="68">
        <f t="shared" si="8"/>
        <v>4272540.0300000012</v>
      </c>
      <c r="L11" s="68">
        <f t="shared" si="8"/>
        <v>4272540.0300000012</v>
      </c>
      <c r="M11" s="68">
        <f t="shared" si="8"/>
        <v>4272540.0300000012</v>
      </c>
      <c r="N11" s="68">
        <f>M11+1858333</f>
        <v>6130873.0300000012</v>
      </c>
      <c r="O11" s="68">
        <f t="shared" si="9"/>
        <v>4294165.3376923092</v>
      </c>
      <c r="R11" s="124">
        <f t="shared" si="6"/>
        <v>342082.20286614116</v>
      </c>
      <c r="S11" s="124">
        <f t="shared" si="3"/>
        <v>816026.92379806947</v>
      </c>
      <c r="T11" s="124">
        <f t="shared" si="3"/>
        <v>341774.8614224632</v>
      </c>
      <c r="U11" s="124">
        <f t="shared" si="3"/>
        <v>4299.0548606599141</v>
      </c>
      <c r="V11" s="124">
        <f t="shared" si="3"/>
        <v>802.81310439533058</v>
      </c>
      <c r="W11" s="124">
        <f t="shared" si="3"/>
        <v>2789179.4816405796</v>
      </c>
      <c r="X11" s="125"/>
      <c r="Y11" s="125"/>
      <c r="Z11" s="124">
        <f t="shared" si="7"/>
        <v>488398.18373693223</v>
      </c>
      <c r="AA11" s="124">
        <f t="shared" si="4"/>
        <v>1165059.3457484446</v>
      </c>
      <c r="AB11" s="124">
        <f t="shared" si="4"/>
        <v>487959.3856889141</v>
      </c>
      <c r="AC11" s="124">
        <f t="shared" si="4"/>
        <v>6137.8539080366545</v>
      </c>
      <c r="AD11" s="124">
        <f t="shared" si="4"/>
        <v>1146.1936890657705</v>
      </c>
      <c r="AE11" s="124">
        <f t="shared" si="4"/>
        <v>3982172.0672286074</v>
      </c>
    </row>
    <row r="12" spans="1:31" x14ac:dyDescent="0.25">
      <c r="A12" t="s">
        <v>436</v>
      </c>
      <c r="B12" s="68">
        <f>'Corporate and Skipjack Alloc 21'!N12</f>
        <v>871991.45999999973</v>
      </c>
      <c r="C12" s="68">
        <f t="shared" si="8"/>
        <v>871991.45999999973</v>
      </c>
      <c r="D12" s="68">
        <f t="shared" si="8"/>
        <v>871991.45999999973</v>
      </c>
      <c r="E12" s="68">
        <f t="shared" si="8"/>
        <v>871991.45999999973</v>
      </c>
      <c r="F12" s="68">
        <f t="shared" si="8"/>
        <v>871991.45999999973</v>
      </c>
      <c r="G12" s="68">
        <f t="shared" si="8"/>
        <v>871991.45999999973</v>
      </c>
      <c r="H12" s="68">
        <f t="shared" si="8"/>
        <v>871991.45999999973</v>
      </c>
      <c r="I12" s="68">
        <f t="shared" si="8"/>
        <v>871991.45999999973</v>
      </c>
      <c r="J12" s="68">
        <f t="shared" si="8"/>
        <v>871991.45999999973</v>
      </c>
      <c r="K12" s="68">
        <f t="shared" si="8"/>
        <v>871991.45999999973</v>
      </c>
      <c r="L12" s="68">
        <f t="shared" si="8"/>
        <v>871991.45999999973</v>
      </c>
      <c r="M12" s="68">
        <f t="shared" si="8"/>
        <v>871991.45999999973</v>
      </c>
      <c r="N12" s="68">
        <f t="shared" si="8"/>
        <v>871991.45999999973</v>
      </c>
      <c r="O12" s="68">
        <f t="shared" si="9"/>
        <v>871991.45999999961</v>
      </c>
      <c r="R12" s="124">
        <f t="shared" si="6"/>
        <v>69464.665670643575</v>
      </c>
      <c r="S12" s="124">
        <f t="shared" si="3"/>
        <v>165705.89456259386</v>
      </c>
      <c r="T12" s="124">
        <f t="shared" si="3"/>
        <v>69402.25561115217</v>
      </c>
      <c r="U12" s="124">
        <f t="shared" si="3"/>
        <v>872.98434731009013</v>
      </c>
      <c r="V12" s="124">
        <f t="shared" si="3"/>
        <v>163.02264024724821</v>
      </c>
      <c r="W12" s="124">
        <f t="shared" si="3"/>
        <v>566382.63716805261</v>
      </c>
      <c r="X12" s="125"/>
      <c r="Y12" s="125"/>
      <c r="Z12" s="124">
        <f t="shared" si="7"/>
        <v>69464.665670643575</v>
      </c>
      <c r="AA12" s="124">
        <f t="shared" si="4"/>
        <v>165705.89456259389</v>
      </c>
      <c r="AB12" s="124">
        <f t="shared" si="4"/>
        <v>69402.255611152184</v>
      </c>
      <c r="AC12" s="124">
        <f t="shared" si="4"/>
        <v>872.98434731009024</v>
      </c>
      <c r="AD12" s="124">
        <f t="shared" si="4"/>
        <v>163.02264024724823</v>
      </c>
      <c r="AE12" s="124">
        <f t="shared" si="4"/>
        <v>566382.63716805272</v>
      </c>
    </row>
    <row r="13" spans="1:31" x14ac:dyDescent="0.25">
      <c r="A13" t="s">
        <v>437</v>
      </c>
      <c r="B13" s="68">
        <f>'Corporate and Skipjack Alloc 21'!N13</f>
        <v>133969.25</v>
      </c>
      <c r="C13" s="68">
        <f t="shared" si="8"/>
        <v>133969.25</v>
      </c>
      <c r="D13" s="68">
        <f t="shared" si="8"/>
        <v>133969.25</v>
      </c>
      <c r="E13" s="68">
        <f t="shared" si="8"/>
        <v>133969.25</v>
      </c>
      <c r="F13" s="68">
        <f t="shared" si="8"/>
        <v>133969.25</v>
      </c>
      <c r="G13" s="68">
        <f t="shared" si="8"/>
        <v>133969.25</v>
      </c>
      <c r="H13" s="68">
        <f t="shared" si="8"/>
        <v>133969.25</v>
      </c>
      <c r="I13" s="68">
        <f t="shared" si="8"/>
        <v>133969.25</v>
      </c>
      <c r="J13" s="68">
        <f t="shared" si="8"/>
        <v>133969.25</v>
      </c>
      <c r="K13" s="68">
        <f t="shared" si="8"/>
        <v>133969.25</v>
      </c>
      <c r="L13" s="68">
        <f t="shared" si="8"/>
        <v>133969.25</v>
      </c>
      <c r="M13" s="68">
        <f t="shared" si="8"/>
        <v>133969.25</v>
      </c>
      <c r="N13" s="68">
        <f t="shared" si="8"/>
        <v>133969.25</v>
      </c>
      <c r="O13" s="68">
        <f t="shared" si="9"/>
        <v>133969.25</v>
      </c>
      <c r="R13" s="124">
        <f t="shared" si="6"/>
        <v>10672.270989209997</v>
      </c>
      <c r="S13" s="124">
        <f t="shared" si="3"/>
        <v>25458.385125847202</v>
      </c>
      <c r="T13" s="124">
        <f t="shared" si="3"/>
        <v>10662.682559453451</v>
      </c>
      <c r="U13" s="124">
        <f t="shared" si="3"/>
        <v>134.12179320067233</v>
      </c>
      <c r="V13" s="124">
        <f t="shared" si="3"/>
        <v>25.04614075801117</v>
      </c>
      <c r="W13" s="124">
        <f t="shared" si="3"/>
        <v>87016.743391530661</v>
      </c>
      <c r="X13" s="125"/>
      <c r="Y13" s="125"/>
      <c r="Z13" s="124">
        <f t="shared" si="7"/>
        <v>10672.270989209997</v>
      </c>
      <c r="AA13" s="124">
        <f t="shared" si="4"/>
        <v>25458.385125847202</v>
      </c>
      <c r="AB13" s="124">
        <f t="shared" si="4"/>
        <v>10662.682559453451</v>
      </c>
      <c r="AC13" s="124">
        <f t="shared" si="4"/>
        <v>134.12179320067233</v>
      </c>
      <c r="AD13" s="124">
        <f t="shared" si="4"/>
        <v>25.04614075801117</v>
      </c>
      <c r="AE13" s="124">
        <f t="shared" si="4"/>
        <v>87016.743391530661</v>
      </c>
    </row>
    <row r="14" spans="1:31" x14ac:dyDescent="0.25">
      <c r="A14" t="s">
        <v>438</v>
      </c>
      <c r="B14" s="68">
        <f>'Corporate and Skipjack Alloc 21'!N14</f>
        <v>2265779.04</v>
      </c>
      <c r="C14" s="68">
        <f t="shared" si="8"/>
        <v>2265779.04</v>
      </c>
      <c r="D14" s="68">
        <f t="shared" si="8"/>
        <v>2265779.04</v>
      </c>
      <c r="E14" s="68">
        <f t="shared" si="8"/>
        <v>2265779.04</v>
      </c>
      <c r="F14" s="68">
        <f t="shared" si="8"/>
        <v>2265779.04</v>
      </c>
      <c r="G14" s="68">
        <f t="shared" si="8"/>
        <v>2265779.04</v>
      </c>
      <c r="H14" s="68">
        <f t="shared" si="8"/>
        <v>2265779.04</v>
      </c>
      <c r="I14" s="68">
        <f t="shared" si="8"/>
        <v>2265779.04</v>
      </c>
      <c r="J14" s="68">
        <f t="shared" si="8"/>
        <v>2265779.04</v>
      </c>
      <c r="K14" s="68">
        <f t="shared" si="8"/>
        <v>2265779.04</v>
      </c>
      <c r="L14" s="68">
        <f t="shared" si="8"/>
        <v>2265779.04</v>
      </c>
      <c r="M14" s="68">
        <f t="shared" si="8"/>
        <v>2265779.04</v>
      </c>
      <c r="N14" s="68">
        <f t="shared" si="8"/>
        <v>2265779.04</v>
      </c>
      <c r="O14" s="68">
        <f t="shared" si="9"/>
        <v>2265779.0399999996</v>
      </c>
      <c r="R14" s="124">
        <f t="shared" si="6"/>
        <v>180496.70291169113</v>
      </c>
      <c r="S14" s="124">
        <f t="shared" si="3"/>
        <v>430569.51808263722</v>
      </c>
      <c r="T14" s="124">
        <f t="shared" si="3"/>
        <v>180334.53686859619</v>
      </c>
      <c r="U14" s="124">
        <f t="shared" si="3"/>
        <v>2268.3589543219646</v>
      </c>
      <c r="V14" s="124">
        <f t="shared" si="3"/>
        <v>423.59736105405841</v>
      </c>
      <c r="W14" s="124">
        <f t="shared" si="3"/>
        <v>1471686.3258216989</v>
      </c>
      <c r="X14" s="125"/>
      <c r="Y14" s="125"/>
      <c r="Z14" s="124">
        <f t="shared" si="7"/>
        <v>180496.70291169116</v>
      </c>
      <c r="AA14" s="124">
        <f t="shared" si="4"/>
        <v>430569.51808263728</v>
      </c>
      <c r="AB14" s="124">
        <f t="shared" si="4"/>
        <v>180334.53686859622</v>
      </c>
      <c r="AC14" s="124">
        <f t="shared" si="4"/>
        <v>2268.358954321965</v>
      </c>
      <c r="AD14" s="124">
        <f t="shared" si="4"/>
        <v>423.59736105405847</v>
      </c>
      <c r="AE14" s="124">
        <f t="shared" si="4"/>
        <v>1471686.3258216991</v>
      </c>
    </row>
    <row r="15" spans="1:31" x14ac:dyDescent="0.25">
      <c r="A15" t="s">
        <v>458</v>
      </c>
      <c r="B15" s="68">
        <f>'Corporate and Skipjack Alloc 21'!N15</f>
        <v>1244509.3299999998</v>
      </c>
      <c r="C15" s="68">
        <f t="shared" si="8"/>
        <v>1244509.3299999998</v>
      </c>
      <c r="D15" s="68">
        <f t="shared" si="8"/>
        <v>1244509.3299999998</v>
      </c>
      <c r="E15" s="68">
        <f t="shared" si="8"/>
        <v>1244509.3299999998</v>
      </c>
      <c r="F15" s="68">
        <f t="shared" si="8"/>
        <v>1244509.3299999998</v>
      </c>
      <c r="G15" s="68">
        <f t="shared" si="8"/>
        <v>1244509.3299999998</v>
      </c>
      <c r="H15" s="68">
        <f t="shared" si="8"/>
        <v>1244509.3299999998</v>
      </c>
      <c r="I15" s="68">
        <f t="shared" si="8"/>
        <v>1244509.3299999998</v>
      </c>
      <c r="J15" s="68">
        <f t="shared" si="8"/>
        <v>1244509.3299999998</v>
      </c>
      <c r="K15" s="68">
        <f t="shared" si="8"/>
        <v>1244509.3299999998</v>
      </c>
      <c r="L15" s="68">
        <f t="shared" si="8"/>
        <v>1244509.3299999998</v>
      </c>
      <c r="M15" s="68">
        <f t="shared" si="8"/>
        <v>1244509.3299999998</v>
      </c>
      <c r="N15" s="68">
        <f t="shared" si="8"/>
        <v>1244509.3299999998</v>
      </c>
      <c r="O15" s="68">
        <f t="shared" si="9"/>
        <v>1244509.3299999998</v>
      </c>
      <c r="R15" s="124">
        <f t="shared" si="6"/>
        <v>99140.219254494368</v>
      </c>
      <c r="S15" s="124">
        <f t="shared" si="3"/>
        <v>236496.04529285687</v>
      </c>
      <c r="T15" s="124">
        <f t="shared" si="3"/>
        <v>99051.147394406536</v>
      </c>
      <c r="U15" s="124">
        <f t="shared" si="3"/>
        <v>1245.926382319579</v>
      </c>
      <c r="V15" s="124">
        <f t="shared" si="3"/>
        <v>232.66649513853491</v>
      </c>
      <c r="W15" s="124">
        <f t="shared" si="3"/>
        <v>808343.32518078387</v>
      </c>
      <c r="X15" s="125"/>
      <c r="Y15" s="125"/>
      <c r="Z15" s="124">
        <f t="shared" si="7"/>
        <v>99140.219254494368</v>
      </c>
      <c r="AA15" s="124">
        <f t="shared" si="4"/>
        <v>236496.04529285687</v>
      </c>
      <c r="AB15" s="124">
        <f t="shared" si="4"/>
        <v>99051.147394406536</v>
      </c>
      <c r="AC15" s="124">
        <f t="shared" si="4"/>
        <v>1245.926382319579</v>
      </c>
      <c r="AD15" s="124">
        <f t="shared" si="4"/>
        <v>232.66649513853491</v>
      </c>
      <c r="AE15" s="124">
        <f t="shared" si="4"/>
        <v>808343.32518078387</v>
      </c>
    </row>
    <row r="16" spans="1:31" x14ac:dyDescent="0.25">
      <c r="A16" t="s">
        <v>441</v>
      </c>
      <c r="B16" s="68">
        <f>'Corporate and Skipjack Alloc 21'!N16</f>
        <v>369049.68000000005</v>
      </c>
      <c r="C16" s="68">
        <f t="shared" si="8"/>
        <v>369049.68000000005</v>
      </c>
      <c r="D16" s="68">
        <f t="shared" si="8"/>
        <v>369049.68000000005</v>
      </c>
      <c r="E16" s="68">
        <f t="shared" si="8"/>
        <v>369049.68000000005</v>
      </c>
      <c r="F16" s="68">
        <f t="shared" si="8"/>
        <v>369049.68000000005</v>
      </c>
      <c r="G16" s="68">
        <f t="shared" si="8"/>
        <v>369049.68000000005</v>
      </c>
      <c r="H16" s="68">
        <f t="shared" si="8"/>
        <v>369049.68000000005</v>
      </c>
      <c r="I16" s="68">
        <f t="shared" si="8"/>
        <v>369049.68000000005</v>
      </c>
      <c r="J16" s="68">
        <f t="shared" si="8"/>
        <v>369049.68000000005</v>
      </c>
      <c r="K16" s="68">
        <f t="shared" si="8"/>
        <v>369049.68000000005</v>
      </c>
      <c r="L16" s="68">
        <f t="shared" si="8"/>
        <v>369049.68000000005</v>
      </c>
      <c r="M16" s="68">
        <f t="shared" si="8"/>
        <v>369049.68000000005</v>
      </c>
      <c r="N16" s="68">
        <f t="shared" si="8"/>
        <v>369049.68000000005</v>
      </c>
      <c r="O16" s="68">
        <f t="shared" si="9"/>
        <v>369049.68000000005</v>
      </c>
      <c r="R16" s="124">
        <f t="shared" si="6"/>
        <v>29399.270305993607</v>
      </c>
      <c r="S16" s="124">
        <f t="shared" si="3"/>
        <v>70131.085185672622</v>
      </c>
      <c r="T16" s="124">
        <f t="shared" si="3"/>
        <v>29372.856730241288</v>
      </c>
      <c r="U16" s="124">
        <f t="shared" si="3"/>
        <v>369.46989597787785</v>
      </c>
      <c r="V16" s="124">
        <f t="shared" si="3"/>
        <v>68.995461510600236</v>
      </c>
      <c r="W16" s="124">
        <f t="shared" si="3"/>
        <v>239708.00242060403</v>
      </c>
      <c r="X16" s="125"/>
      <c r="Y16" s="125"/>
      <c r="Z16" s="124">
        <f t="shared" si="7"/>
        <v>29399.270305993607</v>
      </c>
      <c r="AA16" s="124">
        <f t="shared" si="4"/>
        <v>70131.085185672622</v>
      </c>
      <c r="AB16" s="124">
        <f t="shared" si="4"/>
        <v>29372.856730241288</v>
      </c>
      <c r="AC16" s="124">
        <f t="shared" si="4"/>
        <v>369.46989597787785</v>
      </c>
      <c r="AD16" s="124">
        <f t="shared" si="4"/>
        <v>68.995461510600236</v>
      </c>
      <c r="AE16" s="124">
        <f t="shared" si="4"/>
        <v>239708.00242060403</v>
      </c>
    </row>
    <row r="17" spans="1:32" x14ac:dyDescent="0.25">
      <c r="A17" s="116" t="s">
        <v>459</v>
      </c>
      <c r="B17" s="117">
        <f t="shared" ref="B17:O17" si="10">SUM(B18:B19)</f>
        <v>475306.17</v>
      </c>
      <c r="C17" s="68">
        <f t="shared" si="8"/>
        <v>475306.17</v>
      </c>
      <c r="D17" s="68">
        <f t="shared" si="8"/>
        <v>475306.17</v>
      </c>
      <c r="E17" s="68">
        <f t="shared" si="8"/>
        <v>475306.17</v>
      </c>
      <c r="F17" s="68">
        <f t="shared" si="8"/>
        <v>475306.17</v>
      </c>
      <c r="G17" s="68">
        <f t="shared" si="8"/>
        <v>475306.17</v>
      </c>
      <c r="H17" s="68">
        <f t="shared" si="8"/>
        <v>475306.17</v>
      </c>
      <c r="I17" s="68">
        <f t="shared" si="8"/>
        <v>475306.17</v>
      </c>
      <c r="J17" s="68">
        <f t="shared" si="8"/>
        <v>475306.17</v>
      </c>
      <c r="K17" s="68">
        <f t="shared" si="8"/>
        <v>475306.17</v>
      </c>
      <c r="L17" s="68">
        <f t="shared" si="8"/>
        <v>475306.17</v>
      </c>
      <c r="M17" s="68">
        <f t="shared" si="8"/>
        <v>475306.17</v>
      </c>
      <c r="N17" s="68">
        <f t="shared" si="8"/>
        <v>475306.17</v>
      </c>
      <c r="O17" s="117">
        <f t="shared" si="10"/>
        <v>475306.17</v>
      </c>
      <c r="R17" s="126">
        <f t="shared" si="6"/>
        <v>37863.884802546221</v>
      </c>
      <c r="S17" s="126">
        <f t="shared" si="3"/>
        <v>90323.171388594041</v>
      </c>
      <c r="T17" s="126">
        <f t="shared" si="3"/>
        <v>37829.866251095809</v>
      </c>
      <c r="U17" s="126">
        <f t="shared" si="3"/>
        <v>475.84737422762021</v>
      </c>
      <c r="V17" s="126">
        <f t="shared" si="3"/>
        <v>88.860579849265307</v>
      </c>
      <c r="W17" s="126">
        <f t="shared" si="3"/>
        <v>308724.53960368701</v>
      </c>
      <c r="X17" s="125"/>
      <c r="Y17" s="125"/>
      <c r="Z17" s="126">
        <f t="shared" si="7"/>
        <v>37863.884802546221</v>
      </c>
      <c r="AA17" s="126">
        <f t="shared" si="4"/>
        <v>90323.171388594041</v>
      </c>
      <c r="AB17" s="126">
        <f t="shared" si="4"/>
        <v>37829.866251095809</v>
      </c>
      <c r="AC17" s="126">
        <f t="shared" si="4"/>
        <v>475.84737422762021</v>
      </c>
      <c r="AD17" s="126">
        <f t="shared" si="4"/>
        <v>88.860579849265307</v>
      </c>
      <c r="AE17" s="126">
        <f t="shared" si="4"/>
        <v>308724.53960368701</v>
      </c>
    </row>
    <row r="18" spans="1:32" x14ac:dyDescent="0.25">
      <c r="A18" t="s">
        <v>435</v>
      </c>
      <c r="B18" s="68">
        <f>'Corporate and Skipjack Alloc 21'!N18</f>
        <v>5656.13</v>
      </c>
      <c r="C18" s="68">
        <f t="shared" si="8"/>
        <v>5656.13</v>
      </c>
      <c r="D18" s="68">
        <f t="shared" si="8"/>
        <v>5656.13</v>
      </c>
      <c r="E18" s="68">
        <f t="shared" si="8"/>
        <v>5656.13</v>
      </c>
      <c r="F18" s="68">
        <f t="shared" si="8"/>
        <v>5656.13</v>
      </c>
      <c r="G18" s="68">
        <f t="shared" si="8"/>
        <v>5656.13</v>
      </c>
      <c r="H18" s="68">
        <f t="shared" si="8"/>
        <v>5656.13</v>
      </c>
      <c r="I18" s="68">
        <f t="shared" si="8"/>
        <v>5656.13</v>
      </c>
      <c r="J18" s="68">
        <f t="shared" si="8"/>
        <v>5656.13</v>
      </c>
      <c r="K18" s="68">
        <f t="shared" si="8"/>
        <v>5656.13</v>
      </c>
      <c r="L18" s="68">
        <f t="shared" si="8"/>
        <v>5656.13</v>
      </c>
      <c r="M18" s="68">
        <f t="shared" si="8"/>
        <v>5656.13</v>
      </c>
      <c r="N18" s="68">
        <f t="shared" si="8"/>
        <v>5656.13</v>
      </c>
      <c r="O18" s="68">
        <f t="shared" si="9"/>
        <v>5656.1299999999992</v>
      </c>
      <c r="R18" s="127">
        <f t="shared" si="6"/>
        <v>450.57915984601198</v>
      </c>
      <c r="S18" s="127">
        <f t="shared" si="3"/>
        <v>1074.8431887306836</v>
      </c>
      <c r="T18" s="127">
        <f t="shared" si="3"/>
        <v>450.1743400444613</v>
      </c>
      <c r="U18" s="127">
        <f t="shared" si="3"/>
        <v>5.66257031502467</v>
      </c>
      <c r="V18" s="127">
        <f t="shared" si="3"/>
        <v>1.0574383907173452</v>
      </c>
      <c r="W18" s="127">
        <f t="shared" si="3"/>
        <v>3673.8133026731002</v>
      </c>
      <c r="X18" s="128"/>
      <c r="Y18" s="128"/>
      <c r="Z18" s="127">
        <f t="shared" si="7"/>
        <v>450.57915984601203</v>
      </c>
      <c r="AA18" s="127">
        <f t="shared" si="4"/>
        <v>1074.8431887306838</v>
      </c>
      <c r="AB18" s="127">
        <f t="shared" si="4"/>
        <v>450.17434004446136</v>
      </c>
      <c r="AC18" s="127">
        <f t="shared" si="4"/>
        <v>5.6625703150246709</v>
      </c>
      <c r="AD18" s="127">
        <f t="shared" si="4"/>
        <v>1.0574383907173455</v>
      </c>
      <c r="AE18" s="127">
        <f t="shared" si="4"/>
        <v>3673.8133026731007</v>
      </c>
      <c r="AF18" s="89"/>
    </row>
    <row r="19" spans="1:32" x14ac:dyDescent="0.25">
      <c r="A19" t="s">
        <v>441</v>
      </c>
      <c r="B19" s="68">
        <f>'Corporate and Skipjack Alloc 21'!N19</f>
        <v>469650.04</v>
      </c>
      <c r="C19" s="68">
        <f t="shared" si="8"/>
        <v>469650.04</v>
      </c>
      <c r="D19" s="68">
        <f t="shared" si="8"/>
        <v>469650.04</v>
      </c>
      <c r="E19" s="68">
        <f t="shared" si="8"/>
        <v>469650.04</v>
      </c>
      <c r="F19" s="68">
        <f t="shared" si="8"/>
        <v>469650.04</v>
      </c>
      <c r="G19" s="68">
        <f t="shared" si="8"/>
        <v>469650.04</v>
      </c>
      <c r="H19" s="68">
        <f t="shared" si="8"/>
        <v>469650.04</v>
      </c>
      <c r="I19" s="68">
        <f t="shared" si="8"/>
        <v>469650.04</v>
      </c>
      <c r="J19" s="68">
        <f t="shared" si="8"/>
        <v>469650.04</v>
      </c>
      <c r="K19" s="68">
        <f t="shared" si="8"/>
        <v>469650.04</v>
      </c>
      <c r="L19" s="68">
        <f t="shared" si="8"/>
        <v>469650.04</v>
      </c>
      <c r="M19" s="68">
        <f t="shared" si="8"/>
        <v>469650.04</v>
      </c>
      <c r="N19" s="68">
        <f t="shared" si="8"/>
        <v>469650.04</v>
      </c>
      <c r="O19" s="68">
        <f t="shared" si="9"/>
        <v>469650.04</v>
      </c>
      <c r="R19" s="124">
        <f t="shared" si="6"/>
        <v>37413.305642700208</v>
      </c>
      <c r="S19" s="124">
        <f t="shared" si="6"/>
        <v>89248.328199863361</v>
      </c>
      <c r="T19" s="124">
        <f t="shared" si="6"/>
        <v>37379.691911051348</v>
      </c>
      <c r="U19" s="124">
        <f t="shared" si="6"/>
        <v>470.18480391259556</v>
      </c>
      <c r="V19" s="124">
        <f t="shared" si="6"/>
        <v>87.803141458547955</v>
      </c>
      <c r="W19" s="124">
        <f t="shared" si="6"/>
        <v>305050.7263010139</v>
      </c>
      <c r="X19" s="125"/>
      <c r="Y19" s="125"/>
      <c r="Z19" s="124">
        <f t="shared" si="7"/>
        <v>37413.305642700208</v>
      </c>
      <c r="AA19" s="124">
        <f t="shared" si="7"/>
        <v>89248.328199863361</v>
      </c>
      <c r="AB19" s="124">
        <f t="shared" si="7"/>
        <v>37379.691911051348</v>
      </c>
      <c r="AC19" s="124">
        <f t="shared" si="7"/>
        <v>470.18480391259556</v>
      </c>
      <c r="AD19" s="124">
        <f t="shared" si="7"/>
        <v>87.803141458547955</v>
      </c>
      <c r="AE19" s="124">
        <f t="shared" si="7"/>
        <v>305050.7263010139</v>
      </c>
    </row>
    <row r="20" spans="1:32" ht="15.75" thickBot="1" x14ac:dyDescent="0.3">
      <c r="A20" s="116" t="s">
        <v>443</v>
      </c>
      <c r="B20" s="117">
        <f t="shared" ref="B20:O20" si="11">B17+B6</f>
        <v>15867713.460000001</v>
      </c>
      <c r="C20" s="117">
        <f t="shared" si="11"/>
        <v>16029241.460000001</v>
      </c>
      <c r="D20" s="117">
        <f t="shared" si="11"/>
        <v>16029241.460000001</v>
      </c>
      <c r="E20" s="117">
        <f t="shared" si="11"/>
        <v>16079241.460000001</v>
      </c>
      <c r="F20" s="117">
        <f t="shared" si="11"/>
        <v>16079241.460000001</v>
      </c>
      <c r="G20" s="117">
        <f t="shared" si="11"/>
        <v>16079241.460000001</v>
      </c>
      <c r="H20" s="117">
        <f t="shared" si="11"/>
        <v>16290187.460000001</v>
      </c>
      <c r="I20" s="117">
        <f t="shared" si="11"/>
        <v>16290187.460000001</v>
      </c>
      <c r="J20" s="117">
        <f t="shared" si="11"/>
        <v>16290187.460000001</v>
      </c>
      <c r="K20" s="117">
        <f t="shared" si="11"/>
        <v>16290187.460000001</v>
      </c>
      <c r="L20" s="117">
        <f t="shared" si="11"/>
        <v>16290187.460000001</v>
      </c>
      <c r="M20" s="117">
        <f t="shared" si="11"/>
        <v>16290187.460000001</v>
      </c>
      <c r="N20" s="117">
        <f t="shared" si="11"/>
        <v>18148520.460000001</v>
      </c>
      <c r="O20" s="117">
        <f t="shared" si="11"/>
        <v>16311812.767692307</v>
      </c>
      <c r="R20" s="129">
        <f t="shared" si="6"/>
        <v>1299433.1623269359</v>
      </c>
      <c r="S20" s="129">
        <f t="shared" si="6"/>
        <v>3099759.1726506073</v>
      </c>
      <c r="T20" s="129">
        <f t="shared" si="6"/>
        <v>1298265.6953826561</v>
      </c>
      <c r="U20" s="129">
        <f t="shared" si="6"/>
        <v>16330.386105442214</v>
      </c>
      <c r="V20" s="129">
        <f t="shared" si="6"/>
        <v>3049.5651696038103</v>
      </c>
      <c r="W20" s="129">
        <f t="shared" si="6"/>
        <v>10594974.786057061</v>
      </c>
      <c r="X20" s="125"/>
      <c r="Y20" s="125"/>
      <c r="Z20" s="129">
        <f t="shared" si="7"/>
        <v>1445749.1431977272</v>
      </c>
      <c r="AA20" s="129">
        <f t="shared" si="7"/>
        <v>3448791.5946009825</v>
      </c>
      <c r="AB20" s="129">
        <f t="shared" si="7"/>
        <v>1444450.2196491072</v>
      </c>
      <c r="AC20" s="129">
        <f t="shared" si="7"/>
        <v>18169.185152818958</v>
      </c>
      <c r="AD20" s="129">
        <f t="shared" si="7"/>
        <v>3392.9457542742507</v>
      </c>
      <c r="AE20" s="129">
        <f t="shared" si="7"/>
        <v>11787967.371645089</v>
      </c>
    </row>
    <row r="21" spans="1:32" ht="15.75" thickTop="1" x14ac:dyDescent="0.25"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</row>
    <row r="22" spans="1:32" ht="15.75" x14ac:dyDescent="0.25">
      <c r="A22" s="112" t="s">
        <v>74</v>
      </c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</row>
    <row r="23" spans="1:32" x14ac:dyDescent="0.25">
      <c r="A23" s="116" t="s">
        <v>454</v>
      </c>
      <c r="B23" s="117">
        <f>SUM(B24:B33)</f>
        <v>5841590.54</v>
      </c>
      <c r="C23" s="117">
        <f t="shared" ref="C23:O23" si="12">SUM(C24:C33)</f>
        <v>6041973.6862666663</v>
      </c>
      <c r="D23" s="117">
        <f t="shared" ref="D23:N23" si="13">SUM(D24:D33)</f>
        <v>6242356.8325333335</v>
      </c>
      <c r="E23" s="117">
        <f t="shared" si="13"/>
        <v>6442879.1454666657</v>
      </c>
      <c r="F23" s="117">
        <f t="shared" si="13"/>
        <v>6643401.4584000008</v>
      </c>
      <c r="G23" s="117">
        <f t="shared" si="13"/>
        <v>6843923.7713333331</v>
      </c>
      <c r="H23" s="117">
        <f t="shared" si="13"/>
        <v>7045033.2173000015</v>
      </c>
      <c r="I23" s="117">
        <f t="shared" si="13"/>
        <v>7246142.6632666662</v>
      </c>
      <c r="J23" s="117">
        <f t="shared" si="13"/>
        <v>7447252.1092333347</v>
      </c>
      <c r="K23" s="117">
        <f t="shared" si="13"/>
        <v>7648361.5551999994</v>
      </c>
      <c r="L23" s="117">
        <f t="shared" si="13"/>
        <v>7849471.001166665</v>
      </c>
      <c r="M23" s="117">
        <f t="shared" si="13"/>
        <v>8050580.4471333325</v>
      </c>
      <c r="N23" s="117">
        <f t="shared" si="13"/>
        <v>8256862.253283333</v>
      </c>
      <c r="O23" s="117">
        <f t="shared" si="12"/>
        <v>7046140.6677371804</v>
      </c>
      <c r="R23" s="122">
        <f t="shared" ref="R23:W37" si="14">$O23*R$3</f>
        <v>561310.32034727582</v>
      </c>
      <c r="S23" s="122">
        <f t="shared" si="14"/>
        <v>1338989.0797339487</v>
      </c>
      <c r="T23" s="122">
        <f t="shared" si="14"/>
        <v>560806.0148827954</v>
      </c>
      <c r="U23" s="122">
        <f t="shared" si="14"/>
        <v>7054.1637092175515</v>
      </c>
      <c r="V23" s="122">
        <f t="shared" si="14"/>
        <v>1317.3070011580437</v>
      </c>
      <c r="W23" s="122">
        <f t="shared" si="14"/>
        <v>4576663.7820627848</v>
      </c>
      <c r="X23" s="125"/>
      <c r="Y23" s="125"/>
      <c r="Z23" s="122">
        <f t="shared" ref="Z23:AE37" si="15">$N23*Z$3</f>
        <v>657758.93712638388</v>
      </c>
      <c r="AA23" s="122">
        <f t="shared" si="15"/>
        <v>1569064.3873512589</v>
      </c>
      <c r="AB23" s="122">
        <f t="shared" si="15"/>
        <v>657167.97805387224</v>
      </c>
      <c r="AC23" s="122">
        <f t="shared" si="15"/>
        <v>8266.2638748914742</v>
      </c>
      <c r="AD23" s="122">
        <f t="shared" si="15"/>
        <v>1543.6567288033907</v>
      </c>
      <c r="AE23" s="122">
        <f t="shared" si="15"/>
        <v>5363061.0301481225</v>
      </c>
    </row>
    <row r="24" spans="1:32" x14ac:dyDescent="0.25">
      <c r="A24" t="s">
        <v>455</v>
      </c>
      <c r="B24" s="68">
        <f>'Corporate and Skipjack Alloc 21'!N24</f>
        <v>5966.29</v>
      </c>
      <c r="C24" s="68">
        <f>B24+C41</f>
        <v>5966.29</v>
      </c>
      <c r="D24" s="68">
        <f t="shared" ref="D24:N24" si="16">C24+D41</f>
        <v>5966.29</v>
      </c>
      <c r="E24" s="68">
        <f t="shared" si="16"/>
        <v>5966.29</v>
      </c>
      <c r="F24" s="68">
        <f t="shared" si="16"/>
        <v>5966.29</v>
      </c>
      <c r="G24" s="68">
        <f t="shared" si="16"/>
        <v>5966.29</v>
      </c>
      <c r="H24" s="68">
        <f t="shared" si="16"/>
        <v>5966.29</v>
      </c>
      <c r="I24" s="68">
        <f t="shared" si="16"/>
        <v>5966.29</v>
      </c>
      <c r="J24" s="68">
        <f t="shared" si="16"/>
        <v>5966.29</v>
      </c>
      <c r="K24" s="68">
        <f t="shared" si="16"/>
        <v>5966.29</v>
      </c>
      <c r="L24" s="68">
        <f t="shared" si="16"/>
        <v>5966.29</v>
      </c>
      <c r="M24" s="68">
        <f t="shared" si="16"/>
        <v>5966.29</v>
      </c>
      <c r="N24" s="68">
        <f t="shared" si="16"/>
        <v>5966.29</v>
      </c>
      <c r="O24" s="68">
        <f>SUM(B24:N24)/13</f>
        <v>5966.2899999999991</v>
      </c>
      <c r="R24" s="124">
        <f t="shared" si="14"/>
        <v>475.28715492707249</v>
      </c>
      <c r="S24" s="124">
        <f t="shared" si="14"/>
        <v>1133.7833763530878</v>
      </c>
      <c r="T24" s="124">
        <f t="shared" si="14"/>
        <v>474.86013639429592</v>
      </c>
      <c r="U24" s="124">
        <f t="shared" si="14"/>
        <v>5.9730834766578091</v>
      </c>
      <c r="V24" s="124">
        <f t="shared" si="14"/>
        <v>1.1154241674347989</v>
      </c>
      <c r="W24" s="124">
        <f t="shared" si="14"/>
        <v>3875.27082468145</v>
      </c>
      <c r="X24" s="125"/>
      <c r="Y24" s="125"/>
      <c r="Z24" s="124">
        <f t="shared" si="15"/>
        <v>475.28715492707261</v>
      </c>
      <c r="AA24" s="124">
        <f t="shared" si="15"/>
        <v>1133.7833763530878</v>
      </c>
      <c r="AB24" s="124">
        <f t="shared" si="15"/>
        <v>474.86013639429598</v>
      </c>
      <c r="AC24" s="124">
        <f t="shared" si="15"/>
        <v>5.97308347665781</v>
      </c>
      <c r="AD24" s="124">
        <f t="shared" si="15"/>
        <v>1.1154241674347991</v>
      </c>
      <c r="AE24" s="124">
        <f t="shared" si="15"/>
        <v>3875.2708246814504</v>
      </c>
    </row>
    <row r="25" spans="1:32" x14ac:dyDescent="0.25">
      <c r="A25" t="s">
        <v>434</v>
      </c>
      <c r="B25" s="68">
        <f>'Corporate and Skipjack Alloc 21'!N25</f>
        <v>1198659.6400000004</v>
      </c>
      <c r="C25" s="68">
        <f t="shared" ref="C25:N36" si="17">B25+C42</f>
        <v>1220275.5100000005</v>
      </c>
      <c r="D25" s="68">
        <f t="shared" si="17"/>
        <v>1241891.3800000006</v>
      </c>
      <c r="E25" s="68">
        <f t="shared" si="17"/>
        <v>1263507.2500000007</v>
      </c>
      <c r="F25" s="68">
        <f t="shared" si="17"/>
        <v>1285123.1200000008</v>
      </c>
      <c r="G25" s="68">
        <f t="shared" si="17"/>
        <v>1306738.9900000009</v>
      </c>
      <c r="H25" s="68">
        <f t="shared" si="17"/>
        <v>1328354.860000001</v>
      </c>
      <c r="I25" s="68">
        <f t="shared" si="17"/>
        <v>1349970.7300000011</v>
      </c>
      <c r="J25" s="68">
        <f t="shared" si="17"/>
        <v>1371586.6000000013</v>
      </c>
      <c r="K25" s="68">
        <f t="shared" si="17"/>
        <v>1393202.4700000014</v>
      </c>
      <c r="L25" s="68">
        <f t="shared" si="17"/>
        <v>1414818.3400000015</v>
      </c>
      <c r="M25" s="68">
        <f t="shared" si="17"/>
        <v>1436434.2100000016</v>
      </c>
      <c r="N25" s="68">
        <f t="shared" si="17"/>
        <v>1458050.0800000017</v>
      </c>
      <c r="O25" s="68">
        <f t="shared" ref="O25:O36" si="18">SUM(B25:N25)/13</f>
        <v>1328354.8600000008</v>
      </c>
      <c r="R25" s="124">
        <f t="shared" si="14"/>
        <v>105819.52974846181</v>
      </c>
      <c r="S25" s="124">
        <f t="shared" si="14"/>
        <v>252429.34188010209</v>
      </c>
      <c r="T25" s="124">
        <f t="shared" si="14"/>
        <v>105724.45690699351</v>
      </c>
      <c r="U25" s="124">
        <f t="shared" si="14"/>
        <v>1329.8673824779057</v>
      </c>
      <c r="V25" s="124">
        <f t="shared" si="14"/>
        <v>248.34178589600407</v>
      </c>
      <c r="W25" s="124">
        <f t="shared" si="14"/>
        <v>862803.32229606947</v>
      </c>
      <c r="X25" s="125"/>
      <c r="Y25" s="125"/>
      <c r="Z25" s="124">
        <f t="shared" si="15"/>
        <v>116151.3225579701</v>
      </c>
      <c r="AA25" s="124">
        <f t="shared" si="15"/>
        <v>277075.5264317175</v>
      </c>
      <c r="AB25" s="124">
        <f t="shared" si="15"/>
        <v>116046.96718706515</v>
      </c>
      <c r="AC25" s="124">
        <f t="shared" si="15"/>
        <v>1459.7102790825804</v>
      </c>
      <c r="AD25" s="124">
        <f t="shared" si="15"/>
        <v>272.58887793959798</v>
      </c>
      <c r="AE25" s="124">
        <f t="shared" si="15"/>
        <v>947043.96466622676</v>
      </c>
    </row>
    <row r="26" spans="1:32" x14ac:dyDescent="0.25">
      <c r="A26" t="s">
        <v>456</v>
      </c>
      <c r="B26" s="68">
        <f>'Corporate and Skipjack Alloc 21'!N26</f>
        <v>151766.35</v>
      </c>
      <c r="C26" s="68">
        <f t="shared" si="17"/>
        <v>155315.37</v>
      </c>
      <c r="D26" s="68">
        <f t="shared" si="17"/>
        <v>158864.38999999998</v>
      </c>
      <c r="E26" s="68">
        <f t="shared" si="17"/>
        <v>162413.40999999997</v>
      </c>
      <c r="F26" s="68">
        <f t="shared" si="17"/>
        <v>165962.42999999996</v>
      </c>
      <c r="G26" s="68">
        <f t="shared" si="17"/>
        <v>169511.44999999995</v>
      </c>
      <c r="H26" s="68">
        <f t="shared" si="17"/>
        <v>173060.46999999994</v>
      </c>
      <c r="I26" s="68">
        <f t="shared" si="17"/>
        <v>176609.48999999993</v>
      </c>
      <c r="J26" s="68">
        <f t="shared" si="17"/>
        <v>180158.50999999992</v>
      </c>
      <c r="K26" s="68">
        <f t="shared" si="17"/>
        <v>183707.52999999991</v>
      </c>
      <c r="L26" s="68">
        <f t="shared" si="17"/>
        <v>187256.5499999999</v>
      </c>
      <c r="M26" s="68">
        <f t="shared" si="17"/>
        <v>190805.56999999989</v>
      </c>
      <c r="N26" s="68">
        <f t="shared" si="17"/>
        <v>194354.58999999988</v>
      </c>
      <c r="O26" s="68">
        <f t="shared" si="18"/>
        <v>173060.46999999994</v>
      </c>
      <c r="R26" s="124">
        <f t="shared" si="14"/>
        <v>13786.359432183479</v>
      </c>
      <c r="S26" s="124">
        <f t="shared" si="14"/>
        <v>32886.950515287092</v>
      </c>
      <c r="T26" s="124">
        <f t="shared" si="14"/>
        <v>13773.973170707583</v>
      </c>
      <c r="U26" s="124">
        <f t="shared" si="14"/>
        <v>173.2575241598438</v>
      </c>
      <c r="V26" s="124">
        <f t="shared" si="14"/>
        <v>32.354416340074813</v>
      </c>
      <c r="W26" s="124">
        <f t="shared" si="14"/>
        <v>112407.57494132187</v>
      </c>
      <c r="X26" s="125"/>
      <c r="Y26" s="125"/>
      <c r="Z26" s="124">
        <f t="shared" si="15"/>
        <v>15482.693621684099</v>
      </c>
      <c r="AA26" s="124">
        <f t="shared" si="15"/>
        <v>36933.505287191867</v>
      </c>
      <c r="AB26" s="124">
        <f t="shared" si="15"/>
        <v>15468.78330021796</v>
      </c>
      <c r="AC26" s="124">
        <f t="shared" si="15"/>
        <v>194.57589056877936</v>
      </c>
      <c r="AD26" s="124">
        <f t="shared" si="15"/>
        <v>36.33544576912648</v>
      </c>
      <c r="AE26" s="124">
        <f t="shared" si="15"/>
        <v>126238.69645456804</v>
      </c>
    </row>
    <row r="27" spans="1:32" x14ac:dyDescent="0.25">
      <c r="A27" t="s">
        <v>435</v>
      </c>
      <c r="B27" s="68">
        <f>'Corporate and Skipjack Alloc 21'!N27</f>
        <v>429957.38000000006</v>
      </c>
      <c r="C27" s="68">
        <f t="shared" si="17"/>
        <v>440444.86000000004</v>
      </c>
      <c r="D27" s="68">
        <f t="shared" si="17"/>
        <v>450932.34</v>
      </c>
      <c r="E27" s="68">
        <f t="shared" si="17"/>
        <v>461419.82</v>
      </c>
      <c r="F27" s="68">
        <f t="shared" si="17"/>
        <v>471907.3</v>
      </c>
      <c r="G27" s="68">
        <f t="shared" si="17"/>
        <v>482394.77999999997</v>
      </c>
      <c r="H27" s="68">
        <f t="shared" si="17"/>
        <v>492882.25999999995</v>
      </c>
      <c r="I27" s="68">
        <f t="shared" si="17"/>
        <v>503369.73999999993</v>
      </c>
      <c r="J27" s="68">
        <f t="shared" si="17"/>
        <v>513857.21999999991</v>
      </c>
      <c r="K27" s="68">
        <f t="shared" si="17"/>
        <v>524344.69999999995</v>
      </c>
      <c r="L27" s="68">
        <f t="shared" si="17"/>
        <v>534832.17999999993</v>
      </c>
      <c r="M27" s="68">
        <f t="shared" si="17"/>
        <v>545319.65999999992</v>
      </c>
      <c r="N27" s="68">
        <f t="shared" si="17"/>
        <v>555807.1399999999</v>
      </c>
      <c r="O27" s="68">
        <f t="shared" si="18"/>
        <v>492882.25999999989</v>
      </c>
      <c r="R27" s="124">
        <f t="shared" si="14"/>
        <v>39264.032936619849</v>
      </c>
      <c r="S27" s="124">
        <f t="shared" si="14"/>
        <v>93663.183131785481</v>
      </c>
      <c r="T27" s="124">
        <f t="shared" si="14"/>
        <v>39228.756431539332</v>
      </c>
      <c r="U27" s="124">
        <f t="shared" si="14"/>
        <v>493.44347712628087</v>
      </c>
      <c r="V27" s="124">
        <f t="shared" si="14"/>
        <v>92.146507210323676</v>
      </c>
      <c r="W27" s="124">
        <f t="shared" si="14"/>
        <v>320140.69751571858</v>
      </c>
      <c r="X27" s="125"/>
      <c r="Y27" s="125"/>
      <c r="Z27" s="124">
        <f t="shared" si="15"/>
        <v>44276.760643340014</v>
      </c>
      <c r="AA27" s="124">
        <f t="shared" si="15"/>
        <v>105620.89603260205</v>
      </c>
      <c r="AB27" s="124">
        <f t="shared" si="15"/>
        <v>44236.980486922948</v>
      </c>
      <c r="AC27" s="124">
        <f t="shared" si="15"/>
        <v>556.44000612481693</v>
      </c>
      <c r="AD27" s="124">
        <f t="shared" si="15"/>
        <v>103.91059039852517</v>
      </c>
      <c r="AE27" s="124">
        <f t="shared" si="15"/>
        <v>361012.1522406115</v>
      </c>
    </row>
    <row r="28" spans="1:32" x14ac:dyDescent="0.25">
      <c r="A28" t="s">
        <v>457</v>
      </c>
      <c r="B28" s="68">
        <f>'Corporate and Skipjack Alloc 21'!N28</f>
        <v>1884816.2699999996</v>
      </c>
      <c r="C28" s="68">
        <f t="shared" si="17"/>
        <v>1950429.9962666661</v>
      </c>
      <c r="D28" s="68">
        <f t="shared" si="17"/>
        <v>2016043.7225333326</v>
      </c>
      <c r="E28" s="68">
        <f t="shared" si="17"/>
        <v>2081796.6154666659</v>
      </c>
      <c r="F28" s="68">
        <f t="shared" si="17"/>
        <v>2147549.5083999992</v>
      </c>
      <c r="G28" s="68">
        <f t="shared" si="17"/>
        <v>2213302.4013333325</v>
      </c>
      <c r="H28" s="68">
        <f t="shared" si="17"/>
        <v>2279642.4272999992</v>
      </c>
      <c r="I28" s="68">
        <f t="shared" si="17"/>
        <v>2345982.4532666658</v>
      </c>
      <c r="J28" s="68">
        <f t="shared" si="17"/>
        <v>2412322.4792333324</v>
      </c>
      <c r="K28" s="68">
        <f t="shared" si="17"/>
        <v>2478662.5051999991</v>
      </c>
      <c r="L28" s="68">
        <f t="shared" si="17"/>
        <v>2545002.5311666657</v>
      </c>
      <c r="M28" s="68">
        <f t="shared" si="17"/>
        <v>2611342.5571333324</v>
      </c>
      <c r="N28" s="68">
        <f t="shared" si="17"/>
        <v>2682854.9432833325</v>
      </c>
      <c r="O28" s="68">
        <f t="shared" si="18"/>
        <v>2280749.8777371785</v>
      </c>
      <c r="R28" s="124">
        <f t="shared" si="14"/>
        <v>181689.31119505962</v>
      </c>
      <c r="S28" s="124">
        <f t="shared" si="14"/>
        <v>433414.44968275941</v>
      </c>
      <c r="T28" s="124">
        <f t="shared" si="14"/>
        <v>181526.07366111109</v>
      </c>
      <c r="U28" s="124">
        <f t="shared" si="14"/>
        <v>2283.3468385045417</v>
      </c>
      <c r="V28" s="124">
        <f t="shared" si="14"/>
        <v>426.3962250413594</v>
      </c>
      <c r="W28" s="124">
        <f t="shared" si="14"/>
        <v>1481410.3001347024</v>
      </c>
      <c r="X28" s="125"/>
      <c r="Y28" s="125"/>
      <c r="Z28" s="124">
        <f t="shared" si="15"/>
        <v>213721.8427322788</v>
      </c>
      <c r="AA28" s="124">
        <f t="shared" si="15"/>
        <v>509827.10124069545</v>
      </c>
      <c r="AB28" s="124">
        <f t="shared" si="15"/>
        <v>213529.82578681802</v>
      </c>
      <c r="AC28" s="124">
        <f t="shared" si="15"/>
        <v>2685.9097583247549</v>
      </c>
      <c r="AD28" s="124">
        <f t="shared" si="15"/>
        <v>501.57153632494339</v>
      </c>
      <c r="AE28" s="124">
        <f t="shared" si="15"/>
        <v>1742588.6922288905</v>
      </c>
    </row>
    <row r="29" spans="1:32" x14ac:dyDescent="0.25">
      <c r="A29" t="s">
        <v>436</v>
      </c>
      <c r="B29" s="68">
        <f>'Corporate and Skipjack Alloc 21'!N29</f>
        <v>231490.42000000004</v>
      </c>
      <c r="C29" s="68">
        <f t="shared" si="17"/>
        <v>244488.23000000004</v>
      </c>
      <c r="D29" s="68">
        <f t="shared" si="17"/>
        <v>257486.04000000004</v>
      </c>
      <c r="E29" s="68">
        <f t="shared" si="17"/>
        <v>270483.85000000003</v>
      </c>
      <c r="F29" s="68">
        <f t="shared" si="17"/>
        <v>283481.66000000003</v>
      </c>
      <c r="G29" s="68">
        <f t="shared" si="17"/>
        <v>296479.47000000003</v>
      </c>
      <c r="H29" s="68">
        <f t="shared" si="17"/>
        <v>309477.28000000003</v>
      </c>
      <c r="I29" s="68">
        <f t="shared" si="17"/>
        <v>322475.09000000003</v>
      </c>
      <c r="J29" s="68">
        <f t="shared" si="17"/>
        <v>335472.90000000002</v>
      </c>
      <c r="K29" s="68">
        <f t="shared" si="17"/>
        <v>348470.71</v>
      </c>
      <c r="L29" s="68">
        <f t="shared" si="17"/>
        <v>361468.52</v>
      </c>
      <c r="M29" s="68">
        <f t="shared" si="17"/>
        <v>374466.33</v>
      </c>
      <c r="N29" s="68">
        <f t="shared" si="17"/>
        <v>387464.14</v>
      </c>
      <c r="O29" s="68">
        <f t="shared" si="18"/>
        <v>309477.28000000003</v>
      </c>
      <c r="R29" s="124">
        <f t="shared" si="14"/>
        <v>24653.608176231635</v>
      </c>
      <c r="S29" s="124">
        <f t="shared" si="14"/>
        <v>58810.449278022017</v>
      </c>
      <c r="T29" s="124">
        <f t="shared" si="14"/>
        <v>24631.458308552843</v>
      </c>
      <c r="U29" s="124">
        <f t="shared" si="14"/>
        <v>309.82966425852629</v>
      </c>
      <c r="V29" s="124">
        <f t="shared" si="14"/>
        <v>57.858139209456169</v>
      </c>
      <c r="W29" s="124">
        <f t="shared" si="14"/>
        <v>201014.07643372554</v>
      </c>
      <c r="X29" s="125"/>
      <c r="Y29" s="125"/>
      <c r="Z29" s="124">
        <f t="shared" si="15"/>
        <v>30866.204749830289</v>
      </c>
      <c r="AA29" s="124">
        <f t="shared" si="15"/>
        <v>73630.413685044739</v>
      </c>
      <c r="AB29" s="124">
        <f t="shared" si="15"/>
        <v>30838.473216739145</v>
      </c>
      <c r="AC29" s="124">
        <f t="shared" si="15"/>
        <v>387.90532348099549</v>
      </c>
      <c r="AD29" s="124">
        <f t="shared" si="15"/>
        <v>72.43812583202299</v>
      </c>
      <c r="AE29" s="124">
        <f t="shared" si="15"/>
        <v>251668.70489907282</v>
      </c>
    </row>
    <row r="30" spans="1:32" x14ac:dyDescent="0.25">
      <c r="A30" t="s">
        <v>437</v>
      </c>
      <c r="B30" s="68">
        <f>'Corporate and Skipjack Alloc 21'!N30</f>
        <v>81301.820000000007</v>
      </c>
      <c r="C30" s="68">
        <f t="shared" si="17"/>
        <v>82897.8</v>
      </c>
      <c r="D30" s="68">
        <f t="shared" si="17"/>
        <v>84493.78</v>
      </c>
      <c r="E30" s="68">
        <f t="shared" si="17"/>
        <v>86089.76</v>
      </c>
      <c r="F30" s="68">
        <f t="shared" si="17"/>
        <v>87685.739999999991</v>
      </c>
      <c r="G30" s="68">
        <f t="shared" si="17"/>
        <v>89281.719999999987</v>
      </c>
      <c r="H30" s="68">
        <f t="shared" si="17"/>
        <v>90877.699999999983</v>
      </c>
      <c r="I30" s="68">
        <f t="shared" si="17"/>
        <v>92473.679999999978</v>
      </c>
      <c r="J30" s="68">
        <f t="shared" si="17"/>
        <v>94069.659999999974</v>
      </c>
      <c r="K30" s="68">
        <f t="shared" si="17"/>
        <v>95665.63999999997</v>
      </c>
      <c r="L30" s="68">
        <f t="shared" si="17"/>
        <v>97261.619999999966</v>
      </c>
      <c r="M30" s="68">
        <f t="shared" si="17"/>
        <v>98857.599999999962</v>
      </c>
      <c r="N30" s="68">
        <f t="shared" si="17"/>
        <v>100453.57999999996</v>
      </c>
      <c r="O30" s="68">
        <f t="shared" si="18"/>
        <v>90877.699999999968</v>
      </c>
      <c r="R30" s="124">
        <f t="shared" si="14"/>
        <v>7239.5078816678388</v>
      </c>
      <c r="S30" s="124">
        <f t="shared" si="14"/>
        <v>17269.630799240898</v>
      </c>
      <c r="T30" s="124">
        <f t="shared" si="14"/>
        <v>7233.0035947297056</v>
      </c>
      <c r="U30" s="124">
        <f t="shared" si="14"/>
        <v>90.981177292197543</v>
      </c>
      <c r="V30" s="124">
        <f t="shared" si="14"/>
        <v>16.989985880821987</v>
      </c>
      <c r="W30" s="124">
        <f t="shared" si="14"/>
        <v>59027.586561188502</v>
      </c>
      <c r="X30" s="125"/>
      <c r="Y30" s="125"/>
      <c r="Z30" s="124">
        <f t="shared" si="15"/>
        <v>8002.3425345464366</v>
      </c>
      <c r="AA30" s="124">
        <f t="shared" si="15"/>
        <v>19089.350182300052</v>
      </c>
      <c r="AB30" s="124">
        <f t="shared" si="15"/>
        <v>7995.1528839689827</v>
      </c>
      <c r="AC30" s="124">
        <f t="shared" si="15"/>
        <v>100.56796080464129</v>
      </c>
      <c r="AD30" s="124">
        <f t="shared" si="15"/>
        <v>18.780238781109357</v>
      </c>
      <c r="AE30" s="124">
        <f t="shared" si="15"/>
        <v>65247.386199598732</v>
      </c>
    </row>
    <row r="31" spans="1:32" x14ac:dyDescent="0.25">
      <c r="A31" t="s">
        <v>438</v>
      </c>
      <c r="B31" s="68">
        <f>'Corporate and Skipjack Alloc 21'!N31</f>
        <v>989717.41</v>
      </c>
      <c r="C31" s="68">
        <f t="shared" si="17"/>
        <v>1054616.07</v>
      </c>
      <c r="D31" s="68">
        <f t="shared" si="17"/>
        <v>1119514.73</v>
      </c>
      <c r="E31" s="68">
        <f t="shared" si="17"/>
        <v>1184413.3899999999</v>
      </c>
      <c r="F31" s="68">
        <f t="shared" si="17"/>
        <v>1249312.0499999998</v>
      </c>
      <c r="G31" s="68">
        <f t="shared" si="17"/>
        <v>1314210.7099999997</v>
      </c>
      <c r="H31" s="68">
        <f t="shared" si="17"/>
        <v>1379109.3699999996</v>
      </c>
      <c r="I31" s="68">
        <f t="shared" si="17"/>
        <v>1444008.0299999996</v>
      </c>
      <c r="J31" s="68">
        <f t="shared" si="17"/>
        <v>1508906.6899999995</v>
      </c>
      <c r="K31" s="68">
        <f t="shared" si="17"/>
        <v>1573805.3499999994</v>
      </c>
      <c r="L31" s="68">
        <f t="shared" si="17"/>
        <v>1638704.0099999993</v>
      </c>
      <c r="M31" s="68">
        <f t="shared" si="17"/>
        <v>1703602.6699999992</v>
      </c>
      <c r="N31" s="68">
        <f t="shared" si="17"/>
        <v>1768501.3299999991</v>
      </c>
      <c r="O31" s="68">
        <f t="shared" si="18"/>
        <v>1379109.3699999996</v>
      </c>
      <c r="R31" s="124">
        <f t="shared" si="14"/>
        <v>109862.74029599086</v>
      </c>
      <c r="S31" s="124">
        <f t="shared" si="14"/>
        <v>262074.30042434737</v>
      </c>
      <c r="T31" s="124">
        <f t="shared" si="14"/>
        <v>109764.03485932655</v>
      </c>
      <c r="U31" s="124">
        <f t="shared" si="14"/>
        <v>1380.6796837651139</v>
      </c>
      <c r="V31" s="124">
        <f t="shared" si="14"/>
        <v>257.83056486254941</v>
      </c>
      <c r="W31" s="124">
        <f t="shared" si="14"/>
        <v>895769.78417170711</v>
      </c>
      <c r="X31" s="125"/>
      <c r="Y31" s="125"/>
      <c r="Z31" s="124">
        <f t="shared" si="15"/>
        <v>140882.51922391361</v>
      </c>
      <c r="AA31" s="124">
        <f t="shared" si="15"/>
        <v>336071.0607450066</v>
      </c>
      <c r="AB31" s="124">
        <f t="shared" si="15"/>
        <v>140755.94427647558</v>
      </c>
      <c r="AC31" s="124">
        <f t="shared" si="15"/>
        <v>1770.5150223456044</v>
      </c>
      <c r="AD31" s="124">
        <f t="shared" si="15"/>
        <v>330.62910512606396</v>
      </c>
      <c r="AE31" s="124">
        <f t="shared" si="15"/>
        <v>1148690.6616271315</v>
      </c>
    </row>
    <row r="32" spans="1:32" x14ac:dyDescent="0.25">
      <c r="A32" t="s">
        <v>458</v>
      </c>
      <c r="B32" s="68">
        <f>'Corporate and Skipjack Alloc 21'!N32</f>
        <v>656241.77999999991</v>
      </c>
      <c r="C32" s="68">
        <f t="shared" si="17"/>
        <v>671309.54999999993</v>
      </c>
      <c r="D32" s="68">
        <f t="shared" si="17"/>
        <v>686377.32</v>
      </c>
      <c r="E32" s="68">
        <f t="shared" si="17"/>
        <v>701445.09</v>
      </c>
      <c r="F32" s="68">
        <f t="shared" si="17"/>
        <v>716512.86</v>
      </c>
      <c r="G32" s="68">
        <f t="shared" si="17"/>
        <v>731580.63</v>
      </c>
      <c r="H32" s="68">
        <f t="shared" si="17"/>
        <v>746648.4</v>
      </c>
      <c r="I32" s="68">
        <f t="shared" si="17"/>
        <v>761716.17</v>
      </c>
      <c r="J32" s="68">
        <f t="shared" si="17"/>
        <v>776783.94000000006</v>
      </c>
      <c r="K32" s="68">
        <f t="shared" si="17"/>
        <v>791851.71000000008</v>
      </c>
      <c r="L32" s="68">
        <f t="shared" si="17"/>
        <v>806919.4800000001</v>
      </c>
      <c r="M32" s="68">
        <f t="shared" si="17"/>
        <v>821987.25000000012</v>
      </c>
      <c r="N32" s="68">
        <f t="shared" si="17"/>
        <v>837055.02000000014</v>
      </c>
      <c r="O32" s="68">
        <f t="shared" si="18"/>
        <v>746648.40000000014</v>
      </c>
      <c r="R32" s="124">
        <f t="shared" si="14"/>
        <v>59479.575040242918</v>
      </c>
      <c r="S32" s="124">
        <f t="shared" si="14"/>
        <v>141886.75775073472</v>
      </c>
      <c r="T32" s="124">
        <f t="shared" si="14"/>
        <v>59426.136017958044</v>
      </c>
      <c r="U32" s="124">
        <f t="shared" si="14"/>
        <v>747.49856626362316</v>
      </c>
      <c r="V32" s="124">
        <f t="shared" si="14"/>
        <v>139.58920366534733</v>
      </c>
      <c r="W32" s="124">
        <f t="shared" si="14"/>
        <v>484968.84342113545</v>
      </c>
      <c r="X32" s="125"/>
      <c r="Y32" s="125"/>
      <c r="Z32" s="124">
        <f t="shared" si="15"/>
        <v>66681.555702660102</v>
      </c>
      <c r="AA32" s="124">
        <f t="shared" si="15"/>
        <v>159066.86848425097</v>
      </c>
      <c r="AB32" s="124">
        <f t="shared" si="15"/>
        <v>66621.646109513647</v>
      </c>
      <c r="AC32" s="124">
        <f t="shared" si="15"/>
        <v>838.00812716369364</v>
      </c>
      <c r="AD32" s="124">
        <f t="shared" si="15"/>
        <v>156.49111906739688</v>
      </c>
      <c r="AE32" s="124">
        <f t="shared" si="15"/>
        <v>543690.4504573443</v>
      </c>
    </row>
    <row r="33" spans="1:31" x14ac:dyDescent="0.25">
      <c r="A33" t="s">
        <v>441</v>
      </c>
      <c r="B33" s="68">
        <f>'Corporate and Skipjack Alloc 21'!N33</f>
        <v>211673.18000000002</v>
      </c>
      <c r="C33" s="68">
        <f t="shared" si="17"/>
        <v>216230.01</v>
      </c>
      <c r="D33" s="68">
        <f t="shared" si="17"/>
        <v>220786.84</v>
      </c>
      <c r="E33" s="68">
        <f t="shared" si="17"/>
        <v>225343.66999999998</v>
      </c>
      <c r="F33" s="68">
        <f t="shared" si="17"/>
        <v>229900.49999999997</v>
      </c>
      <c r="G33" s="68">
        <f t="shared" si="17"/>
        <v>234457.32999999996</v>
      </c>
      <c r="H33" s="68">
        <f t="shared" si="17"/>
        <v>239014.15999999995</v>
      </c>
      <c r="I33" s="68">
        <f t="shared" si="17"/>
        <v>243570.98999999993</v>
      </c>
      <c r="J33" s="68">
        <f t="shared" si="17"/>
        <v>248127.81999999992</v>
      </c>
      <c r="K33" s="68">
        <f t="shared" si="17"/>
        <v>252684.64999999991</v>
      </c>
      <c r="L33" s="68">
        <f t="shared" si="17"/>
        <v>257241.47999999989</v>
      </c>
      <c r="M33" s="68">
        <f t="shared" si="17"/>
        <v>261798.30999999988</v>
      </c>
      <c r="N33" s="68">
        <f t="shared" si="17"/>
        <v>266355.1399999999</v>
      </c>
      <c r="O33" s="68">
        <f t="shared" si="18"/>
        <v>239014.15999999995</v>
      </c>
      <c r="R33" s="124">
        <f t="shared" si="14"/>
        <v>19040.368485890576</v>
      </c>
      <c r="S33" s="124">
        <f t="shared" si="14"/>
        <v>45420.232895316367</v>
      </c>
      <c r="T33" s="124">
        <f t="shared" si="14"/>
        <v>19023.261795482293</v>
      </c>
      <c r="U33" s="124">
        <f t="shared" si="14"/>
        <v>239.28631189285903</v>
      </c>
      <c r="V33" s="124">
        <f t="shared" si="14"/>
        <v>44.684748884671684</v>
      </c>
      <c r="W33" s="124">
        <f t="shared" si="14"/>
        <v>155246.32576253318</v>
      </c>
      <c r="X33" s="125"/>
      <c r="Y33" s="125"/>
      <c r="Z33" s="124">
        <f t="shared" si="15"/>
        <v>21218.408205233412</v>
      </c>
      <c r="AA33" s="124">
        <f t="shared" si="15"/>
        <v>50615.881886096598</v>
      </c>
      <c r="AB33" s="124">
        <f t="shared" si="15"/>
        <v>21199.344669756541</v>
      </c>
      <c r="AC33" s="124">
        <f t="shared" si="15"/>
        <v>266.6584235189502</v>
      </c>
      <c r="AD33" s="124">
        <f t="shared" si="15"/>
        <v>49.796265397169641</v>
      </c>
      <c r="AE33" s="124">
        <f t="shared" si="15"/>
        <v>173005.05054999722</v>
      </c>
    </row>
    <row r="34" spans="1:31" x14ac:dyDescent="0.25">
      <c r="A34" s="116" t="s">
        <v>459</v>
      </c>
      <c r="B34" s="117">
        <f t="shared" ref="B34:O34" si="19">SUM(B35:B36)</f>
        <v>272181.23</v>
      </c>
      <c r="C34" s="117">
        <f t="shared" si="19"/>
        <v>277914</v>
      </c>
      <c r="D34" s="117">
        <f t="shared" ref="D34:N34" si="20">SUM(D35:D36)</f>
        <v>283646.76999999996</v>
      </c>
      <c r="E34" s="117">
        <f t="shared" si="20"/>
        <v>289379.53999999992</v>
      </c>
      <c r="F34" s="117">
        <f t="shared" si="20"/>
        <v>295112.30999999994</v>
      </c>
      <c r="G34" s="117">
        <f t="shared" si="20"/>
        <v>300845.0799999999</v>
      </c>
      <c r="H34" s="117">
        <f t="shared" si="20"/>
        <v>306577.84999999992</v>
      </c>
      <c r="I34" s="117">
        <f t="shared" si="20"/>
        <v>312310.61999999988</v>
      </c>
      <c r="J34" s="117">
        <f t="shared" si="20"/>
        <v>318043.3899999999</v>
      </c>
      <c r="K34" s="117">
        <f t="shared" si="20"/>
        <v>323776.15999999986</v>
      </c>
      <c r="L34" s="117">
        <f t="shared" si="20"/>
        <v>329508.92999999988</v>
      </c>
      <c r="M34" s="117">
        <f t="shared" si="20"/>
        <v>335241.69999999984</v>
      </c>
      <c r="N34" s="117">
        <f t="shared" si="20"/>
        <v>340974.46999999986</v>
      </c>
      <c r="O34" s="117">
        <f t="shared" si="19"/>
        <v>306577.84999999992</v>
      </c>
      <c r="R34" s="126">
        <f t="shared" si="14"/>
        <v>24422.633510968924</v>
      </c>
      <c r="S34" s="126">
        <f t="shared" si="14"/>
        <v>58259.466081613602</v>
      </c>
      <c r="T34" s="126">
        <f t="shared" si="14"/>
        <v>24400.691160917417</v>
      </c>
      <c r="U34" s="126">
        <f t="shared" si="14"/>
        <v>306.9269328417285</v>
      </c>
      <c r="V34" s="126">
        <f t="shared" si="14"/>
        <v>57.316078013338384</v>
      </c>
      <c r="W34" s="126">
        <f t="shared" si="14"/>
        <v>199130.81623564489</v>
      </c>
      <c r="X34" s="125"/>
      <c r="Y34" s="125"/>
      <c r="Z34" s="126">
        <f t="shared" si="15"/>
        <v>27162.740287358876</v>
      </c>
      <c r="AA34" s="126">
        <f t="shared" si="15"/>
        <v>64795.909325025183</v>
      </c>
      <c r="AB34" s="126">
        <f t="shared" si="15"/>
        <v>27138.336106889325</v>
      </c>
      <c r="AC34" s="126">
        <f t="shared" si="15"/>
        <v>341.36271832565188</v>
      </c>
      <c r="AD34" s="126">
        <f t="shared" si="15"/>
        <v>63.746677468958389</v>
      </c>
      <c r="AE34" s="126">
        <f t="shared" si="15"/>
        <v>221472.37488493184</v>
      </c>
    </row>
    <row r="35" spans="1:31" x14ac:dyDescent="0.25">
      <c r="A35" t="s">
        <v>435</v>
      </c>
      <c r="B35" s="68">
        <f>'Corporate and Skipjack Alloc 21'!N35</f>
        <v>5650.81</v>
      </c>
      <c r="C35" s="68">
        <f t="shared" si="17"/>
        <v>5700.2800000000007</v>
      </c>
      <c r="D35" s="68">
        <f t="shared" si="17"/>
        <v>5749.7500000000009</v>
      </c>
      <c r="E35" s="68">
        <f t="shared" si="17"/>
        <v>5799.2200000000012</v>
      </c>
      <c r="F35" s="68">
        <f t="shared" si="17"/>
        <v>5848.6900000000014</v>
      </c>
      <c r="G35" s="68">
        <f t="shared" si="17"/>
        <v>5898.1600000000017</v>
      </c>
      <c r="H35" s="68">
        <f t="shared" si="17"/>
        <v>5947.6300000000019</v>
      </c>
      <c r="I35" s="68">
        <f t="shared" si="17"/>
        <v>5997.1000000000022</v>
      </c>
      <c r="J35" s="68">
        <f t="shared" si="17"/>
        <v>6046.5700000000024</v>
      </c>
      <c r="K35" s="68">
        <f t="shared" si="17"/>
        <v>6096.0400000000027</v>
      </c>
      <c r="L35" s="68">
        <f t="shared" si="17"/>
        <v>6145.5100000000029</v>
      </c>
      <c r="M35" s="68">
        <f t="shared" si="17"/>
        <v>6194.9800000000032</v>
      </c>
      <c r="N35" s="68">
        <f t="shared" si="17"/>
        <v>6244.4500000000035</v>
      </c>
      <c r="O35" s="68">
        <f t="shared" si="18"/>
        <v>5947.630000000001</v>
      </c>
      <c r="R35" s="124">
        <f t="shared" si="14"/>
        <v>473.80066025267047</v>
      </c>
      <c r="S35" s="124">
        <f t="shared" si="14"/>
        <v>1130.2373875052867</v>
      </c>
      <c r="T35" s="124">
        <f t="shared" si="14"/>
        <v>473.37497725098967</v>
      </c>
      <c r="U35" s="124">
        <f t="shared" si="14"/>
        <v>5.9544022295721968</v>
      </c>
      <c r="V35" s="124">
        <f t="shared" si="14"/>
        <v>1.1119355983299899</v>
      </c>
      <c r="W35" s="124">
        <f t="shared" si="14"/>
        <v>3863.1506371631517</v>
      </c>
      <c r="X35" s="125"/>
      <c r="Y35" s="125"/>
      <c r="Z35" s="124">
        <f t="shared" si="15"/>
        <v>497.44596299951229</v>
      </c>
      <c r="AA35" s="124">
        <f t="shared" si="15"/>
        <v>1186.642554161471</v>
      </c>
      <c r="AB35" s="124">
        <f t="shared" si="15"/>
        <v>496.99903603535245</v>
      </c>
      <c r="AC35" s="124">
        <f t="shared" si="15"/>
        <v>6.2515602017025467</v>
      </c>
      <c r="AD35" s="124">
        <f t="shared" si="15"/>
        <v>1.1674274033508656</v>
      </c>
      <c r="AE35" s="124">
        <f t="shared" si="15"/>
        <v>4055.9434591986137</v>
      </c>
    </row>
    <row r="36" spans="1:31" x14ac:dyDescent="0.25">
      <c r="A36" t="s">
        <v>441</v>
      </c>
      <c r="B36" s="68">
        <f>'Corporate and Skipjack Alloc 21'!N36</f>
        <v>266530.42</v>
      </c>
      <c r="C36" s="68">
        <f t="shared" si="17"/>
        <v>272213.71999999997</v>
      </c>
      <c r="D36" s="68">
        <f t="shared" si="17"/>
        <v>277897.01999999996</v>
      </c>
      <c r="E36" s="68">
        <f t="shared" si="17"/>
        <v>283580.31999999995</v>
      </c>
      <c r="F36" s="68">
        <f t="shared" si="17"/>
        <v>289263.61999999994</v>
      </c>
      <c r="G36" s="68">
        <f t="shared" si="17"/>
        <v>294946.91999999993</v>
      </c>
      <c r="H36" s="68">
        <f t="shared" si="17"/>
        <v>300630.21999999991</v>
      </c>
      <c r="I36" s="68">
        <f t="shared" si="17"/>
        <v>306313.5199999999</v>
      </c>
      <c r="J36" s="68">
        <f t="shared" si="17"/>
        <v>311996.81999999989</v>
      </c>
      <c r="K36" s="68">
        <f t="shared" si="17"/>
        <v>317680.11999999988</v>
      </c>
      <c r="L36" s="68">
        <f t="shared" si="17"/>
        <v>323363.41999999987</v>
      </c>
      <c r="M36" s="68">
        <f t="shared" si="17"/>
        <v>329046.71999999986</v>
      </c>
      <c r="N36" s="68">
        <f t="shared" si="17"/>
        <v>334730.01999999984</v>
      </c>
      <c r="O36" s="68">
        <f t="shared" si="18"/>
        <v>300630.21999999991</v>
      </c>
      <c r="R36" s="124">
        <f t="shared" si="14"/>
        <v>23948.832850716251</v>
      </c>
      <c r="S36" s="124">
        <f t="shared" si="14"/>
        <v>57129.228694108315</v>
      </c>
      <c r="T36" s="124">
        <f t="shared" si="14"/>
        <v>23927.316183666426</v>
      </c>
      <c r="U36" s="124">
        <f t="shared" si="14"/>
        <v>300.97253061215628</v>
      </c>
      <c r="V36" s="124">
        <f t="shared" si="14"/>
        <v>56.204142415008391</v>
      </c>
      <c r="W36" s="124">
        <f t="shared" si="14"/>
        <v>195267.66559848175</v>
      </c>
      <c r="X36" s="125"/>
      <c r="Y36" s="125"/>
      <c r="Z36" s="124">
        <f t="shared" si="15"/>
        <v>26665.294324359365</v>
      </c>
      <c r="AA36" s="124">
        <f t="shared" si="15"/>
        <v>63609.266770863709</v>
      </c>
      <c r="AB36" s="124">
        <f t="shared" si="15"/>
        <v>26641.337070853973</v>
      </c>
      <c r="AC36" s="124">
        <f t="shared" si="15"/>
        <v>335.11115812394928</v>
      </c>
      <c r="AD36" s="124">
        <f t="shared" si="15"/>
        <v>62.579250065607518</v>
      </c>
      <c r="AE36" s="124">
        <f t="shared" si="15"/>
        <v>217416.43142573323</v>
      </c>
    </row>
    <row r="37" spans="1:31" ht="15.75" thickBot="1" x14ac:dyDescent="0.3">
      <c r="A37" s="116" t="s">
        <v>443</v>
      </c>
      <c r="B37" s="117">
        <f t="shared" ref="B37:O37" si="21">B34+B23</f>
        <v>6113771.7699999996</v>
      </c>
      <c r="C37" s="117">
        <f t="shared" si="21"/>
        <v>6319887.6862666663</v>
      </c>
      <c r="D37" s="117">
        <f t="shared" ref="D37:N37" si="22">D34+D23</f>
        <v>6526003.602533333</v>
      </c>
      <c r="E37" s="117">
        <f t="shared" si="22"/>
        <v>6732258.6854666658</v>
      </c>
      <c r="F37" s="117">
        <f t="shared" si="22"/>
        <v>6938513.7684000004</v>
      </c>
      <c r="G37" s="117">
        <f t="shared" si="22"/>
        <v>7144768.8513333332</v>
      </c>
      <c r="H37" s="117">
        <f t="shared" si="22"/>
        <v>7351611.0673000012</v>
      </c>
      <c r="I37" s="117">
        <f t="shared" si="22"/>
        <v>7558453.2832666663</v>
      </c>
      <c r="J37" s="117">
        <f t="shared" si="22"/>
        <v>7765295.4992333343</v>
      </c>
      <c r="K37" s="117">
        <f t="shared" si="22"/>
        <v>7972137.7151999995</v>
      </c>
      <c r="L37" s="117">
        <f t="shared" si="22"/>
        <v>8178979.9311666647</v>
      </c>
      <c r="M37" s="117">
        <f t="shared" si="22"/>
        <v>8385822.1471333327</v>
      </c>
      <c r="N37" s="117">
        <f t="shared" si="22"/>
        <v>8597836.7232833337</v>
      </c>
      <c r="O37" s="117">
        <f t="shared" si="21"/>
        <v>7352718.51773718</v>
      </c>
      <c r="R37" s="129">
        <f t="shared" si="14"/>
        <v>585732.9538582447</v>
      </c>
      <c r="S37" s="129">
        <f t="shared" si="14"/>
        <v>1397248.5458155624</v>
      </c>
      <c r="T37" s="129">
        <f t="shared" si="14"/>
        <v>585206.70604371279</v>
      </c>
      <c r="U37" s="129">
        <f t="shared" si="14"/>
        <v>7361.0906420592792</v>
      </c>
      <c r="V37" s="129">
        <f t="shared" si="14"/>
        <v>1374.623079171382</v>
      </c>
      <c r="W37" s="129">
        <f t="shared" si="14"/>
        <v>4775794.5982984295</v>
      </c>
      <c r="X37" s="125"/>
      <c r="Y37" s="125"/>
      <c r="Z37" s="129">
        <f t="shared" si="15"/>
        <v>684921.67741374287</v>
      </c>
      <c r="AA37" s="129">
        <f t="shared" si="15"/>
        <v>1633860.2966762842</v>
      </c>
      <c r="AB37" s="129">
        <f t="shared" si="15"/>
        <v>684306.31416076166</v>
      </c>
      <c r="AC37" s="129">
        <f t="shared" si="15"/>
        <v>8607.6265932171264</v>
      </c>
      <c r="AD37" s="129">
        <f t="shared" si="15"/>
        <v>1607.4034062723492</v>
      </c>
      <c r="AE37" s="129">
        <f t="shared" si="15"/>
        <v>5584533.4050330548</v>
      </c>
    </row>
    <row r="38" spans="1:31" ht="15.75" thickTop="1" x14ac:dyDescent="0.25"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</row>
    <row r="39" spans="1:31" ht="15.75" x14ac:dyDescent="0.25">
      <c r="A39" s="112" t="s">
        <v>460</v>
      </c>
      <c r="O39" s="119" t="s">
        <v>32</v>
      </c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</row>
    <row r="40" spans="1:31" x14ac:dyDescent="0.25">
      <c r="A40" s="116" t="s">
        <v>454</v>
      </c>
      <c r="B40" s="117"/>
      <c r="C40" s="117">
        <f t="shared" ref="C40:O40" si="23">SUM(C41:C50)</f>
        <v>200383.14626666665</v>
      </c>
      <c r="D40" s="117">
        <f t="shared" si="23"/>
        <v>200383.14626666665</v>
      </c>
      <c r="E40" s="117">
        <f t="shared" si="23"/>
        <v>200522.31293333328</v>
      </c>
      <c r="F40" s="117">
        <f t="shared" si="23"/>
        <v>200522.31293333328</v>
      </c>
      <c r="G40" s="117">
        <f t="shared" si="23"/>
        <v>200522.31293333328</v>
      </c>
      <c r="H40" s="117">
        <f t="shared" si="23"/>
        <v>201109.44596666662</v>
      </c>
      <c r="I40" s="117">
        <f t="shared" si="23"/>
        <v>201109.44596666662</v>
      </c>
      <c r="J40" s="117">
        <f t="shared" si="23"/>
        <v>201109.44596666662</v>
      </c>
      <c r="K40" s="117">
        <f t="shared" si="23"/>
        <v>201109.44596666662</v>
      </c>
      <c r="L40" s="117">
        <f t="shared" si="23"/>
        <v>201109.44596666662</v>
      </c>
      <c r="M40" s="117">
        <f t="shared" si="23"/>
        <v>201109.44596666662</v>
      </c>
      <c r="N40" s="117">
        <f t="shared" si="23"/>
        <v>206281.80614999996</v>
      </c>
      <c r="O40" s="117">
        <f t="shared" si="23"/>
        <v>2415271.713283333</v>
      </c>
      <c r="R40" s="125"/>
      <c r="S40" s="125"/>
      <c r="T40" s="125"/>
      <c r="U40" s="125"/>
      <c r="V40" s="125"/>
      <c r="W40" s="125"/>
      <c r="X40" s="125"/>
      <c r="Y40" s="125"/>
      <c r="Z40" s="122">
        <f>$O40*Z$3</f>
        <v>192405.60230600115</v>
      </c>
      <c r="AA40" s="122">
        <f t="shared" ref="AA40:AE54" si="24">$O40*AA$3</f>
        <v>458977.84350014571</v>
      </c>
      <c r="AB40" s="122">
        <f t="shared" si="24"/>
        <v>192232.73679271515</v>
      </c>
      <c r="AC40" s="122">
        <f t="shared" si="24"/>
        <v>2418.0218464492468</v>
      </c>
      <c r="AD40" s="122">
        <f t="shared" si="24"/>
        <v>451.54567409862454</v>
      </c>
      <c r="AE40" s="122">
        <f t="shared" si="24"/>
        <v>1568785.963163923</v>
      </c>
    </row>
    <row r="41" spans="1:31" x14ac:dyDescent="0.25">
      <c r="A41" t="s">
        <v>455</v>
      </c>
      <c r="B41" s="118"/>
      <c r="C41" s="118">
        <f>'Corporate and Skipjack Alloc 21'!N41</f>
        <v>0</v>
      </c>
      <c r="D41" s="125">
        <f>C41</f>
        <v>0</v>
      </c>
      <c r="E41" s="125">
        <f t="shared" ref="E41:N41" si="25">D41</f>
        <v>0</v>
      </c>
      <c r="F41" s="125">
        <f t="shared" si="25"/>
        <v>0</v>
      </c>
      <c r="G41" s="125">
        <f t="shared" si="25"/>
        <v>0</v>
      </c>
      <c r="H41" s="125">
        <f t="shared" si="25"/>
        <v>0</v>
      </c>
      <c r="I41" s="125">
        <f t="shared" si="25"/>
        <v>0</v>
      </c>
      <c r="J41" s="125">
        <f t="shared" si="25"/>
        <v>0</v>
      </c>
      <c r="K41" s="125">
        <f t="shared" si="25"/>
        <v>0</v>
      </c>
      <c r="L41" s="125">
        <f t="shared" si="25"/>
        <v>0</v>
      </c>
      <c r="M41" s="125">
        <f t="shared" si="25"/>
        <v>0</v>
      </c>
      <c r="N41" s="125">
        <f t="shared" si="25"/>
        <v>0</v>
      </c>
      <c r="O41" s="118">
        <f>SUM(C41:N41)</f>
        <v>0</v>
      </c>
      <c r="P41" s="118"/>
      <c r="Q41" s="118"/>
      <c r="R41" s="124"/>
      <c r="S41" s="124"/>
      <c r="T41" s="124"/>
      <c r="U41" s="124"/>
      <c r="V41" s="124"/>
      <c r="W41" s="124"/>
      <c r="X41" s="125"/>
      <c r="Y41" s="125"/>
      <c r="Z41" s="124">
        <f t="shared" ref="Z41:Z54" si="26">$O41*Z$3</f>
        <v>0</v>
      </c>
      <c r="AA41" s="124">
        <f t="shared" si="24"/>
        <v>0</v>
      </c>
      <c r="AB41" s="124">
        <f t="shared" si="24"/>
        <v>0</v>
      </c>
      <c r="AC41" s="124">
        <f t="shared" si="24"/>
        <v>0</v>
      </c>
      <c r="AD41" s="124">
        <f t="shared" si="24"/>
        <v>0</v>
      </c>
      <c r="AE41" s="124">
        <f t="shared" si="24"/>
        <v>0</v>
      </c>
    </row>
    <row r="42" spans="1:31" x14ac:dyDescent="0.25">
      <c r="A42" t="s">
        <v>434</v>
      </c>
      <c r="B42" s="118"/>
      <c r="C42" s="125">
        <f>'Corporate and Skipjack Alloc 21'!N42</f>
        <v>21615.870000000003</v>
      </c>
      <c r="D42" s="125">
        <f t="shared" ref="D42:N50" si="27">C42</f>
        <v>21615.870000000003</v>
      </c>
      <c r="E42" s="125">
        <f t="shared" si="27"/>
        <v>21615.870000000003</v>
      </c>
      <c r="F42" s="125">
        <f t="shared" si="27"/>
        <v>21615.870000000003</v>
      </c>
      <c r="G42" s="125">
        <f t="shared" si="27"/>
        <v>21615.870000000003</v>
      </c>
      <c r="H42" s="125">
        <f t="shared" si="27"/>
        <v>21615.870000000003</v>
      </c>
      <c r="I42" s="125">
        <f t="shared" si="27"/>
        <v>21615.870000000003</v>
      </c>
      <c r="J42" s="125">
        <f t="shared" si="27"/>
        <v>21615.870000000003</v>
      </c>
      <c r="K42" s="125">
        <f t="shared" si="27"/>
        <v>21615.870000000003</v>
      </c>
      <c r="L42" s="125">
        <f t="shared" si="27"/>
        <v>21615.870000000003</v>
      </c>
      <c r="M42" s="125">
        <f t="shared" si="27"/>
        <v>21615.870000000003</v>
      </c>
      <c r="N42" s="125">
        <f t="shared" si="27"/>
        <v>21615.870000000003</v>
      </c>
      <c r="O42" s="68">
        <f t="shared" ref="O42:O53" si="28">SUM(C42:N42)</f>
        <v>259390.43999999997</v>
      </c>
      <c r="P42" s="68"/>
      <c r="Q42" s="68"/>
      <c r="R42" s="125"/>
      <c r="S42" s="125"/>
      <c r="T42" s="125"/>
      <c r="U42" s="125"/>
      <c r="V42" s="125"/>
      <c r="W42" s="125"/>
      <c r="X42" s="125"/>
      <c r="Y42" s="125"/>
      <c r="Z42" s="124">
        <f t="shared" si="26"/>
        <v>20663.585619016427</v>
      </c>
      <c r="AA42" s="124">
        <f t="shared" si="24"/>
        <v>49292.369103230485</v>
      </c>
      <c r="AB42" s="124">
        <f t="shared" si="24"/>
        <v>20645.020560143144</v>
      </c>
      <c r="AC42" s="124">
        <f t="shared" si="24"/>
        <v>259.68579320934771</v>
      </c>
      <c r="AD42" s="124">
        <f t="shared" si="24"/>
        <v>48.494184087187548</v>
      </c>
      <c r="AE42" s="124">
        <f t="shared" si="24"/>
        <v>168481.28474031336</v>
      </c>
    </row>
    <row r="43" spans="1:31" x14ac:dyDescent="0.25">
      <c r="A43" t="s">
        <v>456</v>
      </c>
      <c r="B43" s="118"/>
      <c r="C43" s="125">
        <f>'Corporate and Skipjack Alloc 21'!N43</f>
        <v>3549.02</v>
      </c>
      <c r="D43" s="125">
        <f t="shared" si="27"/>
        <v>3549.02</v>
      </c>
      <c r="E43" s="125">
        <f t="shared" si="27"/>
        <v>3549.02</v>
      </c>
      <c r="F43" s="125">
        <f t="shared" si="27"/>
        <v>3549.02</v>
      </c>
      <c r="G43" s="125">
        <f t="shared" si="27"/>
        <v>3549.02</v>
      </c>
      <c r="H43" s="125">
        <f t="shared" si="27"/>
        <v>3549.02</v>
      </c>
      <c r="I43" s="125">
        <f t="shared" si="27"/>
        <v>3549.02</v>
      </c>
      <c r="J43" s="125">
        <f t="shared" si="27"/>
        <v>3549.02</v>
      </c>
      <c r="K43" s="125">
        <f t="shared" si="27"/>
        <v>3549.02</v>
      </c>
      <c r="L43" s="125">
        <f t="shared" si="27"/>
        <v>3549.02</v>
      </c>
      <c r="M43" s="125">
        <f t="shared" si="27"/>
        <v>3549.02</v>
      </c>
      <c r="N43" s="125">
        <f t="shared" si="27"/>
        <v>3549.02</v>
      </c>
      <c r="O43" s="68">
        <f t="shared" si="28"/>
        <v>42588.239999999991</v>
      </c>
      <c r="P43" s="68"/>
      <c r="Q43" s="68"/>
      <c r="R43" s="125"/>
      <c r="S43" s="125"/>
      <c r="T43" s="125"/>
      <c r="U43" s="125"/>
      <c r="V43" s="125"/>
      <c r="W43" s="125"/>
      <c r="X43" s="125"/>
      <c r="Y43" s="125"/>
      <c r="Z43" s="124">
        <f t="shared" si="26"/>
        <v>3392.6683790012462</v>
      </c>
      <c r="AA43" s="124">
        <f t="shared" si="24"/>
        <v>8093.1095438095736</v>
      </c>
      <c r="AB43" s="124">
        <f t="shared" si="24"/>
        <v>3389.6202590207663</v>
      </c>
      <c r="AC43" s="124">
        <f t="shared" si="24"/>
        <v>42.63673281787127</v>
      </c>
      <c r="AD43" s="124">
        <f t="shared" si="24"/>
        <v>7.9620588581033438</v>
      </c>
      <c r="AE43" s="124">
        <f t="shared" si="24"/>
        <v>27662.24302649243</v>
      </c>
    </row>
    <row r="44" spans="1:31" x14ac:dyDescent="0.25">
      <c r="A44" t="s">
        <v>435</v>
      </c>
      <c r="B44" s="118"/>
      <c r="C44" s="125">
        <f>'Corporate and Skipjack Alloc 21'!N44</f>
        <v>10487.479999999998</v>
      </c>
      <c r="D44" s="125">
        <f t="shared" si="27"/>
        <v>10487.479999999998</v>
      </c>
      <c r="E44" s="125">
        <f t="shared" si="27"/>
        <v>10487.479999999998</v>
      </c>
      <c r="F44" s="125">
        <f t="shared" si="27"/>
        <v>10487.479999999998</v>
      </c>
      <c r="G44" s="125">
        <f t="shared" si="27"/>
        <v>10487.479999999998</v>
      </c>
      <c r="H44" s="125">
        <f t="shared" si="27"/>
        <v>10487.479999999998</v>
      </c>
      <c r="I44" s="125">
        <f t="shared" si="27"/>
        <v>10487.479999999998</v>
      </c>
      <c r="J44" s="125">
        <f t="shared" si="27"/>
        <v>10487.479999999998</v>
      </c>
      <c r="K44" s="125">
        <f t="shared" si="27"/>
        <v>10487.479999999998</v>
      </c>
      <c r="L44" s="125">
        <f t="shared" si="27"/>
        <v>10487.479999999998</v>
      </c>
      <c r="M44" s="125">
        <f t="shared" si="27"/>
        <v>10487.479999999998</v>
      </c>
      <c r="N44" s="125">
        <f t="shared" si="27"/>
        <v>10487.479999999998</v>
      </c>
      <c r="O44" s="68">
        <f t="shared" si="28"/>
        <v>125849.75999999997</v>
      </c>
      <c r="P44" s="68"/>
      <c r="Q44" s="68"/>
      <c r="R44" s="125"/>
      <c r="S44" s="125"/>
      <c r="T44" s="125"/>
      <c r="U44" s="125"/>
      <c r="V44" s="125"/>
      <c r="W44" s="125"/>
      <c r="X44" s="125"/>
      <c r="Y44" s="125"/>
      <c r="Z44" s="124">
        <f t="shared" si="26"/>
        <v>10025.455413440326</v>
      </c>
      <c r="AA44" s="124">
        <f t="shared" si="24"/>
        <v>23915.425801633133</v>
      </c>
      <c r="AB44" s="124">
        <f t="shared" si="24"/>
        <v>10016.448110767227</v>
      </c>
      <c r="AC44" s="124">
        <f t="shared" si="24"/>
        <v>125.99305799707203</v>
      </c>
      <c r="AD44" s="124">
        <f t="shared" si="24"/>
        <v>23.528166376402964</v>
      </c>
      <c r="AE44" s="124">
        <f t="shared" si="24"/>
        <v>81742.909449785802</v>
      </c>
    </row>
    <row r="45" spans="1:31" x14ac:dyDescent="0.25">
      <c r="A45" t="s">
        <v>457</v>
      </c>
      <c r="B45" s="144"/>
      <c r="C45" s="125">
        <f>'Corporate and Skipjack Alloc 21'!N45+(161528*0.0334/12)</f>
        <v>65613.72626666665</v>
      </c>
      <c r="D45" s="125">
        <f t="shared" si="27"/>
        <v>65613.72626666665</v>
      </c>
      <c r="E45" s="125">
        <f>D45+(50000*0.0334/12)</f>
        <v>65752.892933333322</v>
      </c>
      <c r="F45" s="125">
        <f t="shared" si="27"/>
        <v>65752.892933333322</v>
      </c>
      <c r="G45" s="125">
        <f t="shared" si="27"/>
        <v>65752.892933333322</v>
      </c>
      <c r="H45" s="125">
        <f>G45+(210946*0.0334/12)</f>
        <v>66340.025966666653</v>
      </c>
      <c r="I45" s="125">
        <f t="shared" si="27"/>
        <v>66340.025966666653</v>
      </c>
      <c r="J45" s="125">
        <f t="shared" si="27"/>
        <v>66340.025966666653</v>
      </c>
      <c r="K45" s="125">
        <f t="shared" si="27"/>
        <v>66340.025966666653</v>
      </c>
      <c r="L45" s="125">
        <f t="shared" si="27"/>
        <v>66340.025966666653</v>
      </c>
      <c r="M45" s="125">
        <f t="shared" si="27"/>
        <v>66340.025966666653</v>
      </c>
      <c r="N45" s="125">
        <f>M45+(1858333*0.0334/12)</f>
        <v>71512.386149999991</v>
      </c>
      <c r="O45" s="68">
        <f t="shared" si="28"/>
        <v>798038.67328333308</v>
      </c>
      <c r="P45" s="68"/>
      <c r="Q45" s="68"/>
      <c r="R45" s="125"/>
      <c r="S45" s="125"/>
      <c r="T45" s="125"/>
      <c r="U45" s="125"/>
      <c r="V45" s="125"/>
      <c r="W45" s="125"/>
      <c r="X45" s="125"/>
      <c r="Y45" s="125"/>
      <c r="Z45" s="124">
        <f t="shared" si="26"/>
        <v>63573.431822223021</v>
      </c>
      <c r="AA45" s="124">
        <f t="shared" si="24"/>
        <v>151652.53138139719</v>
      </c>
      <c r="AB45" s="124">
        <f t="shared" si="24"/>
        <v>63516.314701975018</v>
      </c>
      <c r="AC45" s="124">
        <f t="shared" si="24"/>
        <v>798.94735474182414</v>
      </c>
      <c r="AD45" s="124">
        <f t="shared" si="24"/>
        <v>149.19684137509802</v>
      </c>
      <c r="AE45" s="124">
        <f t="shared" si="24"/>
        <v>518348.25118162087</v>
      </c>
    </row>
    <row r="46" spans="1:31" x14ac:dyDescent="0.25">
      <c r="A46" t="s">
        <v>436</v>
      </c>
      <c r="B46" s="118"/>
      <c r="C46" s="125">
        <f>'Corporate and Skipjack Alloc 21'!N46</f>
        <v>12997.810000000001</v>
      </c>
      <c r="D46" s="125">
        <f t="shared" si="27"/>
        <v>12997.810000000001</v>
      </c>
      <c r="E46" s="125">
        <f t="shared" si="27"/>
        <v>12997.810000000001</v>
      </c>
      <c r="F46" s="125">
        <f t="shared" si="27"/>
        <v>12997.810000000001</v>
      </c>
      <c r="G46" s="125">
        <f t="shared" si="27"/>
        <v>12997.810000000001</v>
      </c>
      <c r="H46" s="125">
        <f t="shared" si="27"/>
        <v>12997.810000000001</v>
      </c>
      <c r="I46" s="125">
        <f t="shared" si="27"/>
        <v>12997.810000000001</v>
      </c>
      <c r="J46" s="125">
        <f t="shared" si="27"/>
        <v>12997.810000000001</v>
      </c>
      <c r="K46" s="125">
        <f t="shared" si="27"/>
        <v>12997.810000000001</v>
      </c>
      <c r="L46" s="125">
        <f t="shared" si="27"/>
        <v>12997.810000000001</v>
      </c>
      <c r="M46" s="125">
        <f t="shared" si="27"/>
        <v>12997.810000000001</v>
      </c>
      <c r="N46" s="125">
        <f t="shared" si="27"/>
        <v>12997.810000000001</v>
      </c>
      <c r="O46" s="68">
        <f t="shared" si="28"/>
        <v>155973.72</v>
      </c>
      <c r="P46" s="68"/>
      <c r="Q46" s="68"/>
      <c r="R46" s="125"/>
      <c r="S46" s="125"/>
      <c r="T46" s="125"/>
      <c r="U46" s="125"/>
      <c r="V46" s="125"/>
      <c r="W46" s="125"/>
      <c r="X46" s="125"/>
      <c r="Y46" s="125"/>
      <c r="Z46" s="124">
        <f t="shared" si="26"/>
        <v>12425.193147197311</v>
      </c>
      <c r="AA46" s="124">
        <f t="shared" si="24"/>
        <v>29639.928814045437</v>
      </c>
      <c r="AB46" s="124">
        <f t="shared" si="24"/>
        <v>12414.029816372607</v>
      </c>
      <c r="AC46" s="124">
        <f t="shared" si="24"/>
        <v>156.15131844493845</v>
      </c>
      <c r="AD46" s="124">
        <f t="shared" si="24"/>
        <v>29.159973245133656</v>
      </c>
      <c r="AE46" s="124">
        <f t="shared" si="24"/>
        <v>101309.25693069457</v>
      </c>
    </row>
    <row r="47" spans="1:31" x14ac:dyDescent="0.25">
      <c r="A47" t="s">
        <v>437</v>
      </c>
      <c r="B47" s="118"/>
      <c r="C47" s="125">
        <f>'Corporate and Skipjack Alloc 21'!N47</f>
        <v>1595.98</v>
      </c>
      <c r="D47" s="125">
        <f t="shared" si="27"/>
        <v>1595.98</v>
      </c>
      <c r="E47" s="125">
        <f t="shared" si="27"/>
        <v>1595.98</v>
      </c>
      <c r="F47" s="125">
        <f t="shared" si="27"/>
        <v>1595.98</v>
      </c>
      <c r="G47" s="125">
        <f t="shared" si="27"/>
        <v>1595.98</v>
      </c>
      <c r="H47" s="125">
        <f t="shared" si="27"/>
        <v>1595.98</v>
      </c>
      <c r="I47" s="125">
        <f t="shared" si="27"/>
        <v>1595.98</v>
      </c>
      <c r="J47" s="125">
        <f t="shared" si="27"/>
        <v>1595.98</v>
      </c>
      <c r="K47" s="125">
        <f t="shared" si="27"/>
        <v>1595.98</v>
      </c>
      <c r="L47" s="125">
        <f t="shared" si="27"/>
        <v>1595.98</v>
      </c>
      <c r="M47" s="125">
        <f t="shared" si="27"/>
        <v>1595.98</v>
      </c>
      <c r="N47" s="125">
        <f t="shared" si="27"/>
        <v>1595.98</v>
      </c>
      <c r="O47" s="68">
        <f t="shared" si="28"/>
        <v>19151.759999999998</v>
      </c>
      <c r="P47" s="68"/>
      <c r="Q47" s="68"/>
      <c r="R47" s="125"/>
      <c r="S47" s="125"/>
      <c r="T47" s="125"/>
      <c r="U47" s="125"/>
      <c r="V47" s="125"/>
      <c r="W47" s="125"/>
      <c r="X47" s="125"/>
      <c r="Y47" s="125"/>
      <c r="Z47" s="124">
        <f t="shared" si="26"/>
        <v>1525.6693057571977</v>
      </c>
      <c r="AA47" s="124">
        <f t="shared" si="24"/>
        <v>3639.43876611831</v>
      </c>
      <c r="AB47" s="124">
        <f t="shared" si="24"/>
        <v>1524.2985784785556</v>
      </c>
      <c r="AC47" s="124">
        <f t="shared" si="24"/>
        <v>19.17356702488749</v>
      </c>
      <c r="AD47" s="124">
        <f t="shared" si="24"/>
        <v>3.5805058005747434</v>
      </c>
      <c r="AE47" s="124">
        <f t="shared" si="24"/>
        <v>12439.599276820472</v>
      </c>
    </row>
    <row r="48" spans="1:31" x14ac:dyDescent="0.25">
      <c r="A48" t="s">
        <v>438</v>
      </c>
      <c r="B48" s="118"/>
      <c r="C48" s="125">
        <f>'Corporate and Skipjack Alloc 21'!N48</f>
        <v>64898.66</v>
      </c>
      <c r="D48" s="125">
        <f t="shared" si="27"/>
        <v>64898.66</v>
      </c>
      <c r="E48" s="125">
        <f t="shared" si="27"/>
        <v>64898.66</v>
      </c>
      <c r="F48" s="125">
        <f t="shared" si="27"/>
        <v>64898.66</v>
      </c>
      <c r="G48" s="125">
        <f t="shared" si="27"/>
        <v>64898.66</v>
      </c>
      <c r="H48" s="125">
        <f t="shared" si="27"/>
        <v>64898.66</v>
      </c>
      <c r="I48" s="125">
        <f t="shared" si="27"/>
        <v>64898.66</v>
      </c>
      <c r="J48" s="125">
        <f t="shared" si="27"/>
        <v>64898.66</v>
      </c>
      <c r="K48" s="125">
        <f t="shared" si="27"/>
        <v>64898.66</v>
      </c>
      <c r="L48" s="125">
        <f t="shared" si="27"/>
        <v>64898.66</v>
      </c>
      <c r="M48" s="125">
        <f t="shared" si="27"/>
        <v>64898.66</v>
      </c>
      <c r="N48" s="125">
        <f t="shared" si="27"/>
        <v>64898.66</v>
      </c>
      <c r="O48" s="68">
        <f t="shared" si="28"/>
        <v>778783.92000000027</v>
      </c>
      <c r="P48" s="68"/>
      <c r="Q48" s="68"/>
      <c r="R48" s="125"/>
      <c r="S48" s="125"/>
      <c r="T48" s="125"/>
      <c r="U48" s="125"/>
      <c r="V48" s="125"/>
      <c r="W48" s="125"/>
      <c r="X48" s="125"/>
      <c r="Y48" s="125"/>
      <c r="Z48" s="124">
        <f t="shared" si="26"/>
        <v>62039.557855845596</v>
      </c>
      <c r="AA48" s="124">
        <f t="shared" si="24"/>
        <v>147993.5206413187</v>
      </c>
      <c r="AB48" s="124">
        <f t="shared" si="24"/>
        <v>61983.81883429813</v>
      </c>
      <c r="AC48" s="124">
        <f t="shared" si="24"/>
        <v>779.67067716098279</v>
      </c>
      <c r="AD48" s="124">
        <f t="shared" si="24"/>
        <v>145.59708052702928</v>
      </c>
      <c r="AE48" s="124">
        <f t="shared" si="24"/>
        <v>505841.75491084979</v>
      </c>
    </row>
    <row r="49" spans="1:31" x14ac:dyDescent="0.25">
      <c r="A49" t="s">
        <v>458</v>
      </c>
      <c r="B49" s="118"/>
      <c r="C49" s="125">
        <f>'Corporate and Skipjack Alloc 21'!N49</f>
        <v>15067.77</v>
      </c>
      <c r="D49" s="125">
        <f t="shared" si="27"/>
        <v>15067.77</v>
      </c>
      <c r="E49" s="125">
        <f t="shared" si="27"/>
        <v>15067.77</v>
      </c>
      <c r="F49" s="125">
        <f t="shared" si="27"/>
        <v>15067.77</v>
      </c>
      <c r="G49" s="125">
        <f t="shared" si="27"/>
        <v>15067.77</v>
      </c>
      <c r="H49" s="125">
        <f t="shared" si="27"/>
        <v>15067.77</v>
      </c>
      <c r="I49" s="125">
        <f t="shared" si="27"/>
        <v>15067.77</v>
      </c>
      <c r="J49" s="125">
        <f t="shared" si="27"/>
        <v>15067.77</v>
      </c>
      <c r="K49" s="125">
        <f t="shared" si="27"/>
        <v>15067.77</v>
      </c>
      <c r="L49" s="125">
        <f t="shared" si="27"/>
        <v>15067.77</v>
      </c>
      <c r="M49" s="125">
        <f t="shared" si="27"/>
        <v>15067.77</v>
      </c>
      <c r="N49" s="125">
        <f t="shared" si="27"/>
        <v>15067.77</v>
      </c>
      <c r="O49" s="68">
        <f t="shared" si="28"/>
        <v>180813.24</v>
      </c>
      <c r="P49" s="68"/>
      <c r="Q49" s="68"/>
      <c r="R49" s="125"/>
      <c r="S49" s="125"/>
      <c r="T49" s="125"/>
      <c r="U49" s="125"/>
      <c r="V49" s="125"/>
      <c r="W49" s="125"/>
      <c r="X49" s="125"/>
      <c r="Y49" s="125"/>
      <c r="Z49" s="124">
        <f t="shared" si="26"/>
        <v>14403.961324834354</v>
      </c>
      <c r="AA49" s="124">
        <f t="shared" si="24"/>
        <v>34360.221467032476</v>
      </c>
      <c r="AB49" s="124">
        <f t="shared" si="24"/>
        <v>14391.020183111208</v>
      </c>
      <c r="AC49" s="124">
        <f t="shared" si="24"/>
        <v>181.01912180014097</v>
      </c>
      <c r="AD49" s="124">
        <f t="shared" si="24"/>
        <v>33.803830804099114</v>
      </c>
      <c r="AE49" s="124">
        <f t="shared" si="24"/>
        <v>117443.2140724177</v>
      </c>
    </row>
    <row r="50" spans="1:31" x14ac:dyDescent="0.25">
      <c r="A50" t="s">
        <v>441</v>
      </c>
      <c r="B50" s="118"/>
      <c r="C50" s="125">
        <f>'Corporate and Skipjack Alloc 21'!N50</f>
        <v>4556.83</v>
      </c>
      <c r="D50" s="125">
        <f t="shared" si="27"/>
        <v>4556.83</v>
      </c>
      <c r="E50" s="125">
        <f t="shared" si="27"/>
        <v>4556.83</v>
      </c>
      <c r="F50" s="125">
        <f t="shared" si="27"/>
        <v>4556.83</v>
      </c>
      <c r="G50" s="125">
        <f t="shared" si="27"/>
        <v>4556.83</v>
      </c>
      <c r="H50" s="125">
        <f t="shared" si="27"/>
        <v>4556.83</v>
      </c>
      <c r="I50" s="125">
        <f t="shared" si="27"/>
        <v>4556.83</v>
      </c>
      <c r="J50" s="125">
        <f t="shared" si="27"/>
        <v>4556.83</v>
      </c>
      <c r="K50" s="125">
        <f t="shared" si="27"/>
        <v>4556.83</v>
      </c>
      <c r="L50" s="125">
        <f t="shared" si="27"/>
        <v>4556.83</v>
      </c>
      <c r="M50" s="125">
        <f t="shared" si="27"/>
        <v>4556.83</v>
      </c>
      <c r="N50" s="125">
        <f t="shared" si="27"/>
        <v>4556.83</v>
      </c>
      <c r="O50" s="68">
        <f t="shared" si="28"/>
        <v>54681.960000000014</v>
      </c>
      <c r="P50" s="68"/>
      <c r="Q50" s="68"/>
      <c r="R50" s="125"/>
      <c r="S50" s="125"/>
      <c r="T50" s="125"/>
      <c r="U50" s="125"/>
      <c r="V50" s="125"/>
      <c r="W50" s="125"/>
      <c r="X50" s="125"/>
      <c r="Y50" s="125"/>
      <c r="Z50" s="124">
        <f t="shared" si="26"/>
        <v>4356.0794386856815</v>
      </c>
      <c r="AA50" s="124">
        <f t="shared" si="24"/>
        <v>10391.297981560487</v>
      </c>
      <c r="AB50" s="124">
        <f t="shared" si="24"/>
        <v>4352.1657485485021</v>
      </c>
      <c r="AC50" s="124">
        <f t="shared" si="24"/>
        <v>54.744223252182415</v>
      </c>
      <c r="AD50" s="124">
        <f t="shared" si="24"/>
        <v>10.223033024995937</v>
      </c>
      <c r="AE50" s="124">
        <f t="shared" si="24"/>
        <v>35517.449574928163</v>
      </c>
    </row>
    <row r="51" spans="1:31" x14ac:dyDescent="0.25">
      <c r="A51" s="116" t="s">
        <v>461</v>
      </c>
      <c r="B51" s="120"/>
      <c r="C51" s="143">
        <f t="shared" ref="C51:P51" si="29">SUM(C52:C53)</f>
        <v>5732.77</v>
      </c>
      <c r="D51" s="143">
        <f t="shared" si="29"/>
        <v>5732.77</v>
      </c>
      <c r="E51" s="143">
        <f t="shared" ref="E51:N51" si="30">SUM(E52:E53)</f>
        <v>5732.77</v>
      </c>
      <c r="F51" s="143">
        <f t="shared" si="30"/>
        <v>5732.77</v>
      </c>
      <c r="G51" s="143">
        <f t="shared" si="30"/>
        <v>5732.77</v>
      </c>
      <c r="H51" s="143">
        <f t="shared" si="30"/>
        <v>5732.77</v>
      </c>
      <c r="I51" s="143">
        <f t="shared" si="30"/>
        <v>5732.77</v>
      </c>
      <c r="J51" s="143">
        <f t="shared" si="30"/>
        <v>5732.77</v>
      </c>
      <c r="K51" s="143">
        <f t="shared" si="30"/>
        <v>5732.77</v>
      </c>
      <c r="L51" s="143">
        <f t="shared" si="30"/>
        <v>5732.77</v>
      </c>
      <c r="M51" s="143">
        <f t="shared" si="30"/>
        <v>5732.77</v>
      </c>
      <c r="N51" s="143">
        <f t="shared" si="30"/>
        <v>5732.77</v>
      </c>
      <c r="O51" s="117">
        <f t="shared" si="29"/>
        <v>68793.24000000002</v>
      </c>
      <c r="P51" s="117">
        <f t="shared" si="29"/>
        <v>0</v>
      </c>
      <c r="Q51" s="68"/>
      <c r="R51" s="125"/>
      <c r="S51" s="125"/>
      <c r="T51" s="125"/>
      <c r="U51" s="125"/>
      <c r="V51" s="125"/>
      <c r="W51" s="125"/>
      <c r="X51" s="125"/>
      <c r="Y51" s="125"/>
      <c r="Z51" s="126">
        <f t="shared" si="26"/>
        <v>5480.2135527799182</v>
      </c>
      <c r="AA51" s="126">
        <f t="shared" si="24"/>
        <v>13072.886486823189</v>
      </c>
      <c r="AB51" s="126">
        <f t="shared" si="24"/>
        <v>5475.2898919438285</v>
      </c>
      <c r="AC51" s="126">
        <f t="shared" si="24"/>
        <v>68.871570967846893</v>
      </c>
      <c r="AD51" s="126">
        <f t="shared" si="24"/>
        <v>12.861198911240042</v>
      </c>
      <c r="AE51" s="126">
        <f t="shared" si="24"/>
        <v>44683.117298573998</v>
      </c>
    </row>
    <row r="52" spans="1:31" x14ac:dyDescent="0.25">
      <c r="A52" t="s">
        <v>435</v>
      </c>
      <c r="B52" s="118"/>
      <c r="C52" s="125">
        <f>'Corporate and Skipjack Alloc 21'!N52</f>
        <v>49.47</v>
      </c>
      <c r="D52" s="68">
        <f>C52</f>
        <v>49.47</v>
      </c>
      <c r="E52" s="68">
        <f t="shared" ref="E52:N52" si="31">D52</f>
        <v>49.47</v>
      </c>
      <c r="F52" s="68">
        <f t="shared" si="31"/>
        <v>49.47</v>
      </c>
      <c r="G52" s="68">
        <f t="shared" si="31"/>
        <v>49.47</v>
      </c>
      <c r="H52" s="68">
        <f t="shared" si="31"/>
        <v>49.47</v>
      </c>
      <c r="I52" s="68">
        <f t="shared" si="31"/>
        <v>49.47</v>
      </c>
      <c r="J52" s="68">
        <f t="shared" si="31"/>
        <v>49.47</v>
      </c>
      <c r="K52" s="68">
        <f t="shared" si="31"/>
        <v>49.47</v>
      </c>
      <c r="L52" s="68">
        <f t="shared" si="31"/>
        <v>49.47</v>
      </c>
      <c r="M52" s="68">
        <f t="shared" si="31"/>
        <v>49.47</v>
      </c>
      <c r="N52" s="68">
        <f t="shared" si="31"/>
        <v>49.47</v>
      </c>
      <c r="O52" s="68">
        <f t="shared" si="28"/>
        <v>593.6400000000001</v>
      </c>
      <c r="P52" s="68"/>
      <c r="Q52" s="68"/>
      <c r="R52" s="125"/>
      <c r="S52" s="125"/>
      <c r="T52" s="125"/>
      <c r="U52" s="125"/>
      <c r="V52" s="125"/>
      <c r="W52" s="125"/>
      <c r="X52" s="125"/>
      <c r="Y52" s="125"/>
      <c r="Z52" s="124">
        <f t="shared" si="26"/>
        <v>47.290605493683245</v>
      </c>
      <c r="AA52" s="124">
        <f t="shared" si="24"/>
        <v>112.81033331236785</v>
      </c>
      <c r="AB52" s="124">
        <f t="shared" si="24"/>
        <v>47.24811756872527</v>
      </c>
      <c r="AC52" s="124">
        <f t="shared" si="24"/>
        <v>0.59431594426069523</v>
      </c>
      <c r="AD52" s="124">
        <f t="shared" si="24"/>
        <v>0.11098361004175028</v>
      </c>
      <c r="AE52" s="124">
        <f t="shared" si="24"/>
        <v>385.58564407092126</v>
      </c>
    </row>
    <row r="53" spans="1:31" x14ac:dyDescent="0.25">
      <c r="A53" t="s">
        <v>441</v>
      </c>
      <c r="B53" s="118"/>
      <c r="C53" s="125">
        <f>'Corporate and Skipjack Alloc 21'!N53</f>
        <v>5683.3</v>
      </c>
      <c r="D53" s="68">
        <f>C53</f>
        <v>5683.3</v>
      </c>
      <c r="E53" s="68">
        <f t="shared" ref="E53:N53" si="32">D53</f>
        <v>5683.3</v>
      </c>
      <c r="F53" s="68">
        <f t="shared" si="32"/>
        <v>5683.3</v>
      </c>
      <c r="G53" s="68">
        <f t="shared" si="32"/>
        <v>5683.3</v>
      </c>
      <c r="H53" s="68">
        <f t="shared" si="32"/>
        <v>5683.3</v>
      </c>
      <c r="I53" s="68">
        <f t="shared" si="32"/>
        <v>5683.3</v>
      </c>
      <c r="J53" s="68">
        <f t="shared" si="32"/>
        <v>5683.3</v>
      </c>
      <c r="K53" s="68">
        <f t="shared" si="32"/>
        <v>5683.3</v>
      </c>
      <c r="L53" s="68">
        <f t="shared" si="32"/>
        <v>5683.3</v>
      </c>
      <c r="M53" s="68">
        <f t="shared" si="32"/>
        <v>5683.3</v>
      </c>
      <c r="N53" s="68">
        <f t="shared" si="32"/>
        <v>5683.3</v>
      </c>
      <c r="O53" s="68">
        <f t="shared" si="28"/>
        <v>68199.60000000002</v>
      </c>
      <c r="P53" s="68"/>
      <c r="Q53" s="68"/>
      <c r="R53" s="125"/>
      <c r="S53" s="125"/>
      <c r="T53" s="125"/>
      <c r="U53" s="125"/>
      <c r="V53" s="125"/>
      <c r="W53" s="125"/>
      <c r="X53" s="125"/>
      <c r="Y53" s="125"/>
      <c r="Z53" s="124">
        <f t="shared" si="26"/>
        <v>5432.9229472862344</v>
      </c>
      <c r="AA53" s="124">
        <f t="shared" si="24"/>
        <v>12960.076153510821</v>
      </c>
      <c r="AB53" s="124">
        <f t="shared" si="24"/>
        <v>5428.0417743751041</v>
      </c>
      <c r="AC53" s="124">
        <f t="shared" si="24"/>
        <v>68.277255023586207</v>
      </c>
      <c r="AD53" s="124">
        <f t="shared" si="24"/>
        <v>12.75021530119829</v>
      </c>
      <c r="AE53" s="124">
        <f t="shared" si="24"/>
        <v>44297.531654503073</v>
      </c>
    </row>
    <row r="54" spans="1:31" ht="15.75" thickBot="1" x14ac:dyDescent="0.3">
      <c r="B54" s="117"/>
      <c r="C54" s="143">
        <f t="shared" ref="C54:O54" si="33">C51+C40</f>
        <v>206115.91626666664</v>
      </c>
      <c r="D54" s="143">
        <f t="shared" si="33"/>
        <v>206115.91626666664</v>
      </c>
      <c r="E54" s="143">
        <f t="shared" ref="E54:N54" si="34">E51+E40</f>
        <v>206255.08293333327</v>
      </c>
      <c r="F54" s="143">
        <f t="shared" si="34"/>
        <v>206255.08293333327</v>
      </c>
      <c r="G54" s="143">
        <f t="shared" si="34"/>
        <v>206255.08293333327</v>
      </c>
      <c r="H54" s="143">
        <f t="shared" si="34"/>
        <v>206842.21596666661</v>
      </c>
      <c r="I54" s="143">
        <f t="shared" si="34"/>
        <v>206842.21596666661</v>
      </c>
      <c r="J54" s="143">
        <f t="shared" si="34"/>
        <v>206842.21596666661</v>
      </c>
      <c r="K54" s="143">
        <f t="shared" si="34"/>
        <v>206842.21596666661</v>
      </c>
      <c r="L54" s="143">
        <f t="shared" si="34"/>
        <v>206842.21596666661</v>
      </c>
      <c r="M54" s="143">
        <f t="shared" si="34"/>
        <v>206842.21596666661</v>
      </c>
      <c r="N54" s="143">
        <f t="shared" si="34"/>
        <v>212014.57614999995</v>
      </c>
      <c r="O54" s="117">
        <f t="shared" si="33"/>
        <v>2484064.9532833332</v>
      </c>
      <c r="P54" s="118"/>
      <c r="Q54" s="118"/>
      <c r="R54" s="125"/>
      <c r="S54" s="125"/>
      <c r="T54" s="125"/>
      <c r="U54" s="125"/>
      <c r="V54" s="125"/>
      <c r="W54" s="125"/>
      <c r="X54" s="125"/>
      <c r="Y54" s="125"/>
      <c r="Z54" s="129">
        <f t="shared" si="26"/>
        <v>197885.81585878108</v>
      </c>
      <c r="AA54" s="129">
        <f t="shared" si="24"/>
        <v>472050.72998696897</v>
      </c>
      <c r="AB54" s="129">
        <f t="shared" si="24"/>
        <v>197708.02668465898</v>
      </c>
      <c r="AC54" s="129">
        <f t="shared" si="24"/>
        <v>2486.893417417094</v>
      </c>
      <c r="AD54" s="129">
        <f t="shared" si="24"/>
        <v>464.40687300986463</v>
      </c>
      <c r="AE54" s="129">
        <f t="shared" si="24"/>
        <v>1613469.0804624972</v>
      </c>
    </row>
    <row r="55" spans="1:31" ht="16.5" thickTop="1" x14ac:dyDescent="0.25">
      <c r="A55" s="112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25"/>
      <c r="S55" s="125"/>
      <c r="T55" s="125"/>
      <c r="U55" s="125"/>
      <c r="V55" s="125"/>
      <c r="W55" s="125"/>
      <c r="X55" s="125"/>
      <c r="Y55" s="125"/>
      <c r="Z55" s="130" t="s">
        <v>462</v>
      </c>
      <c r="AA55" s="124"/>
      <c r="AB55" s="124"/>
      <c r="AC55" s="124"/>
      <c r="AD55" s="124"/>
      <c r="AE55" s="124"/>
    </row>
    <row r="56" spans="1:31" x14ac:dyDescent="0.25">
      <c r="A56" s="116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18"/>
      <c r="Q56" s="118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</row>
    <row r="57" spans="1:31" x14ac:dyDescent="0.25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</row>
    <row r="58" spans="1:31" x14ac:dyDescent="0.25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</row>
    <row r="59" spans="1:31" x14ac:dyDescent="0.25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</row>
    <row r="60" spans="1:31" x14ac:dyDescent="0.25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</row>
    <row r="61" spans="1:31" x14ac:dyDescent="0.25"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</row>
    <row r="62" spans="1:31" x14ac:dyDescent="0.25"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</row>
    <row r="63" spans="1:31" x14ac:dyDescent="0.25"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</row>
    <row r="64" spans="1:31" x14ac:dyDescent="0.25"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</row>
    <row r="65" spans="1:31" x14ac:dyDescent="0.25"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</row>
    <row r="66" spans="1:31" x14ac:dyDescent="0.25"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</row>
    <row r="67" spans="1:31" x14ac:dyDescent="0.25">
      <c r="A67" s="116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</row>
    <row r="68" spans="1:31" x14ac:dyDescent="0.25"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</row>
    <row r="69" spans="1:31" x14ac:dyDescent="0.25"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</row>
    <row r="70" spans="1:31" x14ac:dyDescent="0.25">
      <c r="A70" s="116"/>
      <c r="B70" s="116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</row>
  </sheetData>
  <pageMargins left="0.7" right="0.7" top="0.75" bottom="0.75" header="0.3" footer="0.3"/>
  <pageSetup orientation="portrait" horizontalDpi="90" verticalDpi="9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0"/>
  <sheetViews>
    <sheetView zoomScale="80" zoomScaleNormal="80" workbookViewId="0">
      <pane xSplit="1" ySplit="5" topLeftCell="G45" activePane="bottomRight" state="frozen"/>
      <selection activeCell="L39" sqref="L39"/>
      <selection pane="topRight" activeCell="L39" sqref="L39"/>
      <selection pane="bottomLeft" activeCell="L39" sqref="L39"/>
      <selection pane="bottomRight" activeCell="L39" sqref="L39"/>
    </sheetView>
  </sheetViews>
  <sheetFormatPr defaultRowHeight="15" x14ac:dyDescent="0.25"/>
  <cols>
    <col min="1" max="1" width="61.7109375" bestFit="1" customWidth="1"/>
    <col min="2" max="14" width="11.28515625" bestFit="1" customWidth="1"/>
    <col min="15" max="15" width="11.5703125" bestFit="1" customWidth="1"/>
    <col min="16" max="16" width="4.7109375" bestFit="1" customWidth="1"/>
    <col min="17" max="17" width="12.7109375" bestFit="1" customWidth="1"/>
    <col min="18" max="18" width="13.28515625" bestFit="1" customWidth="1"/>
    <col min="19" max="19" width="12.140625" customWidth="1"/>
    <col min="20" max="20" width="11.42578125" customWidth="1"/>
    <col min="21" max="21" width="8.85546875" customWidth="1"/>
    <col min="22" max="22" width="8.42578125" bestFit="1" customWidth="1"/>
    <col min="23" max="23" width="12.140625" customWidth="1"/>
    <col min="25" max="25" width="8.42578125" bestFit="1" customWidth="1"/>
    <col min="26" max="28" width="11.42578125" bestFit="1" customWidth="1"/>
    <col min="29" max="29" width="9.28515625" bestFit="1" customWidth="1"/>
    <col min="30" max="30" width="8.42578125" bestFit="1" customWidth="1"/>
    <col min="31" max="31" width="11.85546875" bestFit="1" customWidth="1"/>
  </cols>
  <sheetData>
    <row r="1" spans="1:31" ht="15.75" x14ac:dyDescent="0.25">
      <c r="A1" s="112" t="s">
        <v>450</v>
      </c>
      <c r="Q1" s="4"/>
      <c r="R1" s="113" t="s">
        <v>2</v>
      </c>
      <c r="S1" s="4"/>
      <c r="T1" s="4"/>
      <c r="U1" s="4"/>
      <c r="V1" s="4"/>
      <c r="W1" s="4"/>
      <c r="X1" s="4"/>
      <c r="Y1" s="4" t="s">
        <v>1</v>
      </c>
      <c r="Z1" s="4" t="s">
        <v>3</v>
      </c>
      <c r="AA1" s="4"/>
      <c r="AB1" s="4"/>
      <c r="AC1" s="4"/>
      <c r="AD1" s="4"/>
      <c r="AE1" s="4"/>
    </row>
    <row r="2" spans="1:31" x14ac:dyDescent="0.25">
      <c r="Q2" s="4" t="s">
        <v>5</v>
      </c>
      <c r="R2" s="4" t="s">
        <v>6</v>
      </c>
      <c r="S2" s="4" t="s">
        <v>7</v>
      </c>
      <c r="T2" s="4" t="s">
        <v>8</v>
      </c>
      <c r="U2" s="4" t="s">
        <v>9</v>
      </c>
      <c r="V2" s="4" t="s">
        <v>10</v>
      </c>
      <c r="W2" s="4" t="s">
        <v>11</v>
      </c>
      <c r="X2" s="4"/>
      <c r="Y2" s="4" t="s">
        <v>5</v>
      </c>
      <c r="Z2" s="4" t="s">
        <v>6</v>
      </c>
      <c r="AA2" s="4" t="s">
        <v>7</v>
      </c>
      <c r="AB2" s="4" t="s">
        <v>8</v>
      </c>
      <c r="AC2" s="4" t="s">
        <v>9</v>
      </c>
      <c r="AD2" s="4" t="s">
        <v>10</v>
      </c>
      <c r="AE2" s="4" t="s">
        <v>11</v>
      </c>
    </row>
    <row r="3" spans="1:31" x14ac:dyDescent="0.25">
      <c r="Q3" s="4" t="s">
        <v>451</v>
      </c>
      <c r="R3" s="104">
        <f>'[1]Common Plant Allocation Factors'!C24</f>
        <v>7.9662094019411156E-2</v>
      </c>
      <c r="S3" s="104">
        <f>'[1]Common Plant Allocation Factors'!E24</f>
        <v>0.19003155668817437</v>
      </c>
      <c r="T3" s="104">
        <f>'[1]Common Plant Allocation Factors'!B24</f>
        <v>7.9590522149324952E-2</v>
      </c>
      <c r="U3" s="104">
        <f>'[1]Common Plant Allocation Factors'!D24</f>
        <v>1.0011386433877352E-3</v>
      </c>
      <c r="V3" s="104">
        <f>'[1]Common Plant Allocation Factors'!F24</f>
        <v>1.869544000433769E-4</v>
      </c>
      <c r="W3" s="104">
        <f>'[1]Common Plant Allocation Factors'!G24</f>
        <v>0.64952773409965836</v>
      </c>
      <c r="X3" s="4"/>
      <c r="Y3" s="4" t="s">
        <v>452</v>
      </c>
      <c r="Z3" s="104">
        <f>R3</f>
        <v>7.9662094019411156E-2</v>
      </c>
      <c r="AA3" s="104">
        <f t="shared" ref="AA3:AE3" si="0">S3</f>
        <v>0.19003155668817437</v>
      </c>
      <c r="AB3" s="104">
        <f t="shared" si="0"/>
        <v>7.9590522149324952E-2</v>
      </c>
      <c r="AC3" s="104">
        <f t="shared" si="0"/>
        <v>1.0011386433877352E-3</v>
      </c>
      <c r="AD3" s="104">
        <f t="shared" si="0"/>
        <v>1.869544000433769E-4</v>
      </c>
      <c r="AE3" s="104">
        <f t="shared" si="0"/>
        <v>0.64952773409965836</v>
      </c>
    </row>
    <row r="4" spans="1:31" x14ac:dyDescent="0.25"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26.25" x14ac:dyDescent="0.25">
      <c r="A5" s="112" t="s">
        <v>453</v>
      </c>
      <c r="B5" s="114">
        <v>44915</v>
      </c>
      <c r="C5" s="114">
        <v>44582</v>
      </c>
      <c r="D5" s="114">
        <v>44613</v>
      </c>
      <c r="E5" s="114">
        <v>44641</v>
      </c>
      <c r="F5" s="114">
        <v>44672</v>
      </c>
      <c r="G5" s="114">
        <v>44702</v>
      </c>
      <c r="H5" s="114">
        <v>44733</v>
      </c>
      <c r="I5" s="114">
        <v>44763</v>
      </c>
      <c r="J5" s="114">
        <v>44794</v>
      </c>
      <c r="K5" s="114">
        <v>44825</v>
      </c>
      <c r="L5" s="114">
        <v>44855</v>
      </c>
      <c r="M5" s="114">
        <v>44886</v>
      </c>
      <c r="N5" s="114">
        <v>44916</v>
      </c>
      <c r="O5" s="115" t="s">
        <v>12</v>
      </c>
      <c r="Q5" s="4"/>
      <c r="R5" s="6"/>
      <c r="S5" s="6"/>
      <c r="T5" s="6"/>
      <c r="U5" s="6"/>
      <c r="V5" s="6"/>
      <c r="W5" s="6"/>
      <c r="X5" s="4"/>
      <c r="Y5" s="4"/>
      <c r="Z5" s="6"/>
      <c r="AA5" s="6"/>
      <c r="AB5" s="6"/>
      <c r="AC5" s="6"/>
      <c r="AD5" s="6"/>
      <c r="AE5" s="6"/>
    </row>
    <row r="6" spans="1:31" x14ac:dyDescent="0.25">
      <c r="A6" s="116" t="s">
        <v>454</v>
      </c>
      <c r="B6" s="117">
        <f>'CU and Skipjack 22'!N6</f>
        <v>17673214.289999999</v>
      </c>
      <c r="C6" s="117">
        <f t="shared" ref="C6:O6" si="1">SUM(C7:C16)</f>
        <v>17673214.289999999</v>
      </c>
      <c r="D6" s="117">
        <f t="shared" si="1"/>
        <v>18873214.289999999</v>
      </c>
      <c r="E6" s="117">
        <f t="shared" si="1"/>
        <v>18873214.289999999</v>
      </c>
      <c r="F6" s="117">
        <f t="shared" si="1"/>
        <v>18873214.289999999</v>
      </c>
      <c r="G6" s="117">
        <f t="shared" si="1"/>
        <v>18873214.289999999</v>
      </c>
      <c r="H6" s="117">
        <f t="shared" si="1"/>
        <v>19873214.289999999</v>
      </c>
      <c r="I6" s="117">
        <f t="shared" si="1"/>
        <v>19873214.289999999</v>
      </c>
      <c r="J6" s="117">
        <f t="shared" si="1"/>
        <v>19873214.289999999</v>
      </c>
      <c r="K6" s="117">
        <f t="shared" si="1"/>
        <v>19873214.289999999</v>
      </c>
      <c r="L6" s="117">
        <f t="shared" si="1"/>
        <v>19873214.289999999</v>
      </c>
      <c r="M6" s="117">
        <f t="shared" si="1"/>
        <v>19873214.289999999</v>
      </c>
      <c r="N6" s="117">
        <f t="shared" si="1"/>
        <v>20458214.289999999</v>
      </c>
      <c r="O6" s="117">
        <f t="shared" si="1"/>
        <v>19272060.443846151</v>
      </c>
      <c r="Q6" s="4"/>
      <c r="R6" s="122">
        <f>$O6*R$3</f>
        <v>1535252.6910254469</v>
      </c>
      <c r="S6" s="122">
        <f t="shared" ref="S6:W18" si="2">$O6*S$3</f>
        <v>3662299.6467326726</v>
      </c>
      <c r="T6" s="122">
        <f t="shared" si="2"/>
        <v>1533873.3536190663</v>
      </c>
      <c r="U6" s="122">
        <f t="shared" si="2"/>
        <v>19294.00444803857</v>
      </c>
      <c r="V6" s="122">
        <f t="shared" si="2"/>
        <v>3602.9964978789531</v>
      </c>
      <c r="W6" s="122">
        <f t="shared" si="2"/>
        <v>12517737.751523048</v>
      </c>
      <c r="X6" s="123"/>
      <c r="Y6" s="123"/>
      <c r="Z6" s="122">
        <f>$N6*Z$3</f>
        <v>1629744.1902392409</v>
      </c>
      <c r="AA6" s="122">
        <f t="shared" ref="AA6:AE18" si="3">$N6*AA$3</f>
        <v>3887706.3085889537</v>
      </c>
      <c r="AB6" s="122">
        <f t="shared" si="3"/>
        <v>1628279.9575838812</v>
      </c>
      <c r="AC6" s="122">
        <f t="shared" si="3"/>
        <v>20481.508900426175</v>
      </c>
      <c r="AD6" s="122">
        <f t="shared" si="3"/>
        <v>3824.7531785457895</v>
      </c>
      <c r="AE6" s="122">
        <f t="shared" si="3"/>
        <v>13288177.57150895</v>
      </c>
    </row>
    <row r="7" spans="1:31" x14ac:dyDescent="0.25">
      <c r="A7" t="s">
        <v>455</v>
      </c>
      <c r="B7" s="142">
        <f>'CU and Skipjack 22'!N7</f>
        <v>5966.29</v>
      </c>
      <c r="C7" s="68">
        <f>B7</f>
        <v>5966.29</v>
      </c>
      <c r="D7" s="68">
        <f t="shared" ref="D7:N7" si="4">C7</f>
        <v>5966.29</v>
      </c>
      <c r="E7" s="68">
        <f t="shared" si="4"/>
        <v>5966.29</v>
      </c>
      <c r="F7" s="68">
        <f t="shared" si="4"/>
        <v>5966.29</v>
      </c>
      <c r="G7" s="68">
        <f t="shared" si="4"/>
        <v>5966.29</v>
      </c>
      <c r="H7" s="68">
        <f t="shared" si="4"/>
        <v>5966.29</v>
      </c>
      <c r="I7" s="68">
        <f t="shared" si="4"/>
        <v>5966.29</v>
      </c>
      <c r="J7" s="68">
        <f t="shared" si="4"/>
        <v>5966.29</v>
      </c>
      <c r="K7" s="68">
        <f t="shared" si="4"/>
        <v>5966.29</v>
      </c>
      <c r="L7" s="68">
        <f t="shared" si="4"/>
        <v>5966.29</v>
      </c>
      <c r="M7" s="68">
        <f t="shared" si="4"/>
        <v>5966.29</v>
      </c>
      <c r="N7" s="68">
        <f t="shared" si="4"/>
        <v>5966.29</v>
      </c>
      <c r="O7" s="68">
        <f>SUM(B7:N7)/13</f>
        <v>5966.2899999999991</v>
      </c>
      <c r="R7" s="124">
        <f t="shared" ref="R7:W20" si="5">$O7*R$3</f>
        <v>475.28715492707249</v>
      </c>
      <c r="S7" s="124">
        <f t="shared" si="2"/>
        <v>1133.7833763530878</v>
      </c>
      <c r="T7" s="124">
        <f t="shared" si="2"/>
        <v>474.86013639429592</v>
      </c>
      <c r="U7" s="124">
        <f t="shared" si="2"/>
        <v>5.9730834766578091</v>
      </c>
      <c r="V7" s="124">
        <f t="shared" si="2"/>
        <v>1.1154241674347989</v>
      </c>
      <c r="W7" s="124">
        <f t="shared" si="2"/>
        <v>3875.27082468145</v>
      </c>
      <c r="X7" s="125"/>
      <c r="Y7" s="125"/>
      <c r="Z7" s="124">
        <f t="shared" ref="Z7:AE20" si="6">$N7*Z$3</f>
        <v>475.28715492707261</v>
      </c>
      <c r="AA7" s="124">
        <f t="shared" si="3"/>
        <v>1133.7833763530878</v>
      </c>
      <c r="AB7" s="124">
        <f t="shared" si="3"/>
        <v>474.86013639429598</v>
      </c>
      <c r="AC7" s="124">
        <f t="shared" si="3"/>
        <v>5.97308347665781</v>
      </c>
      <c r="AD7" s="124">
        <f t="shared" si="3"/>
        <v>1.1154241674347991</v>
      </c>
      <c r="AE7" s="124">
        <f t="shared" si="3"/>
        <v>3875.2708246814504</v>
      </c>
    </row>
    <row r="8" spans="1:31" x14ac:dyDescent="0.25">
      <c r="A8" t="s">
        <v>434</v>
      </c>
      <c r="B8" s="142">
        <f>'CU and Skipjack 22'!N8</f>
        <v>5047142.1800000006</v>
      </c>
      <c r="C8" s="68">
        <f t="shared" ref="C8:N16" si="7">B8</f>
        <v>5047142.1800000006</v>
      </c>
      <c r="D8" s="68">
        <f t="shared" si="7"/>
        <v>5047142.1800000006</v>
      </c>
      <c r="E8" s="68">
        <f t="shared" si="7"/>
        <v>5047142.1800000006</v>
      </c>
      <c r="F8" s="68">
        <f t="shared" si="7"/>
        <v>5047142.1800000006</v>
      </c>
      <c r="G8" s="68">
        <f t="shared" si="7"/>
        <v>5047142.1800000006</v>
      </c>
      <c r="H8" s="68">
        <f t="shared" si="7"/>
        <v>5047142.1800000006</v>
      </c>
      <c r="I8" s="68">
        <f t="shared" si="7"/>
        <v>5047142.1800000006</v>
      </c>
      <c r="J8" s="68">
        <f t="shared" si="7"/>
        <v>5047142.1800000006</v>
      </c>
      <c r="K8" s="68">
        <f t="shared" si="7"/>
        <v>5047142.1800000006</v>
      </c>
      <c r="L8" s="68">
        <f t="shared" si="7"/>
        <v>5047142.1800000006</v>
      </c>
      <c r="M8" s="68">
        <f t="shared" si="7"/>
        <v>5047142.1800000006</v>
      </c>
      <c r="N8" s="68">
        <f t="shared" si="7"/>
        <v>5047142.1800000006</v>
      </c>
      <c r="O8" s="68">
        <f t="shared" ref="O8:O19" si="8">SUM(B8:N8)/13</f>
        <v>5047142.1800000006</v>
      </c>
      <c r="R8" s="124">
        <f t="shared" si="5"/>
        <v>402065.91487249581</v>
      </c>
      <c r="S8" s="124">
        <f t="shared" si="2"/>
        <v>959116.28529194603</v>
      </c>
      <c r="T8" s="124">
        <f t="shared" si="2"/>
        <v>401704.6814680823</v>
      </c>
      <c r="U8" s="124">
        <f t="shared" si="2"/>
        <v>5052.8890750702167</v>
      </c>
      <c r="V8" s="124">
        <f t="shared" si="2"/>
        <v>943.58543819552153</v>
      </c>
      <c r="W8" s="124">
        <f t="shared" si="2"/>
        <v>3278258.8238542103</v>
      </c>
      <c r="X8" s="125"/>
      <c r="Y8" s="125"/>
      <c r="Z8" s="124">
        <f t="shared" si="6"/>
        <v>402065.91487249581</v>
      </c>
      <c r="AA8" s="124">
        <f t="shared" si="3"/>
        <v>959116.28529194603</v>
      </c>
      <c r="AB8" s="124">
        <f t="shared" si="3"/>
        <v>401704.6814680823</v>
      </c>
      <c r="AC8" s="124">
        <f t="shared" si="3"/>
        <v>5052.8890750702167</v>
      </c>
      <c r="AD8" s="124">
        <f t="shared" si="3"/>
        <v>943.58543819552153</v>
      </c>
      <c r="AE8" s="124">
        <f t="shared" si="3"/>
        <v>3278258.8238542103</v>
      </c>
    </row>
    <row r="9" spans="1:31" x14ac:dyDescent="0.25">
      <c r="A9" t="s">
        <v>456</v>
      </c>
      <c r="B9" s="142">
        <f>'CU and Skipjack 22'!N9</f>
        <v>421491.92</v>
      </c>
      <c r="C9" s="68">
        <f t="shared" si="7"/>
        <v>421491.92</v>
      </c>
      <c r="D9" s="68">
        <f t="shared" si="7"/>
        <v>421491.92</v>
      </c>
      <c r="E9" s="68">
        <f t="shared" si="7"/>
        <v>421491.92</v>
      </c>
      <c r="F9" s="68">
        <f t="shared" si="7"/>
        <v>421491.92</v>
      </c>
      <c r="G9" s="68">
        <f t="shared" si="7"/>
        <v>421491.92</v>
      </c>
      <c r="H9" s="68">
        <f t="shared" si="7"/>
        <v>421491.92</v>
      </c>
      <c r="I9" s="68">
        <f t="shared" si="7"/>
        <v>421491.92</v>
      </c>
      <c r="J9" s="68">
        <f t="shared" si="7"/>
        <v>421491.92</v>
      </c>
      <c r="K9" s="68">
        <f t="shared" si="7"/>
        <v>421491.92</v>
      </c>
      <c r="L9" s="68">
        <f t="shared" si="7"/>
        <v>421491.92</v>
      </c>
      <c r="M9" s="68">
        <f t="shared" si="7"/>
        <v>421491.92</v>
      </c>
      <c r="N9" s="68">
        <f t="shared" si="7"/>
        <v>421491.92</v>
      </c>
      <c r="O9" s="68">
        <f t="shared" si="8"/>
        <v>421491.92</v>
      </c>
      <c r="R9" s="124">
        <f t="shared" si="5"/>
        <v>33576.928959462122</v>
      </c>
      <c r="S9" s="124">
        <f t="shared" si="2"/>
        <v>80096.76568908745</v>
      </c>
      <c r="T9" s="124">
        <f t="shared" si="2"/>
        <v>33546.761994521497</v>
      </c>
      <c r="U9" s="124">
        <f t="shared" si="2"/>
        <v>421.97184898769177</v>
      </c>
      <c r="V9" s="124">
        <f t="shared" si="2"/>
        <v>78.799769026731013</v>
      </c>
      <c r="W9" s="124">
        <f t="shared" si="2"/>
        <v>273770.69173891447</v>
      </c>
      <c r="X9" s="125"/>
      <c r="Y9" s="125"/>
      <c r="Z9" s="124">
        <f t="shared" si="6"/>
        <v>33576.928959462122</v>
      </c>
      <c r="AA9" s="124">
        <f t="shared" si="3"/>
        <v>80096.76568908745</v>
      </c>
      <c r="AB9" s="124">
        <f t="shared" si="3"/>
        <v>33546.761994521497</v>
      </c>
      <c r="AC9" s="124">
        <f t="shared" si="3"/>
        <v>421.97184898769177</v>
      </c>
      <c r="AD9" s="124">
        <f t="shared" si="3"/>
        <v>78.799769026731013</v>
      </c>
      <c r="AE9" s="124">
        <f t="shared" si="3"/>
        <v>273770.69173891447</v>
      </c>
    </row>
    <row r="10" spans="1:31" x14ac:dyDescent="0.25">
      <c r="A10" t="s">
        <v>435</v>
      </c>
      <c r="B10" s="142">
        <f>'CU and Skipjack 22'!N10</f>
        <v>1182442.1100000001</v>
      </c>
      <c r="C10" s="68">
        <f t="shared" si="7"/>
        <v>1182442.1100000001</v>
      </c>
      <c r="D10" s="68">
        <f t="shared" si="7"/>
        <v>1182442.1100000001</v>
      </c>
      <c r="E10" s="68">
        <f t="shared" si="7"/>
        <v>1182442.1100000001</v>
      </c>
      <c r="F10" s="68">
        <f t="shared" si="7"/>
        <v>1182442.1100000001</v>
      </c>
      <c r="G10" s="68">
        <f t="shared" si="7"/>
        <v>1182442.1100000001</v>
      </c>
      <c r="H10" s="68">
        <f t="shared" si="7"/>
        <v>1182442.1100000001</v>
      </c>
      <c r="I10" s="68">
        <f t="shared" si="7"/>
        <v>1182442.1100000001</v>
      </c>
      <c r="J10" s="68">
        <f t="shared" si="7"/>
        <v>1182442.1100000001</v>
      </c>
      <c r="K10" s="68">
        <f t="shared" si="7"/>
        <v>1182442.1100000001</v>
      </c>
      <c r="L10" s="68">
        <f t="shared" si="7"/>
        <v>1182442.1100000001</v>
      </c>
      <c r="M10" s="68">
        <f t="shared" si="7"/>
        <v>1182442.1100000001</v>
      </c>
      <c r="N10" s="68">
        <f t="shared" si="7"/>
        <v>1182442.1100000001</v>
      </c>
      <c r="O10" s="68">
        <f t="shared" si="8"/>
        <v>1182442.1099999999</v>
      </c>
      <c r="R10" s="124">
        <f t="shared" si="5"/>
        <v>94195.814539330895</v>
      </c>
      <c r="S10" s="124">
        <f t="shared" si="2"/>
        <v>224701.3148569495</v>
      </c>
      <c r="T10" s="124">
        <f t="shared" si="2"/>
        <v>94111.184946249516</v>
      </c>
      <c r="U10" s="124">
        <f t="shared" si="2"/>
        <v>1183.788489889931</v>
      </c>
      <c r="V10" s="124">
        <f t="shared" si="2"/>
        <v>221.06275526107464</v>
      </c>
      <c r="W10" s="124">
        <f t="shared" si="2"/>
        <v>768028.94441231887</v>
      </c>
      <c r="X10" s="125"/>
      <c r="Y10" s="125"/>
      <c r="Z10" s="124">
        <f t="shared" si="6"/>
        <v>94195.81453933091</v>
      </c>
      <c r="AA10" s="124">
        <f t="shared" si="3"/>
        <v>224701.31485694952</v>
      </c>
      <c r="AB10" s="124">
        <f t="shared" si="3"/>
        <v>94111.184946249545</v>
      </c>
      <c r="AC10" s="124">
        <f t="shared" si="3"/>
        <v>1183.7884898899313</v>
      </c>
      <c r="AD10" s="124">
        <f t="shared" si="3"/>
        <v>221.0627552610747</v>
      </c>
      <c r="AE10" s="124">
        <f t="shared" si="3"/>
        <v>768028.94441231911</v>
      </c>
    </row>
    <row r="11" spans="1:31" x14ac:dyDescent="0.25">
      <c r="A11" t="s">
        <v>457</v>
      </c>
      <c r="B11" s="142">
        <f>'CU and Skipjack 22'!N11</f>
        <v>6130873.0300000012</v>
      </c>
      <c r="C11" s="68">
        <f t="shared" si="7"/>
        <v>6130873.0300000012</v>
      </c>
      <c r="D11" s="68">
        <f>C11+1200000</f>
        <v>7330873.0300000012</v>
      </c>
      <c r="E11" s="68">
        <f t="shared" si="7"/>
        <v>7330873.0300000012</v>
      </c>
      <c r="F11" s="68">
        <f t="shared" si="7"/>
        <v>7330873.0300000012</v>
      </c>
      <c r="G11" s="68">
        <f t="shared" si="7"/>
        <v>7330873.0300000012</v>
      </c>
      <c r="H11" s="68">
        <f>G11+1000000</f>
        <v>8330873.0300000012</v>
      </c>
      <c r="I11" s="68">
        <f t="shared" si="7"/>
        <v>8330873.0300000012</v>
      </c>
      <c r="J11" s="68">
        <f t="shared" si="7"/>
        <v>8330873.0300000012</v>
      </c>
      <c r="K11" s="68">
        <f t="shared" si="7"/>
        <v>8330873.0300000012</v>
      </c>
      <c r="L11" s="68">
        <f t="shared" si="7"/>
        <v>8330873.0300000012</v>
      </c>
      <c r="M11" s="68">
        <f t="shared" si="7"/>
        <v>8330873.0300000012</v>
      </c>
      <c r="N11" s="68">
        <f>M11+585000</f>
        <v>8915873.0300000012</v>
      </c>
      <c r="O11" s="68">
        <f t="shared" si="8"/>
        <v>7729719.1838461552</v>
      </c>
      <c r="R11" s="124">
        <f t="shared" si="5"/>
        <v>615765.61636719853</v>
      </c>
      <c r="S11" s="124">
        <f t="shared" si="2"/>
        <v>1468890.5692687295</v>
      </c>
      <c r="T11" s="124">
        <f t="shared" si="2"/>
        <v>615212.38590996945</v>
      </c>
      <c r="U11" s="124">
        <f t="shared" si="2"/>
        <v>7738.5205774838914</v>
      </c>
      <c r="V11" s="124">
        <f t="shared" si="2"/>
        <v>1445.1050125197389</v>
      </c>
      <c r="W11" s="124">
        <f t="shared" si="2"/>
        <v>5020666.9867102541</v>
      </c>
      <c r="X11" s="125"/>
      <c r="Y11" s="125"/>
      <c r="Z11" s="124">
        <f t="shared" si="6"/>
        <v>710257.11558099231</v>
      </c>
      <c r="AA11" s="124">
        <f t="shared" si="3"/>
        <v>1694297.2311250102</v>
      </c>
      <c r="AB11" s="124">
        <f t="shared" si="3"/>
        <v>709618.98987478402</v>
      </c>
      <c r="AC11" s="124">
        <f t="shared" si="3"/>
        <v>8926.0250298714964</v>
      </c>
      <c r="AD11" s="124">
        <f t="shared" si="3"/>
        <v>1666.8616931865752</v>
      </c>
      <c r="AE11" s="124">
        <f t="shared" si="3"/>
        <v>5791106.806696156</v>
      </c>
    </row>
    <row r="12" spans="1:31" x14ac:dyDescent="0.25">
      <c r="A12" t="s">
        <v>436</v>
      </c>
      <c r="B12" s="142">
        <f>'CU and Skipjack 22'!N12</f>
        <v>871991.45999999973</v>
      </c>
      <c r="C12" s="68">
        <f t="shared" si="7"/>
        <v>871991.45999999973</v>
      </c>
      <c r="D12" s="68">
        <f t="shared" si="7"/>
        <v>871991.45999999973</v>
      </c>
      <c r="E12" s="68">
        <f t="shared" si="7"/>
        <v>871991.45999999973</v>
      </c>
      <c r="F12" s="68">
        <f t="shared" si="7"/>
        <v>871991.45999999973</v>
      </c>
      <c r="G12" s="68">
        <f t="shared" si="7"/>
        <v>871991.45999999973</v>
      </c>
      <c r="H12" s="68">
        <f t="shared" si="7"/>
        <v>871991.45999999973</v>
      </c>
      <c r="I12" s="68">
        <f t="shared" si="7"/>
        <v>871991.45999999973</v>
      </c>
      <c r="J12" s="68">
        <f t="shared" si="7"/>
        <v>871991.45999999973</v>
      </c>
      <c r="K12" s="68">
        <f t="shared" si="7"/>
        <v>871991.45999999973</v>
      </c>
      <c r="L12" s="68">
        <f t="shared" si="7"/>
        <v>871991.45999999973</v>
      </c>
      <c r="M12" s="68">
        <f t="shared" si="7"/>
        <v>871991.45999999973</v>
      </c>
      <c r="N12" s="68">
        <f t="shared" si="7"/>
        <v>871991.45999999973</v>
      </c>
      <c r="O12" s="68">
        <f t="shared" si="8"/>
        <v>871991.45999999961</v>
      </c>
      <c r="R12" s="124">
        <f t="shared" si="5"/>
        <v>69464.665670643575</v>
      </c>
      <c r="S12" s="124">
        <f t="shared" si="2"/>
        <v>165705.89456259386</v>
      </c>
      <c r="T12" s="124">
        <f t="shared" si="2"/>
        <v>69402.25561115217</v>
      </c>
      <c r="U12" s="124">
        <f t="shared" si="2"/>
        <v>872.98434731009013</v>
      </c>
      <c r="V12" s="124">
        <f t="shared" si="2"/>
        <v>163.02264024724821</v>
      </c>
      <c r="W12" s="124">
        <f t="shared" si="2"/>
        <v>566382.63716805261</v>
      </c>
      <c r="X12" s="125"/>
      <c r="Y12" s="125"/>
      <c r="Z12" s="124">
        <f t="shared" si="6"/>
        <v>69464.665670643575</v>
      </c>
      <c r="AA12" s="124">
        <f t="shared" si="3"/>
        <v>165705.89456259389</v>
      </c>
      <c r="AB12" s="124">
        <f t="shared" si="3"/>
        <v>69402.255611152184</v>
      </c>
      <c r="AC12" s="124">
        <f t="shared" si="3"/>
        <v>872.98434731009024</v>
      </c>
      <c r="AD12" s="124">
        <f t="shared" si="3"/>
        <v>163.02264024724823</v>
      </c>
      <c r="AE12" s="124">
        <f t="shared" si="3"/>
        <v>566382.63716805272</v>
      </c>
    </row>
    <row r="13" spans="1:31" x14ac:dyDescent="0.25">
      <c r="A13" t="s">
        <v>437</v>
      </c>
      <c r="B13" s="142">
        <f>'CU and Skipjack 22'!N13</f>
        <v>133969.25</v>
      </c>
      <c r="C13" s="68">
        <f t="shared" si="7"/>
        <v>133969.25</v>
      </c>
      <c r="D13" s="68">
        <f t="shared" si="7"/>
        <v>133969.25</v>
      </c>
      <c r="E13" s="68">
        <f t="shared" si="7"/>
        <v>133969.25</v>
      </c>
      <c r="F13" s="68">
        <f t="shared" si="7"/>
        <v>133969.25</v>
      </c>
      <c r="G13" s="68">
        <f t="shared" si="7"/>
        <v>133969.25</v>
      </c>
      <c r="H13" s="68">
        <f t="shared" si="7"/>
        <v>133969.25</v>
      </c>
      <c r="I13" s="68">
        <f t="shared" si="7"/>
        <v>133969.25</v>
      </c>
      <c r="J13" s="68">
        <f t="shared" si="7"/>
        <v>133969.25</v>
      </c>
      <c r="K13" s="68">
        <f t="shared" si="7"/>
        <v>133969.25</v>
      </c>
      <c r="L13" s="68">
        <f t="shared" si="7"/>
        <v>133969.25</v>
      </c>
      <c r="M13" s="68">
        <f t="shared" si="7"/>
        <v>133969.25</v>
      </c>
      <c r="N13" s="68">
        <f t="shared" si="7"/>
        <v>133969.25</v>
      </c>
      <c r="O13" s="68">
        <f t="shared" si="8"/>
        <v>133969.25</v>
      </c>
      <c r="R13" s="124">
        <f t="shared" si="5"/>
        <v>10672.270989209997</v>
      </c>
      <c r="S13" s="124">
        <f t="shared" si="2"/>
        <v>25458.385125847202</v>
      </c>
      <c r="T13" s="124">
        <f t="shared" si="2"/>
        <v>10662.682559453451</v>
      </c>
      <c r="U13" s="124">
        <f t="shared" si="2"/>
        <v>134.12179320067233</v>
      </c>
      <c r="V13" s="124">
        <f t="shared" si="2"/>
        <v>25.04614075801117</v>
      </c>
      <c r="W13" s="124">
        <f t="shared" si="2"/>
        <v>87016.743391530661</v>
      </c>
      <c r="X13" s="125"/>
      <c r="Y13" s="125"/>
      <c r="Z13" s="124">
        <f t="shared" si="6"/>
        <v>10672.270989209997</v>
      </c>
      <c r="AA13" s="124">
        <f t="shared" si="3"/>
        <v>25458.385125847202</v>
      </c>
      <c r="AB13" s="124">
        <f t="shared" si="3"/>
        <v>10662.682559453451</v>
      </c>
      <c r="AC13" s="124">
        <f t="shared" si="3"/>
        <v>134.12179320067233</v>
      </c>
      <c r="AD13" s="124">
        <f t="shared" si="3"/>
        <v>25.04614075801117</v>
      </c>
      <c r="AE13" s="124">
        <f t="shared" si="3"/>
        <v>87016.743391530661</v>
      </c>
    </row>
    <row r="14" spans="1:31" x14ac:dyDescent="0.25">
      <c r="A14" t="s">
        <v>438</v>
      </c>
      <c r="B14" s="142">
        <f>'CU and Skipjack 22'!N14</f>
        <v>2265779.04</v>
      </c>
      <c r="C14" s="68">
        <f t="shared" si="7"/>
        <v>2265779.04</v>
      </c>
      <c r="D14" s="68">
        <f t="shared" si="7"/>
        <v>2265779.04</v>
      </c>
      <c r="E14" s="68">
        <f t="shared" si="7"/>
        <v>2265779.04</v>
      </c>
      <c r="F14" s="68">
        <f t="shared" si="7"/>
        <v>2265779.04</v>
      </c>
      <c r="G14" s="68">
        <f t="shared" si="7"/>
        <v>2265779.04</v>
      </c>
      <c r="H14" s="68">
        <f t="shared" si="7"/>
        <v>2265779.04</v>
      </c>
      <c r="I14" s="68">
        <f t="shared" si="7"/>
        <v>2265779.04</v>
      </c>
      <c r="J14" s="68">
        <f t="shared" si="7"/>
        <v>2265779.04</v>
      </c>
      <c r="K14" s="68">
        <f t="shared" si="7"/>
        <v>2265779.04</v>
      </c>
      <c r="L14" s="68">
        <f t="shared" si="7"/>
        <v>2265779.04</v>
      </c>
      <c r="M14" s="68">
        <f t="shared" si="7"/>
        <v>2265779.04</v>
      </c>
      <c r="N14" s="68">
        <f t="shared" si="7"/>
        <v>2265779.04</v>
      </c>
      <c r="O14" s="68">
        <f t="shared" si="8"/>
        <v>2265779.0399999996</v>
      </c>
      <c r="R14" s="124">
        <f t="shared" si="5"/>
        <v>180496.70291169113</v>
      </c>
      <c r="S14" s="124">
        <f t="shared" si="2"/>
        <v>430569.51808263722</v>
      </c>
      <c r="T14" s="124">
        <f t="shared" si="2"/>
        <v>180334.53686859619</v>
      </c>
      <c r="U14" s="124">
        <f t="shared" si="2"/>
        <v>2268.3589543219646</v>
      </c>
      <c r="V14" s="124">
        <f t="shared" si="2"/>
        <v>423.59736105405841</v>
      </c>
      <c r="W14" s="124">
        <f t="shared" si="2"/>
        <v>1471686.3258216989</v>
      </c>
      <c r="X14" s="125"/>
      <c r="Y14" s="125"/>
      <c r="Z14" s="124">
        <f t="shared" si="6"/>
        <v>180496.70291169116</v>
      </c>
      <c r="AA14" s="124">
        <f t="shared" si="3"/>
        <v>430569.51808263728</v>
      </c>
      <c r="AB14" s="124">
        <f t="shared" si="3"/>
        <v>180334.53686859622</v>
      </c>
      <c r="AC14" s="124">
        <f t="shared" si="3"/>
        <v>2268.358954321965</v>
      </c>
      <c r="AD14" s="124">
        <f t="shared" si="3"/>
        <v>423.59736105405847</v>
      </c>
      <c r="AE14" s="124">
        <f t="shared" si="3"/>
        <v>1471686.3258216991</v>
      </c>
    </row>
    <row r="15" spans="1:31" x14ac:dyDescent="0.25">
      <c r="A15" t="s">
        <v>458</v>
      </c>
      <c r="B15" s="142">
        <f>'CU and Skipjack 22'!N15</f>
        <v>1244509.3299999998</v>
      </c>
      <c r="C15" s="68">
        <f t="shared" si="7"/>
        <v>1244509.3299999998</v>
      </c>
      <c r="D15" s="68">
        <f t="shared" si="7"/>
        <v>1244509.3299999998</v>
      </c>
      <c r="E15" s="68">
        <f t="shared" si="7"/>
        <v>1244509.3299999998</v>
      </c>
      <c r="F15" s="68">
        <f t="shared" si="7"/>
        <v>1244509.3299999998</v>
      </c>
      <c r="G15" s="68">
        <f t="shared" si="7"/>
        <v>1244509.3299999998</v>
      </c>
      <c r="H15" s="68">
        <f t="shared" si="7"/>
        <v>1244509.3299999998</v>
      </c>
      <c r="I15" s="68">
        <f t="shared" si="7"/>
        <v>1244509.3299999998</v>
      </c>
      <c r="J15" s="68">
        <f t="shared" si="7"/>
        <v>1244509.3299999998</v>
      </c>
      <c r="K15" s="68">
        <f t="shared" si="7"/>
        <v>1244509.3299999998</v>
      </c>
      <c r="L15" s="68">
        <f t="shared" si="7"/>
        <v>1244509.3299999998</v>
      </c>
      <c r="M15" s="68">
        <f t="shared" si="7"/>
        <v>1244509.3299999998</v>
      </c>
      <c r="N15" s="68">
        <f t="shared" si="7"/>
        <v>1244509.3299999998</v>
      </c>
      <c r="O15" s="68">
        <f t="shared" si="8"/>
        <v>1244509.3299999998</v>
      </c>
      <c r="R15" s="124">
        <f t="shared" si="5"/>
        <v>99140.219254494368</v>
      </c>
      <c r="S15" s="124">
        <f t="shared" si="2"/>
        <v>236496.04529285687</v>
      </c>
      <c r="T15" s="124">
        <f t="shared" si="2"/>
        <v>99051.147394406536</v>
      </c>
      <c r="U15" s="124">
        <f t="shared" si="2"/>
        <v>1245.926382319579</v>
      </c>
      <c r="V15" s="124">
        <f t="shared" si="2"/>
        <v>232.66649513853491</v>
      </c>
      <c r="W15" s="124">
        <f t="shared" si="2"/>
        <v>808343.32518078387</v>
      </c>
      <c r="X15" s="125"/>
      <c r="Y15" s="125"/>
      <c r="Z15" s="124">
        <f t="shared" si="6"/>
        <v>99140.219254494368</v>
      </c>
      <c r="AA15" s="124">
        <f t="shared" si="3"/>
        <v>236496.04529285687</v>
      </c>
      <c r="AB15" s="124">
        <f t="shared" si="3"/>
        <v>99051.147394406536</v>
      </c>
      <c r="AC15" s="124">
        <f t="shared" si="3"/>
        <v>1245.926382319579</v>
      </c>
      <c r="AD15" s="124">
        <f t="shared" si="3"/>
        <v>232.66649513853491</v>
      </c>
      <c r="AE15" s="124">
        <f t="shared" si="3"/>
        <v>808343.32518078387</v>
      </c>
    </row>
    <row r="16" spans="1:31" x14ac:dyDescent="0.25">
      <c r="A16" t="s">
        <v>441</v>
      </c>
      <c r="B16" s="142">
        <f>'CU and Skipjack 22'!N16</f>
        <v>369049.68000000005</v>
      </c>
      <c r="C16" s="68">
        <f t="shared" si="7"/>
        <v>369049.68000000005</v>
      </c>
      <c r="D16" s="68">
        <f t="shared" si="7"/>
        <v>369049.68000000005</v>
      </c>
      <c r="E16" s="68">
        <f t="shared" si="7"/>
        <v>369049.68000000005</v>
      </c>
      <c r="F16" s="68">
        <f t="shared" si="7"/>
        <v>369049.68000000005</v>
      </c>
      <c r="G16" s="68">
        <f t="shared" si="7"/>
        <v>369049.68000000005</v>
      </c>
      <c r="H16" s="68">
        <f t="shared" si="7"/>
        <v>369049.68000000005</v>
      </c>
      <c r="I16" s="68">
        <f t="shared" si="7"/>
        <v>369049.68000000005</v>
      </c>
      <c r="J16" s="68">
        <f t="shared" si="7"/>
        <v>369049.68000000005</v>
      </c>
      <c r="K16" s="68">
        <f t="shared" si="7"/>
        <v>369049.68000000005</v>
      </c>
      <c r="L16" s="68">
        <f t="shared" si="7"/>
        <v>369049.68000000005</v>
      </c>
      <c r="M16" s="68">
        <f t="shared" si="7"/>
        <v>369049.68000000005</v>
      </c>
      <c r="N16" s="68">
        <f t="shared" si="7"/>
        <v>369049.68000000005</v>
      </c>
      <c r="O16" s="68">
        <f t="shared" si="8"/>
        <v>369049.68000000005</v>
      </c>
      <c r="R16" s="124">
        <f t="shared" si="5"/>
        <v>29399.270305993607</v>
      </c>
      <c r="S16" s="124">
        <f t="shared" si="2"/>
        <v>70131.085185672622</v>
      </c>
      <c r="T16" s="124">
        <f t="shared" si="2"/>
        <v>29372.856730241288</v>
      </c>
      <c r="U16" s="124">
        <f t="shared" si="2"/>
        <v>369.46989597787785</v>
      </c>
      <c r="V16" s="124">
        <f t="shared" si="2"/>
        <v>68.995461510600236</v>
      </c>
      <c r="W16" s="124">
        <f t="shared" si="2"/>
        <v>239708.00242060403</v>
      </c>
      <c r="X16" s="125"/>
      <c r="Y16" s="125"/>
      <c r="Z16" s="124">
        <f t="shared" si="6"/>
        <v>29399.270305993607</v>
      </c>
      <c r="AA16" s="124">
        <f t="shared" si="3"/>
        <v>70131.085185672622</v>
      </c>
      <c r="AB16" s="124">
        <f t="shared" si="3"/>
        <v>29372.856730241288</v>
      </c>
      <c r="AC16" s="124">
        <f t="shared" si="3"/>
        <v>369.46989597787785</v>
      </c>
      <c r="AD16" s="124">
        <f t="shared" si="3"/>
        <v>68.995461510600236</v>
      </c>
      <c r="AE16" s="124">
        <f t="shared" si="3"/>
        <v>239708.00242060403</v>
      </c>
    </row>
    <row r="17" spans="1:32" x14ac:dyDescent="0.25">
      <c r="A17" s="116" t="s">
        <v>459</v>
      </c>
      <c r="B17" s="117">
        <f t="shared" ref="B17:O17" si="9">SUM(B18:B19)</f>
        <v>475306.17</v>
      </c>
      <c r="C17" s="117">
        <f t="shared" si="9"/>
        <v>475306.17</v>
      </c>
      <c r="D17" s="117">
        <f t="shared" si="9"/>
        <v>475306.17</v>
      </c>
      <c r="E17" s="117">
        <f t="shared" si="9"/>
        <v>475306.17</v>
      </c>
      <c r="F17" s="117">
        <f t="shared" si="9"/>
        <v>475306.17</v>
      </c>
      <c r="G17" s="117">
        <f t="shared" si="9"/>
        <v>475306.17</v>
      </c>
      <c r="H17" s="117">
        <f t="shared" si="9"/>
        <v>475306.17</v>
      </c>
      <c r="I17" s="117">
        <f t="shared" si="9"/>
        <v>475306.17</v>
      </c>
      <c r="J17" s="117">
        <f t="shared" si="9"/>
        <v>475306.17</v>
      </c>
      <c r="K17" s="117">
        <f t="shared" si="9"/>
        <v>475306.17</v>
      </c>
      <c r="L17" s="117">
        <f t="shared" si="9"/>
        <v>475306.17</v>
      </c>
      <c r="M17" s="117">
        <f t="shared" si="9"/>
        <v>475306.17</v>
      </c>
      <c r="N17" s="117">
        <f t="shared" si="9"/>
        <v>475306.17</v>
      </c>
      <c r="O17" s="117">
        <f t="shared" si="9"/>
        <v>475306.17</v>
      </c>
      <c r="R17" s="126">
        <f t="shared" si="5"/>
        <v>37863.884802546221</v>
      </c>
      <c r="S17" s="126">
        <f t="shared" si="2"/>
        <v>90323.171388594041</v>
      </c>
      <c r="T17" s="126">
        <f t="shared" si="2"/>
        <v>37829.866251095809</v>
      </c>
      <c r="U17" s="126">
        <f t="shared" si="2"/>
        <v>475.84737422762021</v>
      </c>
      <c r="V17" s="126">
        <f t="shared" si="2"/>
        <v>88.860579849265307</v>
      </c>
      <c r="W17" s="126">
        <f t="shared" si="2"/>
        <v>308724.53960368701</v>
      </c>
      <c r="X17" s="125"/>
      <c r="Y17" s="125"/>
      <c r="Z17" s="126">
        <f t="shared" si="6"/>
        <v>37863.884802546221</v>
      </c>
      <c r="AA17" s="126">
        <f t="shared" si="3"/>
        <v>90323.171388594041</v>
      </c>
      <c r="AB17" s="126">
        <f t="shared" si="3"/>
        <v>37829.866251095809</v>
      </c>
      <c r="AC17" s="126">
        <f t="shared" si="3"/>
        <v>475.84737422762021</v>
      </c>
      <c r="AD17" s="126">
        <f t="shared" si="3"/>
        <v>88.860579849265307</v>
      </c>
      <c r="AE17" s="126">
        <f t="shared" si="3"/>
        <v>308724.53960368701</v>
      </c>
    </row>
    <row r="18" spans="1:32" x14ac:dyDescent="0.25">
      <c r="A18" t="s">
        <v>435</v>
      </c>
      <c r="B18" s="142">
        <f>'CU and Skipjack 22'!N18</f>
        <v>5656.13</v>
      </c>
      <c r="C18" s="68">
        <f>B18</f>
        <v>5656.13</v>
      </c>
      <c r="D18" s="68">
        <v>5656.13</v>
      </c>
      <c r="E18" s="68">
        <v>5656.13</v>
      </c>
      <c r="F18" s="68">
        <v>5656.13</v>
      </c>
      <c r="G18" s="68">
        <v>5656.13</v>
      </c>
      <c r="H18" s="68">
        <v>5656.13</v>
      </c>
      <c r="I18" s="68">
        <v>5656.13</v>
      </c>
      <c r="J18" s="68">
        <v>5656.13</v>
      </c>
      <c r="K18" s="68">
        <v>5656.13</v>
      </c>
      <c r="L18" s="68">
        <v>5656.13</v>
      </c>
      <c r="M18" s="68">
        <v>5656.13</v>
      </c>
      <c r="N18" s="68">
        <v>5656.13</v>
      </c>
      <c r="O18" s="68">
        <f t="shared" si="8"/>
        <v>5656.1299999999992</v>
      </c>
      <c r="R18" s="127">
        <f t="shared" si="5"/>
        <v>450.57915984601198</v>
      </c>
      <c r="S18" s="127">
        <f t="shared" si="2"/>
        <v>1074.8431887306836</v>
      </c>
      <c r="T18" s="127">
        <f t="shared" si="2"/>
        <v>450.1743400444613</v>
      </c>
      <c r="U18" s="127">
        <f t="shared" si="2"/>
        <v>5.66257031502467</v>
      </c>
      <c r="V18" s="127">
        <f t="shared" si="2"/>
        <v>1.0574383907173452</v>
      </c>
      <c r="W18" s="127">
        <f t="shared" si="2"/>
        <v>3673.8133026731002</v>
      </c>
      <c r="X18" s="128"/>
      <c r="Y18" s="128"/>
      <c r="Z18" s="127">
        <f t="shared" si="6"/>
        <v>450.57915984601203</v>
      </c>
      <c r="AA18" s="127">
        <f t="shared" si="3"/>
        <v>1074.8431887306838</v>
      </c>
      <c r="AB18" s="127">
        <f t="shared" si="3"/>
        <v>450.17434004446136</v>
      </c>
      <c r="AC18" s="127">
        <f t="shared" si="3"/>
        <v>5.6625703150246709</v>
      </c>
      <c r="AD18" s="127">
        <f t="shared" si="3"/>
        <v>1.0574383907173455</v>
      </c>
      <c r="AE18" s="127">
        <f t="shared" si="3"/>
        <v>3673.8133026731007</v>
      </c>
      <c r="AF18" s="89"/>
    </row>
    <row r="19" spans="1:32" x14ac:dyDescent="0.25">
      <c r="A19" t="s">
        <v>441</v>
      </c>
      <c r="B19" s="142">
        <f>'CU and Skipjack 22'!N19</f>
        <v>469650.04</v>
      </c>
      <c r="C19" s="68">
        <f>B19</f>
        <v>469650.04</v>
      </c>
      <c r="D19" s="68">
        <v>469650.04</v>
      </c>
      <c r="E19" s="68">
        <v>469650.04</v>
      </c>
      <c r="F19" s="68">
        <v>469650.04</v>
      </c>
      <c r="G19" s="68">
        <v>469650.04</v>
      </c>
      <c r="H19" s="68">
        <v>469650.04</v>
      </c>
      <c r="I19" s="68">
        <v>469650.04</v>
      </c>
      <c r="J19" s="68">
        <v>469650.04</v>
      </c>
      <c r="K19" s="68">
        <v>469650.04</v>
      </c>
      <c r="L19" s="68">
        <v>469650.04</v>
      </c>
      <c r="M19" s="68">
        <v>469650.04</v>
      </c>
      <c r="N19" s="68">
        <v>469650.04</v>
      </c>
      <c r="O19" s="68">
        <f t="shared" si="8"/>
        <v>469650.04</v>
      </c>
      <c r="R19" s="124">
        <f t="shared" si="5"/>
        <v>37413.305642700208</v>
      </c>
      <c r="S19" s="124">
        <f t="shared" si="5"/>
        <v>89248.328199863361</v>
      </c>
      <c r="T19" s="124">
        <f t="shared" si="5"/>
        <v>37379.691911051348</v>
      </c>
      <c r="U19" s="124">
        <f t="shared" si="5"/>
        <v>470.18480391259556</v>
      </c>
      <c r="V19" s="124">
        <f t="shared" si="5"/>
        <v>87.803141458547955</v>
      </c>
      <c r="W19" s="124">
        <f t="shared" si="5"/>
        <v>305050.7263010139</v>
      </c>
      <c r="X19" s="125"/>
      <c r="Y19" s="125"/>
      <c r="Z19" s="124">
        <f t="shared" si="6"/>
        <v>37413.305642700208</v>
      </c>
      <c r="AA19" s="124">
        <f t="shared" si="6"/>
        <v>89248.328199863361</v>
      </c>
      <c r="AB19" s="124">
        <f t="shared" si="6"/>
        <v>37379.691911051348</v>
      </c>
      <c r="AC19" s="124">
        <f t="shared" si="6"/>
        <v>470.18480391259556</v>
      </c>
      <c r="AD19" s="124">
        <f t="shared" si="6"/>
        <v>87.803141458547955</v>
      </c>
      <c r="AE19" s="124">
        <f t="shared" si="6"/>
        <v>305050.7263010139</v>
      </c>
    </row>
    <row r="20" spans="1:32" ht="15.75" thickBot="1" x14ac:dyDescent="0.3">
      <c r="A20" s="116" t="s">
        <v>443</v>
      </c>
      <c r="B20" s="117">
        <f t="shared" ref="B20:O20" si="10">B17+B6</f>
        <v>18148520.460000001</v>
      </c>
      <c r="C20" s="117">
        <f t="shared" si="10"/>
        <v>18148520.460000001</v>
      </c>
      <c r="D20" s="117">
        <f t="shared" si="10"/>
        <v>19348520.460000001</v>
      </c>
      <c r="E20" s="117">
        <f t="shared" si="10"/>
        <v>19348520.460000001</v>
      </c>
      <c r="F20" s="117">
        <f t="shared" si="10"/>
        <v>19348520.460000001</v>
      </c>
      <c r="G20" s="117">
        <f t="shared" si="10"/>
        <v>19348520.460000001</v>
      </c>
      <c r="H20" s="117">
        <f t="shared" si="10"/>
        <v>20348520.460000001</v>
      </c>
      <c r="I20" s="117">
        <f t="shared" si="10"/>
        <v>20348520.460000001</v>
      </c>
      <c r="J20" s="117">
        <f t="shared" si="10"/>
        <v>20348520.460000001</v>
      </c>
      <c r="K20" s="117">
        <f t="shared" si="10"/>
        <v>20348520.460000001</v>
      </c>
      <c r="L20" s="117">
        <f t="shared" si="10"/>
        <v>20348520.460000001</v>
      </c>
      <c r="M20" s="117">
        <f t="shared" si="10"/>
        <v>20348520.460000001</v>
      </c>
      <c r="N20" s="117">
        <f t="shared" si="10"/>
        <v>20933520.460000001</v>
      </c>
      <c r="O20" s="117">
        <f t="shared" si="10"/>
        <v>19747366.613846153</v>
      </c>
      <c r="R20" s="129">
        <f t="shared" si="5"/>
        <v>1573116.5758279932</v>
      </c>
      <c r="S20" s="129">
        <f t="shared" si="5"/>
        <v>3752622.818121267</v>
      </c>
      <c r="T20" s="129">
        <f t="shared" si="5"/>
        <v>1571703.2198701624</v>
      </c>
      <c r="U20" s="129">
        <f t="shared" si="5"/>
        <v>19769.851822266191</v>
      </c>
      <c r="V20" s="129">
        <f t="shared" si="5"/>
        <v>3691.8570777282189</v>
      </c>
      <c r="W20" s="129">
        <f t="shared" si="5"/>
        <v>12826462.291126736</v>
      </c>
      <c r="X20" s="125"/>
      <c r="Y20" s="125"/>
      <c r="Z20" s="129">
        <f t="shared" si="6"/>
        <v>1667608.0750417872</v>
      </c>
      <c r="AA20" s="129">
        <f t="shared" si="6"/>
        <v>3978029.4799775481</v>
      </c>
      <c r="AB20" s="129">
        <f t="shared" si="6"/>
        <v>1666109.8238349771</v>
      </c>
      <c r="AC20" s="129">
        <f t="shared" si="6"/>
        <v>20957.356274653797</v>
      </c>
      <c r="AD20" s="129">
        <f t="shared" si="6"/>
        <v>3913.6137583950554</v>
      </c>
      <c r="AE20" s="129">
        <f t="shared" si="6"/>
        <v>13596902.111112639</v>
      </c>
    </row>
    <row r="21" spans="1:32" ht="15.75" thickTop="1" x14ac:dyDescent="0.25"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</row>
    <row r="22" spans="1:32" ht="15.75" x14ac:dyDescent="0.25">
      <c r="A22" s="112" t="s">
        <v>74</v>
      </c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</row>
    <row r="23" spans="1:32" x14ac:dyDescent="0.25">
      <c r="A23" s="116" t="s">
        <v>454</v>
      </c>
      <c r="B23" s="117">
        <f>SUM(B24:B33)</f>
        <v>8256862.253283333</v>
      </c>
      <c r="C23" s="117">
        <f t="shared" ref="C23:O23" si="11">SUM(C24:C33)</f>
        <v>8457245.3995500002</v>
      </c>
      <c r="D23" s="117">
        <f t="shared" si="11"/>
        <v>8660968.5458166674</v>
      </c>
      <c r="E23" s="117">
        <f t="shared" si="11"/>
        <v>8864691.6920833346</v>
      </c>
      <c r="F23" s="117">
        <f t="shared" si="11"/>
        <v>9068414.8383500017</v>
      </c>
      <c r="G23" s="117">
        <f t="shared" si="11"/>
        <v>9272137.984616667</v>
      </c>
      <c r="H23" s="117">
        <f t="shared" si="11"/>
        <v>9478644.4642166663</v>
      </c>
      <c r="I23" s="117">
        <f t="shared" si="11"/>
        <v>9685150.9438166656</v>
      </c>
      <c r="J23" s="117">
        <f t="shared" si="11"/>
        <v>9891657.4234166667</v>
      </c>
      <c r="K23" s="117">
        <f t="shared" si="11"/>
        <v>10098163.903016668</v>
      </c>
      <c r="L23" s="117">
        <f t="shared" si="11"/>
        <v>10304670.382616667</v>
      </c>
      <c r="M23" s="117">
        <f t="shared" si="11"/>
        <v>10511176.862216668</v>
      </c>
      <c r="N23" s="117">
        <f t="shared" si="11"/>
        <v>10719311.591816667</v>
      </c>
      <c r="O23" s="117">
        <f t="shared" si="11"/>
        <v>9482238.1757551264</v>
      </c>
      <c r="R23" s="122">
        <f t="shared" ref="R23:W37" si="12">$O23*R$3</f>
        <v>755374.94907145458</v>
      </c>
      <c r="S23" s="122">
        <f t="shared" si="12"/>
        <v>1801924.4814267815</v>
      </c>
      <c r="T23" s="122">
        <f t="shared" si="12"/>
        <v>754696.28755261307</v>
      </c>
      <c r="U23" s="122">
        <f t="shared" si="12"/>
        <v>9493.0350635548803</v>
      </c>
      <c r="V23" s="122">
        <f t="shared" si="12"/>
        <v>1772.7461492167042</v>
      </c>
      <c r="W23" s="122">
        <f t="shared" si="12"/>
        <v>6158976.6764915055</v>
      </c>
      <c r="X23" s="125"/>
      <c r="Y23" s="125"/>
      <c r="Z23" s="122">
        <f t="shared" ref="Z23:AE37" si="13">$N23*Z$3</f>
        <v>853922.8078506632</v>
      </c>
      <c r="AA23" s="122">
        <f t="shared" si="13"/>
        <v>2037007.4684185137</v>
      </c>
      <c r="AB23" s="122">
        <f t="shared" si="13"/>
        <v>853155.60667400016</v>
      </c>
      <c r="AC23" s="122">
        <f t="shared" si="13"/>
        <v>10731.517065081762</v>
      </c>
      <c r="AD23" s="122">
        <f t="shared" si="13"/>
        <v>2004.0224675261004</v>
      </c>
      <c r="AE23" s="122">
        <f t="shared" si="13"/>
        <v>6962490.1693408815</v>
      </c>
    </row>
    <row r="24" spans="1:32" x14ac:dyDescent="0.25">
      <c r="A24" t="s">
        <v>455</v>
      </c>
      <c r="B24" s="68">
        <f>'CU and Skipjack 22'!N24</f>
        <v>5966.29</v>
      </c>
      <c r="C24" s="68">
        <f>B24+C41</f>
        <v>5966.29</v>
      </c>
      <c r="D24" s="68">
        <f t="shared" ref="D24:N24" si="14">C24+D41</f>
        <v>5966.29</v>
      </c>
      <c r="E24" s="68">
        <f t="shared" si="14"/>
        <v>5966.29</v>
      </c>
      <c r="F24" s="68">
        <f t="shared" si="14"/>
        <v>5966.29</v>
      </c>
      <c r="G24" s="68">
        <f t="shared" si="14"/>
        <v>5966.29</v>
      </c>
      <c r="H24" s="68">
        <f t="shared" si="14"/>
        <v>5966.29</v>
      </c>
      <c r="I24" s="68">
        <f t="shared" si="14"/>
        <v>5966.29</v>
      </c>
      <c r="J24" s="68">
        <f t="shared" si="14"/>
        <v>5966.29</v>
      </c>
      <c r="K24" s="68">
        <f t="shared" si="14"/>
        <v>5966.29</v>
      </c>
      <c r="L24" s="68">
        <f t="shared" si="14"/>
        <v>5966.29</v>
      </c>
      <c r="M24" s="68">
        <f t="shared" si="14"/>
        <v>5966.29</v>
      </c>
      <c r="N24" s="68">
        <f t="shared" si="14"/>
        <v>5966.29</v>
      </c>
      <c r="O24" s="68">
        <f>SUM(B24:N24)/13</f>
        <v>5966.2899999999991</v>
      </c>
      <c r="R24" s="124">
        <f t="shared" si="12"/>
        <v>475.28715492707249</v>
      </c>
      <c r="S24" s="124">
        <f t="shared" si="12"/>
        <v>1133.7833763530878</v>
      </c>
      <c r="T24" s="124">
        <f t="shared" si="12"/>
        <v>474.86013639429592</v>
      </c>
      <c r="U24" s="124">
        <f t="shared" si="12"/>
        <v>5.9730834766578091</v>
      </c>
      <c r="V24" s="124">
        <f t="shared" si="12"/>
        <v>1.1154241674347989</v>
      </c>
      <c r="W24" s="124">
        <f t="shared" si="12"/>
        <v>3875.27082468145</v>
      </c>
      <c r="X24" s="125"/>
      <c r="Y24" s="125"/>
      <c r="Z24" s="124">
        <f t="shared" si="13"/>
        <v>475.28715492707261</v>
      </c>
      <c r="AA24" s="124">
        <f t="shared" si="13"/>
        <v>1133.7833763530878</v>
      </c>
      <c r="AB24" s="124">
        <f t="shared" si="13"/>
        <v>474.86013639429598</v>
      </c>
      <c r="AC24" s="124">
        <f t="shared" si="13"/>
        <v>5.97308347665781</v>
      </c>
      <c r="AD24" s="124">
        <f t="shared" si="13"/>
        <v>1.1154241674347991</v>
      </c>
      <c r="AE24" s="124">
        <f t="shared" si="13"/>
        <v>3875.2708246814504</v>
      </c>
    </row>
    <row r="25" spans="1:32" x14ac:dyDescent="0.25">
      <c r="A25" t="s">
        <v>434</v>
      </c>
      <c r="B25" s="68">
        <f>'CU and Skipjack 22'!N25</f>
        <v>1458050.0800000017</v>
      </c>
      <c r="C25" s="68">
        <f t="shared" ref="C25:N33" si="15">B25+C42</f>
        <v>1479665.9500000018</v>
      </c>
      <c r="D25" s="68">
        <f t="shared" si="15"/>
        <v>1501281.8200000019</v>
      </c>
      <c r="E25" s="68">
        <f t="shared" si="15"/>
        <v>1522897.690000002</v>
      </c>
      <c r="F25" s="68">
        <f t="shared" si="15"/>
        <v>1544513.5600000022</v>
      </c>
      <c r="G25" s="68">
        <f t="shared" si="15"/>
        <v>1566129.4300000023</v>
      </c>
      <c r="H25" s="68">
        <f t="shared" si="15"/>
        <v>1587745.3000000024</v>
      </c>
      <c r="I25" s="68">
        <f t="shared" si="15"/>
        <v>1609361.1700000025</v>
      </c>
      <c r="J25" s="68">
        <f t="shared" si="15"/>
        <v>1630977.0400000026</v>
      </c>
      <c r="K25" s="68">
        <f t="shared" si="15"/>
        <v>1652592.9100000027</v>
      </c>
      <c r="L25" s="68">
        <f t="shared" si="15"/>
        <v>1674208.7800000028</v>
      </c>
      <c r="M25" s="68">
        <f t="shared" si="15"/>
        <v>1695824.6500000029</v>
      </c>
      <c r="N25" s="68">
        <f t="shared" si="15"/>
        <v>1717440.520000003</v>
      </c>
      <c r="O25" s="68">
        <f t="shared" ref="O25:O36" si="16">SUM(B25:N25)/13</f>
        <v>1587745.3000000021</v>
      </c>
      <c r="R25" s="124">
        <f t="shared" si="12"/>
        <v>126483.11536747834</v>
      </c>
      <c r="S25" s="124">
        <f t="shared" si="12"/>
        <v>301721.71098333283</v>
      </c>
      <c r="T25" s="124">
        <f t="shared" si="12"/>
        <v>126369.47746713676</v>
      </c>
      <c r="U25" s="124">
        <f t="shared" si="12"/>
        <v>1589.5531756872547</v>
      </c>
      <c r="V25" s="124">
        <f t="shared" si="12"/>
        <v>296.83596998319189</v>
      </c>
      <c r="W25" s="124">
        <f t="shared" si="12"/>
        <v>1031284.6070363837</v>
      </c>
      <c r="X25" s="125"/>
      <c r="Y25" s="125"/>
      <c r="Z25" s="124">
        <f t="shared" si="13"/>
        <v>136814.90817698662</v>
      </c>
      <c r="AA25" s="124">
        <f t="shared" si="13"/>
        <v>326367.89553494827</v>
      </c>
      <c r="AB25" s="124">
        <f t="shared" si="13"/>
        <v>136691.98774720842</v>
      </c>
      <c r="AC25" s="124">
        <f t="shared" si="13"/>
        <v>1719.3960722919296</v>
      </c>
      <c r="AD25" s="124">
        <f t="shared" si="13"/>
        <v>321.0830620267858</v>
      </c>
      <c r="AE25" s="124">
        <f t="shared" si="13"/>
        <v>1115525.249406541</v>
      </c>
    </row>
    <row r="26" spans="1:32" x14ac:dyDescent="0.25">
      <c r="A26" t="s">
        <v>456</v>
      </c>
      <c r="B26" s="68">
        <f>'CU and Skipjack 22'!N26</f>
        <v>194354.58999999988</v>
      </c>
      <c r="C26" s="68">
        <f t="shared" si="15"/>
        <v>197903.60999999987</v>
      </c>
      <c r="D26" s="68">
        <f t="shared" si="15"/>
        <v>201452.62999999986</v>
      </c>
      <c r="E26" s="68">
        <f t="shared" si="15"/>
        <v>205001.64999999985</v>
      </c>
      <c r="F26" s="68">
        <f t="shared" si="15"/>
        <v>208550.66999999984</v>
      </c>
      <c r="G26" s="68">
        <f t="shared" si="15"/>
        <v>212099.68999999983</v>
      </c>
      <c r="H26" s="68">
        <f t="shared" si="15"/>
        <v>215648.70999999982</v>
      </c>
      <c r="I26" s="68">
        <f t="shared" si="15"/>
        <v>219197.72999999981</v>
      </c>
      <c r="J26" s="68">
        <f t="shared" si="15"/>
        <v>222746.7499999998</v>
      </c>
      <c r="K26" s="68">
        <f t="shared" si="15"/>
        <v>226295.76999999979</v>
      </c>
      <c r="L26" s="68">
        <f t="shared" si="15"/>
        <v>229844.78999999978</v>
      </c>
      <c r="M26" s="68">
        <f t="shared" si="15"/>
        <v>233393.80999999976</v>
      </c>
      <c r="N26" s="68">
        <f t="shared" si="15"/>
        <v>236942.82999999975</v>
      </c>
      <c r="O26" s="68">
        <f t="shared" si="16"/>
        <v>215648.70999999976</v>
      </c>
      <c r="R26" s="124">
        <f t="shared" si="12"/>
        <v>17179.027811184711</v>
      </c>
      <c r="S26" s="124">
        <f t="shared" si="12"/>
        <v>40980.060059096628</v>
      </c>
      <c r="T26" s="124">
        <f t="shared" si="12"/>
        <v>17163.593429728335</v>
      </c>
      <c r="U26" s="124">
        <f t="shared" si="12"/>
        <v>215.89425697771489</v>
      </c>
      <c r="V26" s="124">
        <f t="shared" si="12"/>
        <v>40.316475198178125</v>
      </c>
      <c r="W26" s="124">
        <f t="shared" si="12"/>
        <v>140069.81796781419</v>
      </c>
      <c r="X26" s="125"/>
      <c r="Y26" s="125"/>
      <c r="Z26" s="124">
        <f t="shared" si="13"/>
        <v>18875.362000685334</v>
      </c>
      <c r="AA26" s="124">
        <f t="shared" si="13"/>
        <v>45026.614831001418</v>
      </c>
      <c r="AB26" s="124">
        <f t="shared" si="13"/>
        <v>18858.403559238715</v>
      </c>
      <c r="AC26" s="124">
        <f t="shared" si="13"/>
        <v>237.21262338665051</v>
      </c>
      <c r="AD26" s="124">
        <f t="shared" si="13"/>
        <v>44.297504627229799</v>
      </c>
      <c r="AE26" s="124">
        <f t="shared" si="13"/>
        <v>153900.9394810604</v>
      </c>
    </row>
    <row r="27" spans="1:32" x14ac:dyDescent="0.25">
      <c r="A27" t="s">
        <v>435</v>
      </c>
      <c r="B27" s="68">
        <f>'CU and Skipjack 22'!N27</f>
        <v>555807.1399999999</v>
      </c>
      <c r="C27" s="68">
        <f t="shared" si="15"/>
        <v>566294.61999999988</v>
      </c>
      <c r="D27" s="68">
        <f t="shared" si="15"/>
        <v>576782.09999999986</v>
      </c>
      <c r="E27" s="68">
        <f t="shared" si="15"/>
        <v>587269.57999999984</v>
      </c>
      <c r="F27" s="68">
        <f t="shared" si="15"/>
        <v>597757.05999999982</v>
      </c>
      <c r="G27" s="68">
        <f t="shared" si="15"/>
        <v>608244.5399999998</v>
      </c>
      <c r="H27" s="68">
        <f t="shared" si="15"/>
        <v>618732.01999999979</v>
      </c>
      <c r="I27" s="68">
        <f t="shared" si="15"/>
        <v>629219.49999999977</v>
      </c>
      <c r="J27" s="68">
        <f t="shared" si="15"/>
        <v>639706.97999999975</v>
      </c>
      <c r="K27" s="68">
        <f t="shared" si="15"/>
        <v>650194.45999999973</v>
      </c>
      <c r="L27" s="68">
        <f t="shared" si="15"/>
        <v>660681.93999999971</v>
      </c>
      <c r="M27" s="68">
        <f t="shared" si="15"/>
        <v>671169.41999999969</v>
      </c>
      <c r="N27" s="68">
        <f t="shared" si="15"/>
        <v>681656.89999999967</v>
      </c>
      <c r="O27" s="68">
        <f t="shared" si="16"/>
        <v>618732.01999999979</v>
      </c>
      <c r="R27" s="124">
        <f t="shared" si="12"/>
        <v>49289.488350060165</v>
      </c>
      <c r="S27" s="124">
        <f t="shared" si="12"/>
        <v>117578.6089334186</v>
      </c>
      <c r="T27" s="124">
        <f t="shared" si="12"/>
        <v>49245.20454230655</v>
      </c>
      <c r="U27" s="124">
        <f t="shared" si="12"/>
        <v>619.43653512335277</v>
      </c>
      <c r="V27" s="124">
        <f t="shared" si="12"/>
        <v>115.67467358672664</v>
      </c>
      <c r="W27" s="124">
        <f t="shared" si="12"/>
        <v>401883.60696550435</v>
      </c>
      <c r="X27" s="125"/>
      <c r="Y27" s="125"/>
      <c r="Z27" s="124">
        <f t="shared" si="13"/>
        <v>54302.216056780322</v>
      </c>
      <c r="AA27" s="124">
        <f t="shared" si="13"/>
        <v>129536.32183423515</v>
      </c>
      <c r="AB27" s="124">
        <f t="shared" si="13"/>
        <v>54253.428597690159</v>
      </c>
      <c r="AC27" s="124">
        <f t="shared" si="13"/>
        <v>682.43306412188872</v>
      </c>
      <c r="AD27" s="124">
        <f t="shared" si="13"/>
        <v>127.43875677492809</v>
      </c>
      <c r="AE27" s="124">
        <f t="shared" si="13"/>
        <v>442755.06169039721</v>
      </c>
    </row>
    <row r="28" spans="1:32" x14ac:dyDescent="0.25">
      <c r="A28" t="s">
        <v>457</v>
      </c>
      <c r="B28" s="68">
        <f>'CU and Skipjack 22'!N28</f>
        <v>2682854.9432833325</v>
      </c>
      <c r="C28" s="68">
        <f t="shared" si="15"/>
        <v>2748468.6695499993</v>
      </c>
      <c r="D28" s="68">
        <f t="shared" si="15"/>
        <v>2817422.3958166661</v>
      </c>
      <c r="E28" s="68">
        <f t="shared" si="15"/>
        <v>2886376.1220833329</v>
      </c>
      <c r="F28" s="68">
        <f t="shared" si="15"/>
        <v>2955329.8483499996</v>
      </c>
      <c r="G28" s="68">
        <f t="shared" si="15"/>
        <v>3024283.5746166664</v>
      </c>
      <c r="H28" s="68">
        <f t="shared" si="15"/>
        <v>3096020.6342166662</v>
      </c>
      <c r="I28" s="68">
        <f t="shared" si="15"/>
        <v>3167757.693816666</v>
      </c>
      <c r="J28" s="68">
        <f t="shared" si="15"/>
        <v>3239494.7534166658</v>
      </c>
      <c r="K28" s="68">
        <f t="shared" si="15"/>
        <v>3311231.8130166656</v>
      </c>
      <c r="L28" s="68">
        <f t="shared" si="15"/>
        <v>3382968.8726166654</v>
      </c>
      <c r="M28" s="68">
        <f t="shared" si="15"/>
        <v>3454705.9322166652</v>
      </c>
      <c r="N28" s="68">
        <f t="shared" si="15"/>
        <v>3528071.241816665</v>
      </c>
      <c r="O28" s="68">
        <f t="shared" si="16"/>
        <v>3099614.3457551273</v>
      </c>
      <c r="R28" s="124">
        <f t="shared" si="12"/>
        <v>246921.76943546053</v>
      </c>
      <c r="S28" s="124">
        <f t="shared" si="12"/>
        <v>589024.53925684397</v>
      </c>
      <c r="T28" s="124">
        <f t="shared" si="12"/>
        <v>246699.92424018882</v>
      </c>
      <c r="U28" s="124">
        <f t="shared" si="12"/>
        <v>3103.1437011344506</v>
      </c>
      <c r="V28" s="124">
        <f t="shared" si="12"/>
        <v>579.48654037649396</v>
      </c>
      <c r="W28" s="124">
        <f t="shared" si="12"/>
        <v>2013285.4825811228</v>
      </c>
      <c r="X28" s="125"/>
      <c r="Y28" s="125"/>
      <c r="Z28" s="124">
        <f t="shared" si="13"/>
        <v>281053.54297277983</v>
      </c>
      <c r="AA28" s="124">
        <f t="shared" si="13"/>
        <v>670444.87018920132</v>
      </c>
      <c r="AB28" s="124">
        <f t="shared" si="13"/>
        <v>280801.03231620567</v>
      </c>
      <c r="AC28" s="124">
        <f t="shared" si="13"/>
        <v>3532.0884568076181</v>
      </c>
      <c r="AD28" s="124">
        <f t="shared" si="13"/>
        <v>659.58844232412628</v>
      </c>
      <c r="AE28" s="124">
        <f t="shared" si="13"/>
        <v>2291580.1194393463</v>
      </c>
    </row>
    <row r="29" spans="1:32" x14ac:dyDescent="0.25">
      <c r="A29" t="s">
        <v>436</v>
      </c>
      <c r="B29" s="68">
        <f>'CU and Skipjack 22'!N29</f>
        <v>387464.14</v>
      </c>
      <c r="C29" s="68">
        <f t="shared" si="15"/>
        <v>400461.95</v>
      </c>
      <c r="D29" s="68">
        <f t="shared" si="15"/>
        <v>413459.76</v>
      </c>
      <c r="E29" s="68">
        <f t="shared" si="15"/>
        <v>426457.57</v>
      </c>
      <c r="F29" s="68">
        <f t="shared" si="15"/>
        <v>439455.38</v>
      </c>
      <c r="G29" s="68">
        <f t="shared" si="15"/>
        <v>452453.19</v>
      </c>
      <c r="H29" s="68">
        <f t="shared" si="15"/>
        <v>465451</v>
      </c>
      <c r="I29" s="68">
        <f t="shared" si="15"/>
        <v>478448.81</v>
      </c>
      <c r="J29" s="68">
        <f t="shared" si="15"/>
        <v>491446.62</v>
      </c>
      <c r="K29" s="68">
        <f t="shared" si="15"/>
        <v>504444.43</v>
      </c>
      <c r="L29" s="68">
        <f t="shared" si="15"/>
        <v>517442.24</v>
      </c>
      <c r="M29" s="68">
        <f t="shared" si="15"/>
        <v>530440.05000000005</v>
      </c>
      <c r="N29" s="68">
        <f t="shared" si="15"/>
        <v>543437.8600000001</v>
      </c>
      <c r="O29" s="68">
        <f t="shared" si="16"/>
        <v>465451.00000000006</v>
      </c>
      <c r="R29" s="124">
        <f t="shared" si="12"/>
        <v>37078.801323428946</v>
      </c>
      <c r="S29" s="124">
        <f t="shared" si="12"/>
        <v>88450.378092067462</v>
      </c>
      <c r="T29" s="124">
        <f t="shared" si="12"/>
        <v>37045.488124925454</v>
      </c>
      <c r="U29" s="124">
        <f t="shared" si="12"/>
        <v>465.9809827034648</v>
      </c>
      <c r="V29" s="124">
        <f t="shared" si="12"/>
        <v>87.018112454589826</v>
      </c>
      <c r="W29" s="124">
        <f t="shared" si="12"/>
        <v>302323.3333644201</v>
      </c>
      <c r="X29" s="125"/>
      <c r="Y29" s="125"/>
      <c r="Z29" s="124">
        <f t="shared" si="13"/>
        <v>43291.397897027608</v>
      </c>
      <c r="AA29" s="124">
        <f t="shared" si="13"/>
        <v>103270.34249909018</v>
      </c>
      <c r="AB29" s="124">
        <f t="shared" si="13"/>
        <v>43252.50303311176</v>
      </c>
      <c r="AC29" s="124">
        <f t="shared" si="13"/>
        <v>544.05664192593406</v>
      </c>
      <c r="AD29" s="124">
        <f t="shared" si="13"/>
        <v>101.59809907715666</v>
      </c>
      <c r="AE29" s="124">
        <f t="shared" si="13"/>
        <v>352977.96182976745</v>
      </c>
    </row>
    <row r="30" spans="1:32" x14ac:dyDescent="0.25">
      <c r="A30" t="s">
        <v>437</v>
      </c>
      <c r="B30" s="68">
        <f>'CU and Skipjack 22'!N30</f>
        <v>100453.57999999996</v>
      </c>
      <c r="C30" s="68">
        <f t="shared" si="15"/>
        <v>102049.55999999995</v>
      </c>
      <c r="D30" s="68">
        <f t="shared" si="15"/>
        <v>103645.53999999995</v>
      </c>
      <c r="E30" s="68">
        <f t="shared" si="15"/>
        <v>105241.51999999995</v>
      </c>
      <c r="F30" s="68">
        <f t="shared" si="15"/>
        <v>106837.49999999994</v>
      </c>
      <c r="G30" s="68">
        <f t="shared" si="15"/>
        <v>108433.47999999994</v>
      </c>
      <c r="H30" s="68">
        <f t="shared" si="15"/>
        <v>110029.45999999993</v>
      </c>
      <c r="I30" s="68">
        <f t="shared" si="15"/>
        <v>111625.43999999993</v>
      </c>
      <c r="J30" s="68">
        <f t="shared" si="15"/>
        <v>113221.41999999993</v>
      </c>
      <c r="K30" s="68">
        <f t="shared" si="15"/>
        <v>114817.39999999992</v>
      </c>
      <c r="L30" s="68">
        <f t="shared" si="15"/>
        <v>116413.37999999992</v>
      </c>
      <c r="M30" s="68">
        <f t="shared" si="15"/>
        <v>118009.35999999991</v>
      </c>
      <c r="N30" s="68">
        <f t="shared" si="15"/>
        <v>119605.33999999991</v>
      </c>
      <c r="O30" s="68">
        <f t="shared" si="16"/>
        <v>110029.45999999993</v>
      </c>
      <c r="R30" s="124">
        <f t="shared" si="12"/>
        <v>8765.1771874250335</v>
      </c>
      <c r="S30" s="124">
        <f t="shared" si="12"/>
        <v>20909.069565359201</v>
      </c>
      <c r="T30" s="124">
        <f t="shared" si="12"/>
        <v>8757.302173208258</v>
      </c>
      <c r="U30" s="124">
        <f t="shared" si="12"/>
        <v>110.154744317085</v>
      </c>
      <c r="V30" s="124">
        <f t="shared" si="12"/>
        <v>20.570491681396724</v>
      </c>
      <c r="W30" s="124">
        <f t="shared" si="12"/>
        <v>71467.185838008954</v>
      </c>
      <c r="X30" s="125"/>
      <c r="Y30" s="125"/>
      <c r="Z30" s="124">
        <f t="shared" si="13"/>
        <v>9528.0118403036304</v>
      </c>
      <c r="AA30" s="124">
        <f t="shared" si="13"/>
        <v>22728.788948418351</v>
      </c>
      <c r="AB30" s="124">
        <f t="shared" si="13"/>
        <v>9519.4514624475341</v>
      </c>
      <c r="AC30" s="124">
        <f t="shared" si="13"/>
        <v>119.74152782952872</v>
      </c>
      <c r="AD30" s="124">
        <f t="shared" si="13"/>
        <v>22.360744581684092</v>
      </c>
      <c r="AE30" s="124">
        <f t="shared" si="13"/>
        <v>77686.98547641917</v>
      </c>
    </row>
    <row r="31" spans="1:32" x14ac:dyDescent="0.25">
      <c r="A31" t="s">
        <v>438</v>
      </c>
      <c r="B31" s="68">
        <f>'CU and Skipjack 22'!N31</f>
        <v>1768501.3299999991</v>
      </c>
      <c r="C31" s="68">
        <f t="shared" si="15"/>
        <v>1833399.9899999991</v>
      </c>
      <c r="D31" s="68">
        <f t="shared" si="15"/>
        <v>1898298.649999999</v>
      </c>
      <c r="E31" s="68">
        <f t="shared" si="15"/>
        <v>1963197.3099999989</v>
      </c>
      <c r="F31" s="68">
        <f t="shared" si="15"/>
        <v>2028095.9699999988</v>
      </c>
      <c r="G31" s="68">
        <f t="shared" si="15"/>
        <v>2092994.6299999987</v>
      </c>
      <c r="H31" s="68">
        <f t="shared" si="15"/>
        <v>2157893.2899999986</v>
      </c>
      <c r="I31" s="68">
        <f t="shared" si="15"/>
        <v>2222791.9499999988</v>
      </c>
      <c r="J31" s="68">
        <f t="shared" si="15"/>
        <v>2287690.6099999989</v>
      </c>
      <c r="K31" s="68">
        <f t="shared" si="15"/>
        <v>2352589.2699999991</v>
      </c>
      <c r="L31" s="68">
        <f t="shared" si="15"/>
        <v>2417487.9299999992</v>
      </c>
      <c r="M31" s="68">
        <f t="shared" si="15"/>
        <v>2482386.5899999994</v>
      </c>
      <c r="N31" s="68">
        <f t="shared" si="15"/>
        <v>2547285.2499999995</v>
      </c>
      <c r="O31" s="68">
        <f t="shared" si="16"/>
        <v>2157893.2899999991</v>
      </c>
      <c r="R31" s="124">
        <f t="shared" si="12"/>
        <v>171902.29815183638</v>
      </c>
      <c r="S31" s="124">
        <f t="shared" si="12"/>
        <v>410067.82106566592</v>
      </c>
      <c r="T31" s="124">
        <f t="shared" si="12"/>
        <v>171747.85369362461</v>
      </c>
      <c r="U31" s="124">
        <f t="shared" si="12"/>
        <v>2160.3503609260956</v>
      </c>
      <c r="V31" s="124">
        <f t="shared" si="12"/>
        <v>403.42764538957857</v>
      </c>
      <c r="W31" s="124">
        <f t="shared" si="12"/>
        <v>1401611.5390825565</v>
      </c>
      <c r="X31" s="125"/>
      <c r="Y31" s="125"/>
      <c r="Z31" s="124">
        <f t="shared" si="13"/>
        <v>202922.07707975921</v>
      </c>
      <c r="AA31" s="124">
        <f t="shared" si="13"/>
        <v>484064.58138632536</v>
      </c>
      <c r="AB31" s="124">
        <f t="shared" si="13"/>
        <v>202739.76311077373</v>
      </c>
      <c r="AC31" s="124">
        <f t="shared" si="13"/>
        <v>2550.1856995065873</v>
      </c>
      <c r="AD31" s="124">
        <f t="shared" si="13"/>
        <v>476.22618565309324</v>
      </c>
      <c r="AE31" s="124">
        <f t="shared" si="13"/>
        <v>1654532.4165379815</v>
      </c>
    </row>
    <row r="32" spans="1:32" x14ac:dyDescent="0.25">
      <c r="A32" t="s">
        <v>458</v>
      </c>
      <c r="B32" s="68">
        <f>'CU and Skipjack 22'!N32</f>
        <v>837055.02000000014</v>
      </c>
      <c r="C32" s="68">
        <f t="shared" si="15"/>
        <v>852122.79000000015</v>
      </c>
      <c r="D32" s="68">
        <f t="shared" si="15"/>
        <v>867190.56000000017</v>
      </c>
      <c r="E32" s="68">
        <f t="shared" si="15"/>
        <v>882258.33000000019</v>
      </c>
      <c r="F32" s="68">
        <f t="shared" si="15"/>
        <v>897326.10000000021</v>
      </c>
      <c r="G32" s="68">
        <f t="shared" si="15"/>
        <v>912393.87000000023</v>
      </c>
      <c r="H32" s="68">
        <f t="shared" si="15"/>
        <v>927461.64000000025</v>
      </c>
      <c r="I32" s="68">
        <f t="shared" si="15"/>
        <v>942529.41000000027</v>
      </c>
      <c r="J32" s="68">
        <f t="shared" si="15"/>
        <v>957597.18000000028</v>
      </c>
      <c r="K32" s="68">
        <f t="shared" si="15"/>
        <v>972664.9500000003</v>
      </c>
      <c r="L32" s="68">
        <f t="shared" si="15"/>
        <v>987732.72000000032</v>
      </c>
      <c r="M32" s="68">
        <f t="shared" si="15"/>
        <v>1002800.4900000003</v>
      </c>
      <c r="N32" s="68">
        <f t="shared" si="15"/>
        <v>1017868.2600000004</v>
      </c>
      <c r="O32" s="68">
        <f t="shared" si="16"/>
        <v>927461.64000000036</v>
      </c>
      <c r="R32" s="124">
        <f t="shared" si="12"/>
        <v>73883.536365077292</v>
      </c>
      <c r="S32" s="124">
        <f t="shared" si="12"/>
        <v>176246.97921776725</v>
      </c>
      <c r="T32" s="124">
        <f t="shared" si="12"/>
        <v>73817.156201069272</v>
      </c>
      <c r="U32" s="124">
        <f t="shared" si="12"/>
        <v>928.51768806376435</v>
      </c>
      <c r="V32" s="124">
        <f t="shared" si="12"/>
        <v>173.39303446944646</v>
      </c>
      <c r="W32" s="124">
        <f t="shared" si="12"/>
        <v>602412.05749355326</v>
      </c>
      <c r="X32" s="125"/>
      <c r="Y32" s="125"/>
      <c r="Z32" s="124">
        <f t="shared" si="13"/>
        <v>81085.517027494468</v>
      </c>
      <c r="AA32" s="124">
        <f t="shared" si="13"/>
        <v>193427.08995128347</v>
      </c>
      <c r="AB32" s="124">
        <f t="shared" si="13"/>
        <v>81012.666292624883</v>
      </c>
      <c r="AC32" s="124">
        <f t="shared" si="13"/>
        <v>1019.0272489638348</v>
      </c>
      <c r="AD32" s="124">
        <f t="shared" si="13"/>
        <v>190.29494987149604</v>
      </c>
      <c r="AE32" s="124">
        <f t="shared" si="13"/>
        <v>661133.66452976211</v>
      </c>
    </row>
    <row r="33" spans="1:31" x14ac:dyDescent="0.25">
      <c r="A33" t="s">
        <v>441</v>
      </c>
      <c r="B33" s="68">
        <f>'CU and Skipjack 22'!N33</f>
        <v>266355.1399999999</v>
      </c>
      <c r="C33" s="68">
        <f t="shared" si="15"/>
        <v>270911.96999999991</v>
      </c>
      <c r="D33" s="68">
        <f t="shared" si="15"/>
        <v>275468.79999999993</v>
      </c>
      <c r="E33" s="68">
        <f t="shared" si="15"/>
        <v>280025.62999999995</v>
      </c>
      <c r="F33" s="68">
        <f t="shared" si="15"/>
        <v>284582.45999999996</v>
      </c>
      <c r="G33" s="68">
        <f t="shared" si="15"/>
        <v>289139.28999999998</v>
      </c>
      <c r="H33" s="68">
        <f t="shared" si="15"/>
        <v>293696.12</v>
      </c>
      <c r="I33" s="68">
        <f t="shared" si="15"/>
        <v>298252.95</v>
      </c>
      <c r="J33" s="68">
        <f t="shared" si="15"/>
        <v>302809.78000000003</v>
      </c>
      <c r="K33" s="68">
        <f t="shared" si="15"/>
        <v>307366.61000000004</v>
      </c>
      <c r="L33" s="68">
        <f t="shared" si="15"/>
        <v>311923.44000000006</v>
      </c>
      <c r="M33" s="68">
        <f t="shared" si="15"/>
        <v>316480.27000000008</v>
      </c>
      <c r="N33" s="68">
        <f t="shared" si="15"/>
        <v>321037.10000000009</v>
      </c>
      <c r="O33" s="68">
        <f t="shared" si="16"/>
        <v>293696.12</v>
      </c>
      <c r="R33" s="124">
        <f t="shared" si="12"/>
        <v>23396.44792457626</v>
      </c>
      <c r="S33" s="124">
        <f t="shared" si="12"/>
        <v>55811.530876876859</v>
      </c>
      <c r="T33" s="124">
        <f t="shared" si="12"/>
        <v>23375.427544030797</v>
      </c>
      <c r="U33" s="124">
        <f t="shared" si="12"/>
        <v>294.03053514504148</v>
      </c>
      <c r="V33" s="124">
        <f t="shared" si="12"/>
        <v>54.907781909667627</v>
      </c>
      <c r="W33" s="124">
        <f t="shared" si="12"/>
        <v>190763.77533746135</v>
      </c>
      <c r="X33" s="125"/>
      <c r="Y33" s="125"/>
      <c r="Z33" s="124">
        <f t="shared" si="13"/>
        <v>25574.48764391911</v>
      </c>
      <c r="AA33" s="124">
        <f t="shared" si="13"/>
        <v>61007.17986765712</v>
      </c>
      <c r="AB33" s="124">
        <f t="shared" si="13"/>
        <v>25551.510418305057</v>
      </c>
      <c r="AC33" s="124">
        <f t="shared" si="13"/>
        <v>321.40264677113277</v>
      </c>
      <c r="AD33" s="124">
        <f t="shared" si="13"/>
        <v>60.019298422165612</v>
      </c>
      <c r="AE33" s="124">
        <f t="shared" si="13"/>
        <v>208522.50012492549</v>
      </c>
    </row>
    <row r="34" spans="1:31" x14ac:dyDescent="0.25">
      <c r="A34" s="116" t="s">
        <v>459</v>
      </c>
      <c r="B34" s="117">
        <f t="shared" ref="B34:O34" si="17">SUM(B35:B36)</f>
        <v>340974.46999999986</v>
      </c>
      <c r="C34" s="117">
        <f t="shared" si="17"/>
        <v>346707.23999999982</v>
      </c>
      <c r="D34" s="117">
        <f t="shared" si="17"/>
        <v>352440.00999999983</v>
      </c>
      <c r="E34" s="117">
        <f t="shared" si="17"/>
        <v>358172.7799999998</v>
      </c>
      <c r="F34" s="117">
        <f t="shared" si="17"/>
        <v>363905.54999999981</v>
      </c>
      <c r="G34" s="117">
        <f t="shared" si="17"/>
        <v>369638.31999999977</v>
      </c>
      <c r="H34" s="117">
        <f t="shared" si="17"/>
        <v>375371.08999999979</v>
      </c>
      <c r="I34" s="117">
        <f t="shared" si="17"/>
        <v>381103.85999999975</v>
      </c>
      <c r="J34" s="117">
        <f t="shared" si="17"/>
        <v>386836.62999999977</v>
      </c>
      <c r="K34" s="117">
        <f t="shared" si="17"/>
        <v>392569.39999999973</v>
      </c>
      <c r="L34" s="117">
        <f t="shared" si="17"/>
        <v>398302.16999999975</v>
      </c>
      <c r="M34" s="117">
        <f t="shared" si="17"/>
        <v>404034.93999999971</v>
      </c>
      <c r="N34" s="117">
        <f t="shared" si="17"/>
        <v>409767.70999999973</v>
      </c>
      <c r="O34" s="117">
        <f t="shared" si="17"/>
        <v>375371.08999999979</v>
      </c>
      <c r="R34" s="126">
        <f t="shared" si="12"/>
        <v>29902.847063748832</v>
      </c>
      <c r="S34" s="126">
        <f t="shared" si="12"/>
        <v>71332.352568436763</v>
      </c>
      <c r="T34" s="126">
        <f t="shared" si="12"/>
        <v>29875.981052861232</v>
      </c>
      <c r="U34" s="126">
        <f t="shared" si="12"/>
        <v>375.79850380957527</v>
      </c>
      <c r="V34" s="126">
        <f t="shared" si="12"/>
        <v>70.177276924578393</v>
      </c>
      <c r="W34" s="126">
        <f t="shared" si="12"/>
        <v>243813.93353421878</v>
      </c>
      <c r="X34" s="125"/>
      <c r="Y34" s="125"/>
      <c r="Z34" s="126">
        <f t="shared" si="13"/>
        <v>32642.953840138784</v>
      </c>
      <c r="AA34" s="126">
        <f t="shared" si="13"/>
        <v>77868.795811848351</v>
      </c>
      <c r="AB34" s="126">
        <f t="shared" si="13"/>
        <v>32613.625998833144</v>
      </c>
      <c r="AC34" s="126">
        <f t="shared" si="13"/>
        <v>410.23428929349859</v>
      </c>
      <c r="AD34" s="126">
        <f t="shared" si="13"/>
        <v>76.607876380198405</v>
      </c>
      <c r="AE34" s="126">
        <f t="shared" si="13"/>
        <v>266155.49218350573</v>
      </c>
    </row>
    <row r="35" spans="1:31" x14ac:dyDescent="0.25">
      <c r="A35" t="s">
        <v>435</v>
      </c>
      <c r="B35" s="68">
        <f>'CU and Skipjack 22'!N35</f>
        <v>6244.4500000000035</v>
      </c>
      <c r="C35" s="68">
        <f t="shared" ref="C35:N35" si="18">B35+C52</f>
        <v>6293.9200000000037</v>
      </c>
      <c r="D35" s="68">
        <f t="shared" si="18"/>
        <v>6343.390000000004</v>
      </c>
      <c r="E35" s="68">
        <f t="shared" si="18"/>
        <v>6392.8600000000042</v>
      </c>
      <c r="F35" s="68">
        <f t="shared" si="18"/>
        <v>6442.3300000000045</v>
      </c>
      <c r="G35" s="68">
        <f t="shared" si="18"/>
        <v>6491.8000000000047</v>
      </c>
      <c r="H35" s="68">
        <f t="shared" si="18"/>
        <v>6541.270000000005</v>
      </c>
      <c r="I35" s="68">
        <f t="shared" si="18"/>
        <v>6590.7400000000052</v>
      </c>
      <c r="J35" s="68">
        <f t="shared" si="18"/>
        <v>6640.2100000000055</v>
      </c>
      <c r="K35" s="68">
        <f t="shared" si="18"/>
        <v>6689.6800000000057</v>
      </c>
      <c r="L35" s="68">
        <f t="shared" si="18"/>
        <v>6739.150000000006</v>
      </c>
      <c r="M35" s="68">
        <f t="shared" si="18"/>
        <v>6788.6200000000063</v>
      </c>
      <c r="N35" s="68">
        <f t="shared" si="18"/>
        <v>6838.0900000000065</v>
      </c>
      <c r="O35" s="68">
        <f t="shared" si="16"/>
        <v>6541.270000000005</v>
      </c>
      <c r="R35" s="124">
        <f t="shared" si="12"/>
        <v>521.091265746354</v>
      </c>
      <c r="S35" s="124">
        <f t="shared" si="12"/>
        <v>1243.0477208176553</v>
      </c>
      <c r="T35" s="124">
        <f t="shared" si="12"/>
        <v>520.62309481971522</v>
      </c>
      <c r="U35" s="124">
        <f t="shared" si="12"/>
        <v>6.5487181738328957</v>
      </c>
      <c r="V35" s="124">
        <f t="shared" si="12"/>
        <v>1.2229192083717408</v>
      </c>
      <c r="W35" s="124">
        <f t="shared" si="12"/>
        <v>4248.7362812340752</v>
      </c>
      <c r="X35" s="125"/>
      <c r="Y35" s="125"/>
      <c r="Z35" s="124">
        <f t="shared" si="13"/>
        <v>544.7365684931957</v>
      </c>
      <c r="AA35" s="124">
        <f t="shared" si="13"/>
        <v>1299.4528874738396</v>
      </c>
      <c r="AB35" s="124">
        <f t="shared" si="13"/>
        <v>544.24715360407799</v>
      </c>
      <c r="AC35" s="124">
        <f t="shared" si="13"/>
        <v>6.8458761459632447</v>
      </c>
      <c r="AD35" s="124">
        <f t="shared" si="13"/>
        <v>1.2784110133926163</v>
      </c>
      <c r="AE35" s="124">
        <f t="shared" si="13"/>
        <v>4441.5291032695368</v>
      </c>
    </row>
    <row r="36" spans="1:31" x14ac:dyDescent="0.25">
      <c r="A36" t="s">
        <v>441</v>
      </c>
      <c r="B36" s="68">
        <f>'CU and Skipjack 22'!N36</f>
        <v>334730.01999999984</v>
      </c>
      <c r="C36" s="68">
        <f t="shared" ref="C36:N36" si="19">B36+C53</f>
        <v>340413.31999999983</v>
      </c>
      <c r="D36" s="68">
        <f t="shared" si="19"/>
        <v>346096.61999999982</v>
      </c>
      <c r="E36" s="68">
        <f t="shared" si="19"/>
        <v>351779.91999999981</v>
      </c>
      <c r="F36" s="68">
        <f t="shared" si="19"/>
        <v>357463.2199999998</v>
      </c>
      <c r="G36" s="68">
        <f t="shared" si="19"/>
        <v>363146.51999999979</v>
      </c>
      <c r="H36" s="68">
        <f t="shared" si="19"/>
        <v>368829.81999999977</v>
      </c>
      <c r="I36" s="68">
        <f t="shared" si="19"/>
        <v>374513.11999999976</v>
      </c>
      <c r="J36" s="68">
        <f t="shared" si="19"/>
        <v>380196.41999999975</v>
      </c>
      <c r="K36" s="68">
        <f t="shared" si="19"/>
        <v>385879.71999999974</v>
      </c>
      <c r="L36" s="68">
        <f t="shared" si="19"/>
        <v>391563.01999999973</v>
      </c>
      <c r="M36" s="68">
        <f t="shared" si="19"/>
        <v>397246.31999999972</v>
      </c>
      <c r="N36" s="68">
        <f t="shared" si="19"/>
        <v>402929.6199999997</v>
      </c>
      <c r="O36" s="68">
        <f t="shared" si="16"/>
        <v>368829.81999999977</v>
      </c>
      <c r="R36" s="124">
        <f t="shared" si="12"/>
        <v>29381.755798002476</v>
      </c>
      <c r="S36" s="124">
        <f t="shared" si="12"/>
        <v>70089.304847619103</v>
      </c>
      <c r="T36" s="124">
        <f t="shared" si="12"/>
        <v>29355.357958041517</v>
      </c>
      <c r="U36" s="124">
        <f t="shared" si="12"/>
        <v>369.24978563574234</v>
      </c>
      <c r="V36" s="124">
        <f t="shared" si="12"/>
        <v>68.954357716206644</v>
      </c>
      <c r="W36" s="124">
        <f t="shared" si="12"/>
        <v>239565.19725298471</v>
      </c>
      <c r="X36" s="125"/>
      <c r="Y36" s="125"/>
      <c r="Z36" s="124">
        <f t="shared" si="13"/>
        <v>32098.217271645586</v>
      </c>
      <c r="AA36" s="124">
        <f t="shared" si="13"/>
        <v>76569.342924374505</v>
      </c>
      <c r="AB36" s="124">
        <f t="shared" si="13"/>
        <v>32069.378845229061</v>
      </c>
      <c r="AC36" s="124">
        <f t="shared" si="13"/>
        <v>403.38841314753535</v>
      </c>
      <c r="AD36" s="124">
        <f t="shared" si="13"/>
        <v>75.329465366805778</v>
      </c>
      <c r="AE36" s="124">
        <f t="shared" si="13"/>
        <v>261713.96308023619</v>
      </c>
    </row>
    <row r="37" spans="1:31" ht="15.75" thickBot="1" x14ac:dyDescent="0.3">
      <c r="A37" s="116" t="s">
        <v>443</v>
      </c>
      <c r="B37" s="117">
        <f t="shared" ref="B37:O37" si="20">B34+B23</f>
        <v>8597836.7232833337</v>
      </c>
      <c r="C37" s="117">
        <f t="shared" si="20"/>
        <v>8803952.6395500004</v>
      </c>
      <c r="D37" s="117">
        <f t="shared" si="20"/>
        <v>9013408.5558166672</v>
      </c>
      <c r="E37" s="117">
        <f t="shared" si="20"/>
        <v>9222864.4720833339</v>
      </c>
      <c r="F37" s="117">
        <f t="shared" si="20"/>
        <v>9432320.3883500025</v>
      </c>
      <c r="G37" s="117">
        <f t="shared" si="20"/>
        <v>9641776.3046166673</v>
      </c>
      <c r="H37" s="117">
        <f t="shared" si="20"/>
        <v>9854015.5542166661</v>
      </c>
      <c r="I37" s="117">
        <f t="shared" si="20"/>
        <v>10066254.803816665</v>
      </c>
      <c r="J37" s="117">
        <f t="shared" si="20"/>
        <v>10278494.053416666</v>
      </c>
      <c r="K37" s="117">
        <f t="shared" si="20"/>
        <v>10490733.303016668</v>
      </c>
      <c r="L37" s="117">
        <f t="shared" si="20"/>
        <v>10702972.552616667</v>
      </c>
      <c r="M37" s="117">
        <f t="shared" si="20"/>
        <v>10915211.802216668</v>
      </c>
      <c r="N37" s="117">
        <f t="shared" si="20"/>
        <v>11129079.301816666</v>
      </c>
      <c r="O37" s="117">
        <f t="shared" si="20"/>
        <v>9857609.2657551263</v>
      </c>
      <c r="R37" s="129">
        <f t="shared" si="12"/>
        <v>785277.79613520345</v>
      </c>
      <c r="S37" s="129">
        <f t="shared" si="12"/>
        <v>1873256.8339952182</v>
      </c>
      <c r="T37" s="129">
        <f t="shared" si="12"/>
        <v>784572.26860547427</v>
      </c>
      <c r="U37" s="129">
        <f t="shared" si="12"/>
        <v>9868.833567364456</v>
      </c>
      <c r="V37" s="129">
        <f t="shared" si="12"/>
        <v>1842.9234261412826</v>
      </c>
      <c r="W37" s="129">
        <f t="shared" si="12"/>
        <v>6402790.6100257244</v>
      </c>
      <c r="X37" s="125"/>
      <c r="Y37" s="125"/>
      <c r="Z37" s="129">
        <f t="shared" si="13"/>
        <v>886565.76169080194</v>
      </c>
      <c r="AA37" s="129">
        <f t="shared" si="13"/>
        <v>2114876.2642303617</v>
      </c>
      <c r="AB37" s="129">
        <f t="shared" si="13"/>
        <v>885769.23267283326</v>
      </c>
      <c r="AC37" s="129">
        <f t="shared" si="13"/>
        <v>11141.751354375261</v>
      </c>
      <c r="AD37" s="129">
        <f t="shared" si="13"/>
        <v>2080.6303439062985</v>
      </c>
      <c r="AE37" s="129">
        <f t="shared" si="13"/>
        <v>7228645.6615243871</v>
      </c>
    </row>
    <row r="38" spans="1:31" ht="15.75" thickTop="1" x14ac:dyDescent="0.25"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</row>
    <row r="39" spans="1:31" ht="15.75" x14ac:dyDescent="0.25">
      <c r="A39" s="112" t="s">
        <v>460</v>
      </c>
      <c r="O39" s="119" t="s">
        <v>32</v>
      </c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</row>
    <row r="40" spans="1:31" x14ac:dyDescent="0.25">
      <c r="A40" s="116" t="s">
        <v>454</v>
      </c>
      <c r="B40" s="117"/>
      <c r="C40" s="117">
        <f t="shared" ref="C40:O40" si="21">SUM(C41:C50)</f>
        <v>200383.14626666665</v>
      </c>
      <c r="D40" s="117">
        <f t="shared" si="21"/>
        <v>203723.14626666665</v>
      </c>
      <c r="E40" s="117">
        <f t="shared" si="21"/>
        <v>203723.14626666665</v>
      </c>
      <c r="F40" s="117">
        <f t="shared" si="21"/>
        <v>203723.14626666665</v>
      </c>
      <c r="G40" s="117">
        <f t="shared" si="21"/>
        <v>203723.14626666665</v>
      </c>
      <c r="H40" s="117">
        <f t="shared" si="21"/>
        <v>206506.47959999996</v>
      </c>
      <c r="I40" s="117">
        <f t="shared" si="21"/>
        <v>206506.47959999996</v>
      </c>
      <c r="J40" s="117">
        <f t="shared" si="21"/>
        <v>206506.47959999996</v>
      </c>
      <c r="K40" s="117">
        <f t="shared" si="21"/>
        <v>206506.47959999996</v>
      </c>
      <c r="L40" s="117">
        <f t="shared" si="21"/>
        <v>206506.47959999996</v>
      </c>
      <c r="M40" s="117">
        <f t="shared" si="21"/>
        <v>206506.47959999996</v>
      </c>
      <c r="N40" s="117">
        <f t="shared" si="21"/>
        <v>208134.72959999996</v>
      </c>
      <c r="O40" s="117">
        <f t="shared" si="21"/>
        <v>2462449.3385333335</v>
      </c>
      <c r="R40" s="125"/>
      <c r="S40" s="125"/>
      <c r="T40" s="125"/>
      <c r="U40" s="125"/>
      <c r="V40" s="125"/>
      <c r="W40" s="125"/>
      <c r="X40" s="125"/>
      <c r="Y40" s="125"/>
      <c r="Z40" s="122">
        <f>$O40*Z$3</f>
        <v>196163.87072427923</v>
      </c>
      <c r="AA40" s="122">
        <f t="shared" ref="AA40:AE54" si="22">$O40*AA$3</f>
        <v>467943.08106725465</v>
      </c>
      <c r="AB40" s="122">
        <f t="shared" si="22"/>
        <v>195987.62862012786</v>
      </c>
      <c r="AC40" s="122">
        <f t="shared" si="22"/>
        <v>2465.2531901902871</v>
      </c>
      <c r="AD40" s="122">
        <f t="shared" si="22"/>
        <v>460.36573872270964</v>
      </c>
      <c r="AE40" s="122">
        <f t="shared" si="22"/>
        <v>1599429.1391927586</v>
      </c>
    </row>
    <row r="41" spans="1:31" x14ac:dyDescent="0.25">
      <c r="A41" t="s">
        <v>455</v>
      </c>
      <c r="B41" s="118"/>
      <c r="C41" s="118">
        <f>'CU and Skipjack 22'!C41</f>
        <v>0</v>
      </c>
      <c r="D41" s="118">
        <f>C41</f>
        <v>0</v>
      </c>
      <c r="E41" s="118">
        <f t="shared" ref="E41:N41" si="23">D41</f>
        <v>0</v>
      </c>
      <c r="F41" s="118">
        <f t="shared" si="23"/>
        <v>0</v>
      </c>
      <c r="G41" s="118">
        <f t="shared" si="23"/>
        <v>0</v>
      </c>
      <c r="H41" s="118">
        <f t="shared" si="23"/>
        <v>0</v>
      </c>
      <c r="I41" s="118">
        <f t="shared" si="23"/>
        <v>0</v>
      </c>
      <c r="J41" s="118">
        <f t="shared" si="23"/>
        <v>0</v>
      </c>
      <c r="K41" s="118">
        <f t="shared" si="23"/>
        <v>0</v>
      </c>
      <c r="L41" s="118">
        <f t="shared" si="23"/>
        <v>0</v>
      </c>
      <c r="M41" s="118">
        <f t="shared" si="23"/>
        <v>0</v>
      </c>
      <c r="N41" s="118">
        <f t="shared" si="23"/>
        <v>0</v>
      </c>
      <c r="O41" s="118">
        <f>SUM(C41:N41)</f>
        <v>0</v>
      </c>
      <c r="P41" s="118"/>
      <c r="Q41" s="118"/>
      <c r="R41" s="124"/>
      <c r="S41" s="124"/>
      <c r="T41" s="124"/>
      <c r="U41" s="124"/>
      <c r="V41" s="124"/>
      <c r="W41" s="124"/>
      <c r="X41" s="125"/>
      <c r="Y41" s="125"/>
      <c r="Z41" s="124">
        <f t="shared" ref="Z41:Z54" si="24">$O41*Z$3</f>
        <v>0</v>
      </c>
      <c r="AA41" s="124">
        <f t="shared" si="22"/>
        <v>0</v>
      </c>
      <c r="AB41" s="124">
        <f t="shared" si="22"/>
        <v>0</v>
      </c>
      <c r="AC41" s="124">
        <f t="shared" si="22"/>
        <v>0</v>
      </c>
      <c r="AD41" s="124">
        <f t="shared" si="22"/>
        <v>0</v>
      </c>
      <c r="AE41" s="124">
        <f t="shared" si="22"/>
        <v>0</v>
      </c>
    </row>
    <row r="42" spans="1:31" x14ac:dyDescent="0.25">
      <c r="A42" t="s">
        <v>434</v>
      </c>
      <c r="B42" s="118"/>
      <c r="C42" s="118">
        <f>'CU and Skipjack 22'!C42</f>
        <v>21615.870000000003</v>
      </c>
      <c r="D42" s="118">
        <f t="shared" ref="D42:N50" si="25">C42</f>
        <v>21615.870000000003</v>
      </c>
      <c r="E42" s="118">
        <f t="shared" si="25"/>
        <v>21615.870000000003</v>
      </c>
      <c r="F42" s="118">
        <f t="shared" si="25"/>
        <v>21615.870000000003</v>
      </c>
      <c r="G42" s="118">
        <f t="shared" si="25"/>
        <v>21615.870000000003</v>
      </c>
      <c r="H42" s="118">
        <f t="shared" si="25"/>
        <v>21615.870000000003</v>
      </c>
      <c r="I42" s="118">
        <f t="shared" si="25"/>
        <v>21615.870000000003</v>
      </c>
      <c r="J42" s="118">
        <f t="shared" si="25"/>
        <v>21615.870000000003</v>
      </c>
      <c r="K42" s="118">
        <f t="shared" si="25"/>
        <v>21615.870000000003</v>
      </c>
      <c r="L42" s="118">
        <f t="shared" si="25"/>
        <v>21615.870000000003</v>
      </c>
      <c r="M42" s="118">
        <f t="shared" si="25"/>
        <v>21615.870000000003</v>
      </c>
      <c r="N42" s="118">
        <f t="shared" si="25"/>
        <v>21615.870000000003</v>
      </c>
      <c r="O42" s="118">
        <f t="shared" ref="O42:O53" si="26">SUM(C42:N42)</f>
        <v>259390.43999999997</v>
      </c>
      <c r="P42" s="118"/>
      <c r="Q42" s="118"/>
      <c r="R42" s="125"/>
      <c r="S42" s="125"/>
      <c r="T42" s="125"/>
      <c r="U42" s="125"/>
      <c r="V42" s="125"/>
      <c r="W42" s="125"/>
      <c r="X42" s="125"/>
      <c r="Y42" s="125"/>
      <c r="Z42" s="124">
        <f t="shared" si="24"/>
        <v>20663.585619016427</v>
      </c>
      <c r="AA42" s="124">
        <f t="shared" si="22"/>
        <v>49292.369103230485</v>
      </c>
      <c r="AB42" s="124">
        <f t="shared" si="22"/>
        <v>20645.020560143144</v>
      </c>
      <c r="AC42" s="124">
        <f t="shared" si="22"/>
        <v>259.68579320934771</v>
      </c>
      <c r="AD42" s="124">
        <f t="shared" si="22"/>
        <v>48.494184087187548</v>
      </c>
      <c r="AE42" s="124">
        <f t="shared" si="22"/>
        <v>168481.28474031336</v>
      </c>
    </row>
    <row r="43" spans="1:31" x14ac:dyDescent="0.25">
      <c r="A43" t="s">
        <v>456</v>
      </c>
      <c r="B43" s="118"/>
      <c r="C43" s="118">
        <f>'CU and Skipjack 22'!C43</f>
        <v>3549.02</v>
      </c>
      <c r="D43" s="118">
        <f t="shared" si="25"/>
        <v>3549.02</v>
      </c>
      <c r="E43" s="118">
        <f t="shared" si="25"/>
        <v>3549.02</v>
      </c>
      <c r="F43" s="118">
        <f t="shared" si="25"/>
        <v>3549.02</v>
      </c>
      <c r="G43" s="118">
        <f t="shared" si="25"/>
        <v>3549.02</v>
      </c>
      <c r="H43" s="118">
        <f t="shared" si="25"/>
        <v>3549.02</v>
      </c>
      <c r="I43" s="118">
        <f t="shared" si="25"/>
        <v>3549.02</v>
      </c>
      <c r="J43" s="118">
        <f t="shared" si="25"/>
        <v>3549.02</v>
      </c>
      <c r="K43" s="118">
        <f t="shared" si="25"/>
        <v>3549.02</v>
      </c>
      <c r="L43" s="118">
        <f t="shared" si="25"/>
        <v>3549.02</v>
      </c>
      <c r="M43" s="118">
        <f t="shared" si="25"/>
        <v>3549.02</v>
      </c>
      <c r="N43" s="118">
        <f t="shared" si="25"/>
        <v>3549.02</v>
      </c>
      <c r="O43" s="118">
        <f t="shared" si="26"/>
        <v>42588.239999999991</v>
      </c>
      <c r="P43" s="118"/>
      <c r="Q43" s="118"/>
      <c r="R43" s="125"/>
      <c r="S43" s="125"/>
      <c r="T43" s="125"/>
      <c r="U43" s="125"/>
      <c r="V43" s="125"/>
      <c r="W43" s="125"/>
      <c r="X43" s="125"/>
      <c r="Y43" s="125"/>
      <c r="Z43" s="124">
        <f t="shared" si="24"/>
        <v>3392.6683790012462</v>
      </c>
      <c r="AA43" s="124">
        <f t="shared" si="22"/>
        <v>8093.1095438095736</v>
      </c>
      <c r="AB43" s="124">
        <f t="shared" si="22"/>
        <v>3389.6202590207663</v>
      </c>
      <c r="AC43" s="124">
        <f t="shared" si="22"/>
        <v>42.63673281787127</v>
      </c>
      <c r="AD43" s="124">
        <f t="shared" si="22"/>
        <v>7.9620588581033438</v>
      </c>
      <c r="AE43" s="124">
        <f t="shared" si="22"/>
        <v>27662.24302649243</v>
      </c>
    </row>
    <row r="44" spans="1:31" x14ac:dyDescent="0.25">
      <c r="A44" t="s">
        <v>435</v>
      </c>
      <c r="B44" s="118"/>
      <c r="C44" s="118">
        <f>'CU and Skipjack 22'!C44</f>
        <v>10487.479999999998</v>
      </c>
      <c r="D44" s="118">
        <f t="shared" si="25"/>
        <v>10487.479999999998</v>
      </c>
      <c r="E44" s="118">
        <f t="shared" si="25"/>
        <v>10487.479999999998</v>
      </c>
      <c r="F44" s="118">
        <f t="shared" si="25"/>
        <v>10487.479999999998</v>
      </c>
      <c r="G44" s="118">
        <f t="shared" si="25"/>
        <v>10487.479999999998</v>
      </c>
      <c r="H44" s="118">
        <f t="shared" si="25"/>
        <v>10487.479999999998</v>
      </c>
      <c r="I44" s="118">
        <f t="shared" si="25"/>
        <v>10487.479999999998</v>
      </c>
      <c r="J44" s="118">
        <f t="shared" si="25"/>
        <v>10487.479999999998</v>
      </c>
      <c r="K44" s="118">
        <f t="shared" si="25"/>
        <v>10487.479999999998</v>
      </c>
      <c r="L44" s="118">
        <f t="shared" si="25"/>
        <v>10487.479999999998</v>
      </c>
      <c r="M44" s="118">
        <f t="shared" si="25"/>
        <v>10487.479999999998</v>
      </c>
      <c r="N44" s="118">
        <f t="shared" si="25"/>
        <v>10487.479999999998</v>
      </c>
      <c r="O44" s="118">
        <f t="shared" si="26"/>
        <v>125849.75999999997</v>
      </c>
      <c r="P44" s="118"/>
      <c r="Q44" s="118"/>
      <c r="R44" s="125"/>
      <c r="S44" s="125"/>
      <c r="T44" s="125"/>
      <c r="U44" s="125"/>
      <c r="V44" s="125"/>
      <c r="W44" s="125"/>
      <c r="X44" s="125"/>
      <c r="Y44" s="125"/>
      <c r="Z44" s="124">
        <f t="shared" si="24"/>
        <v>10025.455413440326</v>
      </c>
      <c r="AA44" s="124">
        <f t="shared" si="22"/>
        <v>23915.425801633133</v>
      </c>
      <c r="AB44" s="124">
        <f t="shared" si="22"/>
        <v>10016.448110767227</v>
      </c>
      <c r="AC44" s="124">
        <f t="shared" si="22"/>
        <v>125.99305799707203</v>
      </c>
      <c r="AD44" s="124">
        <f t="shared" si="22"/>
        <v>23.528166376402964</v>
      </c>
      <c r="AE44" s="124">
        <f t="shared" si="22"/>
        <v>81742.909449785802</v>
      </c>
    </row>
    <row r="45" spans="1:31" x14ac:dyDescent="0.25">
      <c r="A45" t="s">
        <v>457</v>
      </c>
      <c r="B45" s="118"/>
      <c r="C45" s="118">
        <f>'CU and Skipjack 22'!C45</f>
        <v>65613.72626666665</v>
      </c>
      <c r="D45" s="118">
        <f>C45+(1200000*0.0334/12)</f>
        <v>68953.72626666665</v>
      </c>
      <c r="E45" s="118">
        <f t="shared" si="25"/>
        <v>68953.72626666665</v>
      </c>
      <c r="F45" s="118">
        <f t="shared" si="25"/>
        <v>68953.72626666665</v>
      </c>
      <c r="G45" s="118">
        <f t="shared" si="25"/>
        <v>68953.72626666665</v>
      </c>
      <c r="H45" s="118">
        <f>G45+(1000000*0.0334/12)</f>
        <v>71737.059599999979</v>
      </c>
      <c r="I45" s="118">
        <f t="shared" si="25"/>
        <v>71737.059599999979</v>
      </c>
      <c r="J45" s="118">
        <f t="shared" si="25"/>
        <v>71737.059599999979</v>
      </c>
      <c r="K45" s="118">
        <f t="shared" si="25"/>
        <v>71737.059599999979</v>
      </c>
      <c r="L45" s="118">
        <f t="shared" si="25"/>
        <v>71737.059599999979</v>
      </c>
      <c r="M45" s="118">
        <f t="shared" si="25"/>
        <v>71737.059599999979</v>
      </c>
      <c r="N45" s="118">
        <f>M45+(585000*0.0334/12)</f>
        <v>73365.309599999979</v>
      </c>
      <c r="O45" s="118">
        <f t="shared" si="26"/>
        <v>845216.29853333323</v>
      </c>
      <c r="P45" s="118"/>
      <c r="Q45" s="118"/>
      <c r="R45" s="125"/>
      <c r="S45" s="125"/>
      <c r="T45" s="125"/>
      <c r="U45" s="125"/>
      <c r="V45" s="125"/>
      <c r="W45" s="125"/>
      <c r="X45" s="125"/>
      <c r="Y45" s="125"/>
      <c r="Z45" s="124">
        <f t="shared" si="24"/>
        <v>67331.700240501086</v>
      </c>
      <c r="AA45" s="124">
        <f t="shared" si="22"/>
        <v>160617.76894850601</v>
      </c>
      <c r="AB45" s="124">
        <f t="shared" si="22"/>
        <v>67271.206529387709</v>
      </c>
      <c r="AC45" s="124">
        <f t="shared" si="22"/>
        <v>846.17869848286421</v>
      </c>
      <c r="AD45" s="124">
        <f t="shared" si="22"/>
        <v>158.01690599918305</v>
      </c>
      <c r="AE45" s="124">
        <f t="shared" si="22"/>
        <v>548991.42721045634</v>
      </c>
    </row>
    <row r="46" spans="1:31" x14ac:dyDescent="0.25">
      <c r="A46" t="s">
        <v>436</v>
      </c>
      <c r="B46" s="118"/>
      <c r="C46" s="118">
        <f>'CU and Skipjack 22'!C46</f>
        <v>12997.810000000001</v>
      </c>
      <c r="D46" s="118">
        <f t="shared" si="25"/>
        <v>12997.810000000001</v>
      </c>
      <c r="E46" s="118">
        <f t="shared" si="25"/>
        <v>12997.810000000001</v>
      </c>
      <c r="F46" s="118">
        <f t="shared" si="25"/>
        <v>12997.810000000001</v>
      </c>
      <c r="G46" s="118">
        <f t="shared" si="25"/>
        <v>12997.810000000001</v>
      </c>
      <c r="H46" s="118">
        <f t="shared" si="25"/>
        <v>12997.810000000001</v>
      </c>
      <c r="I46" s="118">
        <f t="shared" si="25"/>
        <v>12997.810000000001</v>
      </c>
      <c r="J46" s="118">
        <f t="shared" si="25"/>
        <v>12997.810000000001</v>
      </c>
      <c r="K46" s="118">
        <f t="shared" si="25"/>
        <v>12997.810000000001</v>
      </c>
      <c r="L46" s="118">
        <f t="shared" si="25"/>
        <v>12997.810000000001</v>
      </c>
      <c r="M46" s="118">
        <f t="shared" si="25"/>
        <v>12997.810000000001</v>
      </c>
      <c r="N46" s="118">
        <f t="shared" si="25"/>
        <v>12997.810000000001</v>
      </c>
      <c r="O46" s="118">
        <f t="shared" si="26"/>
        <v>155973.72</v>
      </c>
      <c r="P46" s="118"/>
      <c r="Q46" s="118"/>
      <c r="R46" s="125"/>
      <c r="S46" s="125"/>
      <c r="T46" s="125"/>
      <c r="U46" s="125"/>
      <c r="V46" s="125"/>
      <c r="W46" s="125"/>
      <c r="X46" s="125"/>
      <c r="Y46" s="125"/>
      <c r="Z46" s="124">
        <f t="shared" si="24"/>
        <v>12425.193147197311</v>
      </c>
      <c r="AA46" s="124">
        <f t="shared" si="22"/>
        <v>29639.928814045437</v>
      </c>
      <c r="AB46" s="124">
        <f t="shared" si="22"/>
        <v>12414.029816372607</v>
      </c>
      <c r="AC46" s="124">
        <f t="shared" si="22"/>
        <v>156.15131844493845</v>
      </c>
      <c r="AD46" s="124">
        <f t="shared" si="22"/>
        <v>29.159973245133656</v>
      </c>
      <c r="AE46" s="124">
        <f t="shared" si="22"/>
        <v>101309.25693069457</v>
      </c>
    </row>
    <row r="47" spans="1:31" x14ac:dyDescent="0.25">
      <c r="A47" t="s">
        <v>437</v>
      </c>
      <c r="B47" s="118"/>
      <c r="C47" s="118">
        <f>'CU and Skipjack 22'!C47</f>
        <v>1595.98</v>
      </c>
      <c r="D47" s="118">
        <f t="shared" si="25"/>
        <v>1595.98</v>
      </c>
      <c r="E47" s="118">
        <f t="shared" si="25"/>
        <v>1595.98</v>
      </c>
      <c r="F47" s="118">
        <f t="shared" si="25"/>
        <v>1595.98</v>
      </c>
      <c r="G47" s="118">
        <f t="shared" si="25"/>
        <v>1595.98</v>
      </c>
      <c r="H47" s="118">
        <f t="shared" si="25"/>
        <v>1595.98</v>
      </c>
      <c r="I47" s="118">
        <f t="shared" si="25"/>
        <v>1595.98</v>
      </c>
      <c r="J47" s="118">
        <f t="shared" si="25"/>
        <v>1595.98</v>
      </c>
      <c r="K47" s="118">
        <f t="shared" si="25"/>
        <v>1595.98</v>
      </c>
      <c r="L47" s="118">
        <f t="shared" si="25"/>
        <v>1595.98</v>
      </c>
      <c r="M47" s="118">
        <f t="shared" si="25"/>
        <v>1595.98</v>
      </c>
      <c r="N47" s="118">
        <f t="shared" si="25"/>
        <v>1595.98</v>
      </c>
      <c r="O47" s="118">
        <f t="shared" si="26"/>
        <v>19151.759999999998</v>
      </c>
      <c r="P47" s="118"/>
      <c r="Q47" s="118"/>
      <c r="R47" s="125"/>
      <c r="S47" s="125"/>
      <c r="T47" s="125"/>
      <c r="U47" s="125"/>
      <c r="V47" s="125"/>
      <c r="W47" s="125"/>
      <c r="X47" s="125"/>
      <c r="Y47" s="125"/>
      <c r="Z47" s="124">
        <f t="shared" si="24"/>
        <v>1525.6693057571977</v>
      </c>
      <c r="AA47" s="124">
        <f t="shared" si="22"/>
        <v>3639.43876611831</v>
      </c>
      <c r="AB47" s="124">
        <f t="shared" si="22"/>
        <v>1524.2985784785556</v>
      </c>
      <c r="AC47" s="124">
        <f t="shared" si="22"/>
        <v>19.17356702488749</v>
      </c>
      <c r="AD47" s="124">
        <f t="shared" si="22"/>
        <v>3.5805058005747434</v>
      </c>
      <c r="AE47" s="124">
        <f t="shared" si="22"/>
        <v>12439.599276820472</v>
      </c>
    </row>
    <row r="48" spans="1:31" x14ac:dyDescent="0.25">
      <c r="A48" t="s">
        <v>438</v>
      </c>
      <c r="B48" s="118"/>
      <c r="C48" s="118">
        <f>'CU and Skipjack 22'!C48</f>
        <v>64898.66</v>
      </c>
      <c r="D48" s="118">
        <f t="shared" si="25"/>
        <v>64898.66</v>
      </c>
      <c r="E48" s="118">
        <f t="shared" si="25"/>
        <v>64898.66</v>
      </c>
      <c r="F48" s="118">
        <f t="shared" si="25"/>
        <v>64898.66</v>
      </c>
      <c r="G48" s="118">
        <f t="shared" si="25"/>
        <v>64898.66</v>
      </c>
      <c r="H48" s="118">
        <f t="shared" si="25"/>
        <v>64898.66</v>
      </c>
      <c r="I48" s="118">
        <f t="shared" si="25"/>
        <v>64898.66</v>
      </c>
      <c r="J48" s="118">
        <f t="shared" si="25"/>
        <v>64898.66</v>
      </c>
      <c r="K48" s="118">
        <f t="shared" si="25"/>
        <v>64898.66</v>
      </c>
      <c r="L48" s="118">
        <f t="shared" si="25"/>
        <v>64898.66</v>
      </c>
      <c r="M48" s="118">
        <f t="shared" si="25"/>
        <v>64898.66</v>
      </c>
      <c r="N48" s="118">
        <f t="shared" si="25"/>
        <v>64898.66</v>
      </c>
      <c r="O48" s="118">
        <f t="shared" si="26"/>
        <v>778783.92000000027</v>
      </c>
      <c r="P48" s="118"/>
      <c r="Q48" s="118"/>
      <c r="R48" s="125"/>
      <c r="S48" s="125"/>
      <c r="T48" s="125"/>
      <c r="U48" s="125"/>
      <c r="V48" s="125"/>
      <c r="W48" s="125"/>
      <c r="X48" s="125"/>
      <c r="Y48" s="125"/>
      <c r="Z48" s="124">
        <f t="shared" si="24"/>
        <v>62039.557855845596</v>
      </c>
      <c r="AA48" s="124">
        <f t="shared" si="22"/>
        <v>147993.5206413187</v>
      </c>
      <c r="AB48" s="124">
        <f t="shared" si="22"/>
        <v>61983.81883429813</v>
      </c>
      <c r="AC48" s="124">
        <f t="shared" si="22"/>
        <v>779.67067716098279</v>
      </c>
      <c r="AD48" s="124">
        <f t="shared" si="22"/>
        <v>145.59708052702928</v>
      </c>
      <c r="AE48" s="124">
        <f t="shared" si="22"/>
        <v>505841.75491084979</v>
      </c>
    </row>
    <row r="49" spans="1:31" x14ac:dyDescent="0.25">
      <c r="A49" t="s">
        <v>458</v>
      </c>
      <c r="B49" s="118"/>
      <c r="C49" s="118">
        <f>'CU and Skipjack 22'!C49</f>
        <v>15067.77</v>
      </c>
      <c r="D49" s="118">
        <f t="shared" si="25"/>
        <v>15067.77</v>
      </c>
      <c r="E49" s="118">
        <f t="shared" si="25"/>
        <v>15067.77</v>
      </c>
      <c r="F49" s="118">
        <f t="shared" si="25"/>
        <v>15067.77</v>
      </c>
      <c r="G49" s="118">
        <f t="shared" si="25"/>
        <v>15067.77</v>
      </c>
      <c r="H49" s="118">
        <f t="shared" si="25"/>
        <v>15067.77</v>
      </c>
      <c r="I49" s="118">
        <f t="shared" si="25"/>
        <v>15067.77</v>
      </c>
      <c r="J49" s="118">
        <f t="shared" si="25"/>
        <v>15067.77</v>
      </c>
      <c r="K49" s="118">
        <f t="shared" si="25"/>
        <v>15067.77</v>
      </c>
      <c r="L49" s="118">
        <f t="shared" si="25"/>
        <v>15067.77</v>
      </c>
      <c r="M49" s="118">
        <f t="shared" si="25"/>
        <v>15067.77</v>
      </c>
      <c r="N49" s="118">
        <f t="shared" si="25"/>
        <v>15067.77</v>
      </c>
      <c r="O49" s="118">
        <f t="shared" si="26"/>
        <v>180813.24</v>
      </c>
      <c r="P49" s="118"/>
      <c r="Q49" s="118"/>
      <c r="R49" s="125"/>
      <c r="S49" s="125"/>
      <c r="T49" s="125"/>
      <c r="U49" s="125"/>
      <c r="V49" s="125"/>
      <c r="W49" s="125"/>
      <c r="X49" s="125"/>
      <c r="Y49" s="125"/>
      <c r="Z49" s="124">
        <f t="shared" si="24"/>
        <v>14403.961324834354</v>
      </c>
      <c r="AA49" s="124">
        <f t="shared" si="22"/>
        <v>34360.221467032476</v>
      </c>
      <c r="AB49" s="124">
        <f t="shared" si="22"/>
        <v>14391.020183111208</v>
      </c>
      <c r="AC49" s="124">
        <f t="shared" si="22"/>
        <v>181.01912180014097</v>
      </c>
      <c r="AD49" s="124">
        <f t="shared" si="22"/>
        <v>33.803830804099114</v>
      </c>
      <c r="AE49" s="124">
        <f t="shared" si="22"/>
        <v>117443.2140724177</v>
      </c>
    </row>
    <row r="50" spans="1:31" x14ac:dyDescent="0.25">
      <c r="A50" t="s">
        <v>441</v>
      </c>
      <c r="B50" s="118"/>
      <c r="C50" s="118">
        <f>'CU and Skipjack 22'!C50</f>
        <v>4556.83</v>
      </c>
      <c r="D50" s="118">
        <f t="shared" si="25"/>
        <v>4556.83</v>
      </c>
      <c r="E50" s="118">
        <f t="shared" si="25"/>
        <v>4556.83</v>
      </c>
      <c r="F50" s="118">
        <f t="shared" si="25"/>
        <v>4556.83</v>
      </c>
      <c r="G50" s="118">
        <f t="shared" si="25"/>
        <v>4556.83</v>
      </c>
      <c r="H50" s="118">
        <f t="shared" si="25"/>
        <v>4556.83</v>
      </c>
      <c r="I50" s="118">
        <f t="shared" si="25"/>
        <v>4556.83</v>
      </c>
      <c r="J50" s="118">
        <f t="shared" si="25"/>
        <v>4556.83</v>
      </c>
      <c r="K50" s="118">
        <f t="shared" si="25"/>
        <v>4556.83</v>
      </c>
      <c r="L50" s="118">
        <f t="shared" si="25"/>
        <v>4556.83</v>
      </c>
      <c r="M50" s="118">
        <f t="shared" si="25"/>
        <v>4556.83</v>
      </c>
      <c r="N50" s="118">
        <f t="shared" si="25"/>
        <v>4556.83</v>
      </c>
      <c r="O50" s="118">
        <f t="shared" si="26"/>
        <v>54681.960000000014</v>
      </c>
      <c r="P50" s="118"/>
      <c r="Q50" s="118"/>
      <c r="R50" s="125"/>
      <c r="S50" s="125"/>
      <c r="T50" s="125"/>
      <c r="U50" s="125"/>
      <c r="V50" s="125"/>
      <c r="W50" s="125"/>
      <c r="X50" s="125"/>
      <c r="Y50" s="125"/>
      <c r="Z50" s="124">
        <f t="shared" si="24"/>
        <v>4356.0794386856815</v>
      </c>
      <c r="AA50" s="124">
        <f t="shared" si="22"/>
        <v>10391.297981560487</v>
      </c>
      <c r="AB50" s="124">
        <f t="shared" si="22"/>
        <v>4352.1657485485021</v>
      </c>
      <c r="AC50" s="124">
        <f t="shared" si="22"/>
        <v>54.744223252182415</v>
      </c>
      <c r="AD50" s="124">
        <f t="shared" si="22"/>
        <v>10.223033024995937</v>
      </c>
      <c r="AE50" s="124">
        <f t="shared" si="22"/>
        <v>35517.449574928163</v>
      </c>
    </row>
    <row r="51" spans="1:31" x14ac:dyDescent="0.25">
      <c r="A51" s="116" t="s">
        <v>461</v>
      </c>
      <c r="B51" s="120"/>
      <c r="C51" s="117">
        <f t="shared" ref="C51:P51" si="27">SUM(C52:C53)</f>
        <v>5732.77</v>
      </c>
      <c r="D51" s="117">
        <f t="shared" si="27"/>
        <v>5732.77</v>
      </c>
      <c r="E51" s="117">
        <f t="shared" si="27"/>
        <v>5732.77</v>
      </c>
      <c r="F51" s="117">
        <f t="shared" si="27"/>
        <v>5732.77</v>
      </c>
      <c r="G51" s="117">
        <f t="shared" si="27"/>
        <v>5732.77</v>
      </c>
      <c r="H51" s="117">
        <f t="shared" si="27"/>
        <v>5732.77</v>
      </c>
      <c r="I51" s="117">
        <f t="shared" si="27"/>
        <v>5732.77</v>
      </c>
      <c r="J51" s="117">
        <f t="shared" si="27"/>
        <v>5732.77</v>
      </c>
      <c r="K51" s="117">
        <f t="shared" si="27"/>
        <v>5732.77</v>
      </c>
      <c r="L51" s="117">
        <f t="shared" si="27"/>
        <v>5732.77</v>
      </c>
      <c r="M51" s="117">
        <f t="shared" si="27"/>
        <v>5732.77</v>
      </c>
      <c r="N51" s="117">
        <f t="shared" si="27"/>
        <v>5732.77</v>
      </c>
      <c r="O51" s="117">
        <f t="shared" si="27"/>
        <v>68793.24000000002</v>
      </c>
      <c r="P51" s="117">
        <f t="shared" si="27"/>
        <v>0</v>
      </c>
      <c r="Q51" s="118"/>
      <c r="R51" s="125"/>
      <c r="S51" s="125"/>
      <c r="T51" s="125"/>
      <c r="U51" s="125"/>
      <c r="V51" s="125"/>
      <c r="W51" s="125"/>
      <c r="X51" s="125"/>
      <c r="Y51" s="125"/>
      <c r="Z51" s="126">
        <f t="shared" si="24"/>
        <v>5480.2135527799182</v>
      </c>
      <c r="AA51" s="126">
        <f t="shared" si="22"/>
        <v>13072.886486823189</v>
      </c>
      <c r="AB51" s="126">
        <f t="shared" si="22"/>
        <v>5475.2898919438285</v>
      </c>
      <c r="AC51" s="126">
        <f t="shared" si="22"/>
        <v>68.871570967846893</v>
      </c>
      <c r="AD51" s="126">
        <f t="shared" si="22"/>
        <v>12.861198911240042</v>
      </c>
      <c r="AE51" s="126">
        <f t="shared" si="22"/>
        <v>44683.117298573998</v>
      </c>
    </row>
    <row r="52" spans="1:31" x14ac:dyDescent="0.25">
      <c r="A52" t="s">
        <v>435</v>
      </c>
      <c r="B52" s="118"/>
      <c r="C52" s="118">
        <f>'CU and Skipjack 22'!C52</f>
        <v>49.47</v>
      </c>
      <c r="D52" s="118">
        <f t="shared" ref="D52:N52" si="28">C52</f>
        <v>49.47</v>
      </c>
      <c r="E52" s="118">
        <f t="shared" si="28"/>
        <v>49.47</v>
      </c>
      <c r="F52" s="118">
        <f t="shared" si="28"/>
        <v>49.47</v>
      </c>
      <c r="G52" s="118">
        <f t="shared" si="28"/>
        <v>49.47</v>
      </c>
      <c r="H52" s="118">
        <f t="shared" si="28"/>
        <v>49.47</v>
      </c>
      <c r="I52" s="118">
        <f t="shared" si="28"/>
        <v>49.47</v>
      </c>
      <c r="J52" s="118">
        <f t="shared" si="28"/>
        <v>49.47</v>
      </c>
      <c r="K52" s="118">
        <f t="shared" si="28"/>
        <v>49.47</v>
      </c>
      <c r="L52" s="118">
        <f t="shared" si="28"/>
        <v>49.47</v>
      </c>
      <c r="M52" s="118">
        <f t="shared" si="28"/>
        <v>49.47</v>
      </c>
      <c r="N52" s="118">
        <f t="shared" si="28"/>
        <v>49.47</v>
      </c>
      <c r="O52" s="118">
        <f t="shared" si="26"/>
        <v>593.6400000000001</v>
      </c>
      <c r="P52" s="118"/>
      <c r="Q52" s="118"/>
      <c r="R52" s="125"/>
      <c r="S52" s="125"/>
      <c r="T52" s="125"/>
      <c r="U52" s="125"/>
      <c r="V52" s="125"/>
      <c r="W52" s="125"/>
      <c r="X52" s="125"/>
      <c r="Y52" s="125"/>
      <c r="Z52" s="124">
        <f t="shared" si="24"/>
        <v>47.290605493683245</v>
      </c>
      <c r="AA52" s="124">
        <f t="shared" si="22"/>
        <v>112.81033331236785</v>
      </c>
      <c r="AB52" s="124">
        <f t="shared" si="22"/>
        <v>47.24811756872527</v>
      </c>
      <c r="AC52" s="124">
        <f t="shared" si="22"/>
        <v>0.59431594426069523</v>
      </c>
      <c r="AD52" s="124">
        <f t="shared" si="22"/>
        <v>0.11098361004175028</v>
      </c>
      <c r="AE52" s="124">
        <f t="shared" si="22"/>
        <v>385.58564407092126</v>
      </c>
    </row>
    <row r="53" spans="1:31" x14ac:dyDescent="0.25">
      <c r="A53" t="s">
        <v>441</v>
      </c>
      <c r="B53" s="118"/>
      <c r="C53" s="118">
        <f>'CU and Skipjack 22'!C53</f>
        <v>5683.3</v>
      </c>
      <c r="D53" s="118">
        <f t="shared" ref="D53:N53" si="29">C53</f>
        <v>5683.3</v>
      </c>
      <c r="E53" s="118">
        <f t="shared" si="29"/>
        <v>5683.3</v>
      </c>
      <c r="F53" s="118">
        <f t="shared" si="29"/>
        <v>5683.3</v>
      </c>
      <c r="G53" s="118">
        <f t="shared" si="29"/>
        <v>5683.3</v>
      </c>
      <c r="H53" s="118">
        <f t="shared" si="29"/>
        <v>5683.3</v>
      </c>
      <c r="I53" s="118">
        <f t="shared" si="29"/>
        <v>5683.3</v>
      </c>
      <c r="J53" s="118">
        <f t="shared" si="29"/>
        <v>5683.3</v>
      </c>
      <c r="K53" s="118">
        <f t="shared" si="29"/>
        <v>5683.3</v>
      </c>
      <c r="L53" s="118">
        <f t="shared" si="29"/>
        <v>5683.3</v>
      </c>
      <c r="M53" s="118">
        <f t="shared" si="29"/>
        <v>5683.3</v>
      </c>
      <c r="N53" s="118">
        <f t="shared" si="29"/>
        <v>5683.3</v>
      </c>
      <c r="O53" s="118">
        <f t="shared" si="26"/>
        <v>68199.60000000002</v>
      </c>
      <c r="P53" s="118"/>
      <c r="Q53" s="118"/>
      <c r="R53" s="125"/>
      <c r="S53" s="125"/>
      <c r="T53" s="125"/>
      <c r="U53" s="125"/>
      <c r="V53" s="125"/>
      <c r="W53" s="125"/>
      <c r="X53" s="125"/>
      <c r="Y53" s="125"/>
      <c r="Z53" s="124">
        <f t="shared" si="24"/>
        <v>5432.9229472862344</v>
      </c>
      <c r="AA53" s="124">
        <f t="shared" si="22"/>
        <v>12960.076153510821</v>
      </c>
      <c r="AB53" s="124">
        <f t="shared" si="22"/>
        <v>5428.0417743751041</v>
      </c>
      <c r="AC53" s="124">
        <f t="shared" si="22"/>
        <v>68.277255023586207</v>
      </c>
      <c r="AD53" s="124">
        <f t="shared" si="22"/>
        <v>12.75021530119829</v>
      </c>
      <c r="AE53" s="124">
        <f t="shared" si="22"/>
        <v>44297.531654503073</v>
      </c>
    </row>
    <row r="54" spans="1:31" ht="15.75" thickBot="1" x14ac:dyDescent="0.3">
      <c r="B54" s="117"/>
      <c r="C54" s="117">
        <f t="shared" ref="C54:O54" si="30">C51+C40</f>
        <v>206115.91626666664</v>
      </c>
      <c r="D54" s="117">
        <f t="shared" si="30"/>
        <v>209455.91626666664</v>
      </c>
      <c r="E54" s="117">
        <f t="shared" si="30"/>
        <v>209455.91626666664</v>
      </c>
      <c r="F54" s="117">
        <f t="shared" si="30"/>
        <v>209455.91626666664</v>
      </c>
      <c r="G54" s="117">
        <f t="shared" si="30"/>
        <v>209455.91626666664</v>
      </c>
      <c r="H54" s="117">
        <f t="shared" si="30"/>
        <v>212239.24959999995</v>
      </c>
      <c r="I54" s="117">
        <f t="shared" si="30"/>
        <v>212239.24959999995</v>
      </c>
      <c r="J54" s="117">
        <f t="shared" si="30"/>
        <v>212239.24959999995</v>
      </c>
      <c r="K54" s="117">
        <f t="shared" si="30"/>
        <v>212239.24959999995</v>
      </c>
      <c r="L54" s="117">
        <f t="shared" si="30"/>
        <v>212239.24959999995</v>
      </c>
      <c r="M54" s="117">
        <f t="shared" si="30"/>
        <v>212239.24959999995</v>
      </c>
      <c r="N54" s="117">
        <f t="shared" si="30"/>
        <v>213867.49959999995</v>
      </c>
      <c r="O54" s="117">
        <f t="shared" si="30"/>
        <v>2531242.5785333337</v>
      </c>
      <c r="P54" s="118"/>
      <c r="Q54" s="118"/>
      <c r="R54" s="125"/>
      <c r="S54" s="125"/>
      <c r="T54" s="125"/>
      <c r="U54" s="125"/>
      <c r="V54" s="125"/>
      <c r="W54" s="125"/>
      <c r="X54" s="125"/>
      <c r="Y54" s="125"/>
      <c r="Z54" s="129">
        <f t="shared" si="24"/>
        <v>201644.08427705916</v>
      </c>
      <c r="AA54" s="129">
        <f t="shared" si="22"/>
        <v>481015.96755407786</v>
      </c>
      <c r="AB54" s="129">
        <f t="shared" si="22"/>
        <v>201462.91851207172</v>
      </c>
      <c r="AC54" s="129">
        <f t="shared" si="22"/>
        <v>2534.1247611581343</v>
      </c>
      <c r="AD54" s="129">
        <f t="shared" si="22"/>
        <v>473.22693763394972</v>
      </c>
      <c r="AE54" s="129">
        <f t="shared" si="22"/>
        <v>1644112.2564913328</v>
      </c>
    </row>
    <row r="55" spans="1:31" ht="16.5" thickTop="1" x14ac:dyDescent="0.25">
      <c r="A55" s="112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25"/>
      <c r="S55" s="125"/>
      <c r="T55" s="125"/>
      <c r="U55" s="125"/>
      <c r="V55" s="125"/>
      <c r="W55" s="125"/>
      <c r="X55" s="125"/>
      <c r="Y55" s="125"/>
      <c r="Z55" s="130" t="s">
        <v>462</v>
      </c>
      <c r="AA55" s="124"/>
      <c r="AB55" s="124"/>
      <c r="AC55" s="124"/>
      <c r="AD55" s="124"/>
      <c r="AE55" s="124"/>
    </row>
    <row r="56" spans="1:31" x14ac:dyDescent="0.25">
      <c r="A56" s="116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18"/>
      <c r="Q56" s="118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</row>
    <row r="57" spans="1:31" x14ac:dyDescent="0.25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</row>
    <row r="58" spans="1:31" x14ac:dyDescent="0.25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</row>
    <row r="59" spans="1:31" x14ac:dyDescent="0.25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</row>
    <row r="60" spans="1:31" x14ac:dyDescent="0.25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</row>
    <row r="61" spans="1:31" x14ac:dyDescent="0.25"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</row>
    <row r="62" spans="1:31" x14ac:dyDescent="0.25"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</row>
    <row r="63" spans="1:31" x14ac:dyDescent="0.25"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</row>
    <row r="64" spans="1:31" x14ac:dyDescent="0.25"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</row>
    <row r="65" spans="1:31" x14ac:dyDescent="0.25"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</row>
    <row r="66" spans="1:31" x14ac:dyDescent="0.25"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</row>
    <row r="67" spans="1:31" x14ac:dyDescent="0.25">
      <c r="A67" s="116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</row>
    <row r="68" spans="1:31" x14ac:dyDescent="0.25"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</row>
    <row r="69" spans="1:31" x14ac:dyDescent="0.25"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</row>
    <row r="70" spans="1:31" x14ac:dyDescent="0.25">
      <c r="A70" s="116"/>
      <c r="B70" s="116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="80" zoomScaleNormal="80" workbookViewId="0">
      <selection activeCell="L39" sqref="L39"/>
    </sheetView>
  </sheetViews>
  <sheetFormatPr defaultRowHeight="15" x14ac:dyDescent="0.25"/>
  <cols>
    <col min="1" max="1" width="38.85546875" customWidth="1"/>
    <col min="2" max="3" width="11.28515625" bestFit="1" customWidth="1"/>
    <col min="4" max="4" width="10" bestFit="1" customWidth="1"/>
    <col min="5" max="5" width="13.28515625" customWidth="1"/>
    <col min="6" max="6" width="9.42578125" bestFit="1" customWidth="1"/>
    <col min="7" max="7" width="16.85546875" bestFit="1" customWidth="1"/>
    <col min="8" max="8" width="13.85546875" customWidth="1"/>
    <col min="9" max="9" width="28.42578125" customWidth="1"/>
    <col min="10" max="10" width="21.5703125" customWidth="1"/>
  </cols>
  <sheetData>
    <row r="1" spans="1:10" x14ac:dyDescent="0.25">
      <c r="A1" s="116" t="s">
        <v>466</v>
      </c>
      <c r="B1" s="116"/>
      <c r="C1" s="116"/>
      <c r="D1" s="116"/>
      <c r="E1" s="116"/>
    </row>
    <row r="2" spans="1:10" x14ac:dyDescent="0.25">
      <c r="B2" s="132" t="s">
        <v>467</v>
      </c>
      <c r="C2" s="132" t="s">
        <v>468</v>
      </c>
      <c r="D2" s="132" t="s">
        <v>469</v>
      </c>
      <c r="E2" s="132" t="s">
        <v>470</v>
      </c>
      <c r="F2" s="132" t="s">
        <v>471</v>
      </c>
      <c r="G2" s="132" t="s">
        <v>472</v>
      </c>
      <c r="H2" s="132" t="s">
        <v>32</v>
      </c>
      <c r="I2" s="132" t="s">
        <v>473</v>
      </c>
    </row>
    <row r="3" spans="1:10" x14ac:dyDescent="0.25">
      <c r="A3" s="67" t="s">
        <v>474</v>
      </c>
      <c r="E3" s="133"/>
    </row>
    <row r="4" spans="1:10" x14ac:dyDescent="0.25">
      <c r="A4" s="67" t="s">
        <v>475</v>
      </c>
      <c r="B4" s="73">
        <v>28081.03</v>
      </c>
      <c r="C4" s="73">
        <v>31721.18</v>
      </c>
      <c r="D4" s="73">
        <v>866.68</v>
      </c>
      <c r="E4" s="73">
        <v>58762.25</v>
      </c>
      <c r="F4" s="73">
        <v>866.68</v>
      </c>
      <c r="G4" s="73">
        <f>3640+16641+867+14561+17334</f>
        <v>53043</v>
      </c>
      <c r="H4" s="105">
        <f>SUM(B4:G4)</f>
        <v>173340.82</v>
      </c>
      <c r="I4" s="67" t="s">
        <v>476</v>
      </c>
      <c r="J4" s="67" t="s">
        <v>477</v>
      </c>
    </row>
    <row r="5" spans="1:10" x14ac:dyDescent="0.25">
      <c r="A5" s="67" t="s">
        <v>478</v>
      </c>
      <c r="B5" s="73">
        <v>54981.28144510679</v>
      </c>
      <c r="C5" s="73">
        <v>65095.7624656689</v>
      </c>
      <c r="D5" s="73">
        <v>518.6913343878</v>
      </c>
      <c r="E5" s="73">
        <v>136156.47527679752</v>
      </c>
      <c r="F5" s="73">
        <v>518.6913343878</v>
      </c>
      <c r="G5" s="73">
        <v>2074.7653375512</v>
      </c>
      <c r="H5" s="105">
        <f t="shared" ref="H5:H7" si="0">SUM(B5:G5)</f>
        <v>259345.66719389998</v>
      </c>
      <c r="I5" s="67" t="s">
        <v>476</v>
      </c>
      <c r="J5" s="67" t="s">
        <v>477</v>
      </c>
    </row>
    <row r="6" spans="1:10" x14ac:dyDescent="0.25">
      <c r="A6" s="67" t="s">
        <v>479</v>
      </c>
      <c r="B6" s="68">
        <v>-5999.52</v>
      </c>
      <c r="C6" s="68">
        <v>-11306.88</v>
      </c>
      <c r="D6" s="68">
        <v>-230.76</v>
      </c>
      <c r="E6" s="68">
        <v>-20690.759999999998</v>
      </c>
      <c r="F6" s="68">
        <v>-230.76</v>
      </c>
      <c r="G6" s="134"/>
      <c r="H6" s="105">
        <f t="shared" si="0"/>
        <v>-38458.68</v>
      </c>
      <c r="I6" s="67" t="s">
        <v>480</v>
      </c>
    </row>
    <row r="7" spans="1:10" ht="30" x14ac:dyDescent="0.25">
      <c r="A7" s="135" t="s">
        <v>481</v>
      </c>
      <c r="B7" s="68">
        <v>-1061.67</v>
      </c>
      <c r="C7" s="68">
        <v>-15.85</v>
      </c>
      <c r="D7" s="68">
        <v>-2503.65</v>
      </c>
      <c r="E7" s="68">
        <v>-998.29</v>
      </c>
      <c r="F7" s="68"/>
      <c r="G7" s="68">
        <v>-11266.41</v>
      </c>
      <c r="H7" s="105">
        <f t="shared" si="0"/>
        <v>-15845.869999999999</v>
      </c>
      <c r="I7" s="67" t="s">
        <v>482</v>
      </c>
    </row>
    <row r="8" spans="1:10" x14ac:dyDescent="0.25">
      <c r="A8" t="s">
        <v>483</v>
      </c>
      <c r="B8" s="110">
        <f t="shared" ref="B8:G8" si="1">SUM(B4:B7)</f>
        <v>76001.121445106779</v>
      </c>
      <c r="C8" s="110">
        <f t="shared" si="1"/>
        <v>85494.212465668883</v>
      </c>
      <c r="D8" s="110">
        <f t="shared" si="1"/>
        <v>-1349.0386656122002</v>
      </c>
      <c r="E8" s="110">
        <f t="shared" si="1"/>
        <v>173229.6752767975</v>
      </c>
      <c r="F8" s="110">
        <f t="shared" si="1"/>
        <v>1154.6113343877998</v>
      </c>
      <c r="G8" s="110">
        <f t="shared" si="1"/>
        <v>43851.355337551198</v>
      </c>
      <c r="H8" s="110">
        <f>SUM(H4:H7)</f>
        <v>378381.9371939</v>
      </c>
    </row>
    <row r="9" spans="1:10" ht="39" x14ac:dyDescent="0.25">
      <c r="A9" t="s">
        <v>484</v>
      </c>
      <c r="B9" s="68">
        <f>H9*0.067</f>
        <v>5959.3096400000004</v>
      </c>
      <c r="C9" s="68">
        <f>0.063*88944.92</f>
        <v>5603.5299599999998</v>
      </c>
      <c r="D9" s="68">
        <f>0.001*88944.92</f>
        <v>88.944919999999996</v>
      </c>
      <c r="E9" s="68">
        <f>0.158*88944.92</f>
        <v>14053.29736</v>
      </c>
      <c r="F9" s="68"/>
      <c r="G9" s="68">
        <f>0.711*88944.92</f>
        <v>63239.838119999993</v>
      </c>
      <c r="H9" s="68">
        <v>88944.92</v>
      </c>
      <c r="I9" s="67" t="s">
        <v>482</v>
      </c>
      <c r="J9" s="136" t="s">
        <v>485</v>
      </c>
    </row>
    <row r="10" spans="1:10" x14ac:dyDescent="0.25">
      <c r="B10" s="110">
        <f t="shared" ref="B10:G10" si="2">B8+B9</f>
        <v>81960.431085106786</v>
      </c>
      <c r="C10" s="110">
        <f t="shared" si="2"/>
        <v>91097.742425668883</v>
      </c>
      <c r="D10" s="110">
        <f t="shared" si="2"/>
        <v>-1260.0937456122003</v>
      </c>
      <c r="E10" s="110">
        <f t="shared" si="2"/>
        <v>187282.97263679749</v>
      </c>
      <c r="F10" s="110">
        <f t="shared" si="2"/>
        <v>1154.6113343877998</v>
      </c>
      <c r="G10" s="110">
        <f t="shared" si="2"/>
        <v>107091.19345755118</v>
      </c>
      <c r="H10" s="110">
        <f>H8+H9</f>
        <v>467326.85719389998</v>
      </c>
    </row>
    <row r="11" spans="1:10" x14ac:dyDescent="0.25">
      <c r="A11" t="s">
        <v>486</v>
      </c>
      <c r="B11" s="137">
        <f>B10/$H10</f>
        <v>0.17538138419273502</v>
      </c>
      <c r="C11" s="137">
        <f t="shared" ref="C11:H11" si="3">C10/$H10</f>
        <v>0.19493367655493263</v>
      </c>
      <c r="D11" s="137">
        <f t="shared" si="3"/>
        <v>-2.6963863219386323E-3</v>
      </c>
      <c r="E11" s="137">
        <f t="shared" si="3"/>
        <v>0.40075371178398028</v>
      </c>
      <c r="F11" s="137">
        <f t="shared" si="3"/>
        <v>2.4706719004354946E-3</v>
      </c>
      <c r="G11" s="137">
        <f t="shared" si="3"/>
        <v>0.22915694188985516</v>
      </c>
      <c r="H11" s="133">
        <f t="shared" si="3"/>
        <v>1</v>
      </c>
    </row>
    <row r="12" spans="1:10" x14ac:dyDescent="0.25">
      <c r="A12" s="138" t="s">
        <v>487</v>
      </c>
      <c r="B12" s="133"/>
      <c r="C12" s="133"/>
      <c r="D12" s="133"/>
      <c r="E12" s="133"/>
      <c r="F12" s="133"/>
      <c r="G12" s="133"/>
      <c r="H12" s="68">
        <v>109068</v>
      </c>
    </row>
    <row r="13" spans="1:10" x14ac:dyDescent="0.25">
      <c r="A13" s="138" t="s">
        <v>488</v>
      </c>
      <c r="B13" s="133"/>
      <c r="C13" s="133"/>
      <c r="D13" s="133"/>
      <c r="E13" s="133"/>
      <c r="F13" s="133"/>
      <c r="G13" s="133"/>
      <c r="H13" s="68">
        <f>H10+H12</f>
        <v>576394.85719390004</v>
      </c>
    </row>
    <row r="14" spans="1:10" x14ac:dyDescent="0.25">
      <c r="A14" s="138" t="s">
        <v>489</v>
      </c>
      <c r="B14" s="133"/>
      <c r="C14" s="133"/>
      <c r="D14" s="133"/>
      <c r="E14" s="133"/>
      <c r="F14" s="133"/>
      <c r="G14" s="133"/>
      <c r="H14" s="68">
        <f>'[1]FC Depreciation Expense'!N13</f>
        <v>576906.20768648759</v>
      </c>
    </row>
    <row r="15" spans="1:10" x14ac:dyDescent="0.25">
      <c r="H15" s="105">
        <f>H13-H14</f>
        <v>-511.35049258754589</v>
      </c>
    </row>
    <row r="16" spans="1:10" x14ac:dyDescent="0.25">
      <c r="A16" s="67"/>
    </row>
    <row r="17" spans="1:10" x14ac:dyDescent="0.25">
      <c r="A17" s="67" t="s">
        <v>490</v>
      </c>
      <c r="B17" s="73">
        <v>43664.974388560804</v>
      </c>
      <c r="C17" s="73">
        <v>51697.681941173403</v>
      </c>
      <c r="D17" s="73">
        <v>411.93372064680005</v>
      </c>
      <c r="E17" s="73">
        <v>108132.601669785</v>
      </c>
      <c r="F17" s="73">
        <v>411.93372064680005</v>
      </c>
      <c r="G17" s="73">
        <v>1647.7348825872002</v>
      </c>
      <c r="H17" s="105">
        <v>205966.8603234</v>
      </c>
      <c r="J17" s="67" t="s">
        <v>477</v>
      </c>
    </row>
    <row r="18" spans="1:10" x14ac:dyDescent="0.25">
      <c r="A18" s="67" t="s">
        <v>491</v>
      </c>
      <c r="B18" s="73">
        <v>1967.7792003199991</v>
      </c>
      <c r="C18" s="73">
        <v>2329.7763173599983</v>
      </c>
      <c r="D18" s="73">
        <v>18.563954719999991</v>
      </c>
      <c r="E18" s="73">
        <v>4873.0381139999963</v>
      </c>
      <c r="F18" s="73">
        <v>18.563954719999991</v>
      </c>
      <c r="G18" s="73">
        <v>74.255818879999964</v>
      </c>
      <c r="H18" s="105">
        <v>9281.9773599999935</v>
      </c>
      <c r="J18" s="67" t="s">
        <v>477</v>
      </c>
    </row>
    <row r="19" spans="1:10" ht="26.25" x14ac:dyDescent="0.25">
      <c r="A19" s="67"/>
      <c r="B19" s="73"/>
      <c r="C19" s="73"/>
      <c r="D19" s="73"/>
      <c r="E19" s="73"/>
      <c r="F19" s="73"/>
      <c r="G19" s="73"/>
      <c r="H19" s="105"/>
      <c r="J19" s="136" t="s">
        <v>492</v>
      </c>
    </row>
    <row r="20" spans="1:10" x14ac:dyDescent="0.25">
      <c r="A20" s="67" t="s">
        <v>493</v>
      </c>
      <c r="B20" s="73"/>
      <c r="C20" s="73"/>
      <c r="D20" s="73"/>
      <c r="E20" s="73"/>
      <c r="F20" s="73"/>
      <c r="G20" s="73"/>
      <c r="H20" s="105"/>
      <c r="J20" s="67"/>
    </row>
    <row r="21" spans="1:10" x14ac:dyDescent="0.25">
      <c r="A21" s="67" t="s">
        <v>494</v>
      </c>
      <c r="B21" s="68">
        <v>178264</v>
      </c>
      <c r="C21" s="68">
        <v>178261</v>
      </c>
      <c r="D21" s="68">
        <v>2241</v>
      </c>
      <c r="E21" s="68">
        <v>425546</v>
      </c>
      <c r="F21" s="68">
        <v>412</v>
      </c>
      <c r="G21" s="68">
        <f>H21-F21-E21-D21-C21-B21</f>
        <v>1451858</v>
      </c>
      <c r="H21" s="68">
        <v>2236582</v>
      </c>
      <c r="I21" s="67" t="s">
        <v>495</v>
      </c>
    </row>
    <row r="22" spans="1:10" x14ac:dyDescent="0.25">
      <c r="A22" s="67" t="s">
        <v>496</v>
      </c>
      <c r="B22" s="68">
        <v>5222</v>
      </c>
      <c r="C22" s="68">
        <v>5390</v>
      </c>
      <c r="D22" s="68">
        <v>67</v>
      </c>
      <c r="E22" s="68">
        <v>12548</v>
      </c>
      <c r="F22" s="68">
        <v>19</v>
      </c>
      <c r="G22" s="68">
        <f>H22-B22-C22-D22-E22-F22</f>
        <v>45547</v>
      </c>
      <c r="H22" s="68">
        <v>68793</v>
      </c>
      <c r="I22" s="67" t="s">
        <v>495</v>
      </c>
    </row>
    <row r="23" spans="1:10" ht="15.75" thickBot="1" x14ac:dyDescent="0.3">
      <c r="B23" s="111">
        <f>SUM(B21:B22)</f>
        <v>183486</v>
      </c>
      <c r="C23" s="111">
        <f t="shared" ref="C23:H23" si="4">SUM(C21:C22)</f>
        <v>183651</v>
      </c>
      <c r="D23" s="111">
        <f t="shared" si="4"/>
        <v>2308</v>
      </c>
      <c r="E23" s="111">
        <f t="shared" si="4"/>
        <v>438094</v>
      </c>
      <c r="F23" s="111">
        <f t="shared" si="4"/>
        <v>431</v>
      </c>
      <c r="G23" s="111">
        <f t="shared" si="4"/>
        <v>1497405</v>
      </c>
      <c r="H23" s="111">
        <f t="shared" si="4"/>
        <v>2305375</v>
      </c>
    </row>
    <row r="24" spans="1:10" ht="15.75" thickTop="1" x14ac:dyDescent="0.25">
      <c r="B24" s="137">
        <f>B23/$H23</f>
        <v>7.9590522149324952E-2</v>
      </c>
      <c r="C24" s="137">
        <f t="shared" ref="C24:H24" si="5">C23/$H23</f>
        <v>7.9662094019411156E-2</v>
      </c>
      <c r="D24" s="137">
        <f t="shared" si="5"/>
        <v>1.0011386433877352E-3</v>
      </c>
      <c r="E24" s="137">
        <f t="shared" si="5"/>
        <v>0.19003155668817437</v>
      </c>
      <c r="F24" s="139">
        <f t="shared" si="5"/>
        <v>1.869544000433769E-4</v>
      </c>
      <c r="G24" s="137">
        <f t="shared" si="5"/>
        <v>0.64952773409965836</v>
      </c>
      <c r="H24" s="133">
        <f t="shared" si="5"/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="80" zoomScaleNormal="80" workbookViewId="0">
      <selection activeCell="L39" sqref="L39"/>
    </sheetView>
  </sheetViews>
  <sheetFormatPr defaultRowHeight="15" x14ac:dyDescent="0.25"/>
  <cols>
    <col min="1" max="1" width="38.85546875" customWidth="1"/>
    <col min="2" max="3" width="11.28515625" bestFit="1" customWidth="1"/>
    <col min="4" max="4" width="10" bestFit="1" customWidth="1"/>
    <col min="5" max="5" width="13.28515625" customWidth="1"/>
    <col min="6" max="6" width="9.42578125" bestFit="1" customWidth="1"/>
    <col min="7" max="7" width="16.85546875" bestFit="1" customWidth="1"/>
    <col min="8" max="8" width="13.85546875" customWidth="1"/>
    <col min="9" max="9" width="28.42578125" customWidth="1"/>
    <col min="10" max="10" width="21.5703125" customWidth="1"/>
  </cols>
  <sheetData>
    <row r="1" spans="1:10" x14ac:dyDescent="0.25">
      <c r="A1" s="116" t="s">
        <v>466</v>
      </c>
      <c r="B1" s="116"/>
      <c r="C1" s="116"/>
      <c r="D1" s="116"/>
      <c r="E1" s="116"/>
    </row>
    <row r="2" spans="1:10" x14ac:dyDescent="0.25">
      <c r="B2" s="132" t="s">
        <v>467</v>
      </c>
      <c r="C2" s="132" t="s">
        <v>468</v>
      </c>
      <c r="D2" s="132" t="s">
        <v>469</v>
      </c>
      <c r="E2" s="132" t="s">
        <v>470</v>
      </c>
      <c r="F2" s="132" t="s">
        <v>471</v>
      </c>
      <c r="G2" s="132" t="s">
        <v>472</v>
      </c>
      <c r="H2" s="132" t="s">
        <v>32</v>
      </c>
      <c r="I2" s="132" t="s">
        <v>473</v>
      </c>
    </row>
    <row r="3" spans="1:10" x14ac:dyDescent="0.25">
      <c r="A3" s="67" t="s">
        <v>474</v>
      </c>
      <c r="E3" s="133"/>
    </row>
    <row r="4" spans="1:10" x14ac:dyDescent="0.25">
      <c r="A4" s="67" t="s">
        <v>475</v>
      </c>
      <c r="B4" s="73">
        <v>28081.03</v>
      </c>
      <c r="C4" s="73">
        <v>31721.18</v>
      </c>
      <c r="D4" s="73">
        <v>866.68</v>
      </c>
      <c r="E4" s="73">
        <v>58762.25</v>
      </c>
      <c r="F4" s="73">
        <v>866.68</v>
      </c>
      <c r="G4" s="73">
        <f>3640+16641+867+14561+17334</f>
        <v>53043</v>
      </c>
      <c r="H4" s="105">
        <f>SUM(B4:G4)</f>
        <v>173340.82</v>
      </c>
      <c r="I4" s="67" t="s">
        <v>476</v>
      </c>
      <c r="J4" s="67" t="s">
        <v>477</v>
      </c>
    </row>
    <row r="5" spans="1:10" x14ac:dyDescent="0.25">
      <c r="A5" s="67" t="s">
        <v>478</v>
      </c>
      <c r="B5" s="73">
        <v>54981.28144510679</v>
      </c>
      <c r="C5" s="73">
        <v>65095.7624656689</v>
      </c>
      <c r="D5" s="73">
        <v>518.6913343878</v>
      </c>
      <c r="E5" s="73">
        <v>136156.47527679752</v>
      </c>
      <c r="F5" s="73">
        <v>518.6913343878</v>
      </c>
      <c r="G5" s="73">
        <v>2074.7653375512</v>
      </c>
      <c r="H5" s="105">
        <f t="shared" ref="H5:H7" si="0">SUM(B5:G5)</f>
        <v>259345.66719389998</v>
      </c>
      <c r="I5" s="67" t="s">
        <v>476</v>
      </c>
      <c r="J5" s="67" t="s">
        <v>477</v>
      </c>
    </row>
    <row r="6" spans="1:10" x14ac:dyDescent="0.25">
      <c r="A6" s="67" t="s">
        <v>479</v>
      </c>
      <c r="B6" s="68">
        <v>-5999.52</v>
      </c>
      <c r="C6" s="68">
        <v>-11306.88</v>
      </c>
      <c r="D6" s="68">
        <v>-230.76</v>
      </c>
      <c r="E6" s="68">
        <v>-20690.759999999998</v>
      </c>
      <c r="F6" s="68">
        <v>-230.76</v>
      </c>
      <c r="G6" s="134"/>
      <c r="H6" s="105">
        <f t="shared" si="0"/>
        <v>-38458.68</v>
      </c>
      <c r="I6" s="67" t="s">
        <v>480</v>
      </c>
    </row>
    <row r="7" spans="1:10" ht="30" x14ac:dyDescent="0.25">
      <c r="A7" s="135" t="s">
        <v>481</v>
      </c>
      <c r="B7" s="68">
        <v>-1061.67</v>
      </c>
      <c r="C7" s="68">
        <v>-15.85</v>
      </c>
      <c r="D7" s="68">
        <v>-2503.65</v>
      </c>
      <c r="E7" s="68">
        <v>-998.29</v>
      </c>
      <c r="F7" s="68"/>
      <c r="G7" s="68">
        <v>-11266.41</v>
      </c>
      <c r="H7" s="105">
        <f t="shared" si="0"/>
        <v>-15845.869999999999</v>
      </c>
      <c r="I7" s="67" t="s">
        <v>482</v>
      </c>
    </row>
    <row r="8" spans="1:10" x14ac:dyDescent="0.25">
      <c r="A8" t="s">
        <v>483</v>
      </c>
      <c r="B8" s="110">
        <f t="shared" ref="B8:G8" si="1">SUM(B4:B7)</f>
        <v>76001.121445106779</v>
      </c>
      <c r="C8" s="110">
        <f t="shared" si="1"/>
        <v>85494.212465668883</v>
      </c>
      <c r="D8" s="110">
        <f t="shared" si="1"/>
        <v>-1349.0386656122002</v>
      </c>
      <c r="E8" s="110">
        <f t="shared" si="1"/>
        <v>173229.6752767975</v>
      </c>
      <c r="F8" s="110">
        <f t="shared" si="1"/>
        <v>1154.6113343877998</v>
      </c>
      <c r="G8" s="110">
        <f t="shared" si="1"/>
        <v>43851.355337551198</v>
      </c>
      <c r="H8" s="110">
        <f>SUM(H4:H7)</f>
        <v>378381.9371939</v>
      </c>
    </row>
    <row r="9" spans="1:10" ht="39" x14ac:dyDescent="0.25">
      <c r="A9" t="s">
        <v>484</v>
      </c>
      <c r="B9" s="68">
        <f>H9*0.067</f>
        <v>5959.3096400000004</v>
      </c>
      <c r="C9" s="68">
        <f>0.063*88944.92</f>
        <v>5603.5299599999998</v>
      </c>
      <c r="D9" s="68">
        <f>0.001*88944.92</f>
        <v>88.944919999999996</v>
      </c>
      <c r="E9" s="68">
        <f>0.158*88944.92</f>
        <v>14053.29736</v>
      </c>
      <c r="F9" s="68"/>
      <c r="G9" s="68">
        <f>0.711*88944.92</f>
        <v>63239.838119999993</v>
      </c>
      <c r="H9" s="68">
        <v>88944.92</v>
      </c>
      <c r="I9" s="67" t="s">
        <v>482</v>
      </c>
      <c r="J9" s="136" t="s">
        <v>485</v>
      </c>
    </row>
    <row r="10" spans="1:10" x14ac:dyDescent="0.25">
      <c r="B10" s="110">
        <f t="shared" ref="B10:G10" si="2">B8+B9</f>
        <v>81960.431085106786</v>
      </c>
      <c r="C10" s="110">
        <f t="shared" si="2"/>
        <v>91097.742425668883</v>
      </c>
      <c r="D10" s="110">
        <f t="shared" si="2"/>
        <v>-1260.0937456122003</v>
      </c>
      <c r="E10" s="110">
        <f t="shared" si="2"/>
        <v>187282.97263679749</v>
      </c>
      <c r="F10" s="110">
        <f t="shared" si="2"/>
        <v>1154.6113343877998</v>
      </c>
      <c r="G10" s="110">
        <f t="shared" si="2"/>
        <v>107091.19345755118</v>
      </c>
      <c r="H10" s="110">
        <f>H8+H9</f>
        <v>467326.85719389998</v>
      </c>
    </row>
    <row r="11" spans="1:10" x14ac:dyDescent="0.25">
      <c r="A11" t="s">
        <v>486</v>
      </c>
      <c r="B11" s="137">
        <f>B10/$H10</f>
        <v>0.17538138419273502</v>
      </c>
      <c r="C11" s="137">
        <f t="shared" ref="C11:H11" si="3">C10/$H10</f>
        <v>0.19493367655493263</v>
      </c>
      <c r="D11" s="137">
        <f t="shared" si="3"/>
        <v>-2.6963863219386323E-3</v>
      </c>
      <c r="E11" s="137">
        <f t="shared" si="3"/>
        <v>0.40075371178398028</v>
      </c>
      <c r="F11" s="137">
        <f t="shared" si="3"/>
        <v>2.4706719004354946E-3</v>
      </c>
      <c r="G11" s="137">
        <f t="shared" si="3"/>
        <v>0.22915694188985516</v>
      </c>
      <c r="H11" s="133">
        <f t="shared" si="3"/>
        <v>1</v>
      </c>
    </row>
    <row r="12" spans="1:10" x14ac:dyDescent="0.25">
      <c r="A12" s="138" t="s">
        <v>487</v>
      </c>
      <c r="B12" s="133"/>
      <c r="C12" s="133"/>
      <c r="D12" s="133"/>
      <c r="E12" s="133"/>
      <c r="F12" s="133"/>
      <c r="G12" s="133"/>
      <c r="H12" s="68">
        <v>109068</v>
      </c>
    </row>
    <row r="13" spans="1:10" x14ac:dyDescent="0.25">
      <c r="A13" s="138" t="s">
        <v>488</v>
      </c>
      <c r="B13" s="133"/>
      <c r="C13" s="133"/>
      <c r="D13" s="133"/>
      <c r="E13" s="133"/>
      <c r="F13" s="133"/>
      <c r="G13" s="133"/>
      <c r="H13" s="68">
        <f>H10+H12</f>
        <v>576394.85719390004</v>
      </c>
    </row>
    <row r="14" spans="1:10" x14ac:dyDescent="0.25">
      <c r="A14" s="138" t="s">
        <v>489</v>
      </c>
      <c r="B14" s="133"/>
      <c r="C14" s="133"/>
      <c r="D14" s="133"/>
      <c r="E14" s="133"/>
      <c r="F14" s="133"/>
      <c r="G14" s="133"/>
      <c r="H14" s="68">
        <f>'[1]FC Depreciation Expense'!N13</f>
        <v>576906.20768648759</v>
      </c>
    </row>
    <row r="15" spans="1:10" x14ac:dyDescent="0.25">
      <c r="H15" s="105">
        <f>H13-H14</f>
        <v>-511.35049258754589</v>
      </c>
    </row>
    <row r="16" spans="1:10" x14ac:dyDescent="0.25">
      <c r="A16" s="67"/>
    </row>
    <row r="17" spans="1:10" x14ac:dyDescent="0.25">
      <c r="A17" s="67" t="s">
        <v>490</v>
      </c>
      <c r="B17" s="73">
        <v>43664.974388560804</v>
      </c>
      <c r="C17" s="73">
        <v>51697.681941173403</v>
      </c>
      <c r="D17" s="73">
        <v>411.93372064680005</v>
      </c>
      <c r="E17" s="73">
        <v>108132.601669785</v>
      </c>
      <c r="F17" s="73">
        <v>411.93372064680005</v>
      </c>
      <c r="G17" s="73">
        <v>1647.7348825872002</v>
      </c>
      <c r="H17" s="105">
        <v>205966.8603234</v>
      </c>
      <c r="J17" s="67" t="s">
        <v>477</v>
      </c>
    </row>
    <row r="18" spans="1:10" x14ac:dyDescent="0.25">
      <c r="A18" s="67" t="s">
        <v>491</v>
      </c>
      <c r="B18" s="73">
        <v>1967.7792003199991</v>
      </c>
      <c r="C18" s="73">
        <v>2329.7763173599983</v>
      </c>
      <c r="D18" s="73">
        <v>18.563954719999991</v>
      </c>
      <c r="E18" s="73">
        <v>4873.0381139999963</v>
      </c>
      <c r="F18" s="73">
        <v>18.563954719999991</v>
      </c>
      <c r="G18" s="73">
        <v>74.255818879999964</v>
      </c>
      <c r="H18" s="105">
        <v>9281.9773599999935</v>
      </c>
      <c r="J18" s="67" t="s">
        <v>477</v>
      </c>
    </row>
    <row r="19" spans="1:10" ht="26.25" x14ac:dyDescent="0.25">
      <c r="A19" s="67"/>
      <c r="B19" s="73"/>
      <c r="C19" s="73"/>
      <c r="D19" s="73"/>
      <c r="E19" s="73"/>
      <c r="F19" s="73"/>
      <c r="G19" s="73"/>
      <c r="H19" s="105"/>
      <c r="J19" s="136" t="s">
        <v>492</v>
      </c>
    </row>
    <row r="20" spans="1:10" x14ac:dyDescent="0.25">
      <c r="A20" s="67" t="s">
        <v>493</v>
      </c>
      <c r="B20" s="73"/>
      <c r="C20" s="73"/>
      <c r="D20" s="73"/>
      <c r="E20" s="73"/>
      <c r="F20" s="73"/>
      <c r="G20" s="73"/>
      <c r="H20" s="105"/>
      <c r="J20" s="67"/>
    </row>
    <row r="21" spans="1:10" x14ac:dyDescent="0.25">
      <c r="A21" s="67" t="s">
        <v>494</v>
      </c>
      <c r="B21" s="68">
        <v>178264</v>
      </c>
      <c r="C21" s="68">
        <v>178261</v>
      </c>
      <c r="D21" s="68">
        <v>2241</v>
      </c>
      <c r="E21" s="68">
        <v>425546</v>
      </c>
      <c r="F21" s="68">
        <v>412</v>
      </c>
      <c r="G21" s="68">
        <f>H21-F21-E21-D21-C21-B21</f>
        <v>1451858</v>
      </c>
      <c r="H21" s="68">
        <v>2236582</v>
      </c>
      <c r="I21" s="67" t="s">
        <v>495</v>
      </c>
    </row>
    <row r="22" spans="1:10" x14ac:dyDescent="0.25">
      <c r="A22" s="67" t="s">
        <v>496</v>
      </c>
      <c r="B22" s="68">
        <v>5222</v>
      </c>
      <c r="C22" s="68">
        <v>5390</v>
      </c>
      <c r="D22" s="68">
        <v>67</v>
      </c>
      <c r="E22" s="68">
        <v>12548</v>
      </c>
      <c r="F22" s="68">
        <v>19</v>
      </c>
      <c r="G22" s="68">
        <f>H22-B22-C22-D22-E22-F22</f>
        <v>45547</v>
      </c>
      <c r="H22" s="68">
        <v>68793</v>
      </c>
      <c r="I22" s="67" t="s">
        <v>495</v>
      </c>
    </row>
    <row r="23" spans="1:10" ht="15.75" thickBot="1" x14ac:dyDescent="0.3">
      <c r="B23" s="111">
        <f>SUM(B21:B22)</f>
        <v>183486</v>
      </c>
      <c r="C23" s="111">
        <f t="shared" ref="C23:H23" si="4">SUM(C21:C22)</f>
        <v>183651</v>
      </c>
      <c r="D23" s="111">
        <f t="shared" si="4"/>
        <v>2308</v>
      </c>
      <c r="E23" s="111">
        <f t="shared" si="4"/>
        <v>438094</v>
      </c>
      <c r="F23" s="111">
        <f t="shared" si="4"/>
        <v>431</v>
      </c>
      <c r="G23" s="111">
        <f t="shared" si="4"/>
        <v>1497405</v>
      </c>
      <c r="H23" s="111">
        <f t="shared" si="4"/>
        <v>2305375</v>
      </c>
    </row>
    <row r="24" spans="1:10" ht="15.75" thickTop="1" x14ac:dyDescent="0.25">
      <c r="B24" s="137">
        <f>B23/$H23</f>
        <v>7.9590522149324952E-2</v>
      </c>
      <c r="C24" s="137">
        <f t="shared" ref="C24:H24" si="5">C23/$H23</f>
        <v>7.9662094019411156E-2</v>
      </c>
      <c r="D24" s="137">
        <f t="shared" si="5"/>
        <v>1.0011386433877352E-3</v>
      </c>
      <c r="E24" s="137">
        <f t="shared" si="5"/>
        <v>0.19003155668817437</v>
      </c>
      <c r="F24" s="139">
        <f t="shared" si="5"/>
        <v>1.869544000433769E-4</v>
      </c>
      <c r="G24" s="137">
        <f t="shared" si="5"/>
        <v>0.64952773409965836</v>
      </c>
      <c r="H24" s="133">
        <f t="shared" si="5"/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4"/>
  <sheetViews>
    <sheetView topLeftCell="A2" zoomScale="80" zoomScaleNormal="80" workbookViewId="0">
      <selection activeCell="L39" sqref="L39"/>
    </sheetView>
  </sheetViews>
  <sheetFormatPr defaultRowHeight="15" x14ac:dyDescent="0.25"/>
  <cols>
    <col min="1" max="1" width="38.85546875" customWidth="1"/>
    <col min="2" max="3" width="11.28515625" bestFit="1" customWidth="1"/>
    <col min="4" max="4" width="10" bestFit="1" customWidth="1"/>
    <col min="5" max="5" width="13.28515625" customWidth="1"/>
    <col min="6" max="6" width="9.42578125" bestFit="1" customWidth="1"/>
    <col min="7" max="7" width="16.85546875" bestFit="1" customWidth="1"/>
    <col min="8" max="8" width="13.85546875" customWidth="1"/>
    <col min="9" max="9" width="28.42578125" customWidth="1"/>
    <col min="10" max="10" width="21.5703125" customWidth="1"/>
  </cols>
  <sheetData>
    <row r="1" spans="1:11" x14ac:dyDescent="0.25">
      <c r="A1" s="116" t="s">
        <v>466</v>
      </c>
      <c r="B1" s="116"/>
      <c r="C1" s="116"/>
      <c r="D1" s="116"/>
      <c r="E1" s="116"/>
    </row>
    <row r="2" spans="1:11" x14ac:dyDescent="0.25">
      <c r="B2" s="132" t="s">
        <v>467</v>
      </c>
      <c r="C2" s="132" t="s">
        <v>468</v>
      </c>
      <c r="D2" s="132" t="s">
        <v>469</v>
      </c>
      <c r="E2" s="132" t="s">
        <v>470</v>
      </c>
      <c r="F2" s="132" t="s">
        <v>471</v>
      </c>
      <c r="G2" s="132" t="s">
        <v>472</v>
      </c>
      <c r="H2" s="132" t="s">
        <v>32</v>
      </c>
      <c r="I2" s="132" t="s">
        <v>473</v>
      </c>
    </row>
    <row r="3" spans="1:11" x14ac:dyDescent="0.25">
      <c r="A3" s="67" t="s">
        <v>474</v>
      </c>
      <c r="E3" s="133"/>
    </row>
    <row r="4" spans="1:11" x14ac:dyDescent="0.25">
      <c r="A4" s="67" t="s">
        <v>507</v>
      </c>
      <c r="B4" s="73">
        <f>28081.03-11679.52</f>
        <v>16401.509999999998</v>
      </c>
      <c r="C4" s="73">
        <f>31721.18-13943.92</f>
        <v>17777.260000000002</v>
      </c>
      <c r="D4" s="73">
        <f>866.68-476.72</f>
        <v>389.95999999999992</v>
      </c>
      <c r="E4" s="73">
        <f>58762.25-20737.12</f>
        <v>38025.130000000005</v>
      </c>
      <c r="F4" s="73">
        <f>866.68-595.89</f>
        <v>270.78999999999996</v>
      </c>
      <c r="G4" s="73">
        <f>3640+16641+867+14561+17334+47133.47</f>
        <v>100176.47</v>
      </c>
      <c r="H4" s="105">
        <f>SUM(B4:G4)</f>
        <v>173041.12</v>
      </c>
      <c r="I4" s="67" t="s">
        <v>476</v>
      </c>
      <c r="J4" s="67" t="s">
        <v>477</v>
      </c>
    </row>
    <row r="5" spans="1:11" x14ac:dyDescent="0.25">
      <c r="A5" s="67" t="s">
        <v>478</v>
      </c>
      <c r="B5" s="73"/>
      <c r="C5" s="73"/>
      <c r="D5" s="73"/>
      <c r="E5" s="73"/>
      <c r="F5" s="73"/>
      <c r="G5" s="73"/>
      <c r="H5" s="105"/>
      <c r="I5" s="67" t="s">
        <v>476</v>
      </c>
      <c r="J5" s="67" t="s">
        <v>477</v>
      </c>
      <c r="K5" t="s">
        <v>505</v>
      </c>
    </row>
    <row r="6" spans="1:11" x14ac:dyDescent="0.25">
      <c r="A6" s="67" t="s">
        <v>479</v>
      </c>
      <c r="B6" s="68"/>
      <c r="C6" s="68"/>
      <c r="D6" s="68"/>
      <c r="E6" s="68"/>
      <c r="F6" s="68"/>
      <c r="G6" s="134"/>
      <c r="H6" s="105"/>
      <c r="I6" s="67" t="s">
        <v>480</v>
      </c>
      <c r="K6" t="s">
        <v>505</v>
      </c>
    </row>
    <row r="7" spans="1:11" ht="30" x14ac:dyDescent="0.25">
      <c r="A7" s="135" t="s">
        <v>481</v>
      </c>
      <c r="B7" s="68"/>
      <c r="C7" s="68"/>
      <c r="D7" s="68"/>
      <c r="E7" s="68"/>
      <c r="F7" s="68"/>
      <c r="G7" s="68"/>
      <c r="H7" s="105"/>
      <c r="I7" s="67" t="s">
        <v>482</v>
      </c>
      <c r="K7" t="s">
        <v>505</v>
      </c>
    </row>
    <row r="8" spans="1:11" x14ac:dyDescent="0.25">
      <c r="A8" t="s">
        <v>483</v>
      </c>
      <c r="B8" s="110">
        <f t="shared" ref="B8:G8" si="0">SUM(B4:B7)</f>
        <v>16401.509999999998</v>
      </c>
      <c r="C8" s="110">
        <f t="shared" si="0"/>
        <v>17777.260000000002</v>
      </c>
      <c r="D8" s="110">
        <f t="shared" si="0"/>
        <v>389.95999999999992</v>
      </c>
      <c r="E8" s="110">
        <f t="shared" si="0"/>
        <v>38025.130000000005</v>
      </c>
      <c r="F8" s="110">
        <f t="shared" si="0"/>
        <v>270.78999999999996</v>
      </c>
      <c r="G8" s="110">
        <f t="shared" si="0"/>
        <v>100176.47</v>
      </c>
      <c r="H8" s="110">
        <f>SUM(H4:H7)</f>
        <v>173041.12</v>
      </c>
    </row>
    <row r="9" spans="1:11" ht="39" x14ac:dyDescent="0.25">
      <c r="A9" t="s">
        <v>484</v>
      </c>
      <c r="B9" s="68">
        <f>H9*0.067</f>
        <v>5959.3096400000004</v>
      </c>
      <c r="C9" s="68">
        <f>0.063*88944.92</f>
        <v>5603.5299599999998</v>
      </c>
      <c r="D9" s="68">
        <f>0.001*88944.92</f>
        <v>88.944919999999996</v>
      </c>
      <c r="E9" s="68">
        <f>0.158*88944.92</f>
        <v>14053.29736</v>
      </c>
      <c r="F9" s="68"/>
      <c r="G9" s="68">
        <f>0.711*88944.92</f>
        <v>63239.838119999993</v>
      </c>
      <c r="H9" s="68">
        <v>88944.92</v>
      </c>
      <c r="I9" s="67" t="s">
        <v>482</v>
      </c>
      <c r="J9" s="136" t="s">
        <v>485</v>
      </c>
    </row>
    <row r="10" spans="1:11" x14ac:dyDescent="0.25">
      <c r="B10" s="110">
        <f t="shared" ref="B10:G10" si="1">B8+B9</f>
        <v>22360.819639999998</v>
      </c>
      <c r="C10" s="110">
        <f t="shared" si="1"/>
        <v>23380.789960000002</v>
      </c>
      <c r="D10" s="110">
        <f t="shared" si="1"/>
        <v>478.90491999999995</v>
      </c>
      <c r="E10" s="110">
        <f t="shared" si="1"/>
        <v>52078.427360000001</v>
      </c>
      <c r="F10" s="110">
        <f t="shared" si="1"/>
        <v>270.78999999999996</v>
      </c>
      <c r="G10" s="110">
        <f t="shared" si="1"/>
        <v>163416.30812</v>
      </c>
      <c r="H10" s="110">
        <f>H8+H9</f>
        <v>261986.03999999998</v>
      </c>
    </row>
    <row r="11" spans="1:11" x14ac:dyDescent="0.25">
      <c r="A11" t="s">
        <v>486</v>
      </c>
      <c r="B11" s="137">
        <f>B10/$H10</f>
        <v>8.535118756709327E-2</v>
      </c>
      <c r="C11" s="137">
        <f t="shared" ref="C11:H11" si="2">C10/$H10</f>
        <v>8.9244411496124013E-2</v>
      </c>
      <c r="D11" s="137">
        <f t="shared" si="2"/>
        <v>1.8279787732201304E-3</v>
      </c>
      <c r="E11" s="137">
        <f t="shared" si="2"/>
        <v>0.19878321516673181</v>
      </c>
      <c r="F11" s="137">
        <f t="shared" si="2"/>
        <v>1.0336046913033991E-3</v>
      </c>
      <c r="G11" s="137">
        <f t="shared" si="2"/>
        <v>0.62375960230552752</v>
      </c>
      <c r="H11" s="133">
        <f t="shared" si="2"/>
        <v>1</v>
      </c>
    </row>
    <row r="12" spans="1:11" x14ac:dyDescent="0.25">
      <c r="A12" s="138" t="s">
        <v>487</v>
      </c>
      <c r="B12" s="133"/>
      <c r="C12" s="133"/>
      <c r="D12" s="133"/>
      <c r="E12" s="133"/>
      <c r="F12" s="133"/>
      <c r="G12" s="133"/>
      <c r="H12" s="68">
        <v>109068</v>
      </c>
    </row>
    <row r="13" spans="1:11" x14ac:dyDescent="0.25">
      <c r="A13" s="138" t="s">
        <v>488</v>
      </c>
      <c r="B13" s="133"/>
      <c r="C13" s="133"/>
      <c r="D13" s="133"/>
      <c r="E13" s="133"/>
      <c r="F13" s="133"/>
      <c r="G13" s="133"/>
      <c r="H13" s="68">
        <f>H10+H12</f>
        <v>371054.04</v>
      </c>
    </row>
    <row r="14" spans="1:11" x14ac:dyDescent="0.25">
      <c r="A14" s="138" t="s">
        <v>506</v>
      </c>
      <c r="B14" s="133"/>
      <c r="C14" s="133"/>
      <c r="D14" s="133"/>
      <c r="E14" s="133"/>
      <c r="F14" s="133"/>
      <c r="G14" s="133"/>
      <c r="H14" s="68">
        <f>'FC depreciation adjustment 23'!N13</f>
        <v>371720.40300997224</v>
      </c>
    </row>
    <row r="15" spans="1:11" x14ac:dyDescent="0.25">
      <c r="H15" s="105">
        <f>H13-H14</f>
        <v>-666.36300997226499</v>
      </c>
    </row>
    <row r="16" spans="1:11" x14ac:dyDescent="0.25">
      <c r="A16" s="67"/>
    </row>
    <row r="17" spans="1:10" x14ac:dyDescent="0.25">
      <c r="A17" s="67" t="s">
        <v>490</v>
      </c>
      <c r="B17" s="73">
        <v>43664.974388560804</v>
      </c>
      <c r="C17" s="73">
        <v>51697.681941173403</v>
      </c>
      <c r="D17" s="73">
        <v>411.93372064680005</v>
      </c>
      <c r="E17" s="73">
        <v>108132.601669785</v>
      </c>
      <c r="F17" s="73">
        <v>411.93372064680005</v>
      </c>
      <c r="G17" s="73">
        <v>1647.7348825872002</v>
      </c>
      <c r="H17" s="105">
        <v>205966.8603234</v>
      </c>
      <c r="J17" s="67" t="s">
        <v>477</v>
      </c>
    </row>
    <row r="18" spans="1:10" x14ac:dyDescent="0.25">
      <c r="A18" s="67" t="s">
        <v>491</v>
      </c>
      <c r="B18" s="73">
        <v>1967.7792003199991</v>
      </c>
      <c r="C18" s="73">
        <v>2329.7763173599983</v>
      </c>
      <c r="D18" s="73">
        <v>18.563954719999991</v>
      </c>
      <c r="E18" s="73">
        <v>4873.0381139999963</v>
      </c>
      <c r="F18" s="73">
        <v>18.563954719999991</v>
      </c>
      <c r="G18" s="73">
        <v>74.255818879999964</v>
      </c>
      <c r="H18" s="105">
        <v>9281.9773599999935</v>
      </c>
      <c r="J18" s="67" t="s">
        <v>477</v>
      </c>
    </row>
    <row r="19" spans="1:10" ht="26.25" x14ac:dyDescent="0.25">
      <c r="A19" s="67"/>
      <c r="B19" s="73"/>
      <c r="C19" s="73"/>
      <c r="D19" s="73"/>
      <c r="E19" s="73"/>
      <c r="F19" s="73"/>
      <c r="G19" s="73"/>
      <c r="H19" s="105"/>
      <c r="J19" s="136" t="s">
        <v>492</v>
      </c>
    </row>
    <row r="20" spans="1:10" x14ac:dyDescent="0.25">
      <c r="A20" s="67" t="s">
        <v>493</v>
      </c>
      <c r="B20" s="73"/>
      <c r="C20" s="73"/>
      <c r="D20" s="73"/>
      <c r="E20" s="73"/>
      <c r="F20" s="73"/>
      <c r="G20" s="73"/>
      <c r="H20" s="105"/>
      <c r="J20" s="67"/>
    </row>
    <row r="21" spans="1:10" x14ac:dyDescent="0.25">
      <c r="A21" s="67" t="s">
        <v>494</v>
      </c>
      <c r="B21" s="68">
        <v>178264</v>
      </c>
      <c r="C21" s="68">
        <v>178261</v>
      </c>
      <c r="D21" s="68">
        <v>2241</v>
      </c>
      <c r="E21" s="68">
        <v>425546</v>
      </c>
      <c r="F21" s="68">
        <v>412</v>
      </c>
      <c r="G21" s="68">
        <f>H21-F21-E21-D21-C21-B21</f>
        <v>1451858</v>
      </c>
      <c r="H21" s="68">
        <v>2236582</v>
      </c>
      <c r="I21" s="67" t="s">
        <v>495</v>
      </c>
    </row>
    <row r="22" spans="1:10" x14ac:dyDescent="0.25">
      <c r="A22" s="67" t="s">
        <v>496</v>
      </c>
      <c r="B22" s="68">
        <v>5222</v>
      </c>
      <c r="C22" s="68">
        <v>5390</v>
      </c>
      <c r="D22" s="68">
        <v>67</v>
      </c>
      <c r="E22" s="68">
        <v>12548</v>
      </c>
      <c r="F22" s="68">
        <v>19</v>
      </c>
      <c r="G22" s="68">
        <f>H22-B22-C22-D22-E22-F22</f>
        <v>45547</v>
      </c>
      <c r="H22" s="68">
        <v>68793</v>
      </c>
      <c r="I22" s="67" t="s">
        <v>495</v>
      </c>
    </row>
    <row r="23" spans="1:10" ht="15.75" thickBot="1" x14ac:dyDescent="0.3">
      <c r="B23" s="111">
        <f>SUM(B21:B22)</f>
        <v>183486</v>
      </c>
      <c r="C23" s="111">
        <f t="shared" ref="C23:H23" si="3">SUM(C21:C22)</f>
        <v>183651</v>
      </c>
      <c r="D23" s="111">
        <f t="shared" si="3"/>
        <v>2308</v>
      </c>
      <c r="E23" s="111">
        <f t="shared" si="3"/>
        <v>438094</v>
      </c>
      <c r="F23" s="111">
        <f t="shared" si="3"/>
        <v>431</v>
      </c>
      <c r="G23" s="111">
        <f t="shared" si="3"/>
        <v>1497405</v>
      </c>
      <c r="H23" s="111">
        <f t="shared" si="3"/>
        <v>2305375</v>
      </c>
    </row>
    <row r="24" spans="1:10" ht="15.75" thickTop="1" x14ac:dyDescent="0.25">
      <c r="B24" s="137">
        <f>B23/$H23</f>
        <v>7.9590522149324952E-2</v>
      </c>
      <c r="C24" s="137">
        <f t="shared" ref="C24:H24" si="4">C23/$H23</f>
        <v>7.9662094019411156E-2</v>
      </c>
      <c r="D24" s="137">
        <f t="shared" si="4"/>
        <v>1.0011386433877352E-3</v>
      </c>
      <c r="E24" s="137">
        <f t="shared" si="4"/>
        <v>0.19003155668817437</v>
      </c>
      <c r="F24" s="139">
        <f t="shared" si="4"/>
        <v>1.869544000433769E-4</v>
      </c>
      <c r="G24" s="137">
        <f t="shared" si="4"/>
        <v>0.64952773409965836</v>
      </c>
      <c r="H24" s="133">
        <f t="shared" si="4"/>
        <v>1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11"/>
  <sheetViews>
    <sheetView topLeftCell="A4" zoomScale="80" zoomScaleNormal="80" workbookViewId="0">
      <pane xSplit="2" ySplit="4" topLeftCell="J167" activePane="bottomRight" state="frozen"/>
      <selection activeCell="L39" sqref="L39"/>
      <selection pane="topRight" activeCell="L39" sqref="L39"/>
      <selection pane="bottomLeft" activeCell="L39" sqref="L39"/>
      <selection pane="bottomRight" activeCell="L39" sqref="L39"/>
    </sheetView>
  </sheetViews>
  <sheetFormatPr defaultRowHeight="15" x14ac:dyDescent="0.25"/>
  <cols>
    <col min="1" max="1" width="59.28515625" customWidth="1"/>
    <col min="2" max="2" width="10" bestFit="1" customWidth="1"/>
    <col min="3" max="3" width="17.140625" bestFit="1" customWidth="1"/>
    <col min="4" max="4" width="19" customWidth="1"/>
    <col min="5" max="15" width="15.42578125" bestFit="1" customWidth="1"/>
    <col min="16" max="16" width="17" bestFit="1" customWidth="1"/>
    <col min="17" max="17" width="15.42578125" bestFit="1" customWidth="1"/>
    <col min="18" max="18" width="17.28515625" customWidth="1"/>
    <col min="19" max="19" width="15.140625" bestFit="1" customWidth="1"/>
    <col min="20" max="20" width="13.140625" bestFit="1" customWidth="1"/>
    <col min="21" max="21" width="11.5703125" customWidth="1"/>
    <col min="22" max="22" width="7.85546875" bestFit="1" customWidth="1"/>
    <col min="23" max="23" width="6.140625" bestFit="1" customWidth="1"/>
    <col min="24" max="24" width="8" bestFit="1" customWidth="1"/>
    <col min="27" max="27" width="8.42578125" bestFit="1" customWidth="1"/>
    <col min="28" max="29" width="8.7109375" bestFit="1" customWidth="1"/>
    <col min="30" max="30" width="7.85546875" bestFit="1" customWidth="1"/>
    <col min="31" max="31" width="6.140625" bestFit="1" customWidth="1"/>
    <col min="32" max="32" width="8" bestFit="1" customWidth="1"/>
    <col min="33" max="33" width="8.7109375" bestFit="1" customWidth="1"/>
    <col min="34" max="34" width="7.42578125" bestFit="1" customWidth="1"/>
  </cols>
  <sheetData>
    <row r="1" spans="1:34" ht="22.5" x14ac:dyDescent="0.45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 t="s">
        <v>1</v>
      </c>
      <c r="T1" s="4" t="s">
        <v>2</v>
      </c>
      <c r="U1" s="4"/>
      <c r="V1" s="4"/>
      <c r="W1" s="4"/>
      <c r="X1" s="4"/>
      <c r="Y1" s="4"/>
      <c r="Z1" s="4"/>
      <c r="AA1" s="4" t="s">
        <v>1</v>
      </c>
      <c r="AB1" s="4" t="s">
        <v>3</v>
      </c>
      <c r="AC1" s="4"/>
      <c r="AD1" s="4"/>
      <c r="AE1" s="4"/>
      <c r="AF1" s="4"/>
      <c r="AG1" s="4"/>
      <c r="AH1" s="3"/>
    </row>
    <row r="2" spans="1:34" ht="19.5" x14ac:dyDescent="0.4">
      <c r="A2" s="5" t="s">
        <v>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4" t="s">
        <v>5</v>
      </c>
      <c r="T2" s="4" t="s">
        <v>6</v>
      </c>
      <c r="U2" s="4" t="s">
        <v>7</v>
      </c>
      <c r="V2" s="4" t="s">
        <v>8</v>
      </c>
      <c r="W2" s="4" t="s">
        <v>9</v>
      </c>
      <c r="X2" s="4" t="s">
        <v>10</v>
      </c>
      <c r="Y2" s="4" t="s">
        <v>11</v>
      </c>
      <c r="Z2" s="4"/>
      <c r="AA2" s="4" t="s">
        <v>5</v>
      </c>
      <c r="AB2" s="4" t="s">
        <v>6</v>
      </c>
      <c r="AC2" s="4" t="s">
        <v>7</v>
      </c>
      <c r="AD2" s="4" t="s">
        <v>8</v>
      </c>
      <c r="AE2" s="4" t="s">
        <v>9</v>
      </c>
      <c r="AF2" s="4" t="s">
        <v>10</v>
      </c>
      <c r="AG2" s="4" t="s">
        <v>11</v>
      </c>
      <c r="AH2" s="3"/>
    </row>
    <row r="3" spans="1:34" ht="19.5" x14ac:dyDescent="0.4">
      <c r="A3" s="5" t="s">
        <v>12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4" t="s">
        <v>13</v>
      </c>
      <c r="T3" s="6">
        <v>0.16214999999999999</v>
      </c>
      <c r="U3" s="6">
        <v>0.39171</v>
      </c>
      <c r="V3" s="6">
        <v>0.18387999999999999</v>
      </c>
      <c r="W3" s="6">
        <v>3.5500000000000002E-3</v>
      </c>
      <c r="X3" s="6">
        <v>1.1100000000000001E-3</v>
      </c>
      <c r="Y3" s="6">
        <v>0.25762000000000002</v>
      </c>
      <c r="Z3" s="4"/>
      <c r="AA3" s="4" t="s">
        <v>13</v>
      </c>
      <c r="AB3" s="6">
        <v>0.16214999999999999</v>
      </c>
      <c r="AC3" s="6">
        <v>0.39171</v>
      </c>
      <c r="AD3" s="6">
        <v>0.18387999999999999</v>
      </c>
      <c r="AE3" s="6">
        <v>3.5500000000000002E-3</v>
      </c>
      <c r="AF3" s="6">
        <v>1.1100000000000001E-3</v>
      </c>
      <c r="AG3" s="6">
        <v>0.25762000000000002</v>
      </c>
      <c r="AH3" s="7"/>
    </row>
    <row r="4" spans="1:34" ht="19.5" x14ac:dyDescent="0.4">
      <c r="A4" s="5" t="s">
        <v>499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4" t="s">
        <v>15</v>
      </c>
      <c r="T4" s="8">
        <v>0.2928</v>
      </c>
      <c r="U4" s="8">
        <v>0.70720000000000005</v>
      </c>
      <c r="V4" s="8"/>
      <c r="W4" s="8"/>
      <c r="X4" s="8"/>
      <c r="Y4" s="9"/>
      <c r="Z4" s="4"/>
      <c r="AA4" s="4" t="s">
        <v>15</v>
      </c>
      <c r="AB4" s="8">
        <v>0.2928</v>
      </c>
      <c r="AC4" s="8">
        <v>0.70720000000000005</v>
      </c>
      <c r="AD4" s="8"/>
      <c r="AE4" s="8"/>
      <c r="AF4" s="8"/>
      <c r="AG4" s="9"/>
      <c r="AH4" s="7"/>
    </row>
    <row r="5" spans="1:34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4" t="s">
        <v>16</v>
      </c>
      <c r="T5" s="8">
        <v>0.21299999999999999</v>
      </c>
      <c r="U5" s="8">
        <v>0.34799999999999998</v>
      </c>
      <c r="V5" s="8">
        <v>0.14399999999999999</v>
      </c>
      <c r="W5" s="8">
        <v>1E-3</v>
      </c>
      <c r="X5" s="8">
        <v>1E-3</v>
      </c>
      <c r="Y5" s="8">
        <v>0.29299999999999998</v>
      </c>
      <c r="Z5" s="4"/>
      <c r="AA5" s="4" t="s">
        <v>16</v>
      </c>
      <c r="AB5" s="8">
        <v>0.21299999999999999</v>
      </c>
      <c r="AC5" s="8">
        <v>0.34799999999999998</v>
      </c>
      <c r="AD5" s="8">
        <v>0.14399999999999999</v>
      </c>
      <c r="AE5" s="8">
        <v>1E-3</v>
      </c>
      <c r="AF5" s="8">
        <v>1E-3</v>
      </c>
      <c r="AG5" s="8">
        <v>0.29299999999999998</v>
      </c>
      <c r="AH5" s="7"/>
    </row>
    <row r="6" spans="1:34" x14ac:dyDescent="0.25">
      <c r="C6" s="10" t="s">
        <v>17</v>
      </c>
      <c r="D6" s="10" t="s">
        <v>18</v>
      </c>
      <c r="E6" s="10" t="s">
        <v>19</v>
      </c>
      <c r="F6" s="10" t="s">
        <v>20</v>
      </c>
      <c r="G6" s="10" t="s">
        <v>21</v>
      </c>
      <c r="H6" s="10" t="s">
        <v>22</v>
      </c>
      <c r="I6" s="10" t="s">
        <v>23</v>
      </c>
      <c r="J6" s="10" t="s">
        <v>24</v>
      </c>
      <c r="K6" s="10" t="s">
        <v>25</v>
      </c>
      <c r="L6" s="10" t="s">
        <v>26</v>
      </c>
      <c r="M6" s="10" t="s">
        <v>27</v>
      </c>
      <c r="N6" s="10" t="s">
        <v>28</v>
      </c>
      <c r="O6" s="10" t="s">
        <v>17</v>
      </c>
      <c r="P6" s="2"/>
      <c r="Q6" s="2"/>
      <c r="R6" s="3"/>
      <c r="S6" s="4" t="s">
        <v>29</v>
      </c>
      <c r="T6" s="8">
        <v>0.252</v>
      </c>
      <c r="U6" s="8">
        <v>0.52</v>
      </c>
      <c r="V6" s="8"/>
      <c r="W6" s="8"/>
      <c r="X6" s="8"/>
      <c r="Y6" s="8">
        <v>0.22800000000000001</v>
      </c>
      <c r="Z6" s="4"/>
      <c r="AA6" s="4" t="s">
        <v>29</v>
      </c>
      <c r="AB6" s="8">
        <v>0.252</v>
      </c>
      <c r="AC6" s="8">
        <v>0.52</v>
      </c>
      <c r="AD6" s="8"/>
      <c r="AE6" s="8"/>
      <c r="AF6" s="8"/>
      <c r="AG6" s="8">
        <v>0.22800000000000001</v>
      </c>
      <c r="AH6" s="7"/>
    </row>
    <row r="7" spans="1:34" x14ac:dyDescent="0.25">
      <c r="C7" s="11" t="s">
        <v>31</v>
      </c>
      <c r="D7" s="11" t="s">
        <v>497</v>
      </c>
      <c r="E7" s="11" t="s">
        <v>497</v>
      </c>
      <c r="F7" s="11" t="s">
        <v>497</v>
      </c>
      <c r="G7" s="11" t="s">
        <v>497</v>
      </c>
      <c r="H7" s="11" t="s">
        <v>497</v>
      </c>
      <c r="I7" s="11" t="s">
        <v>497</v>
      </c>
      <c r="J7" s="11" t="s">
        <v>497</v>
      </c>
      <c r="K7" s="11" t="s">
        <v>497</v>
      </c>
      <c r="L7" s="11" t="s">
        <v>497</v>
      </c>
      <c r="M7" s="11" t="s">
        <v>497</v>
      </c>
      <c r="N7" s="11" t="s">
        <v>497</v>
      </c>
      <c r="O7" s="11" t="s">
        <v>497</v>
      </c>
      <c r="P7" s="12" t="s">
        <v>32</v>
      </c>
      <c r="Q7" s="12" t="s">
        <v>33</v>
      </c>
      <c r="R7" s="3"/>
      <c r="S7" s="4" t="s">
        <v>34</v>
      </c>
      <c r="T7" s="8">
        <v>0.192</v>
      </c>
      <c r="U7" s="8">
        <v>0.39610000000000001</v>
      </c>
      <c r="V7" s="8">
        <v>0.13700000000000001</v>
      </c>
      <c r="W7" s="8">
        <v>3.2000000000000002E-3</v>
      </c>
      <c r="X7" s="8">
        <v>2.2000000000000001E-3</v>
      </c>
      <c r="Y7" s="8">
        <v>0.26950000000000002</v>
      </c>
      <c r="Z7" s="4"/>
      <c r="AA7" s="4" t="s">
        <v>34</v>
      </c>
      <c r="AB7" s="8">
        <v>0.192</v>
      </c>
      <c r="AC7" s="8">
        <v>0.39610000000000001</v>
      </c>
      <c r="AD7" s="8">
        <v>0.13700000000000001</v>
      </c>
      <c r="AE7" s="8">
        <v>3.2000000000000002E-3</v>
      </c>
      <c r="AF7" s="8">
        <v>2.2000000000000001E-3</v>
      </c>
      <c r="AG7" s="8">
        <v>0.26950000000000002</v>
      </c>
      <c r="AH7" s="7"/>
    </row>
    <row r="8" spans="1:34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3"/>
    </row>
    <row r="9" spans="1:34" x14ac:dyDescent="0.25">
      <c r="A9" s="13" t="s">
        <v>35</v>
      </c>
      <c r="B9" s="13" t="s">
        <v>36</v>
      </c>
      <c r="C9" s="14">
        <v>-53473801</v>
      </c>
      <c r="D9" s="14">
        <v>-52927683</v>
      </c>
      <c r="E9" s="14">
        <v>-50782991</v>
      </c>
      <c r="F9" s="14">
        <v>-53728742</v>
      </c>
      <c r="G9" s="14">
        <v>-52528295</v>
      </c>
      <c r="H9" s="14">
        <v>-54546955</v>
      </c>
      <c r="I9" s="14">
        <v>-53198317</v>
      </c>
      <c r="J9" s="14">
        <v>-56088549</v>
      </c>
      <c r="K9" s="14">
        <v>-57339401</v>
      </c>
      <c r="L9" s="14">
        <v>-53454763</v>
      </c>
      <c r="M9" s="14">
        <v>-55104746</v>
      </c>
      <c r="N9" s="14">
        <v>-47993900</v>
      </c>
      <c r="O9" s="14">
        <v>-62628904</v>
      </c>
      <c r="P9" s="14">
        <v>-703797045</v>
      </c>
      <c r="Q9" s="14">
        <v>-54138234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3"/>
    </row>
    <row r="10" spans="1:34" x14ac:dyDescent="0.2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3"/>
    </row>
    <row r="11" spans="1:34" ht="19.5" x14ac:dyDescent="0.4">
      <c r="A11" s="5" t="s">
        <v>37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3"/>
    </row>
    <row r="12" spans="1:34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3"/>
    </row>
    <row r="13" spans="1:34" ht="15.75" x14ac:dyDescent="0.3">
      <c r="A13" s="18" t="s">
        <v>38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3"/>
    </row>
    <row r="14" spans="1:34" x14ac:dyDescent="0.2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3"/>
    </row>
    <row r="15" spans="1:34" x14ac:dyDescent="0.25">
      <c r="A15" s="21" t="s">
        <v>39</v>
      </c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3"/>
    </row>
    <row r="16" spans="1:34" x14ac:dyDescent="0.25">
      <c r="A16" s="13" t="s">
        <v>40</v>
      </c>
      <c r="B16" s="13" t="s">
        <v>41</v>
      </c>
      <c r="C16" s="2">
        <v>12191005</v>
      </c>
      <c r="D16" s="2">
        <v>12191005</v>
      </c>
      <c r="E16" s="2">
        <v>12191005</v>
      </c>
      <c r="F16" s="2">
        <v>12191005</v>
      </c>
      <c r="G16" s="2">
        <v>12191005</v>
      </c>
      <c r="H16" s="2">
        <v>12191005</v>
      </c>
      <c r="I16" s="2">
        <v>12191005</v>
      </c>
      <c r="J16" s="2">
        <v>12191005</v>
      </c>
      <c r="K16" s="2">
        <v>12191005</v>
      </c>
      <c r="L16" s="2">
        <v>12191005</v>
      </c>
      <c r="M16" s="2">
        <v>12191005</v>
      </c>
      <c r="N16" s="2">
        <v>12191005</v>
      </c>
      <c r="O16" s="2">
        <v>12191005</v>
      </c>
      <c r="P16" s="2">
        <f>SUM(C16:O16)</f>
        <v>158483065</v>
      </c>
      <c r="Q16" s="2">
        <f>P16/13</f>
        <v>12191005</v>
      </c>
      <c r="R16" s="24"/>
      <c r="S16" s="25" t="s">
        <v>42</v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3"/>
    </row>
    <row r="17" spans="1:34" x14ac:dyDescent="0.25">
      <c r="A17" s="13" t="s">
        <v>43</v>
      </c>
      <c r="B17" s="13" t="s">
        <v>44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f t="shared" ref="P17:P28" si="0">SUM(C17:O17)</f>
        <v>0</v>
      </c>
      <c r="Q17" s="2">
        <f t="shared" ref="Q17:Q28" si="1">P17/13</f>
        <v>0</v>
      </c>
      <c r="R17" s="1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3"/>
    </row>
    <row r="18" spans="1:34" x14ac:dyDescent="0.25">
      <c r="A18" s="13" t="s">
        <v>45</v>
      </c>
      <c r="B18" s="13" t="s">
        <v>46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f t="shared" si="0"/>
        <v>0</v>
      </c>
      <c r="Q18" s="2">
        <f t="shared" si="1"/>
        <v>0</v>
      </c>
      <c r="R18" s="1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3"/>
    </row>
    <row r="19" spans="1:34" x14ac:dyDescent="0.25">
      <c r="A19" s="13" t="s">
        <v>47</v>
      </c>
      <c r="B19" s="13" t="s">
        <v>48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f t="shared" si="0"/>
        <v>0</v>
      </c>
      <c r="Q19" s="2">
        <f t="shared" si="1"/>
        <v>0</v>
      </c>
      <c r="R19" s="1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3"/>
    </row>
    <row r="20" spans="1:34" x14ac:dyDescent="0.25">
      <c r="A20" s="13" t="s">
        <v>49</v>
      </c>
      <c r="B20" s="13" t="s">
        <v>50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f t="shared" si="0"/>
        <v>0</v>
      </c>
      <c r="Q20" s="2">
        <f t="shared" si="1"/>
        <v>0</v>
      </c>
      <c r="R20" s="1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3"/>
    </row>
    <row r="21" spans="1:34" x14ac:dyDescent="0.25">
      <c r="A21" s="13" t="s">
        <v>51</v>
      </c>
      <c r="B21" s="13" t="s">
        <v>52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f t="shared" si="0"/>
        <v>0</v>
      </c>
      <c r="Q21" s="2">
        <f t="shared" si="1"/>
        <v>0</v>
      </c>
      <c r="R21" s="1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3"/>
    </row>
    <row r="22" spans="1:34" x14ac:dyDescent="0.25">
      <c r="A22" s="13" t="s">
        <v>53</v>
      </c>
      <c r="B22" s="13" t="s">
        <v>54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f t="shared" si="0"/>
        <v>0</v>
      </c>
      <c r="Q22" s="2">
        <f t="shared" si="1"/>
        <v>0</v>
      </c>
      <c r="R22" s="1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3"/>
    </row>
    <row r="23" spans="1:34" x14ac:dyDescent="0.25">
      <c r="A23" s="13" t="s">
        <v>55</v>
      </c>
      <c r="B23" s="13" t="s">
        <v>56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f t="shared" si="0"/>
        <v>0</v>
      </c>
      <c r="Q23" s="2">
        <f t="shared" si="1"/>
        <v>0</v>
      </c>
      <c r="R23" s="1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3"/>
    </row>
    <row r="24" spans="1:34" x14ac:dyDescent="0.25">
      <c r="A24" s="13" t="s">
        <v>57</v>
      </c>
      <c r="B24" s="13" t="s">
        <v>58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f t="shared" si="0"/>
        <v>0</v>
      </c>
      <c r="Q24" s="2">
        <f t="shared" si="1"/>
        <v>0</v>
      </c>
      <c r="R24" s="1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3"/>
    </row>
    <row r="25" spans="1:34" x14ac:dyDescent="0.25">
      <c r="A25" s="13" t="s">
        <v>59</v>
      </c>
      <c r="B25" s="13" t="s">
        <v>60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f t="shared" si="0"/>
        <v>0</v>
      </c>
      <c r="Q25" s="2">
        <f t="shared" si="1"/>
        <v>0</v>
      </c>
      <c r="R25" s="1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3"/>
    </row>
    <row r="26" spans="1:34" x14ac:dyDescent="0.25">
      <c r="A26" s="13" t="s">
        <v>61</v>
      </c>
      <c r="B26" s="13" t="s">
        <v>62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f t="shared" si="0"/>
        <v>0</v>
      </c>
      <c r="Q26" s="2">
        <f t="shared" si="1"/>
        <v>0</v>
      </c>
      <c r="R26" s="1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3"/>
    </row>
    <row r="27" spans="1:34" x14ac:dyDescent="0.25">
      <c r="A27" s="13" t="s">
        <v>63</v>
      </c>
      <c r="B27" s="13" t="s">
        <v>64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f t="shared" si="0"/>
        <v>0</v>
      </c>
      <c r="Q27" s="2">
        <f t="shared" si="1"/>
        <v>0</v>
      </c>
      <c r="R27" s="1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3"/>
    </row>
    <row r="28" spans="1:34" x14ac:dyDescent="0.25">
      <c r="A28" s="13" t="s">
        <v>65</v>
      </c>
      <c r="B28" s="13" t="s">
        <v>66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f t="shared" si="0"/>
        <v>0</v>
      </c>
      <c r="Q28" s="2">
        <f t="shared" si="1"/>
        <v>0</v>
      </c>
      <c r="R28" s="1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3"/>
    </row>
    <row r="29" spans="1:34" x14ac:dyDescent="0.25">
      <c r="C29" s="26" t="s">
        <v>67</v>
      </c>
      <c r="D29" s="26" t="s">
        <v>67</v>
      </c>
      <c r="E29" s="26" t="s">
        <v>67</v>
      </c>
      <c r="F29" s="26" t="s">
        <v>67</v>
      </c>
      <c r="G29" s="26" t="s">
        <v>67</v>
      </c>
      <c r="H29" s="26" t="s">
        <v>67</v>
      </c>
      <c r="I29" s="26" t="s">
        <v>67</v>
      </c>
      <c r="J29" s="26" t="s">
        <v>67</v>
      </c>
      <c r="K29" s="26" t="s">
        <v>67</v>
      </c>
      <c r="L29" s="26" t="s">
        <v>67</v>
      </c>
      <c r="M29" s="26" t="s">
        <v>67</v>
      </c>
      <c r="N29" s="26" t="s">
        <v>67</v>
      </c>
      <c r="O29" s="26" t="s">
        <v>67</v>
      </c>
      <c r="P29" s="26" t="s">
        <v>67</v>
      </c>
      <c r="Q29" s="26" t="s">
        <v>67</v>
      </c>
      <c r="R29" s="1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3"/>
    </row>
    <row r="30" spans="1:34" x14ac:dyDescent="0.25">
      <c r="A30" s="21" t="s">
        <v>68</v>
      </c>
      <c r="B30" s="22"/>
      <c r="C30" s="23">
        <f t="shared" ref="C30:Q30" si="2">SUM(C16:C28)</f>
        <v>12191005</v>
      </c>
      <c r="D30" s="23">
        <f t="shared" si="2"/>
        <v>12191005</v>
      </c>
      <c r="E30" s="23">
        <f t="shared" si="2"/>
        <v>12191005</v>
      </c>
      <c r="F30" s="23">
        <f t="shared" si="2"/>
        <v>12191005</v>
      </c>
      <c r="G30" s="23">
        <f t="shared" si="2"/>
        <v>12191005</v>
      </c>
      <c r="H30" s="23">
        <f t="shared" si="2"/>
        <v>12191005</v>
      </c>
      <c r="I30" s="23">
        <f t="shared" si="2"/>
        <v>12191005</v>
      </c>
      <c r="J30" s="23">
        <f t="shared" si="2"/>
        <v>12191005</v>
      </c>
      <c r="K30" s="23">
        <f t="shared" si="2"/>
        <v>12191005</v>
      </c>
      <c r="L30" s="23">
        <f t="shared" si="2"/>
        <v>12191005</v>
      </c>
      <c r="M30" s="23">
        <f t="shared" si="2"/>
        <v>12191005</v>
      </c>
      <c r="N30" s="23">
        <f t="shared" si="2"/>
        <v>12191005</v>
      </c>
      <c r="O30" s="23">
        <f t="shared" si="2"/>
        <v>12191005</v>
      </c>
      <c r="P30" s="23">
        <f t="shared" si="2"/>
        <v>158483065</v>
      </c>
      <c r="Q30" s="23">
        <f t="shared" si="2"/>
        <v>12191005</v>
      </c>
      <c r="R30" s="1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7"/>
    </row>
    <row r="31" spans="1:34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1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3"/>
    </row>
    <row r="32" spans="1:34" x14ac:dyDescent="0.25">
      <c r="A32" s="21" t="s">
        <v>69</v>
      </c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3"/>
    </row>
    <row r="33" spans="1:34" x14ac:dyDescent="0.25">
      <c r="A33" s="13" t="s">
        <v>70</v>
      </c>
      <c r="B33" s="13" t="s">
        <v>71</v>
      </c>
      <c r="C33" s="2">
        <f>'working capital and def tax 21'!O33</f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f>SUM(C33:O33)</f>
        <v>0</v>
      </c>
      <c r="Q33" s="2">
        <f>P33/13</f>
        <v>0</v>
      </c>
      <c r="R33" s="15"/>
      <c r="S33" s="25" t="s">
        <v>42</v>
      </c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3"/>
    </row>
    <row r="34" spans="1:34" x14ac:dyDescent="0.25">
      <c r="C34" s="26" t="s">
        <v>67</v>
      </c>
      <c r="D34" s="26" t="s">
        <v>67</v>
      </c>
      <c r="E34" s="26" t="s">
        <v>67</v>
      </c>
      <c r="F34" s="26" t="s">
        <v>67</v>
      </c>
      <c r="G34" s="26" t="s">
        <v>67</v>
      </c>
      <c r="H34" s="26" t="s">
        <v>67</v>
      </c>
      <c r="I34" s="26" t="s">
        <v>67</v>
      </c>
      <c r="J34" s="26" t="s">
        <v>67</v>
      </c>
      <c r="K34" s="26" t="s">
        <v>67</v>
      </c>
      <c r="L34" s="26" t="s">
        <v>67</v>
      </c>
      <c r="M34" s="26" t="s">
        <v>67</v>
      </c>
      <c r="N34" s="26" t="s">
        <v>67</v>
      </c>
      <c r="O34" s="26" t="s">
        <v>67</v>
      </c>
      <c r="P34" s="26" t="s">
        <v>67</v>
      </c>
      <c r="Q34" s="26" t="s">
        <v>67</v>
      </c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3"/>
    </row>
    <row r="35" spans="1:34" x14ac:dyDescent="0.25">
      <c r="A35" s="21" t="s">
        <v>72</v>
      </c>
      <c r="B35" s="22"/>
      <c r="C35" s="23">
        <f>SUM(C33:C34)</f>
        <v>0</v>
      </c>
      <c r="D35" s="23">
        <f t="shared" ref="D35:Q35" si="3">SUM(D33:D34)</f>
        <v>0</v>
      </c>
      <c r="E35" s="23">
        <f t="shared" si="3"/>
        <v>0</v>
      </c>
      <c r="F35" s="23">
        <f t="shared" si="3"/>
        <v>0</v>
      </c>
      <c r="G35" s="23">
        <f t="shared" si="3"/>
        <v>0</v>
      </c>
      <c r="H35" s="23">
        <f t="shared" si="3"/>
        <v>0</v>
      </c>
      <c r="I35" s="23">
        <f t="shared" si="3"/>
        <v>0</v>
      </c>
      <c r="J35" s="23">
        <f t="shared" si="3"/>
        <v>0</v>
      </c>
      <c r="K35" s="23">
        <f t="shared" si="3"/>
        <v>0</v>
      </c>
      <c r="L35" s="23">
        <f t="shared" si="3"/>
        <v>0</v>
      </c>
      <c r="M35" s="23">
        <f t="shared" si="3"/>
        <v>0</v>
      </c>
      <c r="N35" s="23">
        <f t="shared" si="3"/>
        <v>0</v>
      </c>
      <c r="O35" s="23">
        <f t="shared" si="3"/>
        <v>0</v>
      </c>
      <c r="P35" s="23">
        <f t="shared" si="3"/>
        <v>0</v>
      </c>
      <c r="Q35" s="23">
        <f t="shared" si="3"/>
        <v>0</v>
      </c>
      <c r="R35" s="15">
        <f>SUM(T35:Y35)-Q35</f>
        <v>0</v>
      </c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27"/>
    </row>
    <row r="36" spans="1:34" x14ac:dyDescent="0.2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3"/>
    </row>
    <row r="37" spans="1:34" x14ac:dyDescent="0.25">
      <c r="A37" s="21" t="s">
        <v>73</v>
      </c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3"/>
    </row>
    <row r="38" spans="1:34" x14ac:dyDescent="0.25">
      <c r="A38" s="13" t="s">
        <v>74</v>
      </c>
      <c r="B38" s="13" t="s">
        <v>75</v>
      </c>
      <c r="C38" s="64">
        <f>'FC Common pl 22'!G48</f>
        <v>-911385.20999999985</v>
      </c>
      <c r="D38" s="64">
        <f>'FC Common pl 22'!H48</f>
        <v>-958959.83358416439</v>
      </c>
      <c r="E38" s="64">
        <f>'FC Common pl 22'!I48</f>
        <v>-454811.73716832866</v>
      </c>
      <c r="F38" s="64">
        <f>'FC Common pl 22'!J48</f>
        <v>-497940.93741915969</v>
      </c>
      <c r="G38" s="64">
        <f>'FC Common pl 22'!K48</f>
        <v>-541070.13766999065</v>
      </c>
      <c r="H38" s="64">
        <f>'FC Common pl 22'!L48</f>
        <v>-584199.33792082174</v>
      </c>
      <c r="I38" s="64">
        <f>'FC Common pl 22'!M48</f>
        <v>-627328.5381716527</v>
      </c>
      <c r="J38" s="64">
        <f>'FC Common pl 22'!N48</f>
        <v>-670457.73842248367</v>
      </c>
      <c r="K38" s="64">
        <f>'FC Common pl 22'!O48</f>
        <v>-713586.93867331475</v>
      </c>
      <c r="L38" s="64">
        <f>'FC Common pl 22'!P48</f>
        <v>-756716.13892414584</v>
      </c>
      <c r="M38" s="64">
        <f>'FC Common pl 22'!Q48</f>
        <v>-799845.33917497692</v>
      </c>
      <c r="N38" s="64">
        <f>'FC Common pl 22'!R48</f>
        <v>-842974.53942580789</v>
      </c>
      <c r="O38" s="64">
        <f>'FC Common pl 22'!S48</f>
        <v>-886103.73967663909</v>
      </c>
      <c r="P38" s="2">
        <f t="shared" ref="P38:P51" si="4">SUM(C38:O38)</f>
        <v>-9245380.1662314869</v>
      </c>
      <c r="Q38" s="2">
        <f t="shared" ref="Q38:Q51" si="5">P38/13</f>
        <v>-711183.08971011441</v>
      </c>
      <c r="R38" s="24"/>
      <c r="S38" s="25" t="s">
        <v>42</v>
      </c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3"/>
    </row>
    <row r="39" spans="1:34" x14ac:dyDescent="0.25">
      <c r="A39" s="13" t="s">
        <v>45</v>
      </c>
      <c r="B39" s="13" t="s">
        <v>76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2">
        <f t="shared" si="4"/>
        <v>0</v>
      </c>
      <c r="Q39" s="2">
        <f t="shared" si="5"/>
        <v>0</v>
      </c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3"/>
    </row>
    <row r="40" spans="1:34" x14ac:dyDescent="0.25">
      <c r="A40" s="13" t="s">
        <v>47</v>
      </c>
      <c r="B40" s="13" t="s">
        <v>77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2">
        <f t="shared" si="4"/>
        <v>0</v>
      </c>
      <c r="Q40" s="2">
        <f t="shared" si="5"/>
        <v>0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3"/>
    </row>
    <row r="41" spans="1:34" x14ac:dyDescent="0.25">
      <c r="A41" s="13" t="s">
        <v>49</v>
      </c>
      <c r="B41" s="13" t="s">
        <v>78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2">
        <f t="shared" si="4"/>
        <v>0</v>
      </c>
      <c r="Q41" s="2">
        <f t="shared" si="5"/>
        <v>0</v>
      </c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3"/>
    </row>
    <row r="42" spans="1:34" x14ac:dyDescent="0.25">
      <c r="A42" s="13" t="s">
        <v>51</v>
      </c>
      <c r="B42" s="13" t="s">
        <v>79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2">
        <f t="shared" si="4"/>
        <v>0</v>
      </c>
      <c r="Q42" s="2">
        <f t="shared" si="5"/>
        <v>0</v>
      </c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3"/>
    </row>
    <row r="43" spans="1:34" x14ac:dyDescent="0.25">
      <c r="A43" s="13" t="s">
        <v>53</v>
      </c>
      <c r="B43" s="13" t="s">
        <v>80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2">
        <f t="shared" si="4"/>
        <v>0</v>
      </c>
      <c r="Q43" s="2">
        <f t="shared" si="5"/>
        <v>0</v>
      </c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3"/>
    </row>
    <row r="44" spans="1:34" x14ac:dyDescent="0.25">
      <c r="A44" s="13" t="s">
        <v>55</v>
      </c>
      <c r="B44" s="13" t="s">
        <v>81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2">
        <f t="shared" si="4"/>
        <v>0</v>
      </c>
      <c r="Q44" s="2">
        <f t="shared" si="5"/>
        <v>0</v>
      </c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3"/>
    </row>
    <row r="45" spans="1:34" x14ac:dyDescent="0.25">
      <c r="A45" s="13" t="s">
        <v>57</v>
      </c>
      <c r="B45" s="13" t="s">
        <v>82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2">
        <f t="shared" si="4"/>
        <v>0</v>
      </c>
      <c r="Q45" s="2">
        <f t="shared" si="5"/>
        <v>0</v>
      </c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3"/>
    </row>
    <row r="46" spans="1:34" x14ac:dyDescent="0.25">
      <c r="A46" s="13" t="s">
        <v>59</v>
      </c>
      <c r="B46" s="13" t="s">
        <v>83</v>
      </c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2">
        <f t="shared" si="4"/>
        <v>0</v>
      </c>
      <c r="Q46" s="2">
        <f t="shared" si="5"/>
        <v>0</v>
      </c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3"/>
    </row>
    <row r="47" spans="1:34" x14ac:dyDescent="0.25">
      <c r="A47" s="13" t="s">
        <v>61</v>
      </c>
      <c r="B47" s="13" t="s">
        <v>84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2">
        <f t="shared" si="4"/>
        <v>0</v>
      </c>
      <c r="Q47" s="2">
        <f t="shared" si="5"/>
        <v>0</v>
      </c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3"/>
    </row>
    <row r="48" spans="1:34" x14ac:dyDescent="0.25">
      <c r="A48" s="13" t="s">
        <v>63</v>
      </c>
      <c r="B48" s="13" t="s">
        <v>85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2">
        <f t="shared" si="4"/>
        <v>0</v>
      </c>
      <c r="Q48" s="2">
        <f t="shared" si="5"/>
        <v>0</v>
      </c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3"/>
    </row>
    <row r="49" spans="1:34" s="35" customFormat="1" x14ac:dyDescent="0.25">
      <c r="A49" s="140" t="s">
        <v>86</v>
      </c>
      <c r="B49" s="140" t="s">
        <v>87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2">
        <f t="shared" si="4"/>
        <v>0</v>
      </c>
      <c r="Q49" s="2">
        <f t="shared" si="5"/>
        <v>0</v>
      </c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3"/>
    </row>
    <row r="50" spans="1:34" s="35" customFormat="1" x14ac:dyDescent="0.25">
      <c r="A50" s="140" t="s">
        <v>88</v>
      </c>
      <c r="B50" s="140" t="s">
        <v>89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2">
        <f t="shared" si="4"/>
        <v>0</v>
      </c>
      <c r="Q50" s="2">
        <f t="shared" si="5"/>
        <v>0</v>
      </c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3"/>
    </row>
    <row r="51" spans="1:34" s="35" customFormat="1" x14ac:dyDescent="0.25">
      <c r="A51" s="140" t="s">
        <v>90</v>
      </c>
      <c r="B51" s="140" t="s">
        <v>91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2">
        <f t="shared" si="4"/>
        <v>0</v>
      </c>
      <c r="Q51" s="2">
        <f t="shared" si="5"/>
        <v>0</v>
      </c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3"/>
    </row>
    <row r="52" spans="1:34" x14ac:dyDescent="0.25">
      <c r="C52" s="26" t="s">
        <v>67</v>
      </c>
      <c r="D52" s="26" t="s">
        <v>67</v>
      </c>
      <c r="E52" s="26" t="s">
        <v>67</v>
      </c>
      <c r="F52" s="26" t="s">
        <v>67</v>
      </c>
      <c r="G52" s="26" t="s">
        <v>67</v>
      </c>
      <c r="H52" s="26" t="s">
        <v>67</v>
      </c>
      <c r="I52" s="26" t="s">
        <v>67</v>
      </c>
      <c r="J52" s="26" t="s">
        <v>67</v>
      </c>
      <c r="K52" s="26" t="s">
        <v>67</v>
      </c>
      <c r="L52" s="26" t="s">
        <v>67</v>
      </c>
      <c r="M52" s="26" t="s">
        <v>67</v>
      </c>
      <c r="N52" s="26" t="s">
        <v>67</v>
      </c>
      <c r="O52" s="26" t="s">
        <v>67</v>
      </c>
      <c r="P52" s="26" t="s">
        <v>67</v>
      </c>
      <c r="Q52" s="26" t="s">
        <v>67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3"/>
    </row>
    <row r="53" spans="1:34" x14ac:dyDescent="0.25">
      <c r="A53" s="21" t="s">
        <v>92</v>
      </c>
      <c r="B53" s="22"/>
      <c r="C53" s="23">
        <f>SUM(C38:C51)</f>
        <v>-911385.20999999985</v>
      </c>
      <c r="D53" s="23">
        <f t="shared" ref="D53:Q53" si="6">SUM(D38:D51)</f>
        <v>-958959.83358416439</v>
      </c>
      <c r="E53" s="23">
        <f t="shared" si="6"/>
        <v>-454811.73716832866</v>
      </c>
      <c r="F53" s="23">
        <f t="shared" si="6"/>
        <v>-497940.93741915969</v>
      </c>
      <c r="G53" s="23">
        <f t="shared" si="6"/>
        <v>-541070.13766999065</v>
      </c>
      <c r="H53" s="23">
        <f t="shared" si="6"/>
        <v>-584199.33792082174</v>
      </c>
      <c r="I53" s="23">
        <f t="shared" si="6"/>
        <v>-627328.5381716527</v>
      </c>
      <c r="J53" s="23">
        <f t="shared" si="6"/>
        <v>-670457.73842248367</v>
      </c>
      <c r="K53" s="23">
        <f t="shared" si="6"/>
        <v>-713586.93867331475</v>
      </c>
      <c r="L53" s="23">
        <f t="shared" si="6"/>
        <v>-756716.13892414584</v>
      </c>
      <c r="M53" s="23">
        <f t="shared" si="6"/>
        <v>-799845.33917497692</v>
      </c>
      <c r="N53" s="23">
        <f t="shared" si="6"/>
        <v>-842974.53942580789</v>
      </c>
      <c r="O53" s="23">
        <f t="shared" si="6"/>
        <v>-886103.73967663909</v>
      </c>
      <c r="P53" s="23">
        <f t="shared" si="6"/>
        <v>-9245380.1662314869</v>
      </c>
      <c r="Q53" s="23">
        <f t="shared" si="6"/>
        <v>-711183.08971011441</v>
      </c>
      <c r="R53" s="15">
        <f>SUM(T53:Y53)-Q53</f>
        <v>711183.08971011441</v>
      </c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27"/>
    </row>
    <row r="54" spans="1:34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3"/>
    </row>
    <row r="55" spans="1:34" ht="15.75" x14ac:dyDescent="0.3">
      <c r="A55" s="18" t="s">
        <v>93</v>
      </c>
      <c r="B55" s="19"/>
      <c r="C55" s="20">
        <f>C53+C35+C30</f>
        <v>11279619.790000001</v>
      </c>
      <c r="D55" s="20">
        <f t="shared" ref="D55:Q55" si="7">D53+D35+D30</f>
        <v>11232045.166415835</v>
      </c>
      <c r="E55" s="20">
        <f t="shared" si="7"/>
        <v>11736193.262831671</v>
      </c>
      <c r="F55" s="20">
        <f t="shared" si="7"/>
        <v>11693064.062580841</v>
      </c>
      <c r="G55" s="20">
        <f t="shared" si="7"/>
        <v>11649934.86233001</v>
      </c>
      <c r="H55" s="20">
        <f t="shared" si="7"/>
        <v>11606805.662079178</v>
      </c>
      <c r="I55" s="20">
        <f t="shared" si="7"/>
        <v>11563676.461828347</v>
      </c>
      <c r="J55" s="20">
        <f t="shared" si="7"/>
        <v>11520547.261577517</v>
      </c>
      <c r="K55" s="20">
        <f t="shared" si="7"/>
        <v>11477418.061326684</v>
      </c>
      <c r="L55" s="20">
        <f t="shared" si="7"/>
        <v>11434288.861075854</v>
      </c>
      <c r="M55" s="20">
        <f t="shared" si="7"/>
        <v>11391159.660825023</v>
      </c>
      <c r="N55" s="20">
        <f t="shared" si="7"/>
        <v>11348030.460574193</v>
      </c>
      <c r="O55" s="20">
        <f t="shared" si="7"/>
        <v>11304901.260323361</v>
      </c>
      <c r="P55" s="20">
        <f t="shared" si="7"/>
        <v>149237684.83376852</v>
      </c>
      <c r="Q55" s="20">
        <f t="shared" si="7"/>
        <v>11479821.910289885</v>
      </c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3"/>
    </row>
    <row r="56" spans="1:34" ht="15.75" x14ac:dyDescent="0.3">
      <c r="A56" s="18" t="s">
        <v>94</v>
      </c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3"/>
    </row>
    <row r="57" spans="1:34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3"/>
    </row>
    <row r="58" spans="1:34" x14ac:dyDescent="0.25">
      <c r="A58" s="21" t="s">
        <v>95</v>
      </c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3"/>
    </row>
    <row r="59" spans="1:34" x14ac:dyDescent="0.25">
      <c r="A59" s="13" t="s">
        <v>96</v>
      </c>
      <c r="B59" s="13" t="s">
        <v>97</v>
      </c>
      <c r="C59" s="64">
        <v>19699280</v>
      </c>
      <c r="D59" s="2">
        <v>19699280</v>
      </c>
      <c r="E59" s="2">
        <v>19699280</v>
      </c>
      <c r="F59" s="2">
        <v>19699280</v>
      </c>
      <c r="G59" s="2">
        <v>19699280</v>
      </c>
      <c r="H59" s="2">
        <v>19699280</v>
      </c>
      <c r="I59" s="2">
        <v>19699280</v>
      </c>
      <c r="J59" s="2">
        <v>19699280</v>
      </c>
      <c r="K59" s="2">
        <v>19699280</v>
      </c>
      <c r="L59" s="2">
        <v>19699280</v>
      </c>
      <c r="M59" s="2">
        <v>19699280</v>
      </c>
      <c r="N59" s="2">
        <v>19699280</v>
      </c>
      <c r="O59" s="2">
        <v>19699280</v>
      </c>
      <c r="P59" s="2">
        <f t="shared" ref="P59:P64" si="8">SUM(C59:O59)</f>
        <v>256090640</v>
      </c>
      <c r="Q59" s="2">
        <f t="shared" ref="Q59:Q64" si="9">P59/13</f>
        <v>19699280</v>
      </c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3"/>
    </row>
    <row r="60" spans="1:34" x14ac:dyDescent="0.25">
      <c r="A60" s="13" t="s">
        <v>98</v>
      </c>
      <c r="B60" s="13" t="s">
        <v>99</v>
      </c>
      <c r="C60" s="64">
        <v>9502865</v>
      </c>
      <c r="D60" s="2">
        <v>9502865</v>
      </c>
      <c r="E60" s="2">
        <v>9502865</v>
      </c>
      <c r="F60" s="2">
        <v>9502865</v>
      </c>
      <c r="G60" s="2">
        <v>9502865</v>
      </c>
      <c r="H60" s="2">
        <v>9502865</v>
      </c>
      <c r="I60" s="2">
        <v>9502865</v>
      </c>
      <c r="J60" s="2">
        <v>9502865</v>
      </c>
      <c r="K60" s="2">
        <v>9502865</v>
      </c>
      <c r="L60" s="2">
        <v>9502865</v>
      </c>
      <c r="M60" s="2">
        <v>9502865</v>
      </c>
      <c r="N60" s="2">
        <v>9502865</v>
      </c>
      <c r="O60" s="2">
        <v>9502865</v>
      </c>
      <c r="P60" s="2">
        <f t="shared" si="8"/>
        <v>123537245</v>
      </c>
      <c r="Q60" s="2">
        <f t="shared" si="9"/>
        <v>9502865</v>
      </c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3"/>
    </row>
    <row r="61" spans="1:34" x14ac:dyDescent="0.25">
      <c r="A61" s="13" t="s">
        <v>100</v>
      </c>
      <c r="B61" s="13" t="s">
        <v>101</v>
      </c>
      <c r="C61" s="64">
        <v>-234850</v>
      </c>
      <c r="D61" s="2">
        <v>-234850</v>
      </c>
      <c r="E61" s="2">
        <v>-234850</v>
      </c>
      <c r="F61" s="2">
        <v>-234850</v>
      </c>
      <c r="G61" s="2">
        <v>-234850</v>
      </c>
      <c r="H61" s="2">
        <v>-234850</v>
      </c>
      <c r="I61" s="2">
        <v>-234850</v>
      </c>
      <c r="J61" s="2">
        <v>-234850</v>
      </c>
      <c r="K61" s="2">
        <v>-234850</v>
      </c>
      <c r="L61" s="2">
        <v>-234850</v>
      </c>
      <c r="M61" s="2">
        <v>-234850</v>
      </c>
      <c r="N61" s="2">
        <v>-234850</v>
      </c>
      <c r="O61" s="2">
        <v>-234850</v>
      </c>
      <c r="P61" s="2">
        <f t="shared" si="8"/>
        <v>-3053050</v>
      </c>
      <c r="Q61" s="2">
        <f t="shared" si="9"/>
        <v>-234850</v>
      </c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3"/>
    </row>
    <row r="62" spans="1:34" x14ac:dyDescent="0.25">
      <c r="A62" s="13" t="s">
        <v>102</v>
      </c>
      <c r="B62" s="13" t="s">
        <v>103</v>
      </c>
      <c r="C62" s="64">
        <v>2980568</v>
      </c>
      <c r="D62" s="2">
        <v>2980568</v>
      </c>
      <c r="E62" s="2">
        <v>2980568</v>
      </c>
      <c r="F62" s="2">
        <v>2980568</v>
      </c>
      <c r="G62" s="2">
        <v>2980568</v>
      </c>
      <c r="H62" s="2">
        <v>2980568</v>
      </c>
      <c r="I62" s="2">
        <v>2980568</v>
      </c>
      <c r="J62" s="2">
        <v>2980568</v>
      </c>
      <c r="K62" s="2">
        <v>2980568</v>
      </c>
      <c r="L62" s="2">
        <v>2980568</v>
      </c>
      <c r="M62" s="2">
        <v>2980568</v>
      </c>
      <c r="N62" s="2">
        <v>2980568</v>
      </c>
      <c r="O62" s="2">
        <v>2980568</v>
      </c>
      <c r="P62" s="2">
        <f t="shared" si="8"/>
        <v>38747384</v>
      </c>
      <c r="Q62" s="2">
        <f t="shared" si="9"/>
        <v>2980568</v>
      </c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3"/>
    </row>
    <row r="63" spans="1:34" x14ac:dyDescent="0.25">
      <c r="A63" s="13" t="s">
        <v>104</v>
      </c>
      <c r="B63" s="13" t="s">
        <v>105</v>
      </c>
      <c r="C63" s="64">
        <v>77756946</v>
      </c>
      <c r="D63" s="2">
        <v>77756946</v>
      </c>
      <c r="E63" s="2">
        <v>77756946</v>
      </c>
      <c r="F63" s="2">
        <v>77756946</v>
      </c>
      <c r="G63" s="2">
        <v>77756946</v>
      </c>
      <c r="H63" s="2">
        <v>77756946</v>
      </c>
      <c r="I63" s="2">
        <v>77756946</v>
      </c>
      <c r="J63" s="2">
        <v>77756946</v>
      </c>
      <c r="K63" s="2">
        <v>77756946</v>
      </c>
      <c r="L63" s="2">
        <v>77756946</v>
      </c>
      <c r="M63" s="2">
        <v>77756946</v>
      </c>
      <c r="N63" s="2">
        <v>77756946</v>
      </c>
      <c r="O63" s="2">
        <v>77756946</v>
      </c>
      <c r="P63" s="2">
        <f t="shared" si="8"/>
        <v>1010840298</v>
      </c>
      <c r="Q63" s="2">
        <f t="shared" si="9"/>
        <v>77756946</v>
      </c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3"/>
    </row>
    <row r="64" spans="1:34" x14ac:dyDescent="0.25">
      <c r="A64" s="13" t="s">
        <v>106</v>
      </c>
      <c r="B64" s="13" t="s">
        <v>107</v>
      </c>
      <c r="C64" s="64">
        <v>-388179</v>
      </c>
      <c r="D64" s="2">
        <v>-388179</v>
      </c>
      <c r="E64" s="2">
        <v>-388179</v>
      </c>
      <c r="F64" s="2">
        <v>-388179</v>
      </c>
      <c r="G64" s="2">
        <v>-388179</v>
      </c>
      <c r="H64" s="2">
        <v>-388179</v>
      </c>
      <c r="I64" s="2">
        <v>-388179</v>
      </c>
      <c r="J64" s="2">
        <v>-388179</v>
      </c>
      <c r="K64" s="2">
        <v>-388179</v>
      </c>
      <c r="L64" s="2">
        <v>-388179</v>
      </c>
      <c r="M64" s="2">
        <v>-388179</v>
      </c>
      <c r="N64" s="2">
        <v>-388179</v>
      </c>
      <c r="O64" s="2">
        <v>-388179</v>
      </c>
      <c r="P64" s="2">
        <f t="shared" si="8"/>
        <v>-5046327</v>
      </c>
      <c r="Q64" s="2">
        <f t="shared" si="9"/>
        <v>-388179</v>
      </c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3"/>
    </row>
    <row r="65" spans="1:34" x14ac:dyDescent="0.25">
      <c r="C65" s="26" t="s">
        <v>67</v>
      </c>
      <c r="D65" s="26" t="s">
        <v>67</v>
      </c>
      <c r="E65" s="26" t="s">
        <v>67</v>
      </c>
      <c r="F65" s="26" t="s">
        <v>67</v>
      </c>
      <c r="G65" s="26" t="s">
        <v>67</v>
      </c>
      <c r="H65" s="26" t="s">
        <v>67</v>
      </c>
      <c r="I65" s="26" t="s">
        <v>67</v>
      </c>
      <c r="J65" s="26" t="s">
        <v>67</v>
      </c>
      <c r="K65" s="26" t="s">
        <v>67</v>
      </c>
      <c r="L65" s="26" t="s">
        <v>67</v>
      </c>
      <c r="M65" s="26" t="s">
        <v>67</v>
      </c>
      <c r="N65" s="26" t="s">
        <v>67</v>
      </c>
      <c r="O65" s="26" t="s">
        <v>67</v>
      </c>
      <c r="P65" s="26" t="s">
        <v>67</v>
      </c>
      <c r="Q65" s="26" t="s">
        <v>67</v>
      </c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3"/>
    </row>
    <row r="66" spans="1:34" x14ac:dyDescent="0.25">
      <c r="A66" s="21" t="s">
        <v>108</v>
      </c>
      <c r="B66" s="22"/>
      <c r="C66" s="23">
        <f>SUM(C59:C64)</f>
        <v>109316630</v>
      </c>
      <c r="D66" s="23">
        <f t="shared" ref="D66:P66" si="10">SUM(D59:D64)</f>
        <v>109316630</v>
      </c>
      <c r="E66" s="23">
        <f t="shared" si="10"/>
        <v>109316630</v>
      </c>
      <c r="F66" s="23">
        <f t="shared" si="10"/>
        <v>109316630</v>
      </c>
      <c r="G66" s="23">
        <f t="shared" si="10"/>
        <v>109316630</v>
      </c>
      <c r="H66" s="23">
        <f t="shared" si="10"/>
        <v>109316630</v>
      </c>
      <c r="I66" s="23">
        <f t="shared" si="10"/>
        <v>109316630</v>
      </c>
      <c r="J66" s="23">
        <f t="shared" si="10"/>
        <v>109316630</v>
      </c>
      <c r="K66" s="23">
        <f t="shared" si="10"/>
        <v>109316630</v>
      </c>
      <c r="L66" s="23">
        <f t="shared" si="10"/>
        <v>109316630</v>
      </c>
      <c r="M66" s="23">
        <f t="shared" si="10"/>
        <v>109316630</v>
      </c>
      <c r="N66" s="23">
        <f t="shared" si="10"/>
        <v>109316630</v>
      </c>
      <c r="O66" s="23">
        <f t="shared" si="10"/>
        <v>109316630</v>
      </c>
      <c r="P66" s="23">
        <f t="shared" si="10"/>
        <v>1421116190</v>
      </c>
      <c r="Q66" s="23">
        <v>109316630</v>
      </c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3"/>
    </row>
    <row r="67" spans="1:34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3"/>
    </row>
    <row r="68" spans="1:34" ht="15.75" x14ac:dyDescent="0.3">
      <c r="A68" s="18" t="s">
        <v>109</v>
      </c>
      <c r="B68" s="19"/>
      <c r="C68" s="20">
        <f>C66</f>
        <v>109316630</v>
      </c>
      <c r="D68" s="20">
        <f t="shared" ref="D68:Q68" si="11">D66</f>
        <v>109316630</v>
      </c>
      <c r="E68" s="20">
        <f t="shared" si="11"/>
        <v>109316630</v>
      </c>
      <c r="F68" s="20">
        <f t="shared" si="11"/>
        <v>109316630</v>
      </c>
      <c r="G68" s="20">
        <f t="shared" si="11"/>
        <v>109316630</v>
      </c>
      <c r="H68" s="20">
        <f t="shared" si="11"/>
        <v>109316630</v>
      </c>
      <c r="I68" s="20">
        <f t="shared" si="11"/>
        <v>109316630</v>
      </c>
      <c r="J68" s="20">
        <f t="shared" si="11"/>
        <v>109316630</v>
      </c>
      <c r="K68" s="20">
        <f t="shared" si="11"/>
        <v>109316630</v>
      </c>
      <c r="L68" s="20">
        <f t="shared" si="11"/>
        <v>109316630</v>
      </c>
      <c r="M68" s="20">
        <f t="shared" si="11"/>
        <v>109316630</v>
      </c>
      <c r="N68" s="20">
        <f t="shared" si="11"/>
        <v>109316630</v>
      </c>
      <c r="O68" s="20">
        <f t="shared" si="11"/>
        <v>109316630</v>
      </c>
      <c r="P68" s="20">
        <f t="shared" si="11"/>
        <v>1421116190</v>
      </c>
      <c r="Q68" s="20">
        <f t="shared" si="11"/>
        <v>109316630</v>
      </c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3"/>
    </row>
    <row r="69" spans="1:34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3"/>
    </row>
    <row r="70" spans="1:34" ht="15.75" x14ac:dyDescent="0.3">
      <c r="A70" s="18" t="s">
        <v>110</v>
      </c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3"/>
    </row>
    <row r="71" spans="1:34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3"/>
    </row>
    <row r="72" spans="1:34" x14ac:dyDescent="0.25">
      <c r="A72" s="21" t="s">
        <v>111</v>
      </c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148"/>
      <c r="P72" s="23"/>
      <c r="Q72" s="23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3"/>
    </row>
    <row r="73" spans="1:34" x14ac:dyDescent="0.25">
      <c r="A73" s="13" t="s">
        <v>112</v>
      </c>
      <c r="B73" s="13" t="s">
        <v>113</v>
      </c>
      <c r="C73" s="64">
        <v>279594</v>
      </c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2">
        <f t="shared" ref="P73:P76" si="12">SUM(C73:O73)</f>
        <v>279594</v>
      </c>
      <c r="Q73" s="2">
        <f>'working capital and def tax 21'!Q73*1.00772</f>
        <v>-968869.37083999999</v>
      </c>
      <c r="R73" s="15" t="s">
        <v>502</v>
      </c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3"/>
    </row>
    <row r="74" spans="1:34" x14ac:dyDescent="0.25">
      <c r="A74" s="13" t="s">
        <v>114</v>
      </c>
      <c r="B74" s="13" t="s">
        <v>115</v>
      </c>
      <c r="C74" s="64">
        <v>-532716</v>
      </c>
      <c r="D74" s="64">
        <f t="shared" ref="D74:N74" si="13">(13304854-$C$79)/12</f>
        <v>991620.91666666663</v>
      </c>
      <c r="E74" s="64">
        <f t="shared" si="13"/>
        <v>991620.91666666663</v>
      </c>
      <c r="F74" s="64">
        <f t="shared" si="13"/>
        <v>991620.91666666663</v>
      </c>
      <c r="G74" s="64">
        <f t="shared" si="13"/>
        <v>991620.91666666663</v>
      </c>
      <c r="H74" s="64">
        <f t="shared" si="13"/>
        <v>991620.91666666663</v>
      </c>
      <c r="I74" s="64">
        <f t="shared" si="13"/>
        <v>991620.91666666663</v>
      </c>
      <c r="J74" s="64">
        <f t="shared" si="13"/>
        <v>991620.91666666663</v>
      </c>
      <c r="K74" s="64">
        <f t="shared" si="13"/>
        <v>991620.91666666663</v>
      </c>
      <c r="L74" s="64">
        <f t="shared" si="13"/>
        <v>991620.91666666663</v>
      </c>
      <c r="M74" s="64">
        <f t="shared" si="13"/>
        <v>991620.91666666663</v>
      </c>
      <c r="N74" s="64">
        <f t="shared" si="13"/>
        <v>991620.91666666663</v>
      </c>
      <c r="O74" s="64">
        <f>(13304854-$C$79)/12</f>
        <v>991620.91666666663</v>
      </c>
      <c r="P74" s="2">
        <f t="shared" si="12"/>
        <v>11366734.999999998</v>
      </c>
      <c r="Q74" s="2">
        <f>'working capital and def tax 21'!Q74*1.00772</f>
        <v>-1019046.7727999999</v>
      </c>
      <c r="R74" s="15" t="s">
        <v>502</v>
      </c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3"/>
    </row>
    <row r="75" spans="1:34" x14ac:dyDescent="0.25">
      <c r="A75" s="13" t="s">
        <v>116</v>
      </c>
      <c r="B75" s="13" t="s">
        <v>117</v>
      </c>
      <c r="C75" s="64">
        <v>-3980</v>
      </c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2">
        <f t="shared" si="12"/>
        <v>-3980</v>
      </c>
      <c r="Q75" s="2">
        <f>'working capital and def tax 21'!Q75*1.00772</f>
        <v>-5809.5057999999999</v>
      </c>
      <c r="R75" s="15" t="s">
        <v>502</v>
      </c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3"/>
    </row>
    <row r="76" spans="1:34" x14ac:dyDescent="0.25">
      <c r="A76" s="13" t="s">
        <v>118</v>
      </c>
      <c r="B76" s="13" t="s">
        <v>119</v>
      </c>
      <c r="C76" s="64">
        <v>1662505</v>
      </c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2">
        <f t="shared" si="12"/>
        <v>1662505</v>
      </c>
      <c r="Q76" s="2">
        <f>'working capital and def tax 21'!Q76*1.00772</f>
        <v>2201851.0687599997</v>
      </c>
      <c r="R76" s="15" t="s">
        <v>502</v>
      </c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3"/>
    </row>
    <row r="77" spans="1:34" x14ac:dyDescent="0.25">
      <c r="A77" s="30" t="s">
        <v>120</v>
      </c>
      <c r="B77" s="31"/>
      <c r="C77" s="64">
        <v>0</v>
      </c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24">
        <f t="shared" ref="P77" si="14">SUM(C77:O77)</f>
        <v>0</v>
      </c>
      <c r="Q77" s="2">
        <f>'working capital and def tax 21'!Q77*1.00772</f>
        <v>815324.85732923076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4"/>
    </row>
    <row r="78" spans="1:34" x14ac:dyDescent="0.25">
      <c r="A78" s="35"/>
      <c r="B78" s="35"/>
      <c r="C78" s="36" t="s">
        <v>67</v>
      </c>
      <c r="D78" s="36" t="s">
        <v>67</v>
      </c>
      <c r="E78" s="36" t="s">
        <v>67</v>
      </c>
      <c r="F78" s="36" t="s">
        <v>67</v>
      </c>
      <c r="G78" s="36" t="s">
        <v>67</v>
      </c>
      <c r="H78" s="36" t="s">
        <v>67</v>
      </c>
      <c r="I78" s="36" t="s">
        <v>67</v>
      </c>
      <c r="J78" s="36" t="s">
        <v>67</v>
      </c>
      <c r="K78" s="36" t="s">
        <v>67</v>
      </c>
      <c r="L78" s="36" t="s">
        <v>67</v>
      </c>
      <c r="M78" s="36" t="s">
        <v>67</v>
      </c>
      <c r="N78" s="36" t="s">
        <v>67</v>
      </c>
      <c r="O78" s="36" t="s">
        <v>67</v>
      </c>
      <c r="P78" s="36" t="s">
        <v>67</v>
      </c>
      <c r="Q78" s="36" t="s">
        <v>67</v>
      </c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3"/>
    </row>
    <row r="79" spans="1:34" x14ac:dyDescent="0.25">
      <c r="A79" s="37" t="s">
        <v>121</v>
      </c>
      <c r="B79" s="38"/>
      <c r="C79" s="39">
        <f>SUM(C73:C77)</f>
        <v>1405403</v>
      </c>
      <c r="D79" s="39">
        <f t="shared" ref="D79:Q79" si="15">SUM(D73:D77)</f>
        <v>991620.91666666663</v>
      </c>
      <c r="E79" s="39">
        <f t="shared" si="15"/>
        <v>991620.91666666663</v>
      </c>
      <c r="F79" s="39">
        <f t="shared" si="15"/>
        <v>991620.91666666663</v>
      </c>
      <c r="G79" s="39">
        <f t="shared" si="15"/>
        <v>991620.91666666663</v>
      </c>
      <c r="H79" s="39">
        <f t="shared" si="15"/>
        <v>991620.91666666663</v>
      </c>
      <c r="I79" s="39">
        <f t="shared" si="15"/>
        <v>991620.91666666663</v>
      </c>
      <c r="J79" s="39">
        <f t="shared" si="15"/>
        <v>991620.91666666663</v>
      </c>
      <c r="K79" s="39">
        <f t="shared" si="15"/>
        <v>991620.91666666663</v>
      </c>
      <c r="L79" s="39">
        <f t="shared" si="15"/>
        <v>991620.91666666663</v>
      </c>
      <c r="M79" s="39">
        <f t="shared" si="15"/>
        <v>991620.91666666663</v>
      </c>
      <c r="N79" s="39">
        <f t="shared" si="15"/>
        <v>991620.91666666663</v>
      </c>
      <c r="O79" s="39">
        <f t="shared" si="15"/>
        <v>991620.91666666663</v>
      </c>
      <c r="P79" s="39">
        <f t="shared" si="15"/>
        <v>13304853.999999998</v>
      </c>
      <c r="Q79" s="39">
        <f t="shared" si="15"/>
        <v>1023450.2766492306</v>
      </c>
      <c r="R79" s="15">
        <f>Q79*13</f>
        <v>13304853.596439999</v>
      </c>
      <c r="S79" s="15" t="s">
        <v>16</v>
      </c>
      <c r="T79" s="15">
        <f>$Q79*T$5</f>
        <v>217994.90892628612</v>
      </c>
      <c r="U79" s="15">
        <f t="shared" ref="U79:Y79" si="16">$Q79*U$5</f>
        <v>356160.69627393223</v>
      </c>
      <c r="V79" s="15">
        <f t="shared" si="16"/>
        <v>147376.83983748921</v>
      </c>
      <c r="W79" s="15">
        <f t="shared" si="16"/>
        <v>1023.4502766492307</v>
      </c>
      <c r="X79" s="15">
        <f t="shared" si="16"/>
        <v>1023.4502766492307</v>
      </c>
      <c r="Y79" s="15">
        <f t="shared" si="16"/>
        <v>299870.93105822458</v>
      </c>
      <c r="Z79" s="15"/>
      <c r="AA79" s="15" t="s">
        <v>16</v>
      </c>
      <c r="AB79" s="15">
        <f>$O79*AB$5</f>
        <v>211215.25524999999</v>
      </c>
      <c r="AC79" s="15">
        <f t="shared" ref="AC79:AG79" si="17">$O79*AC$5</f>
        <v>345084.07899999997</v>
      </c>
      <c r="AD79" s="15">
        <f t="shared" si="17"/>
        <v>142793.41199999998</v>
      </c>
      <c r="AE79" s="15">
        <f t="shared" si="17"/>
        <v>991.62091666666663</v>
      </c>
      <c r="AF79" s="15">
        <f t="shared" si="17"/>
        <v>991.62091666666663</v>
      </c>
      <c r="AG79" s="15">
        <f t="shared" si="17"/>
        <v>290544.92858333333</v>
      </c>
      <c r="AH79" s="27">
        <f>SUM(AB79:AG79)-O79</f>
        <v>0</v>
      </c>
    </row>
    <row r="80" spans="1:34" x14ac:dyDescent="0.25">
      <c r="A80" s="35"/>
      <c r="B80" s="35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3"/>
    </row>
    <row r="81" spans="1:34" x14ac:dyDescent="0.25">
      <c r="A81" s="21" t="s">
        <v>122</v>
      </c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3"/>
    </row>
    <row r="82" spans="1:34" x14ac:dyDescent="0.25">
      <c r="A82" s="13" t="s">
        <v>123</v>
      </c>
      <c r="B82" s="13" t="s">
        <v>124</v>
      </c>
      <c r="C82" s="64">
        <v>-2464378</v>
      </c>
      <c r="D82" s="64">
        <f t="shared" ref="D82:O82" si="18">C82+($C82*(0.0772/12))</f>
        <v>-2480232.1651333333</v>
      </c>
      <c r="E82" s="64">
        <f t="shared" si="18"/>
        <v>-2496086.3302666666</v>
      </c>
      <c r="F82" s="64">
        <f t="shared" si="18"/>
        <v>-2511940.4953999999</v>
      </c>
      <c r="G82" s="64">
        <f t="shared" si="18"/>
        <v>-2527794.6605333332</v>
      </c>
      <c r="H82" s="64">
        <f t="shared" si="18"/>
        <v>-2543648.8256666665</v>
      </c>
      <c r="I82" s="64">
        <f t="shared" si="18"/>
        <v>-2559502.9907999998</v>
      </c>
      <c r="J82" s="64">
        <f t="shared" si="18"/>
        <v>-2575357.1559333331</v>
      </c>
      <c r="K82" s="64">
        <f t="shared" si="18"/>
        <v>-2591211.3210666664</v>
      </c>
      <c r="L82" s="64">
        <f t="shared" si="18"/>
        <v>-2607065.4861999997</v>
      </c>
      <c r="M82" s="64">
        <f t="shared" si="18"/>
        <v>-2622919.651333333</v>
      </c>
      <c r="N82" s="64">
        <f t="shared" si="18"/>
        <v>-2638773.8164666663</v>
      </c>
      <c r="O82" s="64">
        <f t="shared" si="18"/>
        <v>-2654627.9815999996</v>
      </c>
      <c r="P82" s="2">
        <f t="shared" ref="P82:P84" si="19">SUM(C82:O82)</f>
        <v>-33273538.880399995</v>
      </c>
      <c r="Q82" s="2">
        <f t="shared" ref="Q82:Q84" si="20">P82/13</f>
        <v>-2559502.9907999998</v>
      </c>
      <c r="R82" s="15" t="s">
        <v>502</v>
      </c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3"/>
    </row>
    <row r="83" spans="1:34" x14ac:dyDescent="0.25">
      <c r="A83" s="13" t="s">
        <v>125</v>
      </c>
      <c r="B83" s="13" t="s">
        <v>126</v>
      </c>
      <c r="C83" s="64">
        <v>-781627</v>
      </c>
      <c r="D83" s="64">
        <f t="shared" ref="D83:O83" si="21">C83+($C83*(0.0772/12))</f>
        <v>-786655.46703333338</v>
      </c>
      <c r="E83" s="64">
        <f t="shared" si="21"/>
        <v>-791683.93406666676</v>
      </c>
      <c r="F83" s="64">
        <f t="shared" si="21"/>
        <v>-796712.40110000013</v>
      </c>
      <c r="G83" s="64">
        <f t="shared" si="21"/>
        <v>-801740.86813333351</v>
      </c>
      <c r="H83" s="64">
        <f t="shared" si="21"/>
        <v>-806769.33516666689</v>
      </c>
      <c r="I83" s="64">
        <f t="shared" si="21"/>
        <v>-811797.80220000027</v>
      </c>
      <c r="J83" s="64">
        <f t="shared" si="21"/>
        <v>-816826.26923333365</v>
      </c>
      <c r="K83" s="64">
        <f t="shared" si="21"/>
        <v>-821854.73626666702</v>
      </c>
      <c r="L83" s="64">
        <f t="shared" si="21"/>
        <v>-826883.2033000004</v>
      </c>
      <c r="M83" s="64">
        <f t="shared" si="21"/>
        <v>-831911.67033333378</v>
      </c>
      <c r="N83" s="64">
        <f t="shared" si="21"/>
        <v>-836940.13736666716</v>
      </c>
      <c r="O83" s="64">
        <f t="shared" si="21"/>
        <v>-841968.60440000053</v>
      </c>
      <c r="P83" s="2">
        <f t="shared" si="19"/>
        <v>-10553371.428600002</v>
      </c>
      <c r="Q83" s="2">
        <f t="shared" si="20"/>
        <v>-811797.80220000015</v>
      </c>
      <c r="R83" s="15" t="s">
        <v>502</v>
      </c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</row>
    <row r="84" spans="1:34" x14ac:dyDescent="0.25">
      <c r="A84" s="13" t="s">
        <v>127</v>
      </c>
      <c r="B84" s="13" t="s">
        <v>128</v>
      </c>
      <c r="C84" s="64">
        <v>2464378</v>
      </c>
      <c r="D84" s="64">
        <f t="shared" ref="D84:O84" si="22">C84+($C84*(0.0772/12))</f>
        <v>2480232.1651333333</v>
      </c>
      <c r="E84" s="64">
        <f t="shared" si="22"/>
        <v>2496086.3302666666</v>
      </c>
      <c r="F84" s="64">
        <f t="shared" si="22"/>
        <v>2511940.4953999999</v>
      </c>
      <c r="G84" s="64">
        <f t="shared" si="22"/>
        <v>2527794.6605333332</v>
      </c>
      <c r="H84" s="64">
        <f t="shared" si="22"/>
        <v>2543648.8256666665</v>
      </c>
      <c r="I84" s="64">
        <f t="shared" si="22"/>
        <v>2559502.9907999998</v>
      </c>
      <c r="J84" s="64">
        <f t="shared" si="22"/>
        <v>2575357.1559333331</v>
      </c>
      <c r="K84" s="64">
        <f t="shared" si="22"/>
        <v>2591211.3210666664</v>
      </c>
      <c r="L84" s="64">
        <f t="shared" si="22"/>
        <v>2607065.4861999997</v>
      </c>
      <c r="M84" s="64">
        <f t="shared" si="22"/>
        <v>2622919.651333333</v>
      </c>
      <c r="N84" s="64">
        <f t="shared" si="22"/>
        <v>2638773.8164666663</v>
      </c>
      <c r="O84" s="64">
        <f t="shared" si="22"/>
        <v>2654627.9815999996</v>
      </c>
      <c r="P84" s="2">
        <f t="shared" si="19"/>
        <v>33273538.880399995</v>
      </c>
      <c r="Q84" s="2">
        <f t="shared" si="20"/>
        <v>2559502.9907999998</v>
      </c>
      <c r="R84" s="15" t="s">
        <v>502</v>
      </c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3"/>
    </row>
    <row r="85" spans="1:34" x14ac:dyDescent="0.25">
      <c r="C85" s="26" t="s">
        <v>67</v>
      </c>
      <c r="D85" s="26" t="s">
        <v>67</v>
      </c>
      <c r="E85" s="26" t="s">
        <v>67</v>
      </c>
      <c r="F85" s="26" t="s">
        <v>67</v>
      </c>
      <c r="G85" s="26" t="s">
        <v>67</v>
      </c>
      <c r="H85" s="26" t="s">
        <v>67</v>
      </c>
      <c r="I85" s="26" t="s">
        <v>67</v>
      </c>
      <c r="J85" s="26" t="s">
        <v>67</v>
      </c>
      <c r="K85" s="26" t="s">
        <v>67</v>
      </c>
      <c r="L85" s="26" t="s">
        <v>67</v>
      </c>
      <c r="M85" s="26" t="s">
        <v>67</v>
      </c>
      <c r="N85" s="26" t="s">
        <v>67</v>
      </c>
      <c r="O85" s="26" t="s">
        <v>67</v>
      </c>
      <c r="P85" s="26" t="s">
        <v>67</v>
      </c>
      <c r="Q85" s="26" t="s">
        <v>67</v>
      </c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3"/>
    </row>
    <row r="86" spans="1:34" x14ac:dyDescent="0.25">
      <c r="A86" s="21" t="s">
        <v>129</v>
      </c>
      <c r="B86" s="22"/>
      <c r="C86" s="23">
        <f>SUM(C82:C84)</f>
        <v>-781627</v>
      </c>
      <c r="D86" s="23">
        <f t="shared" ref="D86:Q86" si="23">SUM(D82:D84)</f>
        <v>-786655.46703333361</v>
      </c>
      <c r="E86" s="23">
        <f t="shared" si="23"/>
        <v>-791683.93406666676</v>
      </c>
      <c r="F86" s="23">
        <f t="shared" si="23"/>
        <v>-796712.4010999999</v>
      </c>
      <c r="G86" s="23">
        <f t="shared" si="23"/>
        <v>-801740.86813333351</v>
      </c>
      <c r="H86" s="23">
        <f t="shared" si="23"/>
        <v>-806769.33516666712</v>
      </c>
      <c r="I86" s="23">
        <f t="shared" si="23"/>
        <v>-811797.80220000027</v>
      </c>
      <c r="J86" s="23">
        <f t="shared" si="23"/>
        <v>-816826.26923333341</v>
      </c>
      <c r="K86" s="23">
        <f t="shared" si="23"/>
        <v>-821854.73626666702</v>
      </c>
      <c r="L86" s="23">
        <f t="shared" si="23"/>
        <v>-826883.20330000063</v>
      </c>
      <c r="M86" s="23">
        <f t="shared" si="23"/>
        <v>-831911.67033333378</v>
      </c>
      <c r="N86" s="23">
        <f t="shared" si="23"/>
        <v>-836940.13736666692</v>
      </c>
      <c r="O86" s="23">
        <f t="shared" si="23"/>
        <v>-841968.60440000053</v>
      </c>
      <c r="P86" s="23">
        <f t="shared" si="23"/>
        <v>-10553371.428600006</v>
      </c>
      <c r="Q86" s="23">
        <f t="shared" si="23"/>
        <v>-811797.80220000027</v>
      </c>
      <c r="R86" s="15">
        <f>SUM(T86:Y86)-Q86</f>
        <v>0</v>
      </c>
      <c r="S86" s="15" t="s">
        <v>16</v>
      </c>
      <c r="T86" s="15">
        <f t="shared" ref="T86:Y86" si="24">$Q86*T5</f>
        <v>-172912.93186860005</v>
      </c>
      <c r="U86" s="15">
        <f t="shared" si="24"/>
        <v>-282505.63516560005</v>
      </c>
      <c r="V86" s="151">
        <f t="shared" si="24"/>
        <v>-116898.88351680004</v>
      </c>
      <c r="W86" s="15">
        <f t="shared" si="24"/>
        <v>-811.79780220000032</v>
      </c>
      <c r="X86" s="15">
        <f t="shared" si="24"/>
        <v>-811.79780220000032</v>
      </c>
      <c r="Y86" s="15">
        <f t="shared" si="24"/>
        <v>-237856.75604460007</v>
      </c>
      <c r="Z86" s="15"/>
      <c r="AA86" s="15" t="s">
        <v>16</v>
      </c>
      <c r="AB86" s="15">
        <f t="shared" ref="AB86:AG86" si="25">$O86*AB$5</f>
        <v>-179339.31273720012</v>
      </c>
      <c r="AC86" s="15">
        <f t="shared" si="25"/>
        <v>-293005.07433120016</v>
      </c>
      <c r="AD86" s="15">
        <f t="shared" si="25"/>
        <v>-121243.47903360007</v>
      </c>
      <c r="AE86" s="15">
        <f t="shared" si="25"/>
        <v>-841.96860440000057</v>
      </c>
      <c r="AF86" s="15">
        <f t="shared" si="25"/>
        <v>-841.96860440000057</v>
      </c>
      <c r="AG86" s="15">
        <f t="shared" si="25"/>
        <v>-246696.80108920013</v>
      </c>
      <c r="AH86" s="27">
        <f>SUM(AB86:AG86)-O86</f>
        <v>0</v>
      </c>
    </row>
    <row r="87" spans="1:34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3"/>
    </row>
    <row r="88" spans="1:34" x14ac:dyDescent="0.25">
      <c r="A88" s="21" t="s">
        <v>130</v>
      </c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3"/>
    </row>
    <row r="89" spans="1:34" x14ac:dyDescent="0.25">
      <c r="A89" s="13" t="s">
        <v>131</v>
      </c>
      <c r="B89" s="13" t="s">
        <v>132</v>
      </c>
      <c r="C89" s="64">
        <v>0</v>
      </c>
      <c r="D89" s="64">
        <f t="shared" ref="D89:O89" si="26">C89+($C89*(0.0772/12))</f>
        <v>0</v>
      </c>
      <c r="E89" s="64">
        <f t="shared" si="26"/>
        <v>0</v>
      </c>
      <c r="F89" s="64">
        <f t="shared" si="26"/>
        <v>0</v>
      </c>
      <c r="G89" s="64">
        <f t="shared" si="26"/>
        <v>0</v>
      </c>
      <c r="H89" s="64">
        <f t="shared" si="26"/>
        <v>0</v>
      </c>
      <c r="I89" s="64">
        <f t="shared" si="26"/>
        <v>0</v>
      </c>
      <c r="J89" s="64">
        <f t="shared" si="26"/>
        <v>0</v>
      </c>
      <c r="K89" s="64">
        <f t="shared" si="26"/>
        <v>0</v>
      </c>
      <c r="L89" s="64">
        <f t="shared" si="26"/>
        <v>0</v>
      </c>
      <c r="M89" s="64">
        <f t="shared" si="26"/>
        <v>0</v>
      </c>
      <c r="N89" s="64">
        <f t="shared" si="26"/>
        <v>0</v>
      </c>
      <c r="O89" s="64">
        <f t="shared" si="26"/>
        <v>0</v>
      </c>
      <c r="P89" s="2">
        <f t="shared" ref="P89:P90" si="27">SUM(C89:O89)</f>
        <v>0</v>
      </c>
      <c r="Q89" s="2">
        <f t="shared" ref="Q89:Q90" si="28">P89/13</f>
        <v>0</v>
      </c>
      <c r="R89" s="15" t="s">
        <v>502</v>
      </c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3"/>
    </row>
    <row r="90" spans="1:34" x14ac:dyDescent="0.25">
      <c r="A90" s="13" t="s">
        <v>133</v>
      </c>
      <c r="B90" s="13" t="s">
        <v>134</v>
      </c>
      <c r="C90" s="64">
        <v>-671</v>
      </c>
      <c r="D90" s="64">
        <f t="shared" ref="D90:O90" si="29">C90+($C90*(0.0772/12))</f>
        <v>-675.31676666666669</v>
      </c>
      <c r="E90" s="64">
        <f t="shared" si="29"/>
        <v>-679.63353333333339</v>
      </c>
      <c r="F90" s="64">
        <f t="shared" si="29"/>
        <v>-683.95030000000008</v>
      </c>
      <c r="G90" s="64">
        <f t="shared" si="29"/>
        <v>-688.26706666666678</v>
      </c>
      <c r="H90" s="64">
        <f t="shared" si="29"/>
        <v>-692.58383333333347</v>
      </c>
      <c r="I90" s="64">
        <f t="shared" si="29"/>
        <v>-696.90060000000017</v>
      </c>
      <c r="J90" s="64">
        <f t="shared" si="29"/>
        <v>-701.21736666666686</v>
      </c>
      <c r="K90" s="64">
        <f t="shared" si="29"/>
        <v>-705.53413333333356</v>
      </c>
      <c r="L90" s="64">
        <f t="shared" si="29"/>
        <v>-709.85090000000025</v>
      </c>
      <c r="M90" s="64">
        <f t="shared" si="29"/>
        <v>-714.16766666666695</v>
      </c>
      <c r="N90" s="64">
        <f t="shared" si="29"/>
        <v>-718.48443333333364</v>
      </c>
      <c r="O90" s="64">
        <f t="shared" si="29"/>
        <v>-722.80120000000034</v>
      </c>
      <c r="P90" s="2">
        <f t="shared" si="27"/>
        <v>-9059.707800000002</v>
      </c>
      <c r="Q90" s="2">
        <f t="shared" si="28"/>
        <v>-696.90060000000017</v>
      </c>
      <c r="R90" s="15" t="s">
        <v>502</v>
      </c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3"/>
    </row>
    <row r="91" spans="1:34" x14ac:dyDescent="0.25">
      <c r="C91" s="26" t="s">
        <v>67</v>
      </c>
      <c r="D91" s="26" t="s">
        <v>67</v>
      </c>
      <c r="E91" s="26" t="s">
        <v>67</v>
      </c>
      <c r="F91" s="26" t="s">
        <v>67</v>
      </c>
      <c r="G91" s="26" t="s">
        <v>67</v>
      </c>
      <c r="H91" s="26" t="s">
        <v>67</v>
      </c>
      <c r="I91" s="26" t="s">
        <v>67</v>
      </c>
      <c r="J91" s="26" t="s">
        <v>67</v>
      </c>
      <c r="K91" s="26" t="s">
        <v>67</v>
      </c>
      <c r="L91" s="26" t="s">
        <v>67</v>
      </c>
      <c r="M91" s="26" t="s">
        <v>67</v>
      </c>
      <c r="N91" s="26" t="s">
        <v>67</v>
      </c>
      <c r="O91" s="26" t="s">
        <v>67</v>
      </c>
      <c r="P91" s="26" t="s">
        <v>67</v>
      </c>
      <c r="Q91" s="26" t="s">
        <v>67</v>
      </c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3"/>
    </row>
    <row r="92" spans="1:34" x14ac:dyDescent="0.25">
      <c r="A92" s="21" t="s">
        <v>135</v>
      </c>
      <c r="B92" s="22"/>
      <c r="C92" s="23">
        <f>SUM(C89:C90)</f>
        <v>-671</v>
      </c>
      <c r="D92" s="23">
        <f t="shared" ref="D92:Q92" si="30">SUM(D89:D90)</f>
        <v>-675.31676666666669</v>
      </c>
      <c r="E92" s="23">
        <f t="shared" si="30"/>
        <v>-679.63353333333339</v>
      </c>
      <c r="F92" s="23">
        <f t="shared" si="30"/>
        <v>-683.95030000000008</v>
      </c>
      <c r="G92" s="23">
        <f t="shared" si="30"/>
        <v>-688.26706666666678</v>
      </c>
      <c r="H92" s="23">
        <f t="shared" si="30"/>
        <v>-692.58383333333347</v>
      </c>
      <c r="I92" s="23">
        <f t="shared" si="30"/>
        <v>-696.90060000000017</v>
      </c>
      <c r="J92" s="23">
        <f t="shared" si="30"/>
        <v>-701.21736666666686</v>
      </c>
      <c r="K92" s="23">
        <f t="shared" si="30"/>
        <v>-705.53413333333356</v>
      </c>
      <c r="L92" s="23">
        <f t="shared" si="30"/>
        <v>-709.85090000000025</v>
      </c>
      <c r="M92" s="23">
        <f t="shared" si="30"/>
        <v>-714.16766666666695</v>
      </c>
      <c r="N92" s="23">
        <f t="shared" si="30"/>
        <v>-718.48443333333364</v>
      </c>
      <c r="O92" s="23">
        <f t="shared" si="30"/>
        <v>-722.80120000000034</v>
      </c>
      <c r="P92" s="23">
        <f t="shared" si="30"/>
        <v>-9059.707800000002</v>
      </c>
      <c r="Q92" s="23">
        <f t="shared" si="30"/>
        <v>-696.90060000000017</v>
      </c>
      <c r="R92" s="15">
        <f>SUM(T92:Y92)-Q92</f>
        <v>0</v>
      </c>
      <c r="S92" s="15" t="s">
        <v>16</v>
      </c>
      <c r="T92" s="15">
        <f t="shared" ref="T92:Y92" si="31">$Q92*T5</f>
        <v>-148.43982780000005</v>
      </c>
      <c r="U92" s="15">
        <f t="shared" si="31"/>
        <v>-242.52140880000005</v>
      </c>
      <c r="V92" s="15">
        <f t="shared" si="31"/>
        <v>-100.35368640000002</v>
      </c>
      <c r="W92" s="15">
        <f t="shared" si="31"/>
        <v>-0.6969006000000002</v>
      </c>
      <c r="X92" s="15">
        <f t="shared" si="31"/>
        <v>-0.6969006000000002</v>
      </c>
      <c r="Y92" s="15">
        <f t="shared" si="31"/>
        <v>-204.19187580000005</v>
      </c>
      <c r="Z92" s="15"/>
      <c r="AA92" s="15" t="s">
        <v>16</v>
      </c>
      <c r="AB92" s="15">
        <f t="shared" ref="AB92:AG92" si="32">$O92*AB$5</f>
        <v>-153.95665560000006</v>
      </c>
      <c r="AC92" s="15">
        <f t="shared" si="32"/>
        <v>-251.53481760000011</v>
      </c>
      <c r="AD92" s="15">
        <f t="shared" si="32"/>
        <v>-104.08337280000003</v>
      </c>
      <c r="AE92" s="15">
        <f t="shared" si="32"/>
        <v>-0.72280120000000037</v>
      </c>
      <c r="AF92" s="15">
        <f t="shared" si="32"/>
        <v>-0.72280120000000037</v>
      </c>
      <c r="AG92" s="15">
        <f t="shared" si="32"/>
        <v>-211.78075160000009</v>
      </c>
      <c r="AH92" s="27">
        <f>SUM(AB92:AG92)-O92</f>
        <v>0</v>
      </c>
    </row>
    <row r="93" spans="1:34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3"/>
    </row>
    <row r="94" spans="1:34" x14ac:dyDescent="0.25">
      <c r="A94" s="21" t="s">
        <v>136</v>
      </c>
      <c r="B94" s="22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3"/>
    </row>
    <row r="95" spans="1:34" x14ac:dyDescent="0.25">
      <c r="A95" s="13" t="s">
        <v>137</v>
      </c>
      <c r="B95" s="13" t="s">
        <v>138</v>
      </c>
      <c r="C95" s="64">
        <v>5591627</v>
      </c>
      <c r="D95" s="64">
        <f>C95</f>
        <v>5591627</v>
      </c>
      <c r="E95" s="64">
        <f t="shared" ref="E95:O95" si="33">D95</f>
        <v>5591627</v>
      </c>
      <c r="F95" s="64">
        <f t="shared" si="33"/>
        <v>5591627</v>
      </c>
      <c r="G95" s="64">
        <f t="shared" si="33"/>
        <v>5591627</v>
      </c>
      <c r="H95" s="64">
        <f t="shared" si="33"/>
        <v>5591627</v>
      </c>
      <c r="I95" s="64">
        <f t="shared" si="33"/>
        <v>5591627</v>
      </c>
      <c r="J95" s="64">
        <f t="shared" si="33"/>
        <v>5591627</v>
      </c>
      <c r="K95" s="64">
        <f t="shared" si="33"/>
        <v>5591627</v>
      </c>
      <c r="L95" s="64">
        <f t="shared" si="33"/>
        <v>5591627</v>
      </c>
      <c r="M95" s="64">
        <f t="shared" si="33"/>
        <v>5591627</v>
      </c>
      <c r="N95" s="64">
        <f t="shared" si="33"/>
        <v>5591627</v>
      </c>
      <c r="O95" s="64">
        <f t="shared" si="33"/>
        <v>5591627</v>
      </c>
      <c r="P95" s="2">
        <f t="shared" ref="P95:P129" si="34">SUM(C95:O95)</f>
        <v>72691151</v>
      </c>
      <c r="Q95" s="2">
        <f t="shared" ref="Q95:Q129" si="35">P95/13</f>
        <v>5591627</v>
      </c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3"/>
    </row>
    <row r="96" spans="1:34" x14ac:dyDescent="0.25">
      <c r="A96" s="13" t="s">
        <v>139</v>
      </c>
      <c r="B96" s="13" t="s">
        <v>140</v>
      </c>
      <c r="C96" s="64">
        <v>10140</v>
      </c>
      <c r="D96" s="64">
        <f t="shared" ref="D96:O129" si="36">C96</f>
        <v>10140</v>
      </c>
      <c r="E96" s="64">
        <f t="shared" si="36"/>
        <v>10140</v>
      </c>
      <c r="F96" s="64">
        <f t="shared" si="36"/>
        <v>10140</v>
      </c>
      <c r="G96" s="64">
        <f t="shared" si="36"/>
        <v>10140</v>
      </c>
      <c r="H96" s="64">
        <f t="shared" si="36"/>
        <v>10140</v>
      </c>
      <c r="I96" s="64">
        <f t="shared" si="36"/>
        <v>10140</v>
      </c>
      <c r="J96" s="64">
        <f t="shared" si="36"/>
        <v>10140</v>
      </c>
      <c r="K96" s="64">
        <f t="shared" si="36"/>
        <v>10140</v>
      </c>
      <c r="L96" s="64">
        <f t="shared" si="36"/>
        <v>10140</v>
      </c>
      <c r="M96" s="64">
        <f t="shared" si="36"/>
        <v>10140</v>
      </c>
      <c r="N96" s="64">
        <f t="shared" si="36"/>
        <v>10140</v>
      </c>
      <c r="O96" s="64">
        <f t="shared" si="36"/>
        <v>10140</v>
      </c>
      <c r="P96" s="2">
        <f t="shared" si="34"/>
        <v>131820</v>
      </c>
      <c r="Q96" s="2">
        <f t="shared" si="35"/>
        <v>10140</v>
      </c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3"/>
    </row>
    <row r="97" spans="1:34" x14ac:dyDescent="0.25">
      <c r="A97" s="13" t="s">
        <v>141</v>
      </c>
      <c r="B97" s="13" t="s">
        <v>142</v>
      </c>
      <c r="C97" s="64">
        <v>-878937</v>
      </c>
      <c r="D97" s="64">
        <f t="shared" si="36"/>
        <v>-878937</v>
      </c>
      <c r="E97" s="64">
        <f t="shared" si="36"/>
        <v>-878937</v>
      </c>
      <c r="F97" s="64">
        <f t="shared" si="36"/>
        <v>-878937</v>
      </c>
      <c r="G97" s="64">
        <f t="shared" si="36"/>
        <v>-878937</v>
      </c>
      <c r="H97" s="64">
        <f t="shared" si="36"/>
        <v>-878937</v>
      </c>
      <c r="I97" s="64">
        <f t="shared" si="36"/>
        <v>-878937</v>
      </c>
      <c r="J97" s="64">
        <f t="shared" si="36"/>
        <v>-878937</v>
      </c>
      <c r="K97" s="64">
        <f t="shared" si="36"/>
        <v>-878937</v>
      </c>
      <c r="L97" s="64">
        <f t="shared" si="36"/>
        <v>-878937</v>
      </c>
      <c r="M97" s="64">
        <f t="shared" si="36"/>
        <v>-878937</v>
      </c>
      <c r="N97" s="64">
        <f t="shared" si="36"/>
        <v>-878937</v>
      </c>
      <c r="O97" s="64">
        <f t="shared" si="36"/>
        <v>-878937</v>
      </c>
      <c r="P97" s="2">
        <f t="shared" si="34"/>
        <v>-11426181</v>
      </c>
      <c r="Q97" s="2">
        <f t="shared" si="35"/>
        <v>-878937</v>
      </c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3"/>
    </row>
    <row r="98" spans="1:34" x14ac:dyDescent="0.25">
      <c r="A98" s="13" t="s">
        <v>143</v>
      </c>
      <c r="B98" s="13" t="s">
        <v>144</v>
      </c>
      <c r="C98" s="64">
        <v>261061369</v>
      </c>
      <c r="D98" s="64">
        <f t="shared" si="36"/>
        <v>261061369</v>
      </c>
      <c r="E98" s="64">
        <f t="shared" si="36"/>
        <v>261061369</v>
      </c>
      <c r="F98" s="64">
        <f t="shared" si="36"/>
        <v>261061369</v>
      </c>
      <c r="G98" s="64">
        <f t="shared" si="36"/>
        <v>261061369</v>
      </c>
      <c r="H98" s="64">
        <f t="shared" si="36"/>
        <v>261061369</v>
      </c>
      <c r="I98" s="64">
        <f t="shared" si="36"/>
        <v>261061369</v>
      </c>
      <c r="J98" s="64">
        <f t="shared" si="36"/>
        <v>261061369</v>
      </c>
      <c r="K98" s="64">
        <f t="shared" si="36"/>
        <v>261061369</v>
      </c>
      <c r="L98" s="64">
        <f t="shared" si="36"/>
        <v>261061369</v>
      </c>
      <c r="M98" s="64">
        <f t="shared" si="36"/>
        <v>261061369</v>
      </c>
      <c r="N98" s="64">
        <f t="shared" si="36"/>
        <v>261061369</v>
      </c>
      <c r="O98" s="64">
        <f t="shared" si="36"/>
        <v>261061369</v>
      </c>
      <c r="P98" s="2">
        <f t="shared" si="34"/>
        <v>3393797797</v>
      </c>
      <c r="Q98" s="2">
        <f t="shared" si="35"/>
        <v>261061369</v>
      </c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3"/>
    </row>
    <row r="99" spans="1:34" x14ac:dyDescent="0.25">
      <c r="A99" s="13" t="s">
        <v>498</v>
      </c>
      <c r="B99" s="13"/>
      <c r="C99" s="64"/>
      <c r="D99" s="64">
        <v>3984539.373134166</v>
      </c>
      <c r="E99" s="64">
        <v>4079350.5255016759</v>
      </c>
      <c r="F99" s="64">
        <v>4160614.1478691623</v>
      </c>
      <c r="G99" s="64">
        <v>4241877.670236662</v>
      </c>
      <c r="H99" s="64">
        <v>4323141.1926041692</v>
      </c>
      <c r="I99" s="64">
        <v>4404404.7149716616</v>
      </c>
      <c r="J99" s="64">
        <v>4485668.2373391464</v>
      </c>
      <c r="K99" s="64">
        <v>4566931.7597066462</v>
      </c>
      <c r="L99" s="64">
        <v>4648195.2820741534</v>
      </c>
      <c r="M99" s="64">
        <v>4729458.8044416457</v>
      </c>
      <c r="N99" s="64">
        <v>4810722.3268091306</v>
      </c>
      <c r="O99" s="64">
        <v>4891985.8491766378</v>
      </c>
      <c r="P99" s="2">
        <f t="shared" ref="P99" si="37">SUM(C99:O99)</f>
        <v>53326889.883864857</v>
      </c>
      <c r="Q99" s="2">
        <f t="shared" ref="Q99" si="38">P99/13</f>
        <v>4102068.4526049891</v>
      </c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3"/>
    </row>
    <row r="100" spans="1:34" x14ac:dyDescent="0.25">
      <c r="A100" s="13" t="s">
        <v>145</v>
      </c>
      <c r="B100" s="13" t="s">
        <v>146</v>
      </c>
      <c r="C100" s="64">
        <v>2513</v>
      </c>
      <c r="D100" s="64">
        <f t="shared" si="36"/>
        <v>2513</v>
      </c>
      <c r="E100" s="64">
        <f t="shared" si="36"/>
        <v>2513</v>
      </c>
      <c r="F100" s="64">
        <f t="shared" si="36"/>
        <v>2513</v>
      </c>
      <c r="G100" s="64">
        <f t="shared" si="36"/>
        <v>2513</v>
      </c>
      <c r="H100" s="64">
        <f t="shared" si="36"/>
        <v>2513</v>
      </c>
      <c r="I100" s="64">
        <f t="shared" si="36"/>
        <v>2513</v>
      </c>
      <c r="J100" s="64">
        <f t="shared" si="36"/>
        <v>2513</v>
      </c>
      <c r="K100" s="64">
        <f t="shared" si="36"/>
        <v>2513</v>
      </c>
      <c r="L100" s="64">
        <f t="shared" si="36"/>
        <v>2513</v>
      </c>
      <c r="M100" s="64">
        <f t="shared" si="36"/>
        <v>2513</v>
      </c>
      <c r="N100" s="64">
        <f t="shared" si="36"/>
        <v>2513</v>
      </c>
      <c r="O100" s="64">
        <f t="shared" si="36"/>
        <v>2513</v>
      </c>
      <c r="P100" s="2">
        <f t="shared" si="34"/>
        <v>32669</v>
      </c>
      <c r="Q100" s="2">
        <f t="shared" si="35"/>
        <v>2513</v>
      </c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3"/>
    </row>
    <row r="101" spans="1:34" x14ac:dyDescent="0.25">
      <c r="A101" s="13" t="s">
        <v>147</v>
      </c>
      <c r="B101" s="13" t="s">
        <v>148</v>
      </c>
      <c r="C101" s="64">
        <v>717</v>
      </c>
      <c r="D101" s="64">
        <f t="shared" si="36"/>
        <v>717</v>
      </c>
      <c r="E101" s="64">
        <f t="shared" si="36"/>
        <v>717</v>
      </c>
      <c r="F101" s="64">
        <f t="shared" si="36"/>
        <v>717</v>
      </c>
      <c r="G101" s="64">
        <f t="shared" si="36"/>
        <v>717</v>
      </c>
      <c r="H101" s="64">
        <f t="shared" si="36"/>
        <v>717</v>
      </c>
      <c r="I101" s="64">
        <f t="shared" si="36"/>
        <v>717</v>
      </c>
      <c r="J101" s="64">
        <f t="shared" si="36"/>
        <v>717</v>
      </c>
      <c r="K101" s="64">
        <f t="shared" si="36"/>
        <v>717</v>
      </c>
      <c r="L101" s="64">
        <f t="shared" si="36"/>
        <v>717</v>
      </c>
      <c r="M101" s="64">
        <f t="shared" si="36"/>
        <v>717</v>
      </c>
      <c r="N101" s="64">
        <f t="shared" si="36"/>
        <v>717</v>
      </c>
      <c r="O101" s="64">
        <f t="shared" si="36"/>
        <v>717</v>
      </c>
      <c r="P101" s="2">
        <f t="shared" si="34"/>
        <v>9321</v>
      </c>
      <c r="Q101" s="2">
        <f t="shared" si="35"/>
        <v>717</v>
      </c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3"/>
    </row>
    <row r="102" spans="1:34" x14ac:dyDescent="0.25">
      <c r="A102" s="13" t="s">
        <v>149</v>
      </c>
      <c r="B102" s="13" t="s">
        <v>150</v>
      </c>
      <c r="C102" s="64">
        <v>28433</v>
      </c>
      <c r="D102" s="64">
        <f t="shared" si="36"/>
        <v>28433</v>
      </c>
      <c r="E102" s="64">
        <f t="shared" si="36"/>
        <v>28433</v>
      </c>
      <c r="F102" s="64">
        <f t="shared" si="36"/>
        <v>28433</v>
      </c>
      <c r="G102" s="64">
        <f t="shared" si="36"/>
        <v>28433</v>
      </c>
      <c r="H102" s="64">
        <f t="shared" si="36"/>
        <v>28433</v>
      </c>
      <c r="I102" s="64">
        <f t="shared" si="36"/>
        <v>28433</v>
      </c>
      <c r="J102" s="64">
        <f t="shared" si="36"/>
        <v>28433</v>
      </c>
      <c r="K102" s="64">
        <f t="shared" si="36"/>
        <v>28433</v>
      </c>
      <c r="L102" s="64">
        <f t="shared" si="36"/>
        <v>28433</v>
      </c>
      <c r="M102" s="64">
        <f t="shared" si="36"/>
        <v>28433</v>
      </c>
      <c r="N102" s="64">
        <f t="shared" si="36"/>
        <v>28433</v>
      </c>
      <c r="O102" s="64">
        <f t="shared" si="36"/>
        <v>28433</v>
      </c>
      <c r="P102" s="2">
        <f t="shared" si="34"/>
        <v>369629</v>
      </c>
      <c r="Q102" s="2">
        <f t="shared" si="35"/>
        <v>28433</v>
      </c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3"/>
    </row>
    <row r="103" spans="1:34" x14ac:dyDescent="0.25">
      <c r="A103" s="13" t="s">
        <v>151</v>
      </c>
      <c r="B103" s="13" t="s">
        <v>152</v>
      </c>
      <c r="C103" s="64">
        <v>-176556469</v>
      </c>
      <c r="D103" s="64">
        <f t="shared" si="36"/>
        <v>-176556469</v>
      </c>
      <c r="E103" s="64">
        <f t="shared" si="36"/>
        <v>-176556469</v>
      </c>
      <c r="F103" s="64">
        <f t="shared" si="36"/>
        <v>-176556469</v>
      </c>
      <c r="G103" s="64">
        <f t="shared" si="36"/>
        <v>-176556469</v>
      </c>
      <c r="H103" s="64">
        <f t="shared" si="36"/>
        <v>-176556469</v>
      </c>
      <c r="I103" s="64">
        <f t="shared" si="36"/>
        <v>-176556469</v>
      </c>
      <c r="J103" s="64">
        <f t="shared" si="36"/>
        <v>-176556469</v>
      </c>
      <c r="K103" s="64">
        <f t="shared" si="36"/>
        <v>-176556469</v>
      </c>
      <c r="L103" s="64">
        <f t="shared" si="36"/>
        <v>-176556469</v>
      </c>
      <c r="M103" s="64">
        <f t="shared" si="36"/>
        <v>-176556469</v>
      </c>
      <c r="N103" s="64">
        <f t="shared" si="36"/>
        <v>-176556469</v>
      </c>
      <c r="O103" s="64">
        <f t="shared" si="36"/>
        <v>-176556469</v>
      </c>
      <c r="P103" s="2">
        <f t="shared" si="34"/>
        <v>-2295234097</v>
      </c>
      <c r="Q103" s="2">
        <f t="shared" si="35"/>
        <v>-176556469</v>
      </c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3"/>
    </row>
    <row r="104" spans="1:34" x14ac:dyDescent="0.25">
      <c r="A104" s="13" t="s">
        <v>153</v>
      </c>
      <c r="B104" s="13" t="s">
        <v>154</v>
      </c>
      <c r="C104" s="64">
        <v>229881</v>
      </c>
      <c r="D104" s="64">
        <f t="shared" si="36"/>
        <v>229881</v>
      </c>
      <c r="E104" s="64">
        <f t="shared" si="36"/>
        <v>229881</v>
      </c>
      <c r="F104" s="64">
        <f t="shared" si="36"/>
        <v>229881</v>
      </c>
      <c r="G104" s="64">
        <f t="shared" si="36"/>
        <v>229881</v>
      </c>
      <c r="H104" s="64">
        <f t="shared" si="36"/>
        <v>229881</v>
      </c>
      <c r="I104" s="64">
        <f t="shared" si="36"/>
        <v>229881</v>
      </c>
      <c r="J104" s="64">
        <f t="shared" si="36"/>
        <v>229881</v>
      </c>
      <c r="K104" s="64">
        <f t="shared" si="36"/>
        <v>229881</v>
      </c>
      <c r="L104" s="64">
        <f t="shared" si="36"/>
        <v>229881</v>
      </c>
      <c r="M104" s="64">
        <f t="shared" si="36"/>
        <v>229881</v>
      </c>
      <c r="N104" s="64">
        <f t="shared" si="36"/>
        <v>229881</v>
      </c>
      <c r="O104" s="64">
        <f t="shared" si="36"/>
        <v>229881</v>
      </c>
      <c r="P104" s="2">
        <f t="shared" si="34"/>
        <v>2988453</v>
      </c>
      <c r="Q104" s="2">
        <f t="shared" si="35"/>
        <v>229881</v>
      </c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3"/>
    </row>
    <row r="105" spans="1:34" x14ac:dyDescent="0.25">
      <c r="A105" s="13" t="s">
        <v>155</v>
      </c>
      <c r="B105" s="13" t="s">
        <v>156</v>
      </c>
      <c r="C105" s="64">
        <v>205593022</v>
      </c>
      <c r="D105" s="64">
        <f t="shared" si="36"/>
        <v>205593022</v>
      </c>
      <c r="E105" s="64">
        <f t="shared" si="36"/>
        <v>205593022</v>
      </c>
      <c r="F105" s="64">
        <f t="shared" si="36"/>
        <v>205593022</v>
      </c>
      <c r="G105" s="64">
        <f t="shared" si="36"/>
        <v>205593022</v>
      </c>
      <c r="H105" s="64">
        <f t="shared" si="36"/>
        <v>205593022</v>
      </c>
      <c r="I105" s="64">
        <f t="shared" si="36"/>
        <v>205593022</v>
      </c>
      <c r="J105" s="64">
        <f t="shared" si="36"/>
        <v>205593022</v>
      </c>
      <c r="K105" s="64">
        <f t="shared" si="36"/>
        <v>205593022</v>
      </c>
      <c r="L105" s="64">
        <f t="shared" si="36"/>
        <v>205593022</v>
      </c>
      <c r="M105" s="64">
        <f t="shared" si="36"/>
        <v>205593022</v>
      </c>
      <c r="N105" s="64">
        <f t="shared" si="36"/>
        <v>205593022</v>
      </c>
      <c r="O105" s="64">
        <f t="shared" si="36"/>
        <v>205593022</v>
      </c>
      <c r="P105" s="2">
        <f t="shared" si="34"/>
        <v>2672709286</v>
      </c>
      <c r="Q105" s="2">
        <f t="shared" si="35"/>
        <v>205593022</v>
      </c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3"/>
    </row>
    <row r="106" spans="1:34" x14ac:dyDescent="0.25">
      <c r="A106" s="13" t="s">
        <v>157</v>
      </c>
      <c r="B106" s="13" t="s">
        <v>158</v>
      </c>
      <c r="C106" s="64">
        <v>1232745</v>
      </c>
      <c r="D106" s="64">
        <f t="shared" si="36"/>
        <v>1232745</v>
      </c>
      <c r="E106" s="64">
        <f t="shared" si="36"/>
        <v>1232745</v>
      </c>
      <c r="F106" s="64">
        <f t="shared" si="36"/>
        <v>1232745</v>
      </c>
      <c r="G106" s="64">
        <f t="shared" si="36"/>
        <v>1232745</v>
      </c>
      <c r="H106" s="64">
        <f t="shared" si="36"/>
        <v>1232745</v>
      </c>
      <c r="I106" s="64">
        <f t="shared" si="36"/>
        <v>1232745</v>
      </c>
      <c r="J106" s="64">
        <f t="shared" si="36"/>
        <v>1232745</v>
      </c>
      <c r="K106" s="64">
        <f t="shared" si="36"/>
        <v>1232745</v>
      </c>
      <c r="L106" s="64">
        <f t="shared" si="36"/>
        <v>1232745</v>
      </c>
      <c r="M106" s="64">
        <f t="shared" si="36"/>
        <v>1232745</v>
      </c>
      <c r="N106" s="64">
        <f t="shared" si="36"/>
        <v>1232745</v>
      </c>
      <c r="O106" s="64">
        <f t="shared" si="36"/>
        <v>1232745</v>
      </c>
      <c r="P106" s="2">
        <f t="shared" si="34"/>
        <v>16025685</v>
      </c>
      <c r="Q106" s="2">
        <f t="shared" si="35"/>
        <v>1232745</v>
      </c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3"/>
    </row>
    <row r="107" spans="1:34" x14ac:dyDescent="0.25">
      <c r="A107" s="13" t="s">
        <v>159</v>
      </c>
      <c r="B107" s="13" t="s">
        <v>160</v>
      </c>
      <c r="C107" s="64">
        <v>14639395</v>
      </c>
      <c r="D107" s="64">
        <f t="shared" si="36"/>
        <v>14639395</v>
      </c>
      <c r="E107" s="64">
        <f t="shared" si="36"/>
        <v>14639395</v>
      </c>
      <c r="F107" s="64">
        <f t="shared" si="36"/>
        <v>14639395</v>
      </c>
      <c r="G107" s="64">
        <f t="shared" si="36"/>
        <v>14639395</v>
      </c>
      <c r="H107" s="64">
        <f t="shared" si="36"/>
        <v>14639395</v>
      </c>
      <c r="I107" s="64">
        <f t="shared" si="36"/>
        <v>14639395</v>
      </c>
      <c r="J107" s="64">
        <f t="shared" si="36"/>
        <v>14639395</v>
      </c>
      <c r="K107" s="64">
        <f t="shared" si="36"/>
        <v>14639395</v>
      </c>
      <c r="L107" s="64">
        <f t="shared" si="36"/>
        <v>14639395</v>
      </c>
      <c r="M107" s="64">
        <f t="shared" si="36"/>
        <v>14639395</v>
      </c>
      <c r="N107" s="64">
        <f t="shared" si="36"/>
        <v>14639395</v>
      </c>
      <c r="O107" s="64">
        <f t="shared" si="36"/>
        <v>14639395</v>
      </c>
      <c r="P107" s="2">
        <f t="shared" si="34"/>
        <v>190312135</v>
      </c>
      <c r="Q107" s="2">
        <f t="shared" si="35"/>
        <v>14639395</v>
      </c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3"/>
    </row>
    <row r="108" spans="1:34" x14ac:dyDescent="0.25">
      <c r="A108" s="13" t="s">
        <v>161</v>
      </c>
      <c r="B108" s="13" t="s">
        <v>162</v>
      </c>
      <c r="C108" s="64">
        <v>20662</v>
      </c>
      <c r="D108" s="64">
        <f t="shared" si="36"/>
        <v>20662</v>
      </c>
      <c r="E108" s="64">
        <f t="shared" si="36"/>
        <v>20662</v>
      </c>
      <c r="F108" s="64">
        <f t="shared" si="36"/>
        <v>20662</v>
      </c>
      <c r="G108" s="64">
        <f t="shared" si="36"/>
        <v>20662</v>
      </c>
      <c r="H108" s="64">
        <f t="shared" si="36"/>
        <v>20662</v>
      </c>
      <c r="I108" s="64">
        <f t="shared" si="36"/>
        <v>20662</v>
      </c>
      <c r="J108" s="64">
        <f t="shared" si="36"/>
        <v>20662</v>
      </c>
      <c r="K108" s="64">
        <f t="shared" si="36"/>
        <v>20662</v>
      </c>
      <c r="L108" s="64">
        <f t="shared" si="36"/>
        <v>20662</v>
      </c>
      <c r="M108" s="64">
        <f t="shared" si="36"/>
        <v>20662</v>
      </c>
      <c r="N108" s="64">
        <f t="shared" si="36"/>
        <v>20662</v>
      </c>
      <c r="O108" s="64">
        <f t="shared" si="36"/>
        <v>20662</v>
      </c>
      <c r="P108" s="2">
        <f t="shared" si="34"/>
        <v>268606</v>
      </c>
      <c r="Q108" s="2">
        <f t="shared" si="35"/>
        <v>20662</v>
      </c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3"/>
    </row>
    <row r="109" spans="1:34" x14ac:dyDescent="0.25">
      <c r="A109" s="13" t="s">
        <v>163</v>
      </c>
      <c r="B109" s="13" t="s">
        <v>164</v>
      </c>
      <c r="C109" s="64">
        <v>76336</v>
      </c>
      <c r="D109" s="64">
        <f t="shared" si="36"/>
        <v>76336</v>
      </c>
      <c r="E109" s="64">
        <f t="shared" si="36"/>
        <v>76336</v>
      </c>
      <c r="F109" s="64">
        <f t="shared" si="36"/>
        <v>76336</v>
      </c>
      <c r="G109" s="64">
        <f t="shared" si="36"/>
        <v>76336</v>
      </c>
      <c r="H109" s="64">
        <f t="shared" si="36"/>
        <v>76336</v>
      </c>
      <c r="I109" s="64">
        <f t="shared" si="36"/>
        <v>76336</v>
      </c>
      <c r="J109" s="64">
        <f t="shared" si="36"/>
        <v>76336</v>
      </c>
      <c r="K109" s="64">
        <f t="shared" si="36"/>
        <v>76336</v>
      </c>
      <c r="L109" s="64">
        <f t="shared" si="36"/>
        <v>76336</v>
      </c>
      <c r="M109" s="64">
        <f t="shared" si="36"/>
        <v>76336</v>
      </c>
      <c r="N109" s="64">
        <f t="shared" si="36"/>
        <v>76336</v>
      </c>
      <c r="O109" s="64">
        <f t="shared" si="36"/>
        <v>76336</v>
      </c>
      <c r="P109" s="2">
        <f t="shared" si="34"/>
        <v>992368</v>
      </c>
      <c r="Q109" s="2">
        <f t="shared" si="35"/>
        <v>76336</v>
      </c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3"/>
    </row>
    <row r="110" spans="1:34" x14ac:dyDescent="0.25">
      <c r="A110" s="13" t="s">
        <v>165</v>
      </c>
      <c r="B110" s="13" t="s">
        <v>166</v>
      </c>
      <c r="C110" s="64">
        <v>69877</v>
      </c>
      <c r="D110" s="64">
        <f t="shared" si="36"/>
        <v>69877</v>
      </c>
      <c r="E110" s="64">
        <f t="shared" si="36"/>
        <v>69877</v>
      </c>
      <c r="F110" s="64">
        <f t="shared" si="36"/>
        <v>69877</v>
      </c>
      <c r="G110" s="64">
        <f t="shared" si="36"/>
        <v>69877</v>
      </c>
      <c r="H110" s="64">
        <f t="shared" si="36"/>
        <v>69877</v>
      </c>
      <c r="I110" s="64">
        <f t="shared" si="36"/>
        <v>69877</v>
      </c>
      <c r="J110" s="64">
        <f t="shared" si="36"/>
        <v>69877</v>
      </c>
      <c r="K110" s="64">
        <f t="shared" si="36"/>
        <v>69877</v>
      </c>
      <c r="L110" s="64">
        <f t="shared" si="36"/>
        <v>69877</v>
      </c>
      <c r="M110" s="64">
        <f t="shared" si="36"/>
        <v>69877</v>
      </c>
      <c r="N110" s="64">
        <f t="shared" si="36"/>
        <v>69877</v>
      </c>
      <c r="O110" s="64">
        <f t="shared" si="36"/>
        <v>69877</v>
      </c>
      <c r="P110" s="2">
        <f t="shared" si="34"/>
        <v>908401</v>
      </c>
      <c r="Q110" s="2">
        <f t="shared" si="35"/>
        <v>69877</v>
      </c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3"/>
    </row>
    <row r="111" spans="1:34" x14ac:dyDescent="0.25">
      <c r="A111" s="13" t="s">
        <v>167</v>
      </c>
      <c r="B111" s="13" t="s">
        <v>168</v>
      </c>
      <c r="C111" s="64">
        <v>-33020023</v>
      </c>
      <c r="D111" s="64">
        <f t="shared" si="36"/>
        <v>-33020023</v>
      </c>
      <c r="E111" s="64">
        <f t="shared" si="36"/>
        <v>-33020023</v>
      </c>
      <c r="F111" s="64">
        <f t="shared" si="36"/>
        <v>-33020023</v>
      </c>
      <c r="G111" s="64">
        <f t="shared" si="36"/>
        <v>-33020023</v>
      </c>
      <c r="H111" s="64">
        <f t="shared" si="36"/>
        <v>-33020023</v>
      </c>
      <c r="I111" s="64">
        <f t="shared" si="36"/>
        <v>-33020023</v>
      </c>
      <c r="J111" s="64">
        <f t="shared" si="36"/>
        <v>-33020023</v>
      </c>
      <c r="K111" s="64">
        <f t="shared" si="36"/>
        <v>-33020023</v>
      </c>
      <c r="L111" s="64">
        <f t="shared" si="36"/>
        <v>-33020023</v>
      </c>
      <c r="M111" s="64">
        <f t="shared" si="36"/>
        <v>-33020023</v>
      </c>
      <c r="N111" s="64">
        <f t="shared" si="36"/>
        <v>-33020023</v>
      </c>
      <c r="O111" s="64">
        <f t="shared" si="36"/>
        <v>-33020023</v>
      </c>
      <c r="P111" s="2">
        <f t="shared" si="34"/>
        <v>-429260299</v>
      </c>
      <c r="Q111" s="2">
        <f t="shared" si="35"/>
        <v>-33020023</v>
      </c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3"/>
    </row>
    <row r="112" spans="1:34" x14ac:dyDescent="0.25">
      <c r="A112" s="13" t="s">
        <v>169</v>
      </c>
      <c r="B112" s="13" t="s">
        <v>170</v>
      </c>
      <c r="C112" s="64">
        <v>-44354199</v>
      </c>
      <c r="D112" s="64">
        <f t="shared" si="36"/>
        <v>-44354199</v>
      </c>
      <c r="E112" s="64">
        <f t="shared" si="36"/>
        <v>-44354199</v>
      </c>
      <c r="F112" s="64">
        <f t="shared" si="36"/>
        <v>-44354199</v>
      </c>
      <c r="G112" s="64">
        <f t="shared" si="36"/>
        <v>-44354199</v>
      </c>
      <c r="H112" s="64">
        <f t="shared" si="36"/>
        <v>-44354199</v>
      </c>
      <c r="I112" s="64">
        <f t="shared" si="36"/>
        <v>-44354199</v>
      </c>
      <c r="J112" s="64">
        <f t="shared" si="36"/>
        <v>-44354199</v>
      </c>
      <c r="K112" s="64">
        <f t="shared" si="36"/>
        <v>-44354199</v>
      </c>
      <c r="L112" s="64">
        <f t="shared" si="36"/>
        <v>-44354199</v>
      </c>
      <c r="M112" s="64">
        <f t="shared" si="36"/>
        <v>-44354199</v>
      </c>
      <c r="N112" s="64">
        <f t="shared" si="36"/>
        <v>-44354199</v>
      </c>
      <c r="O112" s="64">
        <f t="shared" si="36"/>
        <v>-44354199</v>
      </c>
      <c r="P112" s="2">
        <f t="shared" si="34"/>
        <v>-576604587</v>
      </c>
      <c r="Q112" s="2">
        <f t="shared" si="35"/>
        <v>-44354199</v>
      </c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3"/>
    </row>
    <row r="113" spans="1:34" x14ac:dyDescent="0.25">
      <c r="A113" s="13" t="s">
        <v>171</v>
      </c>
      <c r="B113" s="13" t="s">
        <v>172</v>
      </c>
      <c r="C113" s="64">
        <v>139</v>
      </c>
      <c r="D113" s="64">
        <f t="shared" si="36"/>
        <v>139</v>
      </c>
      <c r="E113" s="64">
        <f t="shared" si="36"/>
        <v>139</v>
      </c>
      <c r="F113" s="64">
        <f t="shared" si="36"/>
        <v>139</v>
      </c>
      <c r="G113" s="64">
        <f t="shared" si="36"/>
        <v>139</v>
      </c>
      <c r="H113" s="64">
        <f t="shared" si="36"/>
        <v>139</v>
      </c>
      <c r="I113" s="64">
        <f t="shared" si="36"/>
        <v>139</v>
      </c>
      <c r="J113" s="64">
        <f t="shared" si="36"/>
        <v>139</v>
      </c>
      <c r="K113" s="64">
        <f t="shared" si="36"/>
        <v>139</v>
      </c>
      <c r="L113" s="64">
        <f t="shared" si="36"/>
        <v>139</v>
      </c>
      <c r="M113" s="64">
        <f t="shared" si="36"/>
        <v>139</v>
      </c>
      <c r="N113" s="64">
        <f t="shared" si="36"/>
        <v>139</v>
      </c>
      <c r="O113" s="64">
        <f t="shared" si="36"/>
        <v>139</v>
      </c>
      <c r="P113" s="2">
        <f t="shared" si="34"/>
        <v>1807</v>
      </c>
      <c r="Q113" s="2">
        <f t="shared" si="35"/>
        <v>139</v>
      </c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3"/>
    </row>
    <row r="114" spans="1:34" x14ac:dyDescent="0.25">
      <c r="A114" s="13" t="s">
        <v>173</v>
      </c>
      <c r="B114" s="13" t="s">
        <v>174</v>
      </c>
      <c r="C114" s="64">
        <v>-808476</v>
      </c>
      <c r="D114" s="64">
        <f t="shared" si="36"/>
        <v>-808476</v>
      </c>
      <c r="E114" s="64">
        <f t="shared" si="36"/>
        <v>-808476</v>
      </c>
      <c r="F114" s="64">
        <f t="shared" si="36"/>
        <v>-808476</v>
      </c>
      <c r="G114" s="64">
        <f t="shared" si="36"/>
        <v>-808476</v>
      </c>
      <c r="H114" s="64">
        <f t="shared" si="36"/>
        <v>-808476</v>
      </c>
      <c r="I114" s="64">
        <f t="shared" si="36"/>
        <v>-808476</v>
      </c>
      <c r="J114" s="64">
        <f t="shared" si="36"/>
        <v>-808476</v>
      </c>
      <c r="K114" s="64">
        <f t="shared" si="36"/>
        <v>-808476</v>
      </c>
      <c r="L114" s="64">
        <f t="shared" si="36"/>
        <v>-808476</v>
      </c>
      <c r="M114" s="64">
        <f t="shared" si="36"/>
        <v>-808476</v>
      </c>
      <c r="N114" s="64">
        <f t="shared" si="36"/>
        <v>-808476</v>
      </c>
      <c r="O114" s="64">
        <f t="shared" si="36"/>
        <v>-808476</v>
      </c>
      <c r="P114" s="2">
        <f t="shared" si="34"/>
        <v>-10510188</v>
      </c>
      <c r="Q114" s="2">
        <f t="shared" si="35"/>
        <v>-808476</v>
      </c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3"/>
    </row>
    <row r="115" spans="1:34" x14ac:dyDescent="0.25">
      <c r="A115" s="13" t="s">
        <v>175</v>
      </c>
      <c r="B115" s="13" t="s">
        <v>176</v>
      </c>
      <c r="C115" s="64">
        <v>-4598036</v>
      </c>
      <c r="D115" s="64">
        <f t="shared" si="36"/>
        <v>-4598036</v>
      </c>
      <c r="E115" s="64">
        <f t="shared" si="36"/>
        <v>-4598036</v>
      </c>
      <c r="F115" s="64">
        <f t="shared" si="36"/>
        <v>-4598036</v>
      </c>
      <c r="G115" s="64">
        <f t="shared" si="36"/>
        <v>-4598036</v>
      </c>
      <c r="H115" s="64">
        <f t="shared" si="36"/>
        <v>-4598036</v>
      </c>
      <c r="I115" s="64">
        <f t="shared" si="36"/>
        <v>-4598036</v>
      </c>
      <c r="J115" s="64">
        <f t="shared" si="36"/>
        <v>-4598036</v>
      </c>
      <c r="K115" s="64">
        <f t="shared" si="36"/>
        <v>-4598036</v>
      </c>
      <c r="L115" s="64">
        <f t="shared" si="36"/>
        <v>-4598036</v>
      </c>
      <c r="M115" s="64">
        <f t="shared" si="36"/>
        <v>-4598036</v>
      </c>
      <c r="N115" s="64">
        <f t="shared" si="36"/>
        <v>-4598036</v>
      </c>
      <c r="O115" s="64">
        <f t="shared" si="36"/>
        <v>-4598036</v>
      </c>
      <c r="P115" s="2">
        <f t="shared" si="34"/>
        <v>-59774468</v>
      </c>
      <c r="Q115" s="2">
        <f t="shared" si="35"/>
        <v>-4598036</v>
      </c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3"/>
    </row>
    <row r="116" spans="1:34" x14ac:dyDescent="0.25">
      <c r="A116" s="13" t="s">
        <v>177</v>
      </c>
      <c r="B116" s="13" t="s">
        <v>178</v>
      </c>
      <c r="C116" s="64">
        <v>-86351305</v>
      </c>
      <c r="D116" s="64">
        <f t="shared" si="36"/>
        <v>-86351305</v>
      </c>
      <c r="E116" s="64">
        <f t="shared" si="36"/>
        <v>-86351305</v>
      </c>
      <c r="F116" s="64">
        <f t="shared" ref="E116:O129" si="39">E116</f>
        <v>-86351305</v>
      </c>
      <c r="G116" s="64">
        <f t="shared" si="39"/>
        <v>-86351305</v>
      </c>
      <c r="H116" s="64">
        <f t="shared" si="39"/>
        <v>-86351305</v>
      </c>
      <c r="I116" s="64">
        <f t="shared" si="39"/>
        <v>-86351305</v>
      </c>
      <c r="J116" s="64">
        <f t="shared" si="39"/>
        <v>-86351305</v>
      </c>
      <c r="K116" s="64">
        <f t="shared" si="39"/>
        <v>-86351305</v>
      </c>
      <c r="L116" s="64">
        <f t="shared" si="39"/>
        <v>-86351305</v>
      </c>
      <c r="M116" s="64">
        <f t="shared" si="39"/>
        <v>-86351305</v>
      </c>
      <c r="N116" s="64">
        <f t="shared" si="39"/>
        <v>-86351305</v>
      </c>
      <c r="O116" s="64">
        <f t="shared" si="39"/>
        <v>-86351305</v>
      </c>
      <c r="P116" s="2">
        <f t="shared" si="34"/>
        <v>-1122566965</v>
      </c>
      <c r="Q116" s="2">
        <f t="shared" si="35"/>
        <v>-86351305</v>
      </c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3"/>
    </row>
    <row r="117" spans="1:34" x14ac:dyDescent="0.25">
      <c r="A117" s="13" t="s">
        <v>179</v>
      </c>
      <c r="B117" s="13" t="s">
        <v>180</v>
      </c>
      <c r="C117" s="64">
        <v>800877</v>
      </c>
      <c r="D117" s="64">
        <f t="shared" si="36"/>
        <v>800877</v>
      </c>
      <c r="E117" s="64">
        <f t="shared" si="39"/>
        <v>800877</v>
      </c>
      <c r="F117" s="64">
        <f t="shared" si="39"/>
        <v>800877</v>
      </c>
      <c r="G117" s="64">
        <f t="shared" si="39"/>
        <v>800877</v>
      </c>
      <c r="H117" s="64">
        <f t="shared" si="39"/>
        <v>800877</v>
      </c>
      <c r="I117" s="64">
        <f t="shared" si="39"/>
        <v>800877</v>
      </c>
      <c r="J117" s="64">
        <f t="shared" si="39"/>
        <v>800877</v>
      </c>
      <c r="K117" s="64">
        <f t="shared" si="39"/>
        <v>800877</v>
      </c>
      <c r="L117" s="64">
        <f t="shared" si="39"/>
        <v>800877</v>
      </c>
      <c r="M117" s="64">
        <f t="shared" si="39"/>
        <v>800877</v>
      </c>
      <c r="N117" s="64">
        <f t="shared" si="39"/>
        <v>800877</v>
      </c>
      <c r="O117" s="64">
        <f t="shared" si="39"/>
        <v>800877</v>
      </c>
      <c r="P117" s="2">
        <f t="shared" si="34"/>
        <v>10411401</v>
      </c>
      <c r="Q117" s="2">
        <f t="shared" si="35"/>
        <v>800877</v>
      </c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3"/>
    </row>
    <row r="118" spans="1:34" x14ac:dyDescent="0.25">
      <c r="A118" s="13" t="s">
        <v>181</v>
      </c>
      <c r="B118" s="13" t="s">
        <v>182</v>
      </c>
      <c r="C118" s="64">
        <v>169412</v>
      </c>
      <c r="D118" s="64">
        <f t="shared" si="36"/>
        <v>169412</v>
      </c>
      <c r="E118" s="64">
        <f t="shared" si="39"/>
        <v>169412</v>
      </c>
      <c r="F118" s="64">
        <f t="shared" si="39"/>
        <v>169412</v>
      </c>
      <c r="G118" s="64">
        <f t="shared" si="39"/>
        <v>169412</v>
      </c>
      <c r="H118" s="64">
        <f t="shared" si="39"/>
        <v>169412</v>
      </c>
      <c r="I118" s="64">
        <f t="shared" si="39"/>
        <v>169412</v>
      </c>
      <c r="J118" s="64">
        <f t="shared" si="39"/>
        <v>169412</v>
      </c>
      <c r="K118" s="64">
        <f t="shared" si="39"/>
        <v>169412</v>
      </c>
      <c r="L118" s="64">
        <f t="shared" si="39"/>
        <v>169412</v>
      </c>
      <c r="M118" s="64">
        <f t="shared" si="39"/>
        <v>169412</v>
      </c>
      <c r="N118" s="64">
        <f t="shared" si="39"/>
        <v>169412</v>
      </c>
      <c r="O118" s="64">
        <f t="shared" si="39"/>
        <v>169412</v>
      </c>
      <c r="P118" s="2">
        <f t="shared" si="34"/>
        <v>2202356</v>
      </c>
      <c r="Q118" s="2">
        <f t="shared" si="35"/>
        <v>169412</v>
      </c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3"/>
    </row>
    <row r="119" spans="1:34" x14ac:dyDescent="0.25">
      <c r="A119" s="13" t="s">
        <v>183</v>
      </c>
      <c r="B119" s="13" t="s">
        <v>184</v>
      </c>
      <c r="C119" s="64">
        <v>10638609</v>
      </c>
      <c r="D119" s="64">
        <f t="shared" si="36"/>
        <v>10638609</v>
      </c>
      <c r="E119" s="64">
        <f t="shared" si="39"/>
        <v>10638609</v>
      </c>
      <c r="F119" s="64">
        <f t="shared" si="39"/>
        <v>10638609</v>
      </c>
      <c r="G119" s="64">
        <f t="shared" si="39"/>
        <v>10638609</v>
      </c>
      <c r="H119" s="64">
        <f t="shared" si="39"/>
        <v>10638609</v>
      </c>
      <c r="I119" s="64">
        <f t="shared" si="39"/>
        <v>10638609</v>
      </c>
      <c r="J119" s="64">
        <f t="shared" si="39"/>
        <v>10638609</v>
      </c>
      <c r="K119" s="64">
        <f t="shared" si="39"/>
        <v>10638609</v>
      </c>
      <c r="L119" s="64">
        <f t="shared" si="39"/>
        <v>10638609</v>
      </c>
      <c r="M119" s="64">
        <f t="shared" si="39"/>
        <v>10638609</v>
      </c>
      <c r="N119" s="64">
        <f t="shared" si="39"/>
        <v>10638609</v>
      </c>
      <c r="O119" s="64">
        <f t="shared" si="39"/>
        <v>10638609</v>
      </c>
      <c r="P119" s="2">
        <f t="shared" si="34"/>
        <v>138301917</v>
      </c>
      <c r="Q119" s="2">
        <f t="shared" si="35"/>
        <v>10638609</v>
      </c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3"/>
    </row>
    <row r="120" spans="1:34" x14ac:dyDescent="0.25">
      <c r="A120" s="13" t="s">
        <v>185</v>
      </c>
      <c r="B120" s="13" t="s">
        <v>186</v>
      </c>
      <c r="C120" s="64">
        <v>38123553</v>
      </c>
      <c r="D120" s="64">
        <f t="shared" si="36"/>
        <v>38123553</v>
      </c>
      <c r="E120" s="64">
        <f t="shared" si="39"/>
        <v>38123553</v>
      </c>
      <c r="F120" s="64">
        <f t="shared" si="39"/>
        <v>38123553</v>
      </c>
      <c r="G120" s="64">
        <f t="shared" si="39"/>
        <v>38123553</v>
      </c>
      <c r="H120" s="64">
        <f t="shared" si="39"/>
        <v>38123553</v>
      </c>
      <c r="I120" s="64">
        <f t="shared" si="39"/>
        <v>38123553</v>
      </c>
      <c r="J120" s="64">
        <f t="shared" si="39"/>
        <v>38123553</v>
      </c>
      <c r="K120" s="64">
        <f t="shared" si="39"/>
        <v>38123553</v>
      </c>
      <c r="L120" s="64">
        <f t="shared" si="39"/>
        <v>38123553</v>
      </c>
      <c r="M120" s="64">
        <f t="shared" si="39"/>
        <v>38123553</v>
      </c>
      <c r="N120" s="64">
        <f t="shared" si="39"/>
        <v>38123553</v>
      </c>
      <c r="O120" s="64">
        <f t="shared" si="39"/>
        <v>38123553</v>
      </c>
      <c r="P120" s="2">
        <f t="shared" si="34"/>
        <v>495606189</v>
      </c>
      <c r="Q120" s="2">
        <f t="shared" si="35"/>
        <v>38123553</v>
      </c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3"/>
    </row>
    <row r="121" spans="1:34" x14ac:dyDescent="0.25">
      <c r="A121" s="13" t="s">
        <v>187</v>
      </c>
      <c r="B121" s="13" t="s">
        <v>188</v>
      </c>
      <c r="C121" s="64">
        <v>42173466</v>
      </c>
      <c r="D121" s="64">
        <f t="shared" si="36"/>
        <v>42173466</v>
      </c>
      <c r="E121" s="64">
        <f t="shared" si="39"/>
        <v>42173466</v>
      </c>
      <c r="F121" s="64">
        <f t="shared" si="39"/>
        <v>42173466</v>
      </c>
      <c r="G121" s="64">
        <f t="shared" si="39"/>
        <v>42173466</v>
      </c>
      <c r="H121" s="64">
        <f t="shared" si="39"/>
        <v>42173466</v>
      </c>
      <c r="I121" s="64">
        <f t="shared" si="39"/>
        <v>42173466</v>
      </c>
      <c r="J121" s="64">
        <f t="shared" si="39"/>
        <v>42173466</v>
      </c>
      <c r="K121" s="64">
        <f t="shared" si="39"/>
        <v>42173466</v>
      </c>
      <c r="L121" s="64">
        <f t="shared" si="39"/>
        <v>42173466</v>
      </c>
      <c r="M121" s="64">
        <f t="shared" si="39"/>
        <v>42173466</v>
      </c>
      <c r="N121" s="64">
        <f t="shared" si="39"/>
        <v>42173466</v>
      </c>
      <c r="O121" s="64">
        <f t="shared" si="39"/>
        <v>42173466</v>
      </c>
      <c r="P121" s="2">
        <f t="shared" si="34"/>
        <v>548255058</v>
      </c>
      <c r="Q121" s="2">
        <f t="shared" si="35"/>
        <v>42173466</v>
      </c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3"/>
    </row>
    <row r="122" spans="1:34" x14ac:dyDescent="0.25">
      <c r="A122" s="13" t="s">
        <v>189</v>
      </c>
      <c r="B122" s="13" t="s">
        <v>190</v>
      </c>
      <c r="C122" s="64">
        <v>-308270572</v>
      </c>
      <c r="D122" s="64">
        <f t="shared" si="36"/>
        <v>-308270572</v>
      </c>
      <c r="E122" s="64">
        <f t="shared" si="39"/>
        <v>-308270572</v>
      </c>
      <c r="F122" s="64">
        <f t="shared" si="39"/>
        <v>-308270572</v>
      </c>
      <c r="G122" s="64">
        <f t="shared" si="39"/>
        <v>-308270572</v>
      </c>
      <c r="H122" s="64">
        <f t="shared" si="39"/>
        <v>-308270572</v>
      </c>
      <c r="I122" s="64">
        <f t="shared" si="39"/>
        <v>-308270572</v>
      </c>
      <c r="J122" s="64">
        <f t="shared" si="39"/>
        <v>-308270572</v>
      </c>
      <c r="K122" s="64">
        <f t="shared" si="39"/>
        <v>-308270572</v>
      </c>
      <c r="L122" s="64">
        <f t="shared" si="39"/>
        <v>-308270572</v>
      </c>
      <c r="M122" s="64">
        <f t="shared" si="39"/>
        <v>-308270572</v>
      </c>
      <c r="N122" s="64">
        <f t="shared" si="39"/>
        <v>-308270572</v>
      </c>
      <c r="O122" s="64">
        <f t="shared" si="39"/>
        <v>-308270572</v>
      </c>
      <c r="P122" s="2">
        <f t="shared" si="34"/>
        <v>-4007517436</v>
      </c>
      <c r="Q122" s="2">
        <f t="shared" si="35"/>
        <v>-308270572</v>
      </c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3"/>
    </row>
    <row r="123" spans="1:34" x14ac:dyDescent="0.25">
      <c r="A123" s="13" t="s">
        <v>191</v>
      </c>
      <c r="B123" s="13" t="s">
        <v>192</v>
      </c>
      <c r="C123" s="64">
        <v>8670858</v>
      </c>
      <c r="D123" s="64">
        <f t="shared" si="36"/>
        <v>8670858</v>
      </c>
      <c r="E123" s="64">
        <f t="shared" si="39"/>
        <v>8670858</v>
      </c>
      <c r="F123" s="64">
        <f t="shared" si="39"/>
        <v>8670858</v>
      </c>
      <c r="G123" s="64">
        <f t="shared" si="39"/>
        <v>8670858</v>
      </c>
      <c r="H123" s="64">
        <f t="shared" si="39"/>
        <v>8670858</v>
      </c>
      <c r="I123" s="64">
        <f t="shared" si="39"/>
        <v>8670858</v>
      </c>
      <c r="J123" s="64">
        <f t="shared" si="39"/>
        <v>8670858</v>
      </c>
      <c r="K123" s="64">
        <f t="shared" si="39"/>
        <v>8670858</v>
      </c>
      <c r="L123" s="64">
        <f t="shared" si="39"/>
        <v>8670858</v>
      </c>
      <c r="M123" s="64">
        <f t="shared" si="39"/>
        <v>8670858</v>
      </c>
      <c r="N123" s="64">
        <f t="shared" si="39"/>
        <v>8670858</v>
      </c>
      <c r="O123" s="64">
        <f t="shared" si="39"/>
        <v>8670858</v>
      </c>
      <c r="P123" s="2">
        <f t="shared" si="34"/>
        <v>112721154</v>
      </c>
      <c r="Q123" s="2">
        <f t="shared" si="35"/>
        <v>8670858</v>
      </c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3"/>
    </row>
    <row r="124" spans="1:34" x14ac:dyDescent="0.25">
      <c r="A124" s="13" t="s">
        <v>193</v>
      </c>
      <c r="B124" s="13" t="s">
        <v>194</v>
      </c>
      <c r="C124" s="64">
        <v>3704</v>
      </c>
      <c r="D124" s="64">
        <f t="shared" si="36"/>
        <v>3704</v>
      </c>
      <c r="E124" s="64">
        <f t="shared" si="39"/>
        <v>3704</v>
      </c>
      <c r="F124" s="64">
        <f t="shared" si="39"/>
        <v>3704</v>
      </c>
      <c r="G124" s="64">
        <f t="shared" si="39"/>
        <v>3704</v>
      </c>
      <c r="H124" s="64">
        <f t="shared" si="39"/>
        <v>3704</v>
      </c>
      <c r="I124" s="64">
        <f t="shared" si="39"/>
        <v>3704</v>
      </c>
      <c r="J124" s="64">
        <f t="shared" si="39"/>
        <v>3704</v>
      </c>
      <c r="K124" s="64">
        <f t="shared" si="39"/>
        <v>3704</v>
      </c>
      <c r="L124" s="64">
        <f t="shared" si="39"/>
        <v>3704</v>
      </c>
      <c r="M124" s="64">
        <f t="shared" si="39"/>
        <v>3704</v>
      </c>
      <c r="N124" s="64">
        <f t="shared" si="39"/>
        <v>3704</v>
      </c>
      <c r="O124" s="64">
        <f t="shared" si="39"/>
        <v>3704</v>
      </c>
      <c r="P124" s="2">
        <f t="shared" si="34"/>
        <v>48152</v>
      </c>
      <c r="Q124" s="2">
        <f t="shared" si="35"/>
        <v>3704</v>
      </c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3"/>
    </row>
    <row r="125" spans="1:34" x14ac:dyDescent="0.25">
      <c r="A125" s="13" t="s">
        <v>195</v>
      </c>
      <c r="B125" s="13" t="s">
        <v>196</v>
      </c>
      <c r="C125" s="64">
        <v>-163</v>
      </c>
      <c r="D125" s="64">
        <f t="shared" si="36"/>
        <v>-163</v>
      </c>
      <c r="E125" s="64">
        <f t="shared" si="39"/>
        <v>-163</v>
      </c>
      <c r="F125" s="64">
        <f t="shared" si="39"/>
        <v>-163</v>
      </c>
      <c r="G125" s="64">
        <f t="shared" si="39"/>
        <v>-163</v>
      </c>
      <c r="H125" s="64">
        <f t="shared" si="39"/>
        <v>-163</v>
      </c>
      <c r="I125" s="64">
        <f t="shared" si="39"/>
        <v>-163</v>
      </c>
      <c r="J125" s="64">
        <f t="shared" si="39"/>
        <v>-163</v>
      </c>
      <c r="K125" s="64">
        <f t="shared" si="39"/>
        <v>-163</v>
      </c>
      <c r="L125" s="64">
        <f t="shared" si="39"/>
        <v>-163</v>
      </c>
      <c r="M125" s="64">
        <f t="shared" si="39"/>
        <v>-163</v>
      </c>
      <c r="N125" s="64">
        <f t="shared" si="39"/>
        <v>-163</v>
      </c>
      <c r="O125" s="64">
        <f t="shared" si="39"/>
        <v>-163</v>
      </c>
      <c r="P125" s="2">
        <f t="shared" si="34"/>
        <v>-2119</v>
      </c>
      <c r="Q125" s="2">
        <f t="shared" si="35"/>
        <v>-163</v>
      </c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3"/>
    </row>
    <row r="126" spans="1:34" x14ac:dyDescent="0.25">
      <c r="A126" s="13" t="s">
        <v>197</v>
      </c>
      <c r="B126" s="13" t="s">
        <v>198</v>
      </c>
      <c r="C126" s="64">
        <v>6500</v>
      </c>
      <c r="D126" s="64">
        <f t="shared" si="36"/>
        <v>6500</v>
      </c>
      <c r="E126" s="64">
        <f t="shared" si="39"/>
        <v>6500</v>
      </c>
      <c r="F126" s="64">
        <f t="shared" si="39"/>
        <v>6500</v>
      </c>
      <c r="G126" s="64">
        <f t="shared" si="39"/>
        <v>6500</v>
      </c>
      <c r="H126" s="64">
        <f t="shared" si="39"/>
        <v>6500</v>
      </c>
      <c r="I126" s="64">
        <f t="shared" si="39"/>
        <v>6500</v>
      </c>
      <c r="J126" s="64">
        <f t="shared" si="39"/>
        <v>6500</v>
      </c>
      <c r="K126" s="64">
        <f t="shared" si="39"/>
        <v>6500</v>
      </c>
      <c r="L126" s="64">
        <f t="shared" si="39"/>
        <v>6500</v>
      </c>
      <c r="M126" s="64">
        <f t="shared" si="39"/>
        <v>6500</v>
      </c>
      <c r="N126" s="64">
        <f t="shared" si="39"/>
        <v>6500</v>
      </c>
      <c r="O126" s="64">
        <f t="shared" si="39"/>
        <v>6500</v>
      </c>
      <c r="P126" s="2">
        <f t="shared" si="34"/>
        <v>84500</v>
      </c>
      <c r="Q126" s="2">
        <f t="shared" si="35"/>
        <v>6500</v>
      </c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3"/>
    </row>
    <row r="127" spans="1:34" x14ac:dyDescent="0.25">
      <c r="A127" s="13" t="s">
        <v>199</v>
      </c>
      <c r="B127" s="13" t="s">
        <v>200</v>
      </c>
      <c r="C127" s="64">
        <v>2775908</v>
      </c>
      <c r="D127" s="64">
        <f t="shared" si="36"/>
        <v>2775908</v>
      </c>
      <c r="E127" s="64">
        <f t="shared" si="39"/>
        <v>2775908</v>
      </c>
      <c r="F127" s="64">
        <f t="shared" si="39"/>
        <v>2775908</v>
      </c>
      <c r="G127" s="64">
        <f t="shared" si="39"/>
        <v>2775908</v>
      </c>
      <c r="H127" s="64">
        <f t="shared" si="39"/>
        <v>2775908</v>
      </c>
      <c r="I127" s="64">
        <f t="shared" si="39"/>
        <v>2775908</v>
      </c>
      <c r="J127" s="64">
        <f t="shared" si="39"/>
        <v>2775908</v>
      </c>
      <c r="K127" s="64">
        <f t="shared" si="39"/>
        <v>2775908</v>
      </c>
      <c r="L127" s="64">
        <f t="shared" si="39"/>
        <v>2775908</v>
      </c>
      <c r="M127" s="64">
        <f t="shared" si="39"/>
        <v>2775908</v>
      </c>
      <c r="N127" s="64">
        <f t="shared" si="39"/>
        <v>2775908</v>
      </c>
      <c r="O127" s="64">
        <f t="shared" si="39"/>
        <v>2775908</v>
      </c>
      <c r="P127" s="2">
        <f t="shared" si="34"/>
        <v>36086804</v>
      </c>
      <c r="Q127" s="2">
        <f t="shared" si="35"/>
        <v>2775908</v>
      </c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3"/>
    </row>
    <row r="128" spans="1:34" x14ac:dyDescent="0.25">
      <c r="A128" s="13" t="s">
        <v>201</v>
      </c>
      <c r="B128" s="13" t="s">
        <v>202</v>
      </c>
      <c r="C128" s="64">
        <v>109634</v>
      </c>
      <c r="D128" s="64">
        <f t="shared" si="36"/>
        <v>109634</v>
      </c>
      <c r="E128" s="64">
        <f t="shared" si="39"/>
        <v>109634</v>
      </c>
      <c r="F128" s="64">
        <f t="shared" si="39"/>
        <v>109634</v>
      </c>
      <c r="G128" s="64">
        <f t="shared" si="39"/>
        <v>109634</v>
      </c>
      <c r="H128" s="64">
        <f t="shared" si="39"/>
        <v>109634</v>
      </c>
      <c r="I128" s="64">
        <f t="shared" si="39"/>
        <v>109634</v>
      </c>
      <c r="J128" s="64">
        <f t="shared" si="39"/>
        <v>109634</v>
      </c>
      <c r="K128" s="64">
        <f t="shared" si="39"/>
        <v>109634</v>
      </c>
      <c r="L128" s="64">
        <f t="shared" si="39"/>
        <v>109634</v>
      </c>
      <c r="M128" s="64">
        <f t="shared" si="39"/>
        <v>109634</v>
      </c>
      <c r="N128" s="64">
        <f t="shared" si="39"/>
        <v>109634</v>
      </c>
      <c r="O128" s="64">
        <f t="shared" si="39"/>
        <v>109634</v>
      </c>
      <c r="P128" s="2">
        <f t="shared" si="34"/>
        <v>1425242</v>
      </c>
      <c r="Q128" s="2">
        <f t="shared" si="35"/>
        <v>109634</v>
      </c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3"/>
    </row>
    <row r="129" spans="1:34" x14ac:dyDescent="0.25">
      <c r="A129" s="13" t="s">
        <v>203</v>
      </c>
      <c r="B129" s="13" t="s">
        <v>204</v>
      </c>
      <c r="C129" s="64">
        <v>183748</v>
      </c>
      <c r="D129" s="64">
        <f t="shared" si="36"/>
        <v>183748</v>
      </c>
      <c r="E129" s="64">
        <f t="shared" si="39"/>
        <v>183748</v>
      </c>
      <c r="F129" s="64">
        <f t="shared" si="39"/>
        <v>183748</v>
      </c>
      <c r="G129" s="64">
        <f t="shared" si="39"/>
        <v>183748</v>
      </c>
      <c r="H129" s="64">
        <f t="shared" si="39"/>
        <v>183748</v>
      </c>
      <c r="I129" s="64">
        <f t="shared" si="39"/>
        <v>183748</v>
      </c>
      <c r="J129" s="64">
        <f t="shared" si="39"/>
        <v>183748</v>
      </c>
      <c r="K129" s="64">
        <f t="shared" si="39"/>
        <v>183748</v>
      </c>
      <c r="L129" s="64">
        <f t="shared" si="39"/>
        <v>183748</v>
      </c>
      <c r="M129" s="64">
        <f t="shared" si="39"/>
        <v>183748</v>
      </c>
      <c r="N129" s="64">
        <f t="shared" si="39"/>
        <v>183748</v>
      </c>
      <c r="O129" s="64">
        <f t="shared" si="39"/>
        <v>183748</v>
      </c>
      <c r="P129" s="2">
        <f t="shared" si="34"/>
        <v>2388724</v>
      </c>
      <c r="Q129" s="2">
        <f t="shared" si="35"/>
        <v>183748</v>
      </c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3"/>
    </row>
    <row r="130" spans="1:34" x14ac:dyDescent="0.25">
      <c r="C130" s="26" t="s">
        <v>67</v>
      </c>
      <c r="D130" s="26" t="s">
        <v>67</v>
      </c>
      <c r="E130" s="26" t="s">
        <v>67</v>
      </c>
      <c r="F130" s="26" t="s">
        <v>67</v>
      </c>
      <c r="G130" s="26" t="s">
        <v>67</v>
      </c>
      <c r="H130" s="26" t="s">
        <v>67</v>
      </c>
      <c r="I130" s="26" t="s">
        <v>67</v>
      </c>
      <c r="J130" s="26" t="s">
        <v>67</v>
      </c>
      <c r="K130" s="26" t="s">
        <v>67</v>
      </c>
      <c r="L130" s="26" t="s">
        <v>67</v>
      </c>
      <c r="M130" s="26" t="s">
        <v>67</v>
      </c>
      <c r="N130" s="26" t="s">
        <v>67</v>
      </c>
      <c r="O130" s="26" t="s">
        <v>67</v>
      </c>
      <c r="P130" s="26" t="s">
        <v>67</v>
      </c>
      <c r="Q130" s="26" t="s">
        <v>67</v>
      </c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3"/>
    </row>
    <row r="131" spans="1:34" x14ac:dyDescent="0.25">
      <c r="A131" s="21" t="s">
        <v>205</v>
      </c>
      <c r="B131" s="22"/>
      <c r="C131" s="149">
        <f t="shared" ref="C131:Q131" si="40">SUM(C95:C129)</f>
        <v>-62625055</v>
      </c>
      <c r="D131" s="149">
        <f t="shared" si="40"/>
        <v>-58640515.626865864</v>
      </c>
      <c r="E131" s="149">
        <f t="shared" si="40"/>
        <v>-58545704.474498332</v>
      </c>
      <c r="F131" s="149">
        <f t="shared" si="40"/>
        <v>-58464440.85213083</v>
      </c>
      <c r="G131" s="149">
        <f t="shared" si="40"/>
        <v>-58383177.329763353</v>
      </c>
      <c r="H131" s="149">
        <f t="shared" si="40"/>
        <v>-58301913.807395816</v>
      </c>
      <c r="I131" s="149">
        <f t="shared" si="40"/>
        <v>-58220650.285028338</v>
      </c>
      <c r="J131" s="149">
        <f t="shared" si="40"/>
        <v>-58139386.762660861</v>
      </c>
      <c r="K131" s="149">
        <f t="shared" si="40"/>
        <v>-58058123.240293384</v>
      </c>
      <c r="L131" s="149">
        <f t="shared" si="40"/>
        <v>-57976859.717925847</v>
      </c>
      <c r="M131" s="149">
        <f t="shared" si="40"/>
        <v>-57895596.195558369</v>
      </c>
      <c r="N131" s="149">
        <f t="shared" si="40"/>
        <v>-57814332.673190892</v>
      </c>
      <c r="O131" s="149">
        <f t="shared" si="40"/>
        <v>-57733069.150823355</v>
      </c>
      <c r="P131" s="23">
        <f t="shared" si="40"/>
        <v>-760798825.11613512</v>
      </c>
      <c r="Q131" s="23">
        <f t="shared" si="40"/>
        <v>-58522986.547394991</v>
      </c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3"/>
    </row>
    <row r="132" spans="1:34" x14ac:dyDescent="0.25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3"/>
    </row>
    <row r="133" spans="1:34" x14ac:dyDescent="0.25">
      <c r="A133" s="21" t="s">
        <v>206</v>
      </c>
      <c r="B133" s="22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3"/>
    </row>
    <row r="134" spans="1:34" x14ac:dyDescent="0.25">
      <c r="A134" s="13" t="s">
        <v>207</v>
      </c>
      <c r="B134" s="13" t="s">
        <v>208</v>
      </c>
      <c r="C134" s="64">
        <v>6158</v>
      </c>
      <c r="D134" s="64">
        <f t="shared" ref="D134:O134" si="41">C134+($C134*(0.0772/12))</f>
        <v>6197.6164666666664</v>
      </c>
      <c r="E134" s="64">
        <f t="shared" si="41"/>
        <v>6237.2329333333328</v>
      </c>
      <c r="F134" s="64">
        <f t="shared" si="41"/>
        <v>6276.8493999999992</v>
      </c>
      <c r="G134" s="64">
        <f t="shared" si="41"/>
        <v>6316.4658666666655</v>
      </c>
      <c r="H134" s="64">
        <f t="shared" si="41"/>
        <v>6356.0823333333319</v>
      </c>
      <c r="I134" s="64">
        <f t="shared" si="41"/>
        <v>6395.6987999999983</v>
      </c>
      <c r="J134" s="64">
        <f t="shared" si="41"/>
        <v>6435.3152666666647</v>
      </c>
      <c r="K134" s="64">
        <f t="shared" si="41"/>
        <v>6474.9317333333311</v>
      </c>
      <c r="L134" s="64">
        <f t="shared" si="41"/>
        <v>6514.5481999999975</v>
      </c>
      <c r="M134" s="64">
        <f t="shared" si="41"/>
        <v>6554.1646666666638</v>
      </c>
      <c r="N134" s="64">
        <f t="shared" si="41"/>
        <v>6593.7811333333302</v>
      </c>
      <c r="O134" s="64">
        <f t="shared" si="41"/>
        <v>6633.3975999999966</v>
      </c>
      <c r="P134" s="2">
        <f t="shared" ref="P134:P135" si="42">SUM(C134:O134)</f>
        <v>83144.084399999992</v>
      </c>
      <c r="Q134" s="2">
        <f t="shared" ref="Q134:Q135" si="43">P134/13</f>
        <v>6395.6987999999992</v>
      </c>
      <c r="R134" s="15" t="s">
        <v>502</v>
      </c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3"/>
    </row>
    <row r="135" spans="1:34" x14ac:dyDescent="0.25">
      <c r="A135" s="13" t="s">
        <v>209</v>
      </c>
      <c r="B135" s="13" t="s">
        <v>210</v>
      </c>
      <c r="C135" s="64">
        <v>33125</v>
      </c>
      <c r="D135" s="64">
        <f t="shared" ref="D135:O135" si="44">C135+($C135*(0.0772/12))</f>
        <v>33338.104166666664</v>
      </c>
      <c r="E135" s="64">
        <f t="shared" si="44"/>
        <v>33551.208333333328</v>
      </c>
      <c r="F135" s="64">
        <f t="shared" si="44"/>
        <v>33764.312499999993</v>
      </c>
      <c r="G135" s="64">
        <f t="shared" si="44"/>
        <v>33977.416666666657</v>
      </c>
      <c r="H135" s="64">
        <f t="shared" si="44"/>
        <v>34190.520833333321</v>
      </c>
      <c r="I135" s="64">
        <f t="shared" si="44"/>
        <v>34403.624999999985</v>
      </c>
      <c r="J135" s="64">
        <f t="shared" si="44"/>
        <v>34616.72916666665</v>
      </c>
      <c r="K135" s="64">
        <f t="shared" si="44"/>
        <v>34829.833333333314</v>
      </c>
      <c r="L135" s="64">
        <f t="shared" si="44"/>
        <v>35042.937499999978</v>
      </c>
      <c r="M135" s="64">
        <f t="shared" si="44"/>
        <v>35256.041666666642</v>
      </c>
      <c r="N135" s="64">
        <f t="shared" si="44"/>
        <v>35469.145833333307</v>
      </c>
      <c r="O135" s="64">
        <f t="shared" si="44"/>
        <v>35682.249999999971</v>
      </c>
      <c r="P135" s="2">
        <f t="shared" si="42"/>
        <v>447247.12499999977</v>
      </c>
      <c r="Q135" s="2">
        <f t="shared" si="43"/>
        <v>34403.624999999985</v>
      </c>
      <c r="R135" s="15" t="s">
        <v>502</v>
      </c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3"/>
    </row>
    <row r="136" spans="1:34" x14ac:dyDescent="0.25">
      <c r="C136" s="26" t="s">
        <v>67</v>
      </c>
      <c r="D136" s="26" t="s">
        <v>67</v>
      </c>
      <c r="E136" s="26" t="s">
        <v>67</v>
      </c>
      <c r="F136" s="26" t="s">
        <v>67</v>
      </c>
      <c r="G136" s="26" t="s">
        <v>67</v>
      </c>
      <c r="H136" s="26" t="s">
        <v>67</v>
      </c>
      <c r="I136" s="26" t="s">
        <v>67</v>
      </c>
      <c r="J136" s="26" t="s">
        <v>67</v>
      </c>
      <c r="K136" s="26" t="s">
        <v>67</v>
      </c>
      <c r="L136" s="26" t="s">
        <v>67</v>
      </c>
      <c r="M136" s="26" t="s">
        <v>67</v>
      </c>
      <c r="N136" s="26" t="s">
        <v>67</v>
      </c>
      <c r="O136" s="26" t="s">
        <v>67</v>
      </c>
      <c r="P136" s="26" t="s">
        <v>67</v>
      </c>
      <c r="Q136" s="26" t="s">
        <v>67</v>
      </c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3"/>
    </row>
    <row r="137" spans="1:34" x14ac:dyDescent="0.25">
      <c r="A137" s="21" t="s">
        <v>211</v>
      </c>
      <c r="B137" s="22"/>
      <c r="C137" s="23">
        <f>SUM(C134:C135)</f>
        <v>39283</v>
      </c>
      <c r="D137" s="23">
        <f t="shared" ref="D137:Q137" si="45">SUM(D134:D135)</f>
        <v>39535.720633333331</v>
      </c>
      <c r="E137" s="23">
        <f t="shared" si="45"/>
        <v>39788.441266666661</v>
      </c>
      <c r="F137" s="23">
        <f t="shared" si="45"/>
        <v>40041.161899999992</v>
      </c>
      <c r="G137" s="23">
        <f t="shared" si="45"/>
        <v>40293.882533333322</v>
      </c>
      <c r="H137" s="23">
        <f t="shared" si="45"/>
        <v>40546.603166666653</v>
      </c>
      <c r="I137" s="23">
        <f t="shared" si="45"/>
        <v>40799.323799999984</v>
      </c>
      <c r="J137" s="23">
        <f t="shared" si="45"/>
        <v>41052.044433333314</v>
      </c>
      <c r="K137" s="23">
        <f t="shared" si="45"/>
        <v>41304.765066666645</v>
      </c>
      <c r="L137" s="23">
        <f t="shared" si="45"/>
        <v>41557.485699999976</v>
      </c>
      <c r="M137" s="23">
        <f t="shared" si="45"/>
        <v>41810.206333333306</v>
      </c>
      <c r="N137" s="23">
        <f t="shared" si="45"/>
        <v>42062.926966666637</v>
      </c>
      <c r="O137" s="23">
        <f t="shared" si="45"/>
        <v>42315.647599999967</v>
      </c>
      <c r="P137" s="23">
        <f t="shared" si="45"/>
        <v>530391.20939999982</v>
      </c>
      <c r="Q137" s="23">
        <f t="shared" si="45"/>
        <v>40799.323799999984</v>
      </c>
      <c r="R137" s="15">
        <f>SUM(T137:Y137)-Q137</f>
        <v>0</v>
      </c>
      <c r="S137" s="15" t="s">
        <v>16</v>
      </c>
      <c r="T137" s="15">
        <f t="shared" ref="T137:Y137" si="46">$Q137*T5</f>
        <v>8690.2559693999956</v>
      </c>
      <c r="U137" s="15">
        <f t="shared" si="46"/>
        <v>14198.164682399993</v>
      </c>
      <c r="V137" s="15">
        <f t="shared" si="46"/>
        <v>5875.1026271999972</v>
      </c>
      <c r="W137" s="15">
        <f t="shared" si="46"/>
        <v>40.799323799999982</v>
      </c>
      <c r="X137" s="15">
        <f t="shared" si="46"/>
        <v>40.799323799999982</v>
      </c>
      <c r="Y137" s="15">
        <f t="shared" si="46"/>
        <v>11954.201873399994</v>
      </c>
      <c r="Z137" s="15"/>
      <c r="AA137" s="15" t="s">
        <v>16</v>
      </c>
      <c r="AB137" s="15">
        <f t="shared" ref="AB137:AG137" si="47">$O137*AB$5</f>
        <v>9013.2329387999926</v>
      </c>
      <c r="AC137" s="15">
        <f t="shared" si="47"/>
        <v>14725.845364799987</v>
      </c>
      <c r="AD137" s="15">
        <f t="shared" si="47"/>
        <v>6093.4532543999949</v>
      </c>
      <c r="AE137" s="15">
        <f t="shared" si="47"/>
        <v>42.31564759999997</v>
      </c>
      <c r="AF137" s="15">
        <f t="shared" si="47"/>
        <v>42.31564759999997</v>
      </c>
      <c r="AG137" s="15">
        <f t="shared" si="47"/>
        <v>12398.48474679999</v>
      </c>
      <c r="AH137" s="27">
        <f>SUM(AB137:AG137)-O137</f>
        <v>0</v>
      </c>
    </row>
    <row r="138" spans="1:34" x14ac:dyDescent="0.25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3"/>
    </row>
    <row r="139" spans="1:34" x14ac:dyDescent="0.25">
      <c r="A139" s="21" t="s">
        <v>212</v>
      </c>
      <c r="B139" s="22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3"/>
    </row>
    <row r="140" spans="1:34" x14ac:dyDescent="0.25">
      <c r="A140" s="13" t="s">
        <v>213</v>
      </c>
      <c r="B140" s="13" t="s">
        <v>214</v>
      </c>
      <c r="C140" s="64">
        <v>127184</v>
      </c>
      <c r="D140" s="64">
        <f t="shared" ref="D140:O140" si="48">C140+($C140*(0.0772/12))</f>
        <v>128002.21706666666</v>
      </c>
      <c r="E140" s="64">
        <f t="shared" si="48"/>
        <v>128820.43413333333</v>
      </c>
      <c r="F140" s="64">
        <f t="shared" si="48"/>
        <v>129638.65119999999</v>
      </c>
      <c r="G140" s="64">
        <f t="shared" si="48"/>
        <v>130456.86826666666</v>
      </c>
      <c r="H140" s="64">
        <f t="shared" si="48"/>
        <v>131275.08533333332</v>
      </c>
      <c r="I140" s="64">
        <f t="shared" si="48"/>
        <v>132093.30239999999</v>
      </c>
      <c r="J140" s="64">
        <f t="shared" si="48"/>
        <v>132911.51946666665</v>
      </c>
      <c r="K140" s="64">
        <f t="shared" si="48"/>
        <v>133729.73653333331</v>
      </c>
      <c r="L140" s="64">
        <f t="shared" si="48"/>
        <v>134547.95359999998</v>
      </c>
      <c r="M140" s="64">
        <f t="shared" si="48"/>
        <v>135366.17066666664</v>
      </c>
      <c r="N140" s="64">
        <f t="shared" si="48"/>
        <v>136184.38773333331</v>
      </c>
      <c r="O140" s="64">
        <f t="shared" si="48"/>
        <v>137002.60479999997</v>
      </c>
      <c r="P140" s="2">
        <f t="shared" ref="P140" si="49">SUM(C140:O140)</f>
        <v>1717212.9312</v>
      </c>
      <c r="Q140" s="2">
        <f>P140/13</f>
        <v>132093.30239999999</v>
      </c>
      <c r="R140" s="15" t="s">
        <v>502</v>
      </c>
      <c r="S140" s="15" t="s">
        <v>16</v>
      </c>
      <c r="T140" s="15">
        <f t="shared" ref="T140:Y140" si="50">$Q140*T5</f>
        <v>28135.873411199995</v>
      </c>
      <c r="U140" s="15">
        <f t="shared" si="50"/>
        <v>45968.469235199991</v>
      </c>
      <c r="V140" s="15">
        <f t="shared" si="50"/>
        <v>19021.435545599998</v>
      </c>
      <c r="W140" s="15">
        <f t="shared" si="50"/>
        <v>132.0933024</v>
      </c>
      <c r="X140" s="15">
        <f t="shared" si="50"/>
        <v>132.0933024</v>
      </c>
      <c r="Y140" s="15">
        <f t="shared" si="50"/>
        <v>38703.337603199994</v>
      </c>
      <c r="Z140" s="15"/>
      <c r="AA140" s="15" t="s">
        <v>16</v>
      </c>
      <c r="AB140" s="15">
        <f t="shared" ref="AB140:AG140" si="51">$O140*AB$5</f>
        <v>29181.554822399994</v>
      </c>
      <c r="AC140" s="15">
        <f t="shared" si="51"/>
        <v>47676.90647039999</v>
      </c>
      <c r="AD140" s="15">
        <f t="shared" si="51"/>
        <v>19728.375091199996</v>
      </c>
      <c r="AE140" s="15">
        <f t="shared" si="51"/>
        <v>137.00260479999997</v>
      </c>
      <c r="AF140" s="15">
        <f t="shared" si="51"/>
        <v>137.00260479999997</v>
      </c>
      <c r="AG140" s="15">
        <f t="shared" si="51"/>
        <v>40141.763206399992</v>
      </c>
      <c r="AH140" s="27">
        <f>SUM(AB140:AG140)-O140</f>
        <v>0</v>
      </c>
    </row>
    <row r="141" spans="1:34" x14ac:dyDescent="0.25">
      <c r="C141" s="26" t="s">
        <v>67</v>
      </c>
      <c r="D141" s="26" t="s">
        <v>67</v>
      </c>
      <c r="E141" s="26" t="s">
        <v>67</v>
      </c>
      <c r="F141" s="26" t="s">
        <v>67</v>
      </c>
      <c r="G141" s="26" t="s">
        <v>67</v>
      </c>
      <c r="H141" s="26" t="s">
        <v>67</v>
      </c>
      <c r="I141" s="26" t="s">
        <v>67</v>
      </c>
      <c r="J141" s="26" t="s">
        <v>67</v>
      </c>
      <c r="K141" s="26" t="s">
        <v>67</v>
      </c>
      <c r="L141" s="26" t="s">
        <v>67</v>
      </c>
      <c r="M141" s="26" t="s">
        <v>67</v>
      </c>
      <c r="N141" s="26" t="s">
        <v>67</v>
      </c>
      <c r="O141" s="26" t="s">
        <v>67</v>
      </c>
      <c r="P141" s="26" t="s">
        <v>67</v>
      </c>
      <c r="Q141" s="26" t="s">
        <v>67</v>
      </c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3"/>
    </row>
    <row r="142" spans="1:34" x14ac:dyDescent="0.25">
      <c r="A142" s="21" t="s">
        <v>215</v>
      </c>
      <c r="B142" s="22"/>
      <c r="C142" s="23">
        <f>C140</f>
        <v>127184</v>
      </c>
      <c r="D142" s="23">
        <f t="shared" ref="D142:Q142" si="52">D140</f>
        <v>128002.21706666666</v>
      </c>
      <c r="E142" s="23">
        <f t="shared" si="52"/>
        <v>128820.43413333333</v>
      </c>
      <c r="F142" s="23">
        <f t="shared" si="52"/>
        <v>129638.65119999999</v>
      </c>
      <c r="G142" s="23">
        <f t="shared" si="52"/>
        <v>130456.86826666666</v>
      </c>
      <c r="H142" s="23">
        <f t="shared" si="52"/>
        <v>131275.08533333332</v>
      </c>
      <c r="I142" s="23">
        <f t="shared" si="52"/>
        <v>132093.30239999999</v>
      </c>
      <c r="J142" s="23">
        <f t="shared" si="52"/>
        <v>132911.51946666665</v>
      </c>
      <c r="K142" s="23">
        <f t="shared" si="52"/>
        <v>133729.73653333331</v>
      </c>
      <c r="L142" s="23">
        <f t="shared" si="52"/>
        <v>134547.95359999998</v>
      </c>
      <c r="M142" s="23">
        <f t="shared" si="52"/>
        <v>135366.17066666664</v>
      </c>
      <c r="N142" s="23">
        <f t="shared" si="52"/>
        <v>136184.38773333331</v>
      </c>
      <c r="O142" s="23">
        <f t="shared" si="52"/>
        <v>137002.60479999997</v>
      </c>
      <c r="P142" s="23">
        <f t="shared" si="52"/>
        <v>1717212.9312</v>
      </c>
      <c r="Q142" s="23">
        <f t="shared" si="52"/>
        <v>132093.30239999999</v>
      </c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3"/>
    </row>
    <row r="143" spans="1:34" x14ac:dyDescent="0.25">
      <c r="A143" s="40"/>
      <c r="B143" s="40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3"/>
    </row>
    <row r="144" spans="1:34" ht="15.75" x14ac:dyDescent="0.3">
      <c r="A144" s="42" t="s">
        <v>216</v>
      </c>
      <c r="B144" s="43"/>
      <c r="C144" s="44">
        <f t="shared" ref="C144:Q144" si="53">C142+C137+C131+C92+C86+C79</f>
        <v>-61835483</v>
      </c>
      <c r="D144" s="44">
        <f t="shared" si="53"/>
        <v>-58268687.556299195</v>
      </c>
      <c r="E144" s="44">
        <f t="shared" si="53"/>
        <v>-58177838.250031672</v>
      </c>
      <c r="F144" s="44">
        <f t="shared" si="53"/>
        <v>-58100536.473764166</v>
      </c>
      <c r="G144" s="44">
        <f t="shared" si="53"/>
        <v>-58023234.797496691</v>
      </c>
      <c r="H144" s="44">
        <f t="shared" si="53"/>
        <v>-57945933.121229157</v>
      </c>
      <c r="I144" s="44">
        <f t="shared" si="53"/>
        <v>-57868631.444961675</v>
      </c>
      <c r="J144" s="44">
        <f t="shared" si="53"/>
        <v>-57791329.768694192</v>
      </c>
      <c r="K144" s="44">
        <f t="shared" si="53"/>
        <v>-57714028.092426717</v>
      </c>
      <c r="L144" s="44">
        <f t="shared" si="53"/>
        <v>-57636726.416159183</v>
      </c>
      <c r="M144" s="44">
        <f t="shared" si="53"/>
        <v>-57559424.739891708</v>
      </c>
      <c r="N144" s="44">
        <f t="shared" si="53"/>
        <v>-57482123.063624226</v>
      </c>
      <c r="O144" s="44">
        <f t="shared" si="53"/>
        <v>-57404821.387356691</v>
      </c>
      <c r="P144" s="44">
        <f t="shared" si="53"/>
        <v>-755808798.11193514</v>
      </c>
      <c r="Q144" s="44">
        <f t="shared" si="53"/>
        <v>-58139138.347345762</v>
      </c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3"/>
    </row>
    <row r="145" spans="1:34" x14ac:dyDescent="0.25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3"/>
    </row>
    <row r="146" spans="1:34" ht="15.75" x14ac:dyDescent="0.3">
      <c r="A146" s="18" t="s">
        <v>217</v>
      </c>
      <c r="B146" s="19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3"/>
    </row>
    <row r="147" spans="1:34" x14ac:dyDescent="0.25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3"/>
    </row>
    <row r="148" spans="1:34" x14ac:dyDescent="0.25">
      <c r="A148" s="45" t="s">
        <v>218</v>
      </c>
      <c r="B148" s="46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3"/>
    </row>
    <row r="149" spans="1:34" x14ac:dyDescent="0.25">
      <c r="A149" s="48" t="s">
        <v>219</v>
      </c>
      <c r="B149" s="48" t="s">
        <v>220</v>
      </c>
      <c r="C149" s="64">
        <v>721355</v>
      </c>
      <c r="D149" s="64">
        <f>C149-6142</f>
        <v>715213</v>
      </c>
      <c r="E149" s="64">
        <f t="shared" ref="E149:O149" si="54">D149-6142</f>
        <v>709071</v>
      </c>
      <c r="F149" s="64">
        <f t="shared" si="54"/>
        <v>702929</v>
      </c>
      <c r="G149" s="64">
        <f t="shared" si="54"/>
        <v>696787</v>
      </c>
      <c r="H149" s="64">
        <f t="shared" si="54"/>
        <v>690645</v>
      </c>
      <c r="I149" s="64">
        <f t="shared" si="54"/>
        <v>684503</v>
      </c>
      <c r="J149" s="64">
        <f t="shared" si="54"/>
        <v>678361</v>
      </c>
      <c r="K149" s="64">
        <f t="shared" si="54"/>
        <v>672219</v>
      </c>
      <c r="L149" s="64">
        <f t="shared" si="54"/>
        <v>666077</v>
      </c>
      <c r="M149" s="64">
        <f t="shared" si="54"/>
        <v>659935</v>
      </c>
      <c r="N149" s="64">
        <f t="shared" si="54"/>
        <v>653793</v>
      </c>
      <c r="O149" s="64">
        <f t="shared" si="54"/>
        <v>647651</v>
      </c>
      <c r="P149" s="2">
        <f>SUM(C149:O149)</f>
        <v>8898539</v>
      </c>
      <c r="Q149" s="2">
        <f>P149/13</f>
        <v>684503</v>
      </c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3"/>
    </row>
    <row r="150" spans="1:34" x14ac:dyDescent="0.25">
      <c r="C150" s="26" t="s">
        <v>67</v>
      </c>
      <c r="D150" s="26" t="s">
        <v>67</v>
      </c>
      <c r="E150" s="26" t="s">
        <v>67</v>
      </c>
      <c r="F150" s="26" t="s">
        <v>67</v>
      </c>
      <c r="G150" s="26" t="s">
        <v>67</v>
      </c>
      <c r="H150" s="26" t="s">
        <v>67</v>
      </c>
      <c r="I150" s="26" t="s">
        <v>67</v>
      </c>
      <c r="J150" s="26" t="s">
        <v>67</v>
      </c>
      <c r="K150" s="26" t="s">
        <v>67</v>
      </c>
      <c r="L150" s="26" t="s">
        <v>67</v>
      </c>
      <c r="M150" s="26" t="s">
        <v>67</v>
      </c>
      <c r="N150" s="26" t="s">
        <v>67</v>
      </c>
      <c r="O150" s="26" t="s">
        <v>67</v>
      </c>
      <c r="P150" s="26" t="s">
        <v>67</v>
      </c>
      <c r="Q150" s="26" t="s">
        <v>67</v>
      </c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3"/>
    </row>
    <row r="151" spans="1:34" x14ac:dyDescent="0.25">
      <c r="A151" s="21" t="s">
        <v>221</v>
      </c>
      <c r="B151" s="22"/>
      <c r="C151" s="23">
        <f>C149</f>
        <v>721355</v>
      </c>
      <c r="D151" s="23">
        <f t="shared" ref="D151:Q151" si="55">D149</f>
        <v>715213</v>
      </c>
      <c r="E151" s="23">
        <f t="shared" si="55"/>
        <v>709071</v>
      </c>
      <c r="F151" s="23">
        <f t="shared" si="55"/>
        <v>702929</v>
      </c>
      <c r="G151" s="23">
        <f t="shared" si="55"/>
        <v>696787</v>
      </c>
      <c r="H151" s="23">
        <f t="shared" si="55"/>
        <v>690645</v>
      </c>
      <c r="I151" s="23">
        <f t="shared" si="55"/>
        <v>684503</v>
      </c>
      <c r="J151" s="23">
        <f t="shared" si="55"/>
        <v>678361</v>
      </c>
      <c r="K151" s="23">
        <f t="shared" si="55"/>
        <v>672219</v>
      </c>
      <c r="L151" s="23">
        <f t="shared" si="55"/>
        <v>666077</v>
      </c>
      <c r="M151" s="23">
        <f t="shared" si="55"/>
        <v>659935</v>
      </c>
      <c r="N151" s="23">
        <f t="shared" si="55"/>
        <v>653793</v>
      </c>
      <c r="O151" s="23">
        <f t="shared" si="55"/>
        <v>647651</v>
      </c>
      <c r="P151" s="23">
        <f t="shared" si="55"/>
        <v>8898539</v>
      </c>
      <c r="Q151" s="23">
        <f t="shared" si="55"/>
        <v>684503</v>
      </c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3"/>
    </row>
    <row r="152" spans="1:34" x14ac:dyDescent="0.25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3"/>
    </row>
    <row r="153" spans="1:34" x14ac:dyDescent="0.25">
      <c r="A153" s="21" t="s">
        <v>222</v>
      </c>
      <c r="B153" s="22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3"/>
    </row>
    <row r="154" spans="1:34" ht="15.75" x14ac:dyDescent="0.25">
      <c r="A154" s="13" t="s">
        <v>223</v>
      </c>
      <c r="B154" s="13" t="s">
        <v>224</v>
      </c>
      <c r="C154" s="64">
        <v>705514</v>
      </c>
      <c r="D154" s="145">
        <v>566201.35</v>
      </c>
      <c r="E154" s="145">
        <v>180118.34</v>
      </c>
      <c r="F154" s="145">
        <v>176628.11</v>
      </c>
      <c r="G154" s="145">
        <v>173127.03</v>
      </c>
      <c r="H154" s="145">
        <v>169615.08</v>
      </c>
      <c r="I154" s="145">
        <v>166092.26</v>
      </c>
      <c r="J154" s="145">
        <v>162558.51</v>
      </c>
      <c r="K154" s="145">
        <v>159013.81</v>
      </c>
      <c r="L154" s="145">
        <v>155458.12</v>
      </c>
      <c r="M154" s="145">
        <v>151891.4</v>
      </c>
      <c r="N154" s="145">
        <v>148313.63</v>
      </c>
      <c r="O154" s="145">
        <v>144724.76999999999</v>
      </c>
      <c r="P154" s="2">
        <f t="shared" ref="P154:P155" si="56">SUM(C154:O154)</f>
        <v>3059256.4100000006</v>
      </c>
      <c r="Q154" s="2">
        <f t="shared" ref="Q154:Q155" si="57">P154/13</f>
        <v>235327.41615384619</v>
      </c>
      <c r="R154" s="15" t="s">
        <v>504</v>
      </c>
      <c r="S154" s="15" t="s">
        <v>225</v>
      </c>
      <c r="T154" s="15">
        <f>$Q154*T$3</f>
        <v>38158.340529346155</v>
      </c>
      <c r="U154" s="15">
        <f t="shared" ref="U154:Y154" si="58">$Q154*U$3</f>
        <v>92180.102181623093</v>
      </c>
      <c r="V154" s="15">
        <f t="shared" si="58"/>
        <v>43272.005282369239</v>
      </c>
      <c r="W154" s="15">
        <f t="shared" si="58"/>
        <v>835.41232734615403</v>
      </c>
      <c r="X154" s="15">
        <f t="shared" si="58"/>
        <v>261.21343193076927</v>
      </c>
      <c r="Y154" s="15">
        <f t="shared" si="58"/>
        <v>60625.048949553857</v>
      </c>
      <c r="Z154" s="15"/>
      <c r="AA154" s="15"/>
      <c r="AB154" s="15">
        <f>$O154*AB$3</f>
        <v>23467.121455499997</v>
      </c>
      <c r="AC154" s="15">
        <f t="shared" ref="AC154:AG154" si="59">$O154*AC$3</f>
        <v>56690.139656699997</v>
      </c>
      <c r="AD154" s="15">
        <f t="shared" si="59"/>
        <v>26611.990707599998</v>
      </c>
      <c r="AE154" s="15">
        <f t="shared" si="59"/>
        <v>513.77293350000002</v>
      </c>
      <c r="AF154" s="15">
        <f t="shared" si="59"/>
        <v>160.6444947</v>
      </c>
      <c r="AG154" s="15">
        <f t="shared" si="59"/>
        <v>37283.995247400002</v>
      </c>
      <c r="AH154" s="3"/>
    </row>
    <row r="155" spans="1:34" x14ac:dyDescent="0.25">
      <c r="A155" s="13" t="s">
        <v>226</v>
      </c>
      <c r="B155" s="13" t="s">
        <v>227</v>
      </c>
      <c r="C155" s="64">
        <v>-135844</v>
      </c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2">
        <f t="shared" si="56"/>
        <v>-135844</v>
      </c>
      <c r="Q155" s="2">
        <f t="shared" si="57"/>
        <v>-10449.538461538461</v>
      </c>
      <c r="R155" s="15" t="s">
        <v>504</v>
      </c>
      <c r="S155" s="15" t="s">
        <v>225</v>
      </c>
      <c r="T155" s="15">
        <f t="shared" ref="T155:Y155" si="60">$Q155*T$3</f>
        <v>-1694.3926615384614</v>
      </c>
      <c r="U155" s="15">
        <f t="shared" si="60"/>
        <v>-4093.1887107692305</v>
      </c>
      <c r="V155" s="15">
        <f t="shared" si="60"/>
        <v>-1921.461132307692</v>
      </c>
      <c r="W155" s="15">
        <f t="shared" si="60"/>
        <v>-37.095861538461541</v>
      </c>
      <c r="X155" s="15">
        <f t="shared" si="60"/>
        <v>-11.598987692307693</v>
      </c>
      <c r="Y155" s="15">
        <f t="shared" si="60"/>
        <v>-2692.0100984615383</v>
      </c>
      <c r="Z155" s="15"/>
      <c r="AA155" s="15"/>
      <c r="AB155" s="15">
        <f t="shared" ref="AB155:AG155" si="61">$O155*AB$3</f>
        <v>0</v>
      </c>
      <c r="AC155" s="15">
        <f t="shared" si="61"/>
        <v>0</v>
      </c>
      <c r="AD155" s="15">
        <f t="shared" si="61"/>
        <v>0</v>
      </c>
      <c r="AE155" s="15">
        <f t="shared" si="61"/>
        <v>0</v>
      </c>
      <c r="AF155" s="15">
        <f t="shared" si="61"/>
        <v>0</v>
      </c>
      <c r="AG155" s="15">
        <f t="shared" si="61"/>
        <v>0</v>
      </c>
      <c r="AH155" s="3"/>
    </row>
    <row r="156" spans="1:34" x14ac:dyDescent="0.25">
      <c r="C156" s="26" t="s">
        <v>67</v>
      </c>
      <c r="D156" s="26" t="s">
        <v>67</v>
      </c>
      <c r="E156" s="26" t="s">
        <v>67</v>
      </c>
      <c r="F156" s="26" t="s">
        <v>67</v>
      </c>
      <c r="G156" s="26" t="s">
        <v>67</v>
      </c>
      <c r="H156" s="26" t="s">
        <v>67</v>
      </c>
      <c r="I156" s="26" t="s">
        <v>67</v>
      </c>
      <c r="J156" s="26" t="s">
        <v>67</v>
      </c>
      <c r="K156" s="26" t="s">
        <v>67</v>
      </c>
      <c r="L156" s="26" t="s">
        <v>67</v>
      </c>
      <c r="M156" s="26" t="s">
        <v>67</v>
      </c>
      <c r="N156" s="26" t="s">
        <v>67</v>
      </c>
      <c r="O156" s="26" t="s">
        <v>67</v>
      </c>
      <c r="P156" s="26" t="s">
        <v>67</v>
      </c>
      <c r="Q156" s="26" t="s">
        <v>67</v>
      </c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3"/>
    </row>
    <row r="157" spans="1:34" x14ac:dyDescent="0.25">
      <c r="A157" s="21" t="s">
        <v>228</v>
      </c>
      <c r="B157" s="22"/>
      <c r="C157" s="23">
        <f>SUM(C154:C155)</f>
        <v>569670</v>
      </c>
      <c r="D157" s="23">
        <f t="shared" ref="D157:Q157" si="62">SUM(D154:D155)</f>
        <v>566201.35</v>
      </c>
      <c r="E157" s="23">
        <f t="shared" si="62"/>
        <v>180118.34</v>
      </c>
      <c r="F157" s="23">
        <f t="shared" si="62"/>
        <v>176628.11</v>
      </c>
      <c r="G157" s="23">
        <f t="shared" si="62"/>
        <v>173127.03</v>
      </c>
      <c r="H157" s="23">
        <f t="shared" si="62"/>
        <v>169615.08</v>
      </c>
      <c r="I157" s="23">
        <f t="shared" si="62"/>
        <v>166092.26</v>
      </c>
      <c r="J157" s="23">
        <f t="shared" si="62"/>
        <v>162558.51</v>
      </c>
      <c r="K157" s="23">
        <f t="shared" si="62"/>
        <v>159013.81</v>
      </c>
      <c r="L157" s="23">
        <f t="shared" si="62"/>
        <v>155458.12</v>
      </c>
      <c r="M157" s="23">
        <f t="shared" si="62"/>
        <v>151891.4</v>
      </c>
      <c r="N157" s="23">
        <f t="shared" si="62"/>
        <v>148313.63</v>
      </c>
      <c r="O157" s="23">
        <f t="shared" si="62"/>
        <v>144724.76999999999</v>
      </c>
      <c r="P157" s="23">
        <f t="shared" si="62"/>
        <v>2923412.4100000006</v>
      </c>
      <c r="Q157" s="23">
        <f t="shared" si="62"/>
        <v>224877.87769230772</v>
      </c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3"/>
    </row>
    <row r="158" spans="1:34" x14ac:dyDescent="0.25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3"/>
    </row>
    <row r="159" spans="1:34" ht="15.75" x14ac:dyDescent="0.3">
      <c r="A159" s="18" t="s">
        <v>229</v>
      </c>
      <c r="B159" s="19"/>
      <c r="C159" s="20">
        <f>C157+C151</f>
        <v>1291025</v>
      </c>
      <c r="D159" s="20">
        <f t="shared" ref="D159:Q159" si="63">D157+D151</f>
        <v>1281414.3500000001</v>
      </c>
      <c r="E159" s="20">
        <f t="shared" si="63"/>
        <v>889189.34</v>
      </c>
      <c r="F159" s="20">
        <f t="shared" si="63"/>
        <v>879557.11</v>
      </c>
      <c r="G159" s="20">
        <f t="shared" si="63"/>
        <v>869914.03</v>
      </c>
      <c r="H159" s="20">
        <f t="shared" si="63"/>
        <v>860260.08</v>
      </c>
      <c r="I159" s="20">
        <f t="shared" si="63"/>
        <v>850595.26</v>
      </c>
      <c r="J159" s="20">
        <f t="shared" si="63"/>
        <v>840919.51</v>
      </c>
      <c r="K159" s="20">
        <f t="shared" si="63"/>
        <v>831232.81</v>
      </c>
      <c r="L159" s="20">
        <f t="shared" si="63"/>
        <v>821535.12</v>
      </c>
      <c r="M159" s="20">
        <f t="shared" si="63"/>
        <v>811826.4</v>
      </c>
      <c r="N159" s="20">
        <f t="shared" si="63"/>
        <v>802106.63</v>
      </c>
      <c r="O159" s="20">
        <f t="shared" si="63"/>
        <v>792375.77</v>
      </c>
      <c r="P159" s="20">
        <f t="shared" si="63"/>
        <v>11821951.41</v>
      </c>
      <c r="Q159" s="20">
        <f t="shared" si="63"/>
        <v>909380.87769230769</v>
      </c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3"/>
    </row>
    <row r="160" spans="1:34" x14ac:dyDescent="0.25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3"/>
    </row>
    <row r="161" spans="1:34" ht="19.5" x14ac:dyDescent="0.4">
      <c r="A161" s="5" t="s">
        <v>230</v>
      </c>
      <c r="B161" s="16"/>
      <c r="C161" s="17">
        <f t="shared" ref="C161:Q161" si="64">C159+C144+C68+C55</f>
        <v>60051791.789999999</v>
      </c>
      <c r="D161" s="17">
        <f t="shared" si="64"/>
        <v>63561401.96011664</v>
      </c>
      <c r="E161" s="17">
        <f t="shared" si="64"/>
        <v>63764174.352800004</v>
      </c>
      <c r="F161" s="17">
        <f t="shared" si="64"/>
        <v>63788714.698816672</v>
      </c>
      <c r="G161" s="17">
        <f t="shared" si="64"/>
        <v>63813244.094833322</v>
      </c>
      <c r="H161" s="17">
        <f t="shared" si="64"/>
        <v>63837762.620850019</v>
      </c>
      <c r="I161" s="17">
        <f t="shared" si="64"/>
        <v>63862270.276866674</v>
      </c>
      <c r="J161" s="17">
        <f t="shared" si="64"/>
        <v>63886767.002883323</v>
      </c>
      <c r="K161" s="17">
        <f t="shared" si="64"/>
        <v>63911252.778899968</v>
      </c>
      <c r="L161" s="17">
        <f t="shared" si="64"/>
        <v>63935727.56491667</v>
      </c>
      <c r="M161" s="17">
        <f t="shared" si="64"/>
        <v>63960191.320933312</v>
      </c>
      <c r="N161" s="17">
        <f t="shared" si="64"/>
        <v>63984644.026949972</v>
      </c>
      <c r="O161" s="17">
        <f t="shared" si="64"/>
        <v>64009085.642966673</v>
      </c>
      <c r="P161" s="17">
        <f t="shared" si="64"/>
        <v>826367028.13183331</v>
      </c>
      <c r="Q161" s="17">
        <f t="shared" si="64"/>
        <v>63566694.440636426</v>
      </c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3"/>
    </row>
    <row r="162" spans="1:34" x14ac:dyDescent="0.25">
      <c r="C162" s="26" t="s">
        <v>231</v>
      </c>
      <c r="D162" s="26" t="s">
        <v>231</v>
      </c>
      <c r="E162" s="26" t="s">
        <v>231</v>
      </c>
      <c r="F162" s="26" t="s">
        <v>231</v>
      </c>
      <c r="G162" s="26" t="s">
        <v>231</v>
      </c>
      <c r="H162" s="26" t="s">
        <v>231</v>
      </c>
      <c r="I162" s="26" t="s">
        <v>231</v>
      </c>
      <c r="J162" s="26" t="s">
        <v>231</v>
      </c>
      <c r="K162" s="26" t="s">
        <v>231</v>
      </c>
      <c r="L162" s="26" t="s">
        <v>231</v>
      </c>
      <c r="M162" s="26" t="s">
        <v>231</v>
      </c>
      <c r="N162" s="26" t="s">
        <v>231</v>
      </c>
      <c r="O162" s="26" t="s">
        <v>231</v>
      </c>
      <c r="P162" s="26" t="s">
        <v>231</v>
      </c>
      <c r="Q162" s="26" t="s">
        <v>231</v>
      </c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3"/>
    </row>
    <row r="163" spans="1:34" x14ac:dyDescent="0.25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3"/>
    </row>
    <row r="164" spans="1:34" ht="19.5" x14ac:dyDescent="0.4">
      <c r="A164" s="50" t="s">
        <v>232</v>
      </c>
      <c r="B164" s="51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3"/>
    </row>
    <row r="165" spans="1:34" x14ac:dyDescent="0.25">
      <c r="A165" s="35"/>
      <c r="B165" s="35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3"/>
    </row>
    <row r="166" spans="1:34" ht="15.75" x14ac:dyDescent="0.3">
      <c r="A166" s="53" t="s">
        <v>233</v>
      </c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3"/>
    </row>
    <row r="167" spans="1:34" x14ac:dyDescent="0.25">
      <c r="A167" s="35"/>
      <c r="B167" s="35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3"/>
    </row>
    <row r="168" spans="1:34" x14ac:dyDescent="0.25">
      <c r="A168" s="37" t="s">
        <v>234</v>
      </c>
      <c r="B168" s="38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3"/>
    </row>
    <row r="169" spans="1:34" x14ac:dyDescent="0.25">
      <c r="A169" s="31" t="s">
        <v>235</v>
      </c>
      <c r="B169" s="31" t="s">
        <v>236</v>
      </c>
      <c r="C169" s="64">
        <v>378462</v>
      </c>
      <c r="D169" s="64">
        <f t="shared" ref="D169:N176" si="65">($P169-$C169)/12</f>
        <v>462932.11689999996</v>
      </c>
      <c r="E169" s="64">
        <f t="shared" si="65"/>
        <v>462932.11689999996</v>
      </c>
      <c r="F169" s="64">
        <f t="shared" si="65"/>
        <v>462932.11689999996</v>
      </c>
      <c r="G169" s="64">
        <f t="shared" si="65"/>
        <v>462932.11689999996</v>
      </c>
      <c r="H169" s="64">
        <f t="shared" si="65"/>
        <v>462932.11689999996</v>
      </c>
      <c r="I169" s="64">
        <f t="shared" si="65"/>
        <v>462932.11689999996</v>
      </c>
      <c r="J169" s="64">
        <f t="shared" si="65"/>
        <v>462932.11689999996</v>
      </c>
      <c r="K169" s="64">
        <f t="shared" si="65"/>
        <v>462932.11689999996</v>
      </c>
      <c r="L169" s="64">
        <f t="shared" si="65"/>
        <v>462932.11689999996</v>
      </c>
      <c r="M169" s="64">
        <f t="shared" si="65"/>
        <v>462932.11689999996</v>
      </c>
      <c r="N169" s="64">
        <f t="shared" si="65"/>
        <v>462932.11689999996</v>
      </c>
      <c r="O169" s="64">
        <f>($P169-$C169)/12</f>
        <v>462932.11689999996</v>
      </c>
      <c r="P169" s="2">
        <f>Q169*13</f>
        <v>5933647.4027999993</v>
      </c>
      <c r="Q169" s="2">
        <f>'working capital and def tax 21'!Q168*1.0772</f>
        <v>456434.41559999995</v>
      </c>
      <c r="R169" s="15" t="s">
        <v>502</v>
      </c>
      <c r="S169" s="15" t="s">
        <v>16</v>
      </c>
      <c r="T169" s="15">
        <f t="shared" ref="T169:Y169" si="66">-$Q169*T5</f>
        <v>-97220.530522799992</v>
      </c>
      <c r="U169" s="15">
        <f t="shared" si="66"/>
        <v>-158839.17662879996</v>
      </c>
      <c r="V169" s="15">
        <f t="shared" si="66"/>
        <v>-65726.555846399991</v>
      </c>
      <c r="W169" s="15">
        <f t="shared" si="66"/>
        <v>-456.43441559999997</v>
      </c>
      <c r="X169" s="15">
        <f t="shared" si="66"/>
        <v>-456.43441559999997</v>
      </c>
      <c r="Y169" s="15">
        <f t="shared" si="66"/>
        <v>-133735.28377079999</v>
      </c>
      <c r="Z169" s="15"/>
      <c r="AA169" s="15" t="s">
        <v>16</v>
      </c>
      <c r="AB169" s="15">
        <f t="shared" ref="AB169:AG171" si="67">-$O169*AB$5</f>
        <v>-98604.54089969999</v>
      </c>
      <c r="AC169" s="15">
        <f t="shared" si="67"/>
        <v>-161100.37668119997</v>
      </c>
      <c r="AD169" s="15">
        <f t="shared" si="67"/>
        <v>-66662.22483359999</v>
      </c>
      <c r="AE169" s="15">
        <f t="shared" si="67"/>
        <v>-462.93211689999998</v>
      </c>
      <c r="AF169" s="15">
        <f t="shared" si="67"/>
        <v>-462.93211689999998</v>
      </c>
      <c r="AG169" s="15">
        <f t="shared" si="67"/>
        <v>-135639.11025169998</v>
      </c>
      <c r="AH169" s="27">
        <f t="shared" ref="AH169:AH175" si="68">SUM(AB169:AG169)+O169</f>
        <v>0</v>
      </c>
    </row>
    <row r="170" spans="1:34" x14ac:dyDescent="0.25">
      <c r="A170" s="31" t="s">
        <v>237</v>
      </c>
      <c r="B170" s="31" t="s">
        <v>238</v>
      </c>
      <c r="C170" s="64">
        <v>1212381</v>
      </c>
      <c r="D170" s="64">
        <f t="shared" si="65"/>
        <v>4700149.1886666669</v>
      </c>
      <c r="E170" s="64">
        <f t="shared" si="65"/>
        <v>4700149.1886666669</v>
      </c>
      <c r="F170" s="64">
        <f t="shared" si="65"/>
        <v>4700149.1886666669</v>
      </c>
      <c r="G170" s="64">
        <f t="shared" si="65"/>
        <v>4700149.1886666669</v>
      </c>
      <c r="H170" s="64">
        <f t="shared" si="65"/>
        <v>4700149.1886666669</v>
      </c>
      <c r="I170" s="64">
        <f t="shared" si="65"/>
        <v>4700149.1886666669</v>
      </c>
      <c r="J170" s="64">
        <f t="shared" si="65"/>
        <v>4700149.1886666669</v>
      </c>
      <c r="K170" s="64">
        <f t="shared" si="65"/>
        <v>4700149.1886666669</v>
      </c>
      <c r="L170" s="64">
        <f t="shared" si="65"/>
        <v>4700149.1886666669</v>
      </c>
      <c r="M170" s="64">
        <f t="shared" si="65"/>
        <v>4700149.1886666669</v>
      </c>
      <c r="N170" s="64">
        <f t="shared" si="65"/>
        <v>4700149.1886666669</v>
      </c>
      <c r="O170" s="64">
        <f t="shared" ref="O170:O176" si="69">($P170-$C170)/12</f>
        <v>4700149.1886666669</v>
      </c>
      <c r="P170" s="2">
        <f t="shared" ref="P170:P176" si="70">Q170*13</f>
        <v>57614171.263999999</v>
      </c>
      <c r="Q170" s="2">
        <f>'working capital and def tax 21'!Q169*1.0772</f>
        <v>4431859.3279999997</v>
      </c>
      <c r="R170" s="15" t="s">
        <v>502</v>
      </c>
      <c r="S170" s="15" t="s">
        <v>16</v>
      </c>
      <c r="T170" s="15">
        <f t="shared" ref="T170:Y170" si="71">-$Q170*T5</f>
        <v>-943986.03686399991</v>
      </c>
      <c r="U170" s="15">
        <f t="shared" si="71"/>
        <v>-1542287.0461439998</v>
      </c>
      <c r="V170" s="15">
        <f t="shared" si="71"/>
        <v>-638187.74323199992</v>
      </c>
      <c r="W170" s="15">
        <f t="shared" si="71"/>
        <v>-4431.8593279999996</v>
      </c>
      <c r="X170" s="15">
        <f t="shared" si="71"/>
        <v>-4431.8593279999996</v>
      </c>
      <c r="Y170" s="15">
        <f t="shared" si="71"/>
        <v>-1298534.7831039999</v>
      </c>
      <c r="Z170" s="15"/>
      <c r="AA170" s="15" t="s">
        <v>16</v>
      </c>
      <c r="AB170" s="15">
        <f t="shared" si="67"/>
        <v>-1001131.777186</v>
      </c>
      <c r="AC170" s="15">
        <f t="shared" si="67"/>
        <v>-1635651.917656</v>
      </c>
      <c r="AD170" s="15">
        <f t="shared" si="67"/>
        <v>-676821.48316800001</v>
      </c>
      <c r="AE170" s="15">
        <f t="shared" si="67"/>
        <v>-4700.1491886666672</v>
      </c>
      <c r="AF170" s="15">
        <f t="shared" si="67"/>
        <v>-4700.1491886666672</v>
      </c>
      <c r="AG170" s="15">
        <f t="shared" si="67"/>
        <v>-1377143.7122793333</v>
      </c>
      <c r="AH170" s="27">
        <f t="shared" si="68"/>
        <v>0</v>
      </c>
    </row>
    <row r="171" spans="1:34" x14ac:dyDescent="0.25">
      <c r="A171" s="31" t="s">
        <v>239</v>
      </c>
      <c r="B171" s="31" t="s">
        <v>240</v>
      </c>
      <c r="C171" s="64">
        <v>56437</v>
      </c>
      <c r="D171" s="64">
        <f t="shared" si="65"/>
        <v>70455.404833333319</v>
      </c>
      <c r="E171" s="64">
        <f t="shared" si="65"/>
        <v>70455.404833333319</v>
      </c>
      <c r="F171" s="64">
        <f t="shared" si="65"/>
        <v>70455.404833333319</v>
      </c>
      <c r="G171" s="64">
        <f t="shared" si="65"/>
        <v>70455.404833333319</v>
      </c>
      <c r="H171" s="64">
        <f t="shared" si="65"/>
        <v>70455.404833333319</v>
      </c>
      <c r="I171" s="64">
        <f t="shared" si="65"/>
        <v>70455.404833333319</v>
      </c>
      <c r="J171" s="64">
        <f t="shared" si="65"/>
        <v>70455.404833333319</v>
      </c>
      <c r="K171" s="64">
        <f t="shared" si="65"/>
        <v>70455.404833333319</v>
      </c>
      <c r="L171" s="64">
        <f t="shared" si="65"/>
        <v>70455.404833333319</v>
      </c>
      <c r="M171" s="64">
        <f t="shared" si="65"/>
        <v>70455.404833333319</v>
      </c>
      <c r="N171" s="64">
        <f t="shared" si="65"/>
        <v>70455.404833333319</v>
      </c>
      <c r="O171" s="64">
        <f t="shared" si="69"/>
        <v>70455.404833333319</v>
      </c>
      <c r="P171" s="2">
        <f t="shared" si="70"/>
        <v>901901.85799999989</v>
      </c>
      <c r="Q171" s="2">
        <f>'working capital and def tax 21'!Q170*1.0772</f>
        <v>69377.065999999992</v>
      </c>
      <c r="R171" s="15" t="s">
        <v>502</v>
      </c>
      <c r="S171" s="15" t="s">
        <v>16</v>
      </c>
      <c r="T171" s="15">
        <f t="shared" ref="T171:Y171" si="72">-$Q171*T5</f>
        <v>-14777.315057999998</v>
      </c>
      <c r="U171" s="15">
        <f t="shared" si="72"/>
        <v>-24143.218967999994</v>
      </c>
      <c r="V171" s="15">
        <f t="shared" si="72"/>
        <v>-9990.2975039999983</v>
      </c>
      <c r="W171" s="15">
        <f t="shared" si="72"/>
        <v>-69.377065999999999</v>
      </c>
      <c r="X171" s="15">
        <f t="shared" si="72"/>
        <v>-69.377065999999999</v>
      </c>
      <c r="Y171" s="15">
        <f t="shared" si="72"/>
        <v>-20327.480337999998</v>
      </c>
      <c r="Z171" s="15"/>
      <c r="AA171" s="15" t="s">
        <v>16</v>
      </c>
      <c r="AB171" s="15">
        <f t="shared" si="67"/>
        <v>-15007.001229499996</v>
      </c>
      <c r="AC171" s="15">
        <f t="shared" si="67"/>
        <v>-24518.480881999993</v>
      </c>
      <c r="AD171" s="15">
        <f t="shared" si="67"/>
        <v>-10145.578295999998</v>
      </c>
      <c r="AE171" s="15">
        <f t="shared" si="67"/>
        <v>-70.455404833333318</v>
      </c>
      <c r="AF171" s="15">
        <f t="shared" si="67"/>
        <v>-70.455404833333318</v>
      </c>
      <c r="AG171" s="15">
        <f t="shared" si="67"/>
        <v>-20643.433616166662</v>
      </c>
      <c r="AH171" s="27">
        <f t="shared" si="68"/>
        <v>0</v>
      </c>
    </row>
    <row r="172" spans="1:34" x14ac:dyDescent="0.25">
      <c r="A172" s="31" t="s">
        <v>241</v>
      </c>
      <c r="B172" s="31" t="s">
        <v>242</v>
      </c>
      <c r="C172" s="64">
        <v>326</v>
      </c>
      <c r="D172" s="64">
        <f t="shared" si="65"/>
        <v>552.8157666666666</v>
      </c>
      <c r="E172" s="64">
        <f t="shared" si="65"/>
        <v>552.8157666666666</v>
      </c>
      <c r="F172" s="64">
        <f t="shared" si="65"/>
        <v>552.8157666666666</v>
      </c>
      <c r="G172" s="64">
        <f t="shared" si="65"/>
        <v>552.8157666666666</v>
      </c>
      <c r="H172" s="64">
        <f t="shared" si="65"/>
        <v>552.8157666666666</v>
      </c>
      <c r="I172" s="64">
        <f t="shared" si="65"/>
        <v>552.8157666666666</v>
      </c>
      <c r="J172" s="64">
        <f t="shared" si="65"/>
        <v>552.8157666666666</v>
      </c>
      <c r="K172" s="64">
        <f t="shared" si="65"/>
        <v>552.8157666666666</v>
      </c>
      <c r="L172" s="64">
        <f t="shared" si="65"/>
        <v>552.8157666666666</v>
      </c>
      <c r="M172" s="64">
        <f t="shared" si="65"/>
        <v>552.8157666666666</v>
      </c>
      <c r="N172" s="64">
        <f t="shared" si="65"/>
        <v>552.8157666666666</v>
      </c>
      <c r="O172" s="64">
        <f t="shared" si="69"/>
        <v>552.8157666666666</v>
      </c>
      <c r="P172" s="2">
        <f t="shared" si="70"/>
        <v>6959.7891999999993</v>
      </c>
      <c r="Q172" s="2">
        <f>'working capital and def tax 21'!Q171*1.0772</f>
        <v>535.36839999999995</v>
      </c>
      <c r="R172" s="15" t="s">
        <v>502</v>
      </c>
      <c r="S172" s="15" t="s">
        <v>34</v>
      </c>
      <c r="T172" s="15">
        <f t="shared" ref="T172:Y172" si="73">-$Q172*T7</f>
        <v>-102.79073279999999</v>
      </c>
      <c r="U172" s="15">
        <f t="shared" si="73"/>
        <v>-212.05942323999997</v>
      </c>
      <c r="V172" s="15">
        <f t="shared" si="73"/>
        <v>-73.345470800000001</v>
      </c>
      <c r="W172" s="15">
        <f t="shared" si="73"/>
        <v>-1.7131788799999998</v>
      </c>
      <c r="X172" s="15">
        <f t="shared" si="73"/>
        <v>-1.17781048</v>
      </c>
      <c r="Y172" s="15">
        <f t="shared" si="73"/>
        <v>-144.2817838</v>
      </c>
      <c r="Z172" s="15"/>
      <c r="AA172" s="15" t="s">
        <v>34</v>
      </c>
      <c r="AB172" s="15">
        <f t="shared" ref="AB172:AG176" si="74">-$O172*AB$7</f>
        <v>-106.1406272</v>
      </c>
      <c r="AC172" s="15">
        <f t="shared" si="74"/>
        <v>-218.97032517666665</v>
      </c>
      <c r="AD172" s="15">
        <f t="shared" si="74"/>
        <v>-75.735760033333335</v>
      </c>
      <c r="AE172" s="15">
        <f t="shared" si="74"/>
        <v>-1.7690104533333333</v>
      </c>
      <c r="AF172" s="15">
        <f t="shared" si="74"/>
        <v>-1.2161946866666666</v>
      </c>
      <c r="AG172" s="15">
        <f t="shared" si="74"/>
        <v>-148.98384911666665</v>
      </c>
      <c r="AH172" s="27">
        <f t="shared" si="68"/>
        <v>0</v>
      </c>
    </row>
    <row r="173" spans="1:34" x14ac:dyDescent="0.25">
      <c r="A173" s="31" t="s">
        <v>243</v>
      </c>
      <c r="B173" s="31" t="s">
        <v>244</v>
      </c>
      <c r="C173" s="64">
        <v>100</v>
      </c>
      <c r="D173" s="64">
        <f t="shared" si="65"/>
        <v>1260.159433333333</v>
      </c>
      <c r="E173" s="64">
        <f t="shared" si="65"/>
        <v>1260.159433333333</v>
      </c>
      <c r="F173" s="64">
        <f t="shared" si="65"/>
        <v>1260.159433333333</v>
      </c>
      <c r="G173" s="64">
        <f t="shared" si="65"/>
        <v>1260.159433333333</v>
      </c>
      <c r="H173" s="64">
        <f t="shared" si="65"/>
        <v>1260.159433333333</v>
      </c>
      <c r="I173" s="64">
        <f t="shared" si="65"/>
        <v>1260.159433333333</v>
      </c>
      <c r="J173" s="64">
        <f t="shared" si="65"/>
        <v>1260.159433333333</v>
      </c>
      <c r="K173" s="64">
        <f t="shared" si="65"/>
        <v>1260.159433333333</v>
      </c>
      <c r="L173" s="64">
        <f t="shared" si="65"/>
        <v>1260.159433333333</v>
      </c>
      <c r="M173" s="64">
        <f t="shared" si="65"/>
        <v>1260.159433333333</v>
      </c>
      <c r="N173" s="64">
        <f t="shared" si="65"/>
        <v>1260.159433333333</v>
      </c>
      <c r="O173" s="64">
        <f t="shared" si="69"/>
        <v>1260.159433333333</v>
      </c>
      <c r="P173" s="2">
        <f t="shared" si="70"/>
        <v>15221.913199999997</v>
      </c>
      <c r="Q173" s="2">
        <f>'working capital and def tax 21'!Q172*1.0772</f>
        <v>1170.9163999999998</v>
      </c>
      <c r="R173" s="15" t="s">
        <v>502</v>
      </c>
      <c r="S173" s="15" t="s">
        <v>34</v>
      </c>
      <c r="T173" s="15">
        <f t="shared" ref="T173:Y176" si="75">-$Q173*T$7</f>
        <v>-224.81594879999997</v>
      </c>
      <c r="U173" s="15">
        <f t="shared" si="75"/>
        <v>-463.79998603999996</v>
      </c>
      <c r="V173" s="15">
        <f t="shared" si="75"/>
        <v>-160.41554679999999</v>
      </c>
      <c r="W173" s="15">
        <f t="shared" si="75"/>
        <v>-3.7469324799999995</v>
      </c>
      <c r="X173" s="15">
        <f t="shared" si="75"/>
        <v>-2.5760160799999996</v>
      </c>
      <c r="Y173" s="15">
        <f t="shared" si="75"/>
        <v>-315.56196979999999</v>
      </c>
      <c r="Z173" s="15"/>
      <c r="AA173" s="15" t="s">
        <v>34</v>
      </c>
      <c r="AB173" s="15">
        <f t="shared" si="74"/>
        <v>-241.95061119999994</v>
      </c>
      <c r="AC173" s="15">
        <f t="shared" si="74"/>
        <v>-499.14915154333323</v>
      </c>
      <c r="AD173" s="15">
        <f t="shared" si="74"/>
        <v>-172.64184236666665</v>
      </c>
      <c r="AE173" s="15">
        <f t="shared" si="74"/>
        <v>-4.0325101866666655</v>
      </c>
      <c r="AF173" s="15">
        <f t="shared" si="74"/>
        <v>-2.7723507533333329</v>
      </c>
      <c r="AG173" s="15">
        <f t="shared" si="74"/>
        <v>-339.61296728333326</v>
      </c>
      <c r="AH173" s="27">
        <f t="shared" si="68"/>
        <v>0</v>
      </c>
    </row>
    <row r="174" spans="1:34" x14ac:dyDescent="0.25">
      <c r="A174" s="31" t="s">
        <v>245</v>
      </c>
      <c r="B174" s="31" t="s">
        <v>246</v>
      </c>
      <c r="C174" s="64">
        <v>2262</v>
      </c>
      <c r="D174" s="64">
        <f t="shared" si="65"/>
        <v>1720.6574666666666</v>
      </c>
      <c r="E174" s="64">
        <f t="shared" si="65"/>
        <v>1720.6574666666666</v>
      </c>
      <c r="F174" s="64">
        <f t="shared" si="65"/>
        <v>1720.6574666666666</v>
      </c>
      <c r="G174" s="64">
        <f t="shared" si="65"/>
        <v>1720.6574666666666</v>
      </c>
      <c r="H174" s="64">
        <f t="shared" si="65"/>
        <v>1720.6574666666666</v>
      </c>
      <c r="I174" s="64">
        <f t="shared" si="65"/>
        <v>1720.6574666666666</v>
      </c>
      <c r="J174" s="64">
        <f t="shared" si="65"/>
        <v>1720.6574666666666</v>
      </c>
      <c r="K174" s="64">
        <f t="shared" si="65"/>
        <v>1720.6574666666666</v>
      </c>
      <c r="L174" s="64">
        <f t="shared" si="65"/>
        <v>1720.6574666666666</v>
      </c>
      <c r="M174" s="64">
        <f t="shared" si="65"/>
        <v>1720.6574666666666</v>
      </c>
      <c r="N174" s="64">
        <f t="shared" si="65"/>
        <v>1720.6574666666666</v>
      </c>
      <c r="O174" s="64">
        <f t="shared" si="69"/>
        <v>1720.6574666666666</v>
      </c>
      <c r="P174" s="2">
        <f t="shared" si="70"/>
        <v>22909.889599999999</v>
      </c>
      <c r="Q174" s="2">
        <f>'working capital and def tax 21'!Q173*1.0772</f>
        <v>1762.2991999999999</v>
      </c>
      <c r="R174" s="15" t="s">
        <v>502</v>
      </c>
      <c r="S174" s="15" t="s">
        <v>34</v>
      </c>
      <c r="T174" s="15">
        <f t="shared" si="75"/>
        <v>-338.36144639999998</v>
      </c>
      <c r="U174" s="15">
        <f t="shared" si="75"/>
        <v>-698.04671311999994</v>
      </c>
      <c r="V174" s="15">
        <f t="shared" si="75"/>
        <v>-241.4349904</v>
      </c>
      <c r="W174" s="15">
        <f t="shared" si="75"/>
        <v>-5.6393574400000004</v>
      </c>
      <c r="X174" s="15">
        <f t="shared" si="75"/>
        <v>-3.8770582400000002</v>
      </c>
      <c r="Y174" s="15">
        <f t="shared" si="75"/>
        <v>-474.93963439999999</v>
      </c>
      <c r="Z174" s="15"/>
      <c r="AA174" s="15" t="s">
        <v>34</v>
      </c>
      <c r="AB174" s="15">
        <f t="shared" si="74"/>
        <v>-330.36623359999999</v>
      </c>
      <c r="AC174" s="15">
        <f t="shared" si="74"/>
        <v>-681.55242254666666</v>
      </c>
      <c r="AD174" s="15">
        <f t="shared" si="74"/>
        <v>-235.73007293333333</v>
      </c>
      <c r="AE174" s="15">
        <f t="shared" si="74"/>
        <v>-5.5061038933333331</v>
      </c>
      <c r="AF174" s="15">
        <f t="shared" si="74"/>
        <v>-3.7854464266666668</v>
      </c>
      <c r="AG174" s="15">
        <f t="shared" si="74"/>
        <v>-463.71718726666666</v>
      </c>
      <c r="AH174" s="27">
        <f t="shared" si="68"/>
        <v>0</v>
      </c>
    </row>
    <row r="175" spans="1:34" x14ac:dyDescent="0.25">
      <c r="A175" s="31" t="s">
        <v>247</v>
      </c>
      <c r="B175" s="31" t="s">
        <v>248</v>
      </c>
      <c r="C175" s="64">
        <v>197746</v>
      </c>
      <c r="D175" s="64">
        <f t="shared" si="65"/>
        <v>80019.974266666643</v>
      </c>
      <c r="E175" s="64">
        <f t="shared" si="65"/>
        <v>80019.974266666643</v>
      </c>
      <c r="F175" s="64">
        <f t="shared" si="65"/>
        <v>80019.974266666643</v>
      </c>
      <c r="G175" s="64">
        <f t="shared" si="65"/>
        <v>80019.974266666643</v>
      </c>
      <c r="H175" s="64">
        <f t="shared" si="65"/>
        <v>80019.974266666643</v>
      </c>
      <c r="I175" s="64">
        <f t="shared" si="65"/>
        <v>80019.974266666643</v>
      </c>
      <c r="J175" s="64">
        <f t="shared" si="65"/>
        <v>80019.974266666643</v>
      </c>
      <c r="K175" s="64">
        <f t="shared" si="65"/>
        <v>80019.974266666643</v>
      </c>
      <c r="L175" s="64">
        <f t="shared" si="65"/>
        <v>80019.974266666643</v>
      </c>
      <c r="M175" s="64">
        <f t="shared" si="65"/>
        <v>80019.974266666643</v>
      </c>
      <c r="N175" s="64">
        <f t="shared" si="65"/>
        <v>80019.974266666643</v>
      </c>
      <c r="O175" s="64">
        <f t="shared" si="69"/>
        <v>80019.974266666643</v>
      </c>
      <c r="P175" s="2">
        <f t="shared" si="70"/>
        <v>1157985.6911999998</v>
      </c>
      <c r="Q175" s="2">
        <f>'working capital and def tax 21'!Q174*1.0772</f>
        <v>89075.82239999999</v>
      </c>
      <c r="R175" s="15" t="s">
        <v>502</v>
      </c>
      <c r="S175" s="15" t="s">
        <v>34</v>
      </c>
      <c r="T175" s="15">
        <f>-$Q175*T$7</f>
        <v>-17102.557900799999</v>
      </c>
      <c r="U175" s="15">
        <f t="shared" si="75"/>
        <v>-35282.933252639996</v>
      </c>
      <c r="V175" s="15">
        <f t="shared" si="75"/>
        <v>-12203.3876688</v>
      </c>
      <c r="W175" s="15">
        <f t="shared" si="75"/>
        <v>-285.04263168</v>
      </c>
      <c r="X175" s="15">
        <f t="shared" si="75"/>
        <v>-195.96680927999998</v>
      </c>
      <c r="Y175" s="15">
        <f t="shared" si="75"/>
        <v>-24005.934136799999</v>
      </c>
      <c r="Z175" s="15"/>
      <c r="AA175" s="15" t="s">
        <v>34</v>
      </c>
      <c r="AB175" s="15">
        <f t="shared" si="74"/>
        <v>-15363.835059199995</v>
      </c>
      <c r="AC175" s="15">
        <f t="shared" si="74"/>
        <v>-31695.91180702666</v>
      </c>
      <c r="AD175" s="15">
        <f t="shared" si="74"/>
        <v>-10962.736474533331</v>
      </c>
      <c r="AE175" s="15">
        <f t="shared" si="74"/>
        <v>-256.06391765333325</v>
      </c>
      <c r="AF175" s="15">
        <f t="shared" si="74"/>
        <v>-176.04394338666663</v>
      </c>
      <c r="AG175" s="15">
        <f t="shared" si="74"/>
        <v>-21565.383064866663</v>
      </c>
      <c r="AH175" s="27">
        <f t="shared" si="68"/>
        <v>0</v>
      </c>
    </row>
    <row r="176" spans="1:34" x14ac:dyDescent="0.25">
      <c r="A176" s="31" t="s">
        <v>249</v>
      </c>
      <c r="B176" s="31" t="s">
        <v>250</v>
      </c>
      <c r="C176" s="64">
        <v>-58894</v>
      </c>
      <c r="D176" s="64">
        <f t="shared" si="65"/>
        <v>-34924.239899999993</v>
      </c>
      <c r="E176" s="64">
        <f t="shared" si="65"/>
        <v>-34924.239899999993</v>
      </c>
      <c r="F176" s="64">
        <f t="shared" si="65"/>
        <v>-34924.239899999993</v>
      </c>
      <c r="G176" s="64">
        <f t="shared" si="65"/>
        <v>-34924.239899999993</v>
      </c>
      <c r="H176" s="64">
        <f t="shared" si="65"/>
        <v>-34924.239899999993</v>
      </c>
      <c r="I176" s="64">
        <f t="shared" si="65"/>
        <v>-34924.239899999993</v>
      </c>
      <c r="J176" s="64">
        <f t="shared" si="65"/>
        <v>-34924.239899999993</v>
      </c>
      <c r="K176" s="64">
        <f t="shared" si="65"/>
        <v>-34924.239899999993</v>
      </c>
      <c r="L176" s="64">
        <f t="shared" si="65"/>
        <v>-34924.239899999993</v>
      </c>
      <c r="M176" s="64">
        <f t="shared" si="65"/>
        <v>-34924.239899999993</v>
      </c>
      <c r="N176" s="64">
        <f t="shared" si="65"/>
        <v>-34924.239899999993</v>
      </c>
      <c r="O176" s="64">
        <f t="shared" si="69"/>
        <v>-34924.239899999993</v>
      </c>
      <c r="P176" s="2">
        <f t="shared" si="70"/>
        <v>-477984.87879999995</v>
      </c>
      <c r="Q176" s="2">
        <f>'working capital and def tax 21'!Q175*1.0772</f>
        <v>-36768.067599999995</v>
      </c>
      <c r="R176" s="15" t="s">
        <v>502</v>
      </c>
      <c r="S176" s="15" t="s">
        <v>34</v>
      </c>
      <c r="T176" s="15">
        <f>-$Q176*T$7</f>
        <v>7059.468979199999</v>
      </c>
      <c r="U176" s="15">
        <f t="shared" si="75"/>
        <v>14563.831576359999</v>
      </c>
      <c r="V176" s="15">
        <f t="shared" si="75"/>
        <v>5037.2252611999993</v>
      </c>
      <c r="W176" s="15">
        <f t="shared" si="75"/>
        <v>117.65781631999999</v>
      </c>
      <c r="X176" s="15">
        <f t="shared" si="75"/>
        <v>80.88974872</v>
      </c>
      <c r="Y176" s="15">
        <f t="shared" si="75"/>
        <v>9908.9942181999995</v>
      </c>
      <c r="Z176" s="15"/>
      <c r="AA176" s="15" t="s">
        <v>34</v>
      </c>
      <c r="AB176" s="15">
        <f t="shared" si="74"/>
        <v>6705.4540607999988</v>
      </c>
      <c r="AC176" s="15">
        <f t="shared" si="74"/>
        <v>13833.491424389998</v>
      </c>
      <c r="AD176" s="15">
        <f t="shared" si="74"/>
        <v>4784.6208662999998</v>
      </c>
      <c r="AE176" s="15">
        <f t="shared" si="74"/>
        <v>111.75756767999998</v>
      </c>
      <c r="AF176" s="15">
        <f t="shared" si="74"/>
        <v>76.833327779999991</v>
      </c>
      <c r="AG176" s="15">
        <f t="shared" si="74"/>
        <v>9412.082653049998</v>
      </c>
      <c r="AH176" s="27"/>
    </row>
    <row r="177" spans="1:34" x14ac:dyDescent="0.25">
      <c r="A177" s="35"/>
      <c r="B177" s="35"/>
      <c r="C177" s="36" t="s">
        <v>67</v>
      </c>
      <c r="D177" s="36" t="s">
        <v>67</v>
      </c>
      <c r="E177" s="36" t="s">
        <v>67</v>
      </c>
      <c r="F177" s="36" t="s">
        <v>67</v>
      </c>
      <c r="G177" s="36" t="s">
        <v>67</v>
      </c>
      <c r="H177" s="36" t="s">
        <v>67</v>
      </c>
      <c r="I177" s="36" t="s">
        <v>67</v>
      </c>
      <c r="J177" s="36" t="s">
        <v>67</v>
      </c>
      <c r="K177" s="36" t="s">
        <v>67</v>
      </c>
      <c r="L177" s="36" t="s">
        <v>67</v>
      </c>
      <c r="M177" s="36" t="s">
        <v>67</v>
      </c>
      <c r="N177" s="36" t="s">
        <v>67</v>
      </c>
      <c r="O177" s="36" t="s">
        <v>67</v>
      </c>
      <c r="P177" s="36" t="s">
        <v>67</v>
      </c>
      <c r="Q177" s="36" t="s">
        <v>67</v>
      </c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3"/>
    </row>
    <row r="178" spans="1:34" x14ac:dyDescent="0.25">
      <c r="A178" s="37" t="s">
        <v>251</v>
      </c>
      <c r="B178" s="38"/>
      <c r="C178" s="147">
        <f>SUM(C169:C176)</f>
        <v>1788820</v>
      </c>
      <c r="D178" s="147">
        <f t="shared" ref="D178:Q178" si="76">SUM(D169:D176)</f>
        <v>5282166.0774333337</v>
      </c>
      <c r="E178" s="39">
        <f t="shared" si="76"/>
        <v>5282166.0774333337</v>
      </c>
      <c r="F178" s="39">
        <f t="shared" si="76"/>
        <v>5282166.0774333337</v>
      </c>
      <c r="G178" s="39">
        <f t="shared" si="76"/>
        <v>5282166.0774333337</v>
      </c>
      <c r="H178" s="39">
        <f t="shared" si="76"/>
        <v>5282166.0774333337</v>
      </c>
      <c r="I178" s="39">
        <f t="shared" si="76"/>
        <v>5282166.0774333337</v>
      </c>
      <c r="J178" s="39">
        <f t="shared" si="76"/>
        <v>5282166.0774333337</v>
      </c>
      <c r="K178" s="39">
        <f t="shared" si="76"/>
        <v>5282166.0774333337</v>
      </c>
      <c r="L178" s="39">
        <f t="shared" si="76"/>
        <v>5282166.0774333337</v>
      </c>
      <c r="M178" s="39">
        <f t="shared" si="76"/>
        <v>5282166.0774333337</v>
      </c>
      <c r="N178" s="39">
        <f t="shared" si="76"/>
        <v>5282166.0774333337</v>
      </c>
      <c r="O178" s="39">
        <f t="shared" si="76"/>
        <v>5282166.0774333337</v>
      </c>
      <c r="P178" s="39">
        <f t="shared" si="76"/>
        <v>65174812.929200009</v>
      </c>
      <c r="Q178" s="39">
        <f t="shared" si="76"/>
        <v>5013447.1484000003</v>
      </c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3"/>
    </row>
    <row r="179" spans="1:34" x14ac:dyDescent="0.25">
      <c r="A179" s="35"/>
      <c r="B179" s="35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3"/>
    </row>
    <row r="180" spans="1:34" x14ac:dyDescent="0.25">
      <c r="A180" s="37" t="s">
        <v>252</v>
      </c>
      <c r="B180" s="38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3"/>
    </row>
    <row r="181" spans="1:34" x14ac:dyDescent="0.25">
      <c r="A181" s="31" t="s">
        <v>253</v>
      </c>
      <c r="B181" s="31" t="s">
        <v>254</v>
      </c>
      <c r="C181" s="64">
        <v>20873</v>
      </c>
      <c r="D181" s="64">
        <f t="shared" ref="D181:O181" si="77">C181+($C181*(0.0772/12))</f>
        <v>21007.282966666666</v>
      </c>
      <c r="E181" s="64">
        <f t="shared" si="77"/>
        <v>21141.565933333331</v>
      </c>
      <c r="F181" s="64">
        <f t="shared" si="77"/>
        <v>21275.848899999997</v>
      </c>
      <c r="G181" s="64">
        <f t="shared" si="77"/>
        <v>21410.131866666663</v>
      </c>
      <c r="H181" s="64">
        <f t="shared" si="77"/>
        <v>21544.414833333329</v>
      </c>
      <c r="I181" s="64">
        <f t="shared" si="77"/>
        <v>21678.697799999994</v>
      </c>
      <c r="J181" s="64">
        <f t="shared" si="77"/>
        <v>21812.98076666666</v>
      </c>
      <c r="K181" s="64">
        <f t="shared" si="77"/>
        <v>21947.263733333326</v>
      </c>
      <c r="L181" s="64">
        <f t="shared" si="77"/>
        <v>22081.546699999992</v>
      </c>
      <c r="M181" s="64">
        <f t="shared" si="77"/>
        <v>22215.829666666657</v>
      </c>
      <c r="N181" s="64">
        <f t="shared" si="77"/>
        <v>22350.112633333323</v>
      </c>
      <c r="O181" s="64">
        <f t="shared" si="77"/>
        <v>22484.395599999989</v>
      </c>
      <c r="P181" s="2">
        <f t="shared" ref="P181:P182" si="78">SUM(C181:O181)</f>
        <v>281823.07139999996</v>
      </c>
      <c r="Q181" s="2">
        <f t="shared" ref="Q181:Q182" si="79">P181/13</f>
        <v>21678.697799999998</v>
      </c>
      <c r="R181" s="15" t="s">
        <v>502</v>
      </c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3"/>
    </row>
    <row r="182" spans="1:34" x14ac:dyDescent="0.25">
      <c r="A182" s="31" t="s">
        <v>255</v>
      </c>
      <c r="B182" s="31" t="s">
        <v>256</v>
      </c>
      <c r="C182" s="64">
        <v>2464378</v>
      </c>
      <c r="D182" s="64">
        <f t="shared" ref="D182:O182" si="80">C182+($C182*(0.0772/12))</f>
        <v>2480232.1651333333</v>
      </c>
      <c r="E182" s="64">
        <f t="shared" si="80"/>
        <v>2496086.3302666666</v>
      </c>
      <c r="F182" s="64">
        <f t="shared" si="80"/>
        <v>2511940.4953999999</v>
      </c>
      <c r="G182" s="64">
        <f t="shared" si="80"/>
        <v>2527794.6605333332</v>
      </c>
      <c r="H182" s="64">
        <f t="shared" si="80"/>
        <v>2543648.8256666665</v>
      </c>
      <c r="I182" s="64">
        <f t="shared" si="80"/>
        <v>2559502.9907999998</v>
      </c>
      <c r="J182" s="64">
        <f t="shared" si="80"/>
        <v>2575357.1559333331</v>
      </c>
      <c r="K182" s="64">
        <f t="shared" si="80"/>
        <v>2591211.3210666664</v>
      </c>
      <c r="L182" s="64">
        <f t="shared" si="80"/>
        <v>2607065.4861999997</v>
      </c>
      <c r="M182" s="64">
        <f t="shared" si="80"/>
        <v>2622919.651333333</v>
      </c>
      <c r="N182" s="64">
        <f t="shared" si="80"/>
        <v>2638773.8164666663</v>
      </c>
      <c r="O182" s="64">
        <f t="shared" si="80"/>
        <v>2654627.9815999996</v>
      </c>
      <c r="P182" s="2">
        <f t="shared" si="78"/>
        <v>33273538.880399995</v>
      </c>
      <c r="Q182" s="2">
        <f t="shared" si="79"/>
        <v>2559502.9907999998</v>
      </c>
      <c r="R182" s="15" t="s">
        <v>502</v>
      </c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3"/>
    </row>
    <row r="183" spans="1:34" x14ac:dyDescent="0.25">
      <c r="A183" s="35"/>
      <c r="B183" s="35"/>
      <c r="C183" s="36" t="s">
        <v>67</v>
      </c>
      <c r="D183" s="36" t="s">
        <v>67</v>
      </c>
      <c r="E183" s="36" t="s">
        <v>67</v>
      </c>
      <c r="F183" s="36" t="s">
        <v>67</v>
      </c>
      <c r="G183" s="36" t="s">
        <v>67</v>
      </c>
      <c r="H183" s="36" t="s">
        <v>67</v>
      </c>
      <c r="I183" s="36" t="s">
        <v>67</v>
      </c>
      <c r="J183" s="36" t="s">
        <v>67</v>
      </c>
      <c r="K183" s="36" t="s">
        <v>67</v>
      </c>
      <c r="L183" s="36" t="s">
        <v>67</v>
      </c>
      <c r="M183" s="36" t="s">
        <v>67</v>
      </c>
      <c r="N183" s="36" t="s">
        <v>67</v>
      </c>
      <c r="O183" s="36" t="s">
        <v>67</v>
      </c>
      <c r="P183" s="36" t="s">
        <v>67</v>
      </c>
      <c r="Q183" s="36" t="s">
        <v>67</v>
      </c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3"/>
    </row>
    <row r="184" spans="1:34" x14ac:dyDescent="0.25">
      <c r="A184" s="37" t="s">
        <v>257</v>
      </c>
      <c r="B184" s="38"/>
      <c r="C184" s="147">
        <f>SUM(C181:C182)</f>
        <v>2485251</v>
      </c>
      <c r="D184" s="147">
        <f t="shared" ref="D184:Q184" si="81">SUM(D181:D182)</f>
        <v>2501239.4481000002</v>
      </c>
      <c r="E184" s="39">
        <f t="shared" si="81"/>
        <v>2517227.8961999998</v>
      </c>
      <c r="F184" s="39">
        <f t="shared" si="81"/>
        <v>2533216.3443</v>
      </c>
      <c r="G184" s="39">
        <f t="shared" si="81"/>
        <v>2549204.7923999997</v>
      </c>
      <c r="H184" s="39">
        <f t="shared" si="81"/>
        <v>2565193.2404999998</v>
      </c>
      <c r="I184" s="39">
        <f t="shared" si="81"/>
        <v>2581181.6886</v>
      </c>
      <c r="J184" s="39">
        <f t="shared" si="81"/>
        <v>2597170.1366999997</v>
      </c>
      <c r="K184" s="39">
        <f t="shared" si="81"/>
        <v>2613158.5847999998</v>
      </c>
      <c r="L184" s="39">
        <f t="shared" si="81"/>
        <v>2629147.0328999995</v>
      </c>
      <c r="M184" s="39">
        <f t="shared" si="81"/>
        <v>2645135.4809999997</v>
      </c>
      <c r="N184" s="39">
        <f t="shared" si="81"/>
        <v>2661123.9290999998</v>
      </c>
      <c r="O184" s="39">
        <f t="shared" si="81"/>
        <v>2677112.3771999995</v>
      </c>
      <c r="P184" s="39">
        <f t="shared" si="81"/>
        <v>33555361.951799996</v>
      </c>
      <c r="Q184" s="39">
        <f t="shared" si="81"/>
        <v>2581181.6886</v>
      </c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3"/>
    </row>
    <row r="185" spans="1:34" x14ac:dyDescent="0.25">
      <c r="A185" s="35"/>
      <c r="B185" s="35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3"/>
    </row>
    <row r="186" spans="1:34" x14ac:dyDescent="0.25">
      <c r="A186" s="37" t="s">
        <v>258</v>
      </c>
      <c r="B186" s="38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24"/>
      <c r="Q186" s="24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3"/>
    </row>
    <row r="187" spans="1:34" x14ac:dyDescent="0.25">
      <c r="A187" s="31" t="s">
        <v>259</v>
      </c>
      <c r="B187" s="31" t="s">
        <v>260</v>
      </c>
      <c r="C187" s="64">
        <v>-350000</v>
      </c>
      <c r="D187" s="64">
        <f t="shared" ref="D187:O187" si="82">C187+($C187*(0.0772/12))</f>
        <v>-352251.66666666669</v>
      </c>
      <c r="E187" s="64">
        <f t="shared" si="82"/>
        <v>-354503.33333333337</v>
      </c>
      <c r="F187" s="64">
        <f t="shared" si="82"/>
        <v>-356755.00000000006</v>
      </c>
      <c r="G187" s="64">
        <f t="shared" si="82"/>
        <v>-359006.66666666674</v>
      </c>
      <c r="H187" s="64">
        <f t="shared" si="82"/>
        <v>-361258.33333333343</v>
      </c>
      <c r="I187" s="64">
        <f t="shared" si="82"/>
        <v>-363510.00000000012</v>
      </c>
      <c r="J187" s="64">
        <f t="shared" si="82"/>
        <v>-365761.6666666668</v>
      </c>
      <c r="K187" s="64">
        <f t="shared" si="82"/>
        <v>-368013.33333333349</v>
      </c>
      <c r="L187" s="64">
        <f t="shared" si="82"/>
        <v>-370265.00000000017</v>
      </c>
      <c r="M187" s="64">
        <f t="shared" si="82"/>
        <v>-372516.66666666686</v>
      </c>
      <c r="N187" s="64">
        <f t="shared" si="82"/>
        <v>-374768.33333333355</v>
      </c>
      <c r="O187" s="64">
        <f t="shared" si="82"/>
        <v>-377020.00000000023</v>
      </c>
      <c r="P187" s="2">
        <f t="shared" ref="P187:P192" si="83">SUM(C187:O187)</f>
        <v>-4725630.0000000009</v>
      </c>
      <c r="Q187" s="2">
        <f t="shared" ref="Q187:Q192" si="84">P187/13</f>
        <v>-363510.00000000006</v>
      </c>
      <c r="R187" s="15" t="s">
        <v>502</v>
      </c>
      <c r="S187" s="15" t="s">
        <v>16</v>
      </c>
      <c r="T187" s="15">
        <f t="shared" ref="T187:Y187" si="85">-$Q187*T5</f>
        <v>77427.63</v>
      </c>
      <c r="U187" s="15">
        <f t="shared" si="85"/>
        <v>126501.48000000001</v>
      </c>
      <c r="V187" s="15">
        <f t="shared" si="85"/>
        <v>52345.440000000002</v>
      </c>
      <c r="W187" s="15">
        <f t="shared" si="85"/>
        <v>363.51000000000005</v>
      </c>
      <c r="X187" s="15">
        <f t="shared" si="85"/>
        <v>363.51000000000005</v>
      </c>
      <c r="Y187" s="15">
        <f t="shared" si="85"/>
        <v>106508.43000000001</v>
      </c>
      <c r="Z187" s="15"/>
      <c r="AA187" s="15" t="s">
        <v>16</v>
      </c>
      <c r="AB187" s="15">
        <f t="shared" ref="AB187:AG192" si="86">-$O187*AB$5</f>
        <v>80305.260000000053</v>
      </c>
      <c r="AC187" s="15">
        <f t="shared" si="86"/>
        <v>131202.96000000008</v>
      </c>
      <c r="AD187" s="15">
        <f t="shared" si="86"/>
        <v>54290.880000000026</v>
      </c>
      <c r="AE187" s="15">
        <f t="shared" si="86"/>
        <v>377.02000000000027</v>
      </c>
      <c r="AF187" s="15">
        <f t="shared" si="86"/>
        <v>377.02000000000027</v>
      </c>
      <c r="AG187" s="15">
        <f t="shared" si="86"/>
        <v>110466.86000000006</v>
      </c>
      <c r="AH187" s="27">
        <f t="shared" ref="AH187:AH192" si="87">SUM(AB187:AG187)+O187</f>
        <v>0</v>
      </c>
    </row>
    <row r="188" spans="1:34" x14ac:dyDescent="0.25">
      <c r="A188" s="31" t="s">
        <v>261</v>
      </c>
      <c r="B188" s="31" t="s">
        <v>262</v>
      </c>
      <c r="C188" s="64">
        <v>-59545</v>
      </c>
      <c r="D188" s="64">
        <f t="shared" ref="D188:O188" si="88">C188+($C188*(0.0772/12))</f>
        <v>-59928.072833333332</v>
      </c>
      <c r="E188" s="64">
        <f t="shared" si="88"/>
        <v>-60311.145666666664</v>
      </c>
      <c r="F188" s="64">
        <f t="shared" si="88"/>
        <v>-60694.218499999995</v>
      </c>
      <c r="G188" s="64">
        <f t="shared" si="88"/>
        <v>-61077.291333333327</v>
      </c>
      <c r="H188" s="64">
        <f t="shared" si="88"/>
        <v>-61460.364166666659</v>
      </c>
      <c r="I188" s="64">
        <f t="shared" si="88"/>
        <v>-61843.436999999991</v>
      </c>
      <c r="J188" s="64">
        <f t="shared" si="88"/>
        <v>-62226.509833333323</v>
      </c>
      <c r="K188" s="64">
        <f t="shared" si="88"/>
        <v>-62609.582666666654</v>
      </c>
      <c r="L188" s="64">
        <f t="shared" si="88"/>
        <v>-62992.655499999986</v>
      </c>
      <c r="M188" s="64">
        <f t="shared" si="88"/>
        <v>-63375.728333333318</v>
      </c>
      <c r="N188" s="64">
        <f t="shared" si="88"/>
        <v>-63758.80116666665</v>
      </c>
      <c r="O188" s="64">
        <f t="shared" si="88"/>
        <v>-64141.873999999982</v>
      </c>
      <c r="P188" s="2">
        <f t="shared" si="83"/>
        <v>-803964.68099999987</v>
      </c>
      <c r="Q188" s="2">
        <f t="shared" si="84"/>
        <v>-61843.436999999991</v>
      </c>
      <c r="R188" s="15" t="s">
        <v>502</v>
      </c>
      <c r="S188" s="15" t="s">
        <v>16</v>
      </c>
      <c r="T188" s="15">
        <f t="shared" ref="T188:Y188" si="89">-$Q188*T5</f>
        <v>13172.652080999998</v>
      </c>
      <c r="U188" s="15">
        <f t="shared" si="89"/>
        <v>21521.516075999996</v>
      </c>
      <c r="V188" s="15">
        <f t="shared" si="89"/>
        <v>8905.4549279999974</v>
      </c>
      <c r="W188" s="15">
        <f t="shared" si="89"/>
        <v>61.843436999999994</v>
      </c>
      <c r="X188" s="15">
        <f t="shared" si="89"/>
        <v>61.843436999999994</v>
      </c>
      <c r="Y188" s="15">
        <f t="shared" si="89"/>
        <v>18120.127040999996</v>
      </c>
      <c r="Z188" s="15"/>
      <c r="AA188" s="15" t="s">
        <v>16</v>
      </c>
      <c r="AB188" s="15">
        <f t="shared" si="86"/>
        <v>13662.219161999996</v>
      </c>
      <c r="AC188" s="15">
        <f t="shared" si="86"/>
        <v>22321.372151999993</v>
      </c>
      <c r="AD188" s="15">
        <f t="shared" si="86"/>
        <v>9236.429855999997</v>
      </c>
      <c r="AE188" s="15">
        <f t="shared" si="86"/>
        <v>64.141873999999987</v>
      </c>
      <c r="AF188" s="15">
        <f t="shared" si="86"/>
        <v>64.141873999999987</v>
      </c>
      <c r="AG188" s="15">
        <f t="shared" si="86"/>
        <v>18793.569081999995</v>
      </c>
      <c r="AH188" s="27">
        <f t="shared" si="87"/>
        <v>0</v>
      </c>
    </row>
    <row r="189" spans="1:34" x14ac:dyDescent="0.25">
      <c r="A189" s="31" t="s">
        <v>263</v>
      </c>
      <c r="B189" s="31" t="s">
        <v>264</v>
      </c>
      <c r="C189" s="64">
        <v>-626133</v>
      </c>
      <c r="D189" s="64">
        <f t="shared" ref="D189:O189" si="90">C189+($C189*(0.0772/12))</f>
        <v>-630161.12230000005</v>
      </c>
      <c r="E189" s="64">
        <f t="shared" si="90"/>
        <v>-634189.24460000009</v>
      </c>
      <c r="F189" s="64">
        <f t="shared" si="90"/>
        <v>-638217.36690000014</v>
      </c>
      <c r="G189" s="64">
        <f t="shared" si="90"/>
        <v>-642245.48920000019</v>
      </c>
      <c r="H189" s="64">
        <f t="shared" si="90"/>
        <v>-646273.61150000023</v>
      </c>
      <c r="I189" s="64">
        <f t="shared" si="90"/>
        <v>-650301.73380000028</v>
      </c>
      <c r="J189" s="64">
        <f t="shared" si="90"/>
        <v>-654329.85610000032</v>
      </c>
      <c r="K189" s="64">
        <f t="shared" si="90"/>
        <v>-658357.97840000037</v>
      </c>
      <c r="L189" s="64">
        <f t="shared" si="90"/>
        <v>-662386.10070000042</v>
      </c>
      <c r="M189" s="64">
        <f t="shared" si="90"/>
        <v>-666414.22300000046</v>
      </c>
      <c r="N189" s="64">
        <f t="shared" si="90"/>
        <v>-670442.34530000051</v>
      </c>
      <c r="O189" s="64">
        <f t="shared" si="90"/>
        <v>-674470.46760000056</v>
      </c>
      <c r="P189" s="2">
        <f t="shared" si="83"/>
        <v>-8453922.539400002</v>
      </c>
      <c r="Q189" s="2">
        <f t="shared" si="84"/>
        <v>-650301.73380000016</v>
      </c>
      <c r="R189" s="15" t="s">
        <v>502</v>
      </c>
      <c r="S189" s="15" t="s">
        <v>16</v>
      </c>
      <c r="T189" s="15">
        <f t="shared" ref="T189:Y189" si="91">-$Q189*T5</f>
        <v>138514.26929940004</v>
      </c>
      <c r="U189" s="15">
        <f t="shared" si="91"/>
        <v>226305.00336240005</v>
      </c>
      <c r="V189" s="15">
        <f t="shared" si="91"/>
        <v>93643.44966720001</v>
      </c>
      <c r="W189" s="15">
        <f t="shared" si="91"/>
        <v>650.30173380000019</v>
      </c>
      <c r="X189" s="15">
        <f t="shared" si="91"/>
        <v>650.30173380000019</v>
      </c>
      <c r="Y189" s="15">
        <f t="shared" si="91"/>
        <v>190538.40800340002</v>
      </c>
      <c r="Z189" s="15"/>
      <c r="AA189" s="15" t="s">
        <v>16</v>
      </c>
      <c r="AB189" s="15">
        <f t="shared" si="86"/>
        <v>143662.20959880011</v>
      </c>
      <c r="AC189" s="15">
        <f t="shared" si="86"/>
        <v>234715.72272480017</v>
      </c>
      <c r="AD189" s="15">
        <f t="shared" si="86"/>
        <v>97123.747334400075</v>
      </c>
      <c r="AE189" s="15">
        <f t="shared" si="86"/>
        <v>674.47046760000057</v>
      </c>
      <c r="AF189" s="15">
        <f t="shared" si="86"/>
        <v>674.47046760000057</v>
      </c>
      <c r="AG189" s="15">
        <f t="shared" si="86"/>
        <v>197619.84700680015</v>
      </c>
      <c r="AH189" s="27">
        <f t="shared" si="87"/>
        <v>0</v>
      </c>
    </row>
    <row r="190" spans="1:34" x14ac:dyDescent="0.25">
      <c r="A190" s="31" t="s">
        <v>265</v>
      </c>
      <c r="B190" s="31" t="s">
        <v>266</v>
      </c>
      <c r="C190" s="64">
        <v>-343881</v>
      </c>
      <c r="D190" s="64">
        <f t="shared" ref="D190:O190" si="92">C190+($C190*(0.0772/12))</f>
        <v>-346093.30109999998</v>
      </c>
      <c r="E190" s="64">
        <f t="shared" si="92"/>
        <v>-348305.60219999996</v>
      </c>
      <c r="F190" s="64">
        <f t="shared" si="92"/>
        <v>-350517.90329999995</v>
      </c>
      <c r="G190" s="64">
        <f t="shared" si="92"/>
        <v>-352730.20439999993</v>
      </c>
      <c r="H190" s="64">
        <f t="shared" si="92"/>
        <v>-354942.50549999991</v>
      </c>
      <c r="I190" s="64">
        <f t="shared" si="92"/>
        <v>-357154.80659999989</v>
      </c>
      <c r="J190" s="64">
        <f t="shared" si="92"/>
        <v>-359367.10769999988</v>
      </c>
      <c r="K190" s="64">
        <f t="shared" si="92"/>
        <v>-361579.40879999986</v>
      </c>
      <c r="L190" s="64">
        <f t="shared" si="92"/>
        <v>-363791.70989999984</v>
      </c>
      <c r="M190" s="64">
        <f t="shared" si="92"/>
        <v>-366004.01099999982</v>
      </c>
      <c r="N190" s="64">
        <f t="shared" si="92"/>
        <v>-368216.31209999981</v>
      </c>
      <c r="O190" s="64">
        <f t="shared" si="92"/>
        <v>-370428.61319999979</v>
      </c>
      <c r="P190" s="2">
        <f t="shared" si="83"/>
        <v>-4643012.485799999</v>
      </c>
      <c r="Q190" s="2">
        <f t="shared" si="84"/>
        <v>-357154.80659999989</v>
      </c>
      <c r="R190" s="15" t="s">
        <v>502</v>
      </c>
      <c r="S190" s="15" t="s">
        <v>16</v>
      </c>
      <c r="T190" s="15">
        <f t="shared" ref="T190:Y190" si="93">-$Q190*T5</f>
        <v>76073.973805799978</v>
      </c>
      <c r="U190" s="15">
        <f t="shared" si="93"/>
        <v>124289.87269679995</v>
      </c>
      <c r="V190" s="15">
        <f t="shared" si="93"/>
        <v>51430.292150399982</v>
      </c>
      <c r="W190" s="15">
        <f t="shared" si="93"/>
        <v>357.15480659999992</v>
      </c>
      <c r="X190" s="15">
        <f t="shared" si="93"/>
        <v>357.15480659999992</v>
      </c>
      <c r="Y190" s="15">
        <f t="shared" si="93"/>
        <v>104646.35833379996</v>
      </c>
      <c r="Z190" s="15"/>
      <c r="AA190" s="15" t="s">
        <v>16</v>
      </c>
      <c r="AB190" s="15">
        <f t="shared" si="86"/>
        <v>78901.294611599951</v>
      </c>
      <c r="AC190" s="15">
        <f t="shared" si="86"/>
        <v>128909.15739359992</v>
      </c>
      <c r="AD190" s="15">
        <f t="shared" si="86"/>
        <v>53341.720300799963</v>
      </c>
      <c r="AE190" s="15">
        <f t="shared" si="86"/>
        <v>370.4286131999998</v>
      </c>
      <c r="AF190" s="15">
        <f t="shared" si="86"/>
        <v>370.4286131999998</v>
      </c>
      <c r="AG190" s="15">
        <f t="shared" si="86"/>
        <v>108535.58366759993</v>
      </c>
      <c r="AH190" s="27">
        <f t="shared" si="87"/>
        <v>0</v>
      </c>
    </row>
    <row r="191" spans="1:34" x14ac:dyDescent="0.25">
      <c r="A191" s="31" t="s">
        <v>267</v>
      </c>
      <c r="B191" s="31" t="s">
        <v>268</v>
      </c>
      <c r="C191" s="64">
        <v>-165616</v>
      </c>
      <c r="D191" s="64">
        <f t="shared" ref="D191:O191" si="94">C191+($C191*(0.0772/12))</f>
        <v>-166681.46293333333</v>
      </c>
      <c r="E191" s="64">
        <f t="shared" si="94"/>
        <v>-167746.92586666666</v>
      </c>
      <c r="F191" s="64">
        <f t="shared" si="94"/>
        <v>-168812.38879999999</v>
      </c>
      <c r="G191" s="64">
        <f t="shared" si="94"/>
        <v>-169877.85173333331</v>
      </c>
      <c r="H191" s="64">
        <f t="shared" si="94"/>
        <v>-170943.31466666664</v>
      </c>
      <c r="I191" s="64">
        <f t="shared" si="94"/>
        <v>-172008.77759999997</v>
      </c>
      <c r="J191" s="64">
        <f t="shared" si="94"/>
        <v>-173074.2405333333</v>
      </c>
      <c r="K191" s="64">
        <f t="shared" si="94"/>
        <v>-174139.70346666663</v>
      </c>
      <c r="L191" s="64">
        <f t="shared" si="94"/>
        <v>-175205.16639999996</v>
      </c>
      <c r="M191" s="64">
        <f t="shared" si="94"/>
        <v>-176270.62933333329</v>
      </c>
      <c r="N191" s="64">
        <f t="shared" si="94"/>
        <v>-177336.09226666662</v>
      </c>
      <c r="O191" s="64">
        <f t="shared" si="94"/>
        <v>-178401.55519999994</v>
      </c>
      <c r="P191" s="2">
        <f t="shared" si="83"/>
        <v>-2236114.1088</v>
      </c>
      <c r="Q191" s="2">
        <f t="shared" si="84"/>
        <v>-172008.7776</v>
      </c>
      <c r="R191" s="15" t="s">
        <v>502</v>
      </c>
      <c r="S191" s="15" t="s">
        <v>16</v>
      </c>
      <c r="T191" s="15">
        <f t="shared" ref="T191:Y191" si="95">-$Q191*T5</f>
        <v>36637.869628799999</v>
      </c>
      <c r="U191" s="15">
        <f t="shared" si="95"/>
        <v>59859.054604799996</v>
      </c>
      <c r="V191" s="15">
        <f t="shared" si="95"/>
        <v>24769.263974399997</v>
      </c>
      <c r="W191" s="15">
        <f t="shared" si="95"/>
        <v>172.0087776</v>
      </c>
      <c r="X191" s="15">
        <f t="shared" si="95"/>
        <v>172.0087776</v>
      </c>
      <c r="Y191" s="15">
        <f t="shared" si="95"/>
        <v>50398.571836799994</v>
      </c>
      <c r="Z191" s="15"/>
      <c r="AA191" s="15" t="s">
        <v>16</v>
      </c>
      <c r="AB191" s="15">
        <f t="shared" si="86"/>
        <v>37999.531257599985</v>
      </c>
      <c r="AC191" s="15">
        <f t="shared" si="86"/>
        <v>62083.741209599975</v>
      </c>
      <c r="AD191" s="15">
        <f t="shared" si="86"/>
        <v>25689.823948799989</v>
      </c>
      <c r="AE191" s="15">
        <f t="shared" si="86"/>
        <v>178.40155519999996</v>
      </c>
      <c r="AF191" s="15">
        <f t="shared" si="86"/>
        <v>178.40155519999996</v>
      </c>
      <c r="AG191" s="15">
        <f t="shared" si="86"/>
        <v>52271.655673599984</v>
      </c>
      <c r="AH191" s="27">
        <f t="shared" si="87"/>
        <v>0</v>
      </c>
    </row>
    <row r="192" spans="1:34" x14ac:dyDescent="0.25">
      <c r="A192" s="31" t="s">
        <v>269</v>
      </c>
      <c r="B192" s="31" t="s">
        <v>270</v>
      </c>
      <c r="C192" s="64">
        <v>0</v>
      </c>
      <c r="D192" s="64">
        <f t="shared" ref="D192:O192" si="96">C192+($C192*(0.0772/12))</f>
        <v>0</v>
      </c>
      <c r="E192" s="64">
        <f t="shared" si="96"/>
        <v>0</v>
      </c>
      <c r="F192" s="64">
        <f t="shared" si="96"/>
        <v>0</v>
      </c>
      <c r="G192" s="64">
        <f t="shared" si="96"/>
        <v>0</v>
      </c>
      <c r="H192" s="64">
        <f t="shared" si="96"/>
        <v>0</v>
      </c>
      <c r="I192" s="64">
        <f t="shared" si="96"/>
        <v>0</v>
      </c>
      <c r="J192" s="64">
        <f t="shared" si="96"/>
        <v>0</v>
      </c>
      <c r="K192" s="64">
        <f t="shared" si="96"/>
        <v>0</v>
      </c>
      <c r="L192" s="64">
        <f t="shared" si="96"/>
        <v>0</v>
      </c>
      <c r="M192" s="64">
        <f t="shared" si="96"/>
        <v>0</v>
      </c>
      <c r="N192" s="64">
        <f t="shared" si="96"/>
        <v>0</v>
      </c>
      <c r="O192" s="64">
        <f t="shared" si="96"/>
        <v>0</v>
      </c>
      <c r="P192" s="2">
        <f t="shared" si="83"/>
        <v>0</v>
      </c>
      <c r="Q192" s="2">
        <f t="shared" si="84"/>
        <v>0</v>
      </c>
      <c r="R192" s="15" t="s">
        <v>502</v>
      </c>
      <c r="S192" s="15" t="s">
        <v>16</v>
      </c>
      <c r="T192" s="15">
        <f t="shared" ref="T192:Y192" si="97">-$Q192*T5</f>
        <v>0</v>
      </c>
      <c r="U192" s="15">
        <f t="shared" si="97"/>
        <v>0</v>
      </c>
      <c r="V192" s="15">
        <f t="shared" si="97"/>
        <v>0</v>
      </c>
      <c r="W192" s="15">
        <f t="shared" si="97"/>
        <v>0</v>
      </c>
      <c r="X192" s="15">
        <f t="shared" si="97"/>
        <v>0</v>
      </c>
      <c r="Y192" s="15">
        <f t="shared" si="97"/>
        <v>0</v>
      </c>
      <c r="Z192" s="15"/>
      <c r="AA192" s="15" t="s">
        <v>16</v>
      </c>
      <c r="AB192" s="15">
        <f t="shared" si="86"/>
        <v>0</v>
      </c>
      <c r="AC192" s="15">
        <f t="shared" si="86"/>
        <v>0</v>
      </c>
      <c r="AD192" s="15">
        <f t="shared" si="86"/>
        <v>0</v>
      </c>
      <c r="AE192" s="15">
        <f t="shared" si="86"/>
        <v>0</v>
      </c>
      <c r="AF192" s="15">
        <f t="shared" si="86"/>
        <v>0</v>
      </c>
      <c r="AG192" s="15">
        <f t="shared" si="86"/>
        <v>0</v>
      </c>
      <c r="AH192" s="27">
        <f t="shared" si="87"/>
        <v>0</v>
      </c>
    </row>
    <row r="193" spans="1:34" x14ac:dyDescent="0.25">
      <c r="A193" s="35"/>
      <c r="B193" s="35"/>
      <c r="C193" s="36" t="s">
        <v>67</v>
      </c>
      <c r="D193" s="36" t="s">
        <v>67</v>
      </c>
      <c r="E193" s="36" t="s">
        <v>67</v>
      </c>
      <c r="F193" s="36" t="s">
        <v>67</v>
      </c>
      <c r="G193" s="36" t="s">
        <v>67</v>
      </c>
      <c r="H193" s="36" t="s">
        <v>67</v>
      </c>
      <c r="I193" s="36" t="s">
        <v>67</v>
      </c>
      <c r="J193" s="36" t="s">
        <v>67</v>
      </c>
      <c r="K193" s="36" t="s">
        <v>67</v>
      </c>
      <c r="L193" s="36" t="s">
        <v>67</v>
      </c>
      <c r="M193" s="36" t="s">
        <v>67</v>
      </c>
      <c r="N193" s="36" t="s">
        <v>67</v>
      </c>
      <c r="O193" s="36" t="s">
        <v>67</v>
      </c>
      <c r="P193" s="36" t="s">
        <v>67</v>
      </c>
      <c r="Q193" s="36" t="s">
        <v>67</v>
      </c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27"/>
    </row>
    <row r="194" spans="1:34" x14ac:dyDescent="0.25">
      <c r="A194" s="37" t="s">
        <v>271</v>
      </c>
      <c r="B194" s="38"/>
      <c r="C194" s="147">
        <f>SUM(C187:C192)</f>
        <v>-1545175</v>
      </c>
      <c r="D194" s="147">
        <f t="shared" ref="D194:Q194" si="98">SUM(D187:D192)</f>
        <v>-1555115.6258333335</v>
      </c>
      <c r="E194" s="39">
        <f t="shared" si="98"/>
        <v>-1565056.2516666669</v>
      </c>
      <c r="F194" s="39">
        <f t="shared" si="98"/>
        <v>-1574996.8775000002</v>
      </c>
      <c r="G194" s="39">
        <f t="shared" si="98"/>
        <v>-1584937.5033333334</v>
      </c>
      <c r="H194" s="39">
        <f t="shared" si="98"/>
        <v>-1594878.1291666669</v>
      </c>
      <c r="I194" s="39">
        <f t="shared" si="98"/>
        <v>-1604818.7550000001</v>
      </c>
      <c r="J194" s="39">
        <f t="shared" si="98"/>
        <v>-1614759.3808333336</v>
      </c>
      <c r="K194" s="39">
        <f t="shared" si="98"/>
        <v>-1624700.0066666671</v>
      </c>
      <c r="L194" s="39">
        <f t="shared" si="98"/>
        <v>-1634640.6325000005</v>
      </c>
      <c r="M194" s="39">
        <f t="shared" si="98"/>
        <v>-1644581.258333334</v>
      </c>
      <c r="N194" s="39">
        <f t="shared" si="98"/>
        <v>-1654521.8841666672</v>
      </c>
      <c r="O194" s="39">
        <f t="shared" si="98"/>
        <v>-1664462.5100000007</v>
      </c>
      <c r="P194" s="39">
        <f t="shared" si="98"/>
        <v>-20862643.815000001</v>
      </c>
      <c r="Q194" s="39">
        <f t="shared" si="98"/>
        <v>-1604818.7550000001</v>
      </c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27"/>
    </row>
    <row r="195" spans="1:34" x14ac:dyDescent="0.25">
      <c r="A195" s="35"/>
      <c r="B195" s="35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27"/>
    </row>
    <row r="196" spans="1:34" x14ac:dyDescent="0.25">
      <c r="A196" s="37" t="s">
        <v>272</v>
      </c>
      <c r="B196" s="38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27"/>
    </row>
    <row r="197" spans="1:34" x14ac:dyDescent="0.25">
      <c r="A197" s="31" t="s">
        <v>273</v>
      </c>
      <c r="B197" s="31" t="s">
        <v>274</v>
      </c>
      <c r="C197" s="64">
        <v>474927</v>
      </c>
      <c r="D197" s="64">
        <f>C197+($C197*(0.035/12))</f>
        <v>476312.20374999999</v>
      </c>
      <c r="E197" s="64">
        <f t="shared" ref="E197:O197" si="99">D197+($C197*(0.035/12))</f>
        <v>477697.40749999997</v>
      </c>
      <c r="F197" s="64">
        <f t="shared" si="99"/>
        <v>479082.61124999996</v>
      </c>
      <c r="G197" s="64">
        <f t="shared" si="99"/>
        <v>480467.81499999994</v>
      </c>
      <c r="H197" s="64">
        <f t="shared" si="99"/>
        <v>481853.01874999993</v>
      </c>
      <c r="I197" s="64">
        <f t="shared" si="99"/>
        <v>483238.22249999992</v>
      </c>
      <c r="J197" s="64">
        <f t="shared" si="99"/>
        <v>484623.4262499999</v>
      </c>
      <c r="K197" s="64">
        <f t="shared" si="99"/>
        <v>486008.62999999989</v>
      </c>
      <c r="L197" s="64">
        <f t="shared" si="99"/>
        <v>487393.83374999987</v>
      </c>
      <c r="M197" s="64">
        <f t="shared" si="99"/>
        <v>488779.03749999986</v>
      </c>
      <c r="N197" s="64">
        <f t="shared" si="99"/>
        <v>490164.24124999985</v>
      </c>
      <c r="O197" s="64">
        <f t="shared" si="99"/>
        <v>491549.44499999983</v>
      </c>
      <c r="P197" s="2">
        <f t="shared" ref="P197" si="100">SUM(C197:O197)</f>
        <v>6282096.8924999982</v>
      </c>
      <c r="Q197" s="2">
        <f t="shared" ref="Q197:Q200" si="101">P197/13</f>
        <v>483238.22249999986</v>
      </c>
      <c r="R197" s="15" t="s">
        <v>503</v>
      </c>
      <c r="S197" s="15" t="s">
        <v>34</v>
      </c>
      <c r="T197" s="15">
        <f t="shared" ref="T197:Y200" si="102">-$Q197*T$7</f>
        <v>-92781.738719999979</v>
      </c>
      <c r="U197" s="15">
        <f t="shared" si="102"/>
        <v>-191410.65993224995</v>
      </c>
      <c r="V197" s="15">
        <f t="shared" si="102"/>
        <v>-66203.636482499991</v>
      </c>
      <c r="W197" s="15">
        <f t="shared" si="102"/>
        <v>-1546.3623119999995</v>
      </c>
      <c r="X197" s="15">
        <f t="shared" si="102"/>
        <v>-1063.1240894999999</v>
      </c>
      <c r="Y197" s="15">
        <f t="shared" si="102"/>
        <v>-130232.70096374997</v>
      </c>
      <c r="Z197" s="15"/>
      <c r="AA197" s="15" t="s">
        <v>34</v>
      </c>
      <c r="AB197" s="15">
        <f>-$O197*AB$7</f>
        <v>-94377.493439999977</v>
      </c>
      <c r="AC197" s="15">
        <f t="shared" ref="AC197:AG200" si="103">-$O197*AC$7</f>
        <v>-194702.73516449993</v>
      </c>
      <c r="AD197" s="15">
        <f t="shared" si="103"/>
        <v>-67342.273964999986</v>
      </c>
      <c r="AE197" s="15">
        <f t="shared" si="103"/>
        <v>-1572.9582239999995</v>
      </c>
      <c r="AF197" s="15">
        <f t="shared" si="103"/>
        <v>-1081.4087789999996</v>
      </c>
      <c r="AG197" s="15">
        <f t="shared" si="103"/>
        <v>-132472.57542749995</v>
      </c>
      <c r="AH197" s="27">
        <f>SUM(AB197:AG197)+O197</f>
        <v>0</v>
      </c>
    </row>
    <row r="198" spans="1:34" x14ac:dyDescent="0.25">
      <c r="A198" s="31" t="s">
        <v>275</v>
      </c>
      <c r="B198" s="31" t="s">
        <v>276</v>
      </c>
      <c r="C198" s="64">
        <v>269029</v>
      </c>
      <c r="D198" s="64">
        <f t="shared" ref="D198:O198" si="104">C198+($C198*(0.035/12))</f>
        <v>269813.66791666666</v>
      </c>
      <c r="E198" s="64">
        <f t="shared" si="104"/>
        <v>270598.33583333332</v>
      </c>
      <c r="F198" s="64">
        <f t="shared" si="104"/>
        <v>271383.00374999997</v>
      </c>
      <c r="G198" s="64">
        <f t="shared" si="104"/>
        <v>272167.67166666663</v>
      </c>
      <c r="H198" s="64">
        <f t="shared" si="104"/>
        <v>272952.33958333329</v>
      </c>
      <c r="I198" s="64">
        <f t="shared" si="104"/>
        <v>273737.00749999995</v>
      </c>
      <c r="J198" s="64">
        <f t="shared" si="104"/>
        <v>274521.67541666661</v>
      </c>
      <c r="K198" s="64">
        <f t="shared" si="104"/>
        <v>275306.34333333327</v>
      </c>
      <c r="L198" s="64">
        <f t="shared" si="104"/>
        <v>276091.01124999992</v>
      </c>
      <c r="M198" s="64">
        <f t="shared" si="104"/>
        <v>276875.67916666658</v>
      </c>
      <c r="N198" s="64">
        <f t="shared" si="104"/>
        <v>277660.34708333324</v>
      </c>
      <c r="O198" s="64">
        <f t="shared" si="104"/>
        <v>278445.0149999999</v>
      </c>
      <c r="P198" s="2">
        <f t="shared" ref="P198:P200" si="105">SUM(C198:O198)</f>
        <v>3558581.0975000001</v>
      </c>
      <c r="Q198" s="2">
        <f t="shared" si="101"/>
        <v>273737.00750000001</v>
      </c>
      <c r="R198" s="15" t="s">
        <v>503</v>
      </c>
      <c r="S198" s="15" t="s">
        <v>34</v>
      </c>
      <c r="T198" s="15">
        <f t="shared" si="102"/>
        <v>-52557.505440000001</v>
      </c>
      <c r="U198" s="15">
        <f t="shared" si="102"/>
        <v>-108427.22867075</v>
      </c>
      <c r="V198" s="15">
        <f t="shared" si="102"/>
        <v>-37501.970027500007</v>
      </c>
      <c r="W198" s="15">
        <f t="shared" si="102"/>
        <v>-875.95842400000004</v>
      </c>
      <c r="X198" s="15">
        <f t="shared" si="102"/>
        <v>-602.22141650000003</v>
      </c>
      <c r="Y198" s="15">
        <f t="shared" si="102"/>
        <v>-73772.123521250003</v>
      </c>
      <c r="Z198" s="15"/>
      <c r="AA198" s="15" t="s">
        <v>34</v>
      </c>
      <c r="AB198" s="15">
        <f>-$O198*AB$7</f>
        <v>-53461.442879999981</v>
      </c>
      <c r="AC198" s="15">
        <f t="shared" si="103"/>
        <v>-110292.07044149996</v>
      </c>
      <c r="AD198" s="15">
        <f t="shared" si="103"/>
        <v>-38146.967054999986</v>
      </c>
      <c r="AE198" s="15">
        <f t="shared" si="103"/>
        <v>-891.02404799999977</v>
      </c>
      <c r="AF198" s="15">
        <f t="shared" si="103"/>
        <v>-612.57903299999987</v>
      </c>
      <c r="AG198" s="15">
        <f t="shared" si="103"/>
        <v>-75040.93154249998</v>
      </c>
      <c r="AH198" s="27">
        <f>SUM(AB198:AG198)+O198</f>
        <v>0</v>
      </c>
    </row>
    <row r="199" spans="1:34" x14ac:dyDescent="0.25">
      <c r="A199" s="31" t="s">
        <v>277</v>
      </c>
      <c r="B199" s="31" t="s">
        <v>278</v>
      </c>
      <c r="C199" s="64">
        <v>0</v>
      </c>
      <c r="D199" s="64">
        <f t="shared" ref="D199:O199" si="106">C199+($C199*(0.035/12))</f>
        <v>0</v>
      </c>
      <c r="E199" s="64">
        <f t="shared" si="106"/>
        <v>0</v>
      </c>
      <c r="F199" s="64">
        <f t="shared" si="106"/>
        <v>0</v>
      </c>
      <c r="G199" s="64">
        <f t="shared" si="106"/>
        <v>0</v>
      </c>
      <c r="H199" s="64">
        <f t="shared" si="106"/>
        <v>0</v>
      </c>
      <c r="I199" s="64">
        <f t="shared" si="106"/>
        <v>0</v>
      </c>
      <c r="J199" s="64">
        <f t="shared" si="106"/>
        <v>0</v>
      </c>
      <c r="K199" s="64">
        <f t="shared" si="106"/>
        <v>0</v>
      </c>
      <c r="L199" s="64">
        <f t="shared" si="106"/>
        <v>0</v>
      </c>
      <c r="M199" s="64">
        <f t="shared" si="106"/>
        <v>0</v>
      </c>
      <c r="N199" s="64">
        <f t="shared" si="106"/>
        <v>0</v>
      </c>
      <c r="O199" s="64">
        <f t="shared" si="106"/>
        <v>0</v>
      </c>
      <c r="P199" s="2">
        <f t="shared" si="105"/>
        <v>0</v>
      </c>
      <c r="Q199" s="2">
        <f t="shared" si="101"/>
        <v>0</v>
      </c>
      <c r="R199" s="15" t="s">
        <v>503</v>
      </c>
      <c r="S199" s="15" t="s">
        <v>34</v>
      </c>
      <c r="T199" s="15">
        <f t="shared" si="102"/>
        <v>0</v>
      </c>
      <c r="U199" s="15">
        <f t="shared" si="102"/>
        <v>0</v>
      </c>
      <c r="V199" s="15">
        <f t="shared" si="102"/>
        <v>0</v>
      </c>
      <c r="W199" s="15">
        <f t="shared" si="102"/>
        <v>0</v>
      </c>
      <c r="X199" s="15">
        <f t="shared" si="102"/>
        <v>0</v>
      </c>
      <c r="Y199" s="15">
        <f t="shared" si="102"/>
        <v>0</v>
      </c>
      <c r="Z199" s="15"/>
      <c r="AA199" s="15" t="s">
        <v>34</v>
      </c>
      <c r="AB199" s="15">
        <f>-$O199*AB$7</f>
        <v>0</v>
      </c>
      <c r="AC199" s="15">
        <f t="shared" si="103"/>
        <v>0</v>
      </c>
      <c r="AD199" s="15">
        <f t="shared" si="103"/>
        <v>0</v>
      </c>
      <c r="AE199" s="15">
        <f t="shared" si="103"/>
        <v>0</v>
      </c>
      <c r="AF199" s="15">
        <f t="shared" si="103"/>
        <v>0</v>
      </c>
      <c r="AG199" s="15">
        <f t="shared" si="103"/>
        <v>0</v>
      </c>
      <c r="AH199" s="27"/>
    </row>
    <row r="200" spans="1:34" x14ac:dyDescent="0.25">
      <c r="A200" s="31" t="s">
        <v>279</v>
      </c>
      <c r="B200" s="31" t="s">
        <v>280</v>
      </c>
      <c r="C200" s="64">
        <v>0</v>
      </c>
      <c r="D200" s="64">
        <f t="shared" ref="D200:O200" si="107">C200+($C200*(0.035/12))</f>
        <v>0</v>
      </c>
      <c r="E200" s="64">
        <f t="shared" si="107"/>
        <v>0</v>
      </c>
      <c r="F200" s="64">
        <f t="shared" si="107"/>
        <v>0</v>
      </c>
      <c r="G200" s="64">
        <f t="shared" si="107"/>
        <v>0</v>
      </c>
      <c r="H200" s="64">
        <f t="shared" si="107"/>
        <v>0</v>
      </c>
      <c r="I200" s="64">
        <f t="shared" si="107"/>
        <v>0</v>
      </c>
      <c r="J200" s="64">
        <f t="shared" si="107"/>
        <v>0</v>
      </c>
      <c r="K200" s="64">
        <f t="shared" si="107"/>
        <v>0</v>
      </c>
      <c r="L200" s="64">
        <f t="shared" si="107"/>
        <v>0</v>
      </c>
      <c r="M200" s="64">
        <f t="shared" si="107"/>
        <v>0</v>
      </c>
      <c r="N200" s="64">
        <f t="shared" si="107"/>
        <v>0</v>
      </c>
      <c r="O200" s="64">
        <f t="shared" si="107"/>
        <v>0</v>
      </c>
      <c r="P200" s="2">
        <f t="shared" si="105"/>
        <v>0</v>
      </c>
      <c r="Q200" s="2">
        <f t="shared" si="101"/>
        <v>0</v>
      </c>
      <c r="R200" s="15" t="s">
        <v>503</v>
      </c>
      <c r="S200" s="15" t="s">
        <v>34</v>
      </c>
      <c r="T200" s="15">
        <f t="shared" si="102"/>
        <v>0</v>
      </c>
      <c r="U200" s="15">
        <f t="shared" si="102"/>
        <v>0</v>
      </c>
      <c r="V200" s="15">
        <f t="shared" si="102"/>
        <v>0</v>
      </c>
      <c r="W200" s="15">
        <f t="shared" si="102"/>
        <v>0</v>
      </c>
      <c r="X200" s="15">
        <f t="shared" si="102"/>
        <v>0</v>
      </c>
      <c r="Y200" s="15">
        <f t="shared" si="102"/>
        <v>0</v>
      </c>
      <c r="Z200" s="15"/>
      <c r="AA200" s="15" t="s">
        <v>34</v>
      </c>
      <c r="AB200" s="15">
        <f>-$O200*AB$7</f>
        <v>0</v>
      </c>
      <c r="AC200" s="15">
        <f t="shared" si="103"/>
        <v>0</v>
      </c>
      <c r="AD200" s="15">
        <f t="shared" si="103"/>
        <v>0</v>
      </c>
      <c r="AE200" s="15">
        <f t="shared" si="103"/>
        <v>0</v>
      </c>
      <c r="AF200" s="15">
        <f t="shared" si="103"/>
        <v>0</v>
      </c>
      <c r="AG200" s="15">
        <f t="shared" si="103"/>
        <v>0</v>
      </c>
      <c r="AH200" s="27"/>
    </row>
    <row r="201" spans="1:34" x14ac:dyDescent="0.25">
      <c r="A201" s="35"/>
      <c r="B201" s="35"/>
      <c r="C201" s="36" t="s">
        <v>67</v>
      </c>
      <c r="D201" s="36" t="s">
        <v>67</v>
      </c>
      <c r="E201" s="36" t="s">
        <v>67</v>
      </c>
      <c r="F201" s="36" t="s">
        <v>67</v>
      </c>
      <c r="G201" s="36" t="s">
        <v>67</v>
      </c>
      <c r="H201" s="36" t="s">
        <v>67</v>
      </c>
      <c r="I201" s="36" t="s">
        <v>67</v>
      </c>
      <c r="J201" s="36" t="s">
        <v>67</v>
      </c>
      <c r="K201" s="36" t="s">
        <v>67</v>
      </c>
      <c r="L201" s="36" t="s">
        <v>67</v>
      </c>
      <c r="M201" s="36" t="s">
        <v>67</v>
      </c>
      <c r="N201" s="36" t="s">
        <v>67</v>
      </c>
      <c r="O201" s="36" t="s">
        <v>67</v>
      </c>
      <c r="P201" s="36" t="s">
        <v>67</v>
      </c>
      <c r="Q201" s="36" t="s">
        <v>67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27"/>
    </row>
    <row r="202" spans="1:34" x14ac:dyDescent="0.25">
      <c r="A202" s="37" t="s">
        <v>281</v>
      </c>
      <c r="B202" s="38"/>
      <c r="C202" s="147">
        <f>SUM(C197:C200)</f>
        <v>743956</v>
      </c>
      <c r="D202" s="147">
        <f t="shared" ref="D202:O202" si="108">SUM(D195:D200)</f>
        <v>746125.87166666659</v>
      </c>
      <c r="E202" s="39">
        <f t="shared" si="108"/>
        <v>748295.74333333329</v>
      </c>
      <c r="F202" s="39">
        <f t="shared" si="108"/>
        <v>750465.61499999999</v>
      </c>
      <c r="G202" s="39">
        <f t="shared" si="108"/>
        <v>752635.48666666658</v>
      </c>
      <c r="H202" s="39">
        <f t="shared" si="108"/>
        <v>754805.35833333316</v>
      </c>
      <c r="I202" s="39">
        <f t="shared" si="108"/>
        <v>756975.22999999986</v>
      </c>
      <c r="J202" s="39">
        <f t="shared" si="108"/>
        <v>759145.10166666657</v>
      </c>
      <c r="K202" s="39">
        <f t="shared" si="108"/>
        <v>761314.97333333315</v>
      </c>
      <c r="L202" s="39">
        <f t="shared" si="108"/>
        <v>763484.84499999974</v>
      </c>
      <c r="M202" s="39">
        <f t="shared" si="108"/>
        <v>765654.71666666644</v>
      </c>
      <c r="N202" s="39">
        <f t="shared" si="108"/>
        <v>767824.58833333314</v>
      </c>
      <c r="O202" s="39">
        <f t="shared" si="108"/>
        <v>769994.45999999973</v>
      </c>
      <c r="P202" s="39">
        <f t="shared" ref="P202:Q202" si="109">SUM(P197:P200)</f>
        <v>9840677.9899999984</v>
      </c>
      <c r="Q202" s="39">
        <f t="shared" si="109"/>
        <v>756975.22999999986</v>
      </c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27"/>
    </row>
    <row r="203" spans="1:34" x14ac:dyDescent="0.25">
      <c r="A203" s="35"/>
      <c r="B203" s="35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27"/>
    </row>
    <row r="204" spans="1:34" x14ac:dyDescent="0.25">
      <c r="A204" s="37" t="s">
        <v>282</v>
      </c>
      <c r="B204" s="38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27"/>
    </row>
    <row r="205" spans="1:34" x14ac:dyDescent="0.25">
      <c r="A205" s="31" t="s">
        <v>283</v>
      </c>
      <c r="B205" s="31" t="s">
        <v>284</v>
      </c>
      <c r="C205" s="64">
        <v>154852</v>
      </c>
      <c r="D205" s="150">
        <f t="shared" ref="D205:O205" si="110">C205+($C205*(0.035/12))</f>
        <v>155303.65166666667</v>
      </c>
      <c r="E205" s="64">
        <f t="shared" si="110"/>
        <v>155755.30333333334</v>
      </c>
      <c r="F205" s="64">
        <f t="shared" si="110"/>
        <v>156206.95500000002</v>
      </c>
      <c r="G205" s="64">
        <f t="shared" si="110"/>
        <v>156658.60666666669</v>
      </c>
      <c r="H205" s="64">
        <f t="shared" si="110"/>
        <v>157110.25833333336</v>
      </c>
      <c r="I205" s="64">
        <f t="shared" si="110"/>
        <v>157561.91000000003</v>
      </c>
      <c r="J205" s="64">
        <f t="shared" si="110"/>
        <v>158013.5616666667</v>
      </c>
      <c r="K205" s="64">
        <f t="shared" si="110"/>
        <v>158465.21333333338</v>
      </c>
      <c r="L205" s="64">
        <f t="shared" si="110"/>
        <v>158916.86500000005</v>
      </c>
      <c r="M205" s="64">
        <f t="shared" si="110"/>
        <v>159368.51666666672</v>
      </c>
      <c r="N205" s="64">
        <f t="shared" si="110"/>
        <v>159820.16833333339</v>
      </c>
      <c r="O205" s="64">
        <f t="shared" si="110"/>
        <v>160271.82000000007</v>
      </c>
      <c r="P205" s="2">
        <f t="shared" ref="P205:P210" si="111">SUM(C205:O205)</f>
        <v>2048304.8300000003</v>
      </c>
      <c r="Q205" s="2">
        <f t="shared" ref="Q205:Q210" si="112">P205/13</f>
        <v>157561.91000000003</v>
      </c>
      <c r="R205" s="15" t="s">
        <v>503</v>
      </c>
      <c r="S205" s="15" t="s">
        <v>34</v>
      </c>
      <c r="T205" s="15">
        <f>-$Q205*T$6</f>
        <v>-39705.601320000009</v>
      </c>
      <c r="U205" s="15">
        <f t="shared" ref="U205:Y205" si="113">-$Q205*U$6</f>
        <v>-81932.193200000023</v>
      </c>
      <c r="V205" s="15">
        <f t="shared" si="113"/>
        <v>0</v>
      </c>
      <c r="W205" s="15">
        <f t="shared" si="113"/>
        <v>0</v>
      </c>
      <c r="X205" s="15">
        <f t="shared" si="113"/>
        <v>0</v>
      </c>
      <c r="Y205" s="15">
        <f t="shared" si="113"/>
        <v>-35924.115480000008</v>
      </c>
      <c r="Z205" s="15"/>
      <c r="AA205" s="15" t="s">
        <v>34</v>
      </c>
      <c r="AB205" s="15">
        <f>-$O205*AB$6</f>
        <v>-40388.49864000002</v>
      </c>
      <c r="AC205" s="15">
        <f t="shared" ref="AC205:AH205" si="114">-$O205*AC$6</f>
        <v>-83341.346400000039</v>
      </c>
      <c r="AD205" s="15">
        <f t="shared" si="114"/>
        <v>0</v>
      </c>
      <c r="AE205" s="15">
        <f t="shared" si="114"/>
        <v>0</v>
      </c>
      <c r="AF205" s="15">
        <f t="shared" si="114"/>
        <v>0</v>
      </c>
      <c r="AG205" s="15">
        <f>-$O205*AG$6</f>
        <v>-36541.974960000014</v>
      </c>
      <c r="AH205" s="15">
        <f t="shared" si="114"/>
        <v>0</v>
      </c>
    </row>
    <row r="206" spans="1:34" x14ac:dyDescent="0.25">
      <c r="A206" s="31" t="s">
        <v>285</v>
      </c>
      <c r="B206" s="31" t="s">
        <v>286</v>
      </c>
      <c r="C206" s="64">
        <v>161538</v>
      </c>
      <c r="D206" s="150">
        <v>161668.9</v>
      </c>
      <c r="E206" s="64">
        <v>69268.600000000006</v>
      </c>
      <c r="F206" s="64">
        <v>69400.820000000007</v>
      </c>
      <c r="G206" s="64">
        <v>69533.31</v>
      </c>
      <c r="H206" s="64">
        <v>69666.19</v>
      </c>
      <c r="I206" s="64">
        <v>69799.510000000009</v>
      </c>
      <c r="J206" s="64">
        <v>69933.22</v>
      </c>
      <c r="K206" s="64">
        <v>70067.360000000001</v>
      </c>
      <c r="L206" s="64">
        <v>70201.91</v>
      </c>
      <c r="M206" s="64">
        <v>70336.87</v>
      </c>
      <c r="N206" s="64">
        <v>70472.260000000009</v>
      </c>
      <c r="O206" s="64">
        <v>70608.070000000007</v>
      </c>
      <c r="P206" s="2">
        <f t="shared" si="111"/>
        <v>1092495.02</v>
      </c>
      <c r="Q206" s="2">
        <f t="shared" si="112"/>
        <v>84038.078461538462</v>
      </c>
      <c r="R206" s="15" t="s">
        <v>504</v>
      </c>
      <c r="S206" s="15" t="s">
        <v>34</v>
      </c>
      <c r="T206" s="15">
        <f t="shared" ref="T206:Y210" si="115">-$Q206*T$7</f>
        <v>-16135.311064615385</v>
      </c>
      <c r="U206" s="15">
        <f t="shared" si="115"/>
        <v>-33287.482878615388</v>
      </c>
      <c r="V206" s="151">
        <f t="shared" si="115"/>
        <v>-11513.216749230771</v>
      </c>
      <c r="W206" s="151">
        <f t="shared" si="115"/>
        <v>-268.92185107692308</v>
      </c>
      <c r="X206" s="151">
        <f t="shared" si="115"/>
        <v>-184.88377261538463</v>
      </c>
      <c r="Y206" s="15">
        <f t="shared" si="115"/>
        <v>-22648.262145384619</v>
      </c>
      <c r="Z206" s="15"/>
      <c r="AA206" s="15" t="s">
        <v>34</v>
      </c>
      <c r="AB206" s="15">
        <f t="shared" ref="AB206:AG210" si="116">-$O206*AB$7</f>
        <v>-13556.749440000001</v>
      </c>
      <c r="AC206" s="15">
        <f t="shared" si="116"/>
        <v>-27967.856527000004</v>
      </c>
      <c r="AD206" s="15">
        <f t="shared" si="116"/>
        <v>-9673.3055900000018</v>
      </c>
      <c r="AE206" s="15">
        <f t="shared" si="116"/>
        <v>-225.94582400000004</v>
      </c>
      <c r="AF206" s="15">
        <f t="shared" si="116"/>
        <v>-155.33775400000002</v>
      </c>
      <c r="AG206" s="15">
        <f t="shared" si="116"/>
        <v>-19028.874865000002</v>
      </c>
      <c r="AH206" s="27">
        <f t="shared" ref="AH206:AH210" si="117">SUM(AB206:AG206)+O206</f>
        <v>0</v>
      </c>
    </row>
    <row r="207" spans="1:34" x14ac:dyDescent="0.25">
      <c r="A207" s="31" t="s">
        <v>287</v>
      </c>
      <c r="B207" s="31" t="s">
        <v>288</v>
      </c>
      <c r="C207" s="64">
        <v>1081</v>
      </c>
      <c r="D207" s="150">
        <f t="shared" ref="D207:O207" si="118">C207+($C207*(0.035/12))</f>
        <v>1084.1529166666667</v>
      </c>
      <c r="E207" s="64">
        <f t="shared" si="118"/>
        <v>1087.3058333333333</v>
      </c>
      <c r="F207" s="64">
        <f t="shared" si="118"/>
        <v>1090.45875</v>
      </c>
      <c r="G207" s="64">
        <f t="shared" si="118"/>
        <v>1093.6116666666667</v>
      </c>
      <c r="H207" s="64">
        <f t="shared" si="118"/>
        <v>1096.7645833333333</v>
      </c>
      <c r="I207" s="64">
        <f t="shared" si="118"/>
        <v>1099.9175</v>
      </c>
      <c r="J207" s="64">
        <f t="shared" si="118"/>
        <v>1103.0704166666667</v>
      </c>
      <c r="K207" s="64">
        <f t="shared" si="118"/>
        <v>1106.2233333333334</v>
      </c>
      <c r="L207" s="64">
        <f t="shared" si="118"/>
        <v>1109.37625</v>
      </c>
      <c r="M207" s="64">
        <f t="shared" si="118"/>
        <v>1112.5291666666667</v>
      </c>
      <c r="N207" s="64">
        <f t="shared" si="118"/>
        <v>1115.6820833333334</v>
      </c>
      <c r="O207" s="64">
        <f t="shared" si="118"/>
        <v>1118.835</v>
      </c>
      <c r="P207" s="2">
        <f t="shared" si="111"/>
        <v>14298.927500000002</v>
      </c>
      <c r="Q207" s="2">
        <f t="shared" si="112"/>
        <v>1099.9175</v>
      </c>
      <c r="R207" s="15" t="s">
        <v>503</v>
      </c>
      <c r="S207" s="15" t="s">
        <v>34</v>
      </c>
      <c r="T207" s="15">
        <f t="shared" si="115"/>
        <v>-211.18416000000002</v>
      </c>
      <c r="U207" s="15">
        <f t="shared" si="115"/>
        <v>-435.67732175000003</v>
      </c>
      <c r="V207" s="151">
        <f t="shared" si="115"/>
        <v>-150.68869750000002</v>
      </c>
      <c r="W207" s="15">
        <f t="shared" si="115"/>
        <v>-3.5197360000000004</v>
      </c>
      <c r="X207" s="15">
        <f t="shared" si="115"/>
        <v>-2.4198185000000003</v>
      </c>
      <c r="Y207" s="15">
        <f t="shared" si="115"/>
        <v>-296.42776625000005</v>
      </c>
      <c r="Z207" s="15"/>
      <c r="AA207" s="15" t="s">
        <v>34</v>
      </c>
      <c r="AB207" s="15">
        <f t="shared" si="116"/>
        <v>-214.81632000000002</v>
      </c>
      <c r="AC207" s="15">
        <f t="shared" si="116"/>
        <v>-443.17054350000001</v>
      </c>
      <c r="AD207" s="15">
        <f t="shared" si="116"/>
        <v>-153.28039500000003</v>
      </c>
      <c r="AE207" s="15">
        <f t="shared" si="116"/>
        <v>-3.5802720000000003</v>
      </c>
      <c r="AF207" s="15">
        <f t="shared" si="116"/>
        <v>-2.4614370000000001</v>
      </c>
      <c r="AG207" s="15">
        <f t="shared" si="116"/>
        <v>-301.52603250000004</v>
      </c>
      <c r="AH207" s="27">
        <f t="shared" si="117"/>
        <v>0</v>
      </c>
    </row>
    <row r="208" spans="1:34" x14ac:dyDescent="0.25">
      <c r="A208" s="31" t="s">
        <v>289</v>
      </c>
      <c r="B208" s="31" t="s">
        <v>290</v>
      </c>
      <c r="C208" s="64">
        <v>-10</v>
      </c>
      <c r="D208" s="150">
        <f t="shared" ref="D208:O208" si="119">C208+($C208*(0.035/12))</f>
        <v>-10.029166666666667</v>
      </c>
      <c r="E208" s="64">
        <f t="shared" si="119"/>
        <v>-10.058333333333334</v>
      </c>
      <c r="F208" s="64">
        <f t="shared" si="119"/>
        <v>-10.0875</v>
      </c>
      <c r="G208" s="64">
        <f t="shared" si="119"/>
        <v>-10.116666666666667</v>
      </c>
      <c r="H208" s="64">
        <f t="shared" si="119"/>
        <v>-10.145833333333334</v>
      </c>
      <c r="I208" s="64">
        <f t="shared" si="119"/>
        <v>-10.175000000000001</v>
      </c>
      <c r="J208" s="64">
        <f t="shared" si="119"/>
        <v>-10.204166666666667</v>
      </c>
      <c r="K208" s="64">
        <f t="shared" si="119"/>
        <v>-10.233333333333334</v>
      </c>
      <c r="L208" s="64">
        <f t="shared" si="119"/>
        <v>-10.262500000000001</v>
      </c>
      <c r="M208" s="64">
        <f t="shared" si="119"/>
        <v>-10.291666666666668</v>
      </c>
      <c r="N208" s="64">
        <f t="shared" si="119"/>
        <v>-10.320833333333335</v>
      </c>
      <c r="O208" s="64">
        <f t="shared" si="119"/>
        <v>-10.350000000000001</v>
      </c>
      <c r="P208" s="2">
        <f t="shared" si="111"/>
        <v>-132.27500000000003</v>
      </c>
      <c r="Q208" s="2">
        <f t="shared" si="112"/>
        <v>-10.175000000000002</v>
      </c>
      <c r="R208" s="15" t="s">
        <v>503</v>
      </c>
      <c r="S208" s="15" t="s">
        <v>34</v>
      </c>
      <c r="T208" s="15">
        <f t="shared" si="115"/>
        <v>1.9536000000000004</v>
      </c>
      <c r="U208" s="15">
        <f t="shared" si="115"/>
        <v>4.0303175000000007</v>
      </c>
      <c r="V208" s="151">
        <f t="shared" si="115"/>
        <v>1.3939750000000004</v>
      </c>
      <c r="W208" s="15">
        <f t="shared" si="115"/>
        <v>3.2560000000000013E-2</v>
      </c>
      <c r="X208" s="15">
        <f t="shared" si="115"/>
        <v>2.2385000000000006E-2</v>
      </c>
      <c r="Y208" s="15">
        <f t="shared" si="115"/>
        <v>2.7421625000000009</v>
      </c>
      <c r="Z208" s="15"/>
      <c r="AA208" s="15" t="s">
        <v>34</v>
      </c>
      <c r="AB208" s="15">
        <f t="shared" si="116"/>
        <v>1.9872000000000003</v>
      </c>
      <c r="AC208" s="15">
        <f t="shared" si="116"/>
        <v>4.099635000000001</v>
      </c>
      <c r="AD208" s="15">
        <f t="shared" si="116"/>
        <v>1.4179500000000003</v>
      </c>
      <c r="AE208" s="15">
        <f t="shared" si="116"/>
        <v>3.3120000000000004E-2</v>
      </c>
      <c r="AF208" s="15">
        <f t="shared" si="116"/>
        <v>2.2770000000000006E-2</v>
      </c>
      <c r="AG208" s="15">
        <f t="shared" si="116"/>
        <v>2.7893250000000007</v>
      </c>
      <c r="AH208" s="27">
        <f t="shared" si="117"/>
        <v>0</v>
      </c>
    </row>
    <row r="209" spans="1:34" x14ac:dyDescent="0.25">
      <c r="A209" s="31" t="s">
        <v>291</v>
      </c>
      <c r="B209" s="31" t="s">
        <v>292</v>
      </c>
      <c r="C209" s="64">
        <v>-9971</v>
      </c>
      <c r="D209" s="150">
        <f t="shared" ref="D209:O209" si="120">C209+($C209*(0.035/12))</f>
        <v>-10000.082083333333</v>
      </c>
      <c r="E209" s="64">
        <f t="shared" si="120"/>
        <v>-10029.164166666666</v>
      </c>
      <c r="F209" s="64">
        <f t="shared" si="120"/>
        <v>-10058.246249999998</v>
      </c>
      <c r="G209" s="64">
        <f t="shared" si="120"/>
        <v>-10087.328333333331</v>
      </c>
      <c r="H209" s="64">
        <f t="shared" si="120"/>
        <v>-10116.410416666664</v>
      </c>
      <c r="I209" s="64">
        <f t="shared" si="120"/>
        <v>-10145.492499999997</v>
      </c>
      <c r="J209" s="64">
        <f t="shared" si="120"/>
        <v>-10174.574583333329</v>
      </c>
      <c r="K209" s="64">
        <f t="shared" si="120"/>
        <v>-10203.656666666662</v>
      </c>
      <c r="L209" s="64">
        <f t="shared" si="120"/>
        <v>-10232.738749999995</v>
      </c>
      <c r="M209" s="64">
        <f t="shared" si="120"/>
        <v>-10261.820833333328</v>
      </c>
      <c r="N209" s="64">
        <f t="shared" si="120"/>
        <v>-10290.902916666661</v>
      </c>
      <c r="O209" s="64">
        <f t="shared" si="120"/>
        <v>-10319.984999999993</v>
      </c>
      <c r="P209" s="2">
        <f t="shared" si="111"/>
        <v>-131891.40249999997</v>
      </c>
      <c r="Q209" s="2">
        <f t="shared" si="112"/>
        <v>-10145.492499999997</v>
      </c>
      <c r="R209" s="15" t="s">
        <v>503</v>
      </c>
      <c r="S209" s="15" t="s">
        <v>34</v>
      </c>
      <c r="T209" s="15">
        <f t="shared" si="115"/>
        <v>1947.9345599999995</v>
      </c>
      <c r="U209" s="15">
        <f t="shared" si="115"/>
        <v>4018.6295792499986</v>
      </c>
      <c r="V209" s="151">
        <f t="shared" si="115"/>
        <v>1389.9324724999997</v>
      </c>
      <c r="W209" s="15">
        <f t="shared" si="115"/>
        <v>32.465575999999992</v>
      </c>
      <c r="X209" s="15">
        <f t="shared" si="115"/>
        <v>22.320083499999996</v>
      </c>
      <c r="Y209" s="15">
        <f t="shared" si="115"/>
        <v>2734.2102287499993</v>
      </c>
      <c r="Z209" s="15"/>
      <c r="AA209" s="15" t="s">
        <v>34</v>
      </c>
      <c r="AB209" s="15">
        <f t="shared" si="116"/>
        <v>1981.4371199999987</v>
      </c>
      <c r="AC209" s="15">
        <f t="shared" si="116"/>
        <v>4087.7460584999976</v>
      </c>
      <c r="AD209" s="15">
        <f t="shared" si="116"/>
        <v>1413.8379449999991</v>
      </c>
      <c r="AE209" s="15">
        <f t="shared" si="116"/>
        <v>33.02395199999998</v>
      </c>
      <c r="AF209" s="15">
        <f t="shared" si="116"/>
        <v>22.703966999999988</v>
      </c>
      <c r="AG209" s="15">
        <f t="shared" si="116"/>
        <v>2781.2359574999982</v>
      </c>
      <c r="AH209" s="27">
        <f t="shared" si="117"/>
        <v>0</v>
      </c>
    </row>
    <row r="210" spans="1:34" x14ac:dyDescent="0.25">
      <c r="A210" s="31" t="s">
        <v>293</v>
      </c>
      <c r="B210" s="31" t="s">
        <v>294</v>
      </c>
      <c r="C210" s="64">
        <v>-1269</v>
      </c>
      <c r="D210" s="150">
        <f t="shared" ref="D210:O210" si="121">C210+($C210*(0.035/12))</f>
        <v>-1272.7012500000001</v>
      </c>
      <c r="E210" s="64">
        <f t="shared" si="121"/>
        <v>-1276.4025000000001</v>
      </c>
      <c r="F210" s="64">
        <f t="shared" si="121"/>
        <v>-1280.1037500000002</v>
      </c>
      <c r="G210" s="64">
        <f t="shared" si="121"/>
        <v>-1283.8050000000003</v>
      </c>
      <c r="H210" s="64">
        <f t="shared" si="121"/>
        <v>-1287.5062500000004</v>
      </c>
      <c r="I210" s="64">
        <f t="shared" si="121"/>
        <v>-1291.2075000000004</v>
      </c>
      <c r="J210" s="64">
        <f t="shared" si="121"/>
        <v>-1294.9087500000005</v>
      </c>
      <c r="K210" s="64">
        <f t="shared" si="121"/>
        <v>-1298.6100000000006</v>
      </c>
      <c r="L210" s="64">
        <f t="shared" si="121"/>
        <v>-1302.3112500000007</v>
      </c>
      <c r="M210" s="64">
        <f t="shared" si="121"/>
        <v>-1306.0125000000007</v>
      </c>
      <c r="N210" s="64">
        <f t="shared" si="121"/>
        <v>-1309.7137500000008</v>
      </c>
      <c r="O210" s="64">
        <f t="shared" si="121"/>
        <v>-1313.4150000000009</v>
      </c>
      <c r="P210" s="2">
        <f t="shared" si="111"/>
        <v>-16785.697500000006</v>
      </c>
      <c r="Q210" s="2">
        <f t="shared" si="112"/>
        <v>-1291.2075000000004</v>
      </c>
      <c r="R210" s="15" t="s">
        <v>503</v>
      </c>
      <c r="S210" s="15" t="s">
        <v>34</v>
      </c>
      <c r="T210" s="15">
        <f t="shared" si="115"/>
        <v>247.9118400000001</v>
      </c>
      <c r="U210" s="15">
        <f t="shared" si="115"/>
        <v>511.44729075000021</v>
      </c>
      <c r="V210" s="151">
        <f t="shared" si="115"/>
        <v>176.89542750000007</v>
      </c>
      <c r="W210" s="15">
        <f t="shared" si="115"/>
        <v>4.131864000000002</v>
      </c>
      <c r="X210" s="15">
        <f t="shared" si="115"/>
        <v>2.840656500000001</v>
      </c>
      <c r="Y210" s="15">
        <f t="shared" si="115"/>
        <v>347.98042125000012</v>
      </c>
      <c r="Z210" s="15"/>
      <c r="AA210" s="15" t="s">
        <v>34</v>
      </c>
      <c r="AB210" s="15">
        <f t="shared" si="116"/>
        <v>252.17568000000017</v>
      </c>
      <c r="AC210" s="15">
        <f t="shared" si="116"/>
        <v>520.24368150000032</v>
      </c>
      <c r="AD210" s="15">
        <f t="shared" si="116"/>
        <v>179.93785500000013</v>
      </c>
      <c r="AE210" s="15">
        <f t="shared" si="116"/>
        <v>4.2029280000000027</v>
      </c>
      <c r="AF210" s="15">
        <f t="shared" si="116"/>
        <v>2.8895130000000022</v>
      </c>
      <c r="AG210" s="15">
        <f t="shared" si="116"/>
        <v>353.96534250000025</v>
      </c>
      <c r="AH210" s="27">
        <f t="shared" si="117"/>
        <v>0</v>
      </c>
    </row>
    <row r="211" spans="1:34" x14ac:dyDescent="0.25">
      <c r="A211" s="35"/>
      <c r="B211" s="35"/>
      <c r="C211" s="36" t="s">
        <v>67</v>
      </c>
      <c r="D211" s="36" t="s">
        <v>67</v>
      </c>
      <c r="E211" s="36" t="s">
        <v>67</v>
      </c>
      <c r="F211" s="36" t="s">
        <v>67</v>
      </c>
      <c r="G211" s="36" t="s">
        <v>67</v>
      </c>
      <c r="H211" s="36" t="s">
        <v>67</v>
      </c>
      <c r="I211" s="36" t="s">
        <v>67</v>
      </c>
      <c r="J211" s="36" t="s">
        <v>67</v>
      </c>
      <c r="K211" s="36" t="s">
        <v>67</v>
      </c>
      <c r="L211" s="36" t="s">
        <v>67</v>
      </c>
      <c r="M211" s="36" t="s">
        <v>67</v>
      </c>
      <c r="N211" s="36" t="s">
        <v>67</v>
      </c>
      <c r="O211" s="36" t="s">
        <v>67</v>
      </c>
      <c r="P211" s="36" t="s">
        <v>67</v>
      </c>
      <c r="Q211" s="36" t="s">
        <v>67</v>
      </c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27"/>
    </row>
    <row r="212" spans="1:34" x14ac:dyDescent="0.25">
      <c r="A212" s="37" t="s">
        <v>295</v>
      </c>
      <c r="B212" s="38"/>
      <c r="C212" s="39">
        <f>SUM(C205:C210)</f>
        <v>306221</v>
      </c>
      <c r="D212" s="39">
        <f t="shared" ref="D212:Q212" si="122">SUM(D205:D210)</f>
        <v>306773.89208333328</v>
      </c>
      <c r="E212" s="39">
        <f t="shared" si="122"/>
        <v>214795.58416666673</v>
      </c>
      <c r="F212" s="39">
        <f t="shared" si="122"/>
        <v>215349.79625000001</v>
      </c>
      <c r="G212" s="39">
        <f t="shared" si="122"/>
        <v>215904.27833333335</v>
      </c>
      <c r="H212" s="39">
        <f t="shared" si="122"/>
        <v>216459.1504166667</v>
      </c>
      <c r="I212" s="39">
        <f t="shared" si="122"/>
        <v>217014.46250000008</v>
      </c>
      <c r="J212" s="39">
        <f t="shared" si="122"/>
        <v>217570.16458333336</v>
      </c>
      <c r="K212" s="39">
        <f t="shared" si="122"/>
        <v>218126.29666666669</v>
      </c>
      <c r="L212" s="39">
        <f t="shared" si="122"/>
        <v>218682.83875000005</v>
      </c>
      <c r="M212" s="39">
        <f t="shared" si="122"/>
        <v>219239.79083333339</v>
      </c>
      <c r="N212" s="39">
        <f t="shared" si="122"/>
        <v>219797.17291666675</v>
      </c>
      <c r="O212" s="39">
        <f t="shared" si="122"/>
        <v>220354.97500000006</v>
      </c>
      <c r="P212" s="39">
        <f t="shared" si="122"/>
        <v>3006289.4025000012</v>
      </c>
      <c r="Q212" s="39">
        <f t="shared" si="122"/>
        <v>231253.03096153855</v>
      </c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27"/>
    </row>
    <row r="213" spans="1:34" x14ac:dyDescent="0.25">
      <c r="A213" s="35"/>
      <c r="B213" s="35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27"/>
    </row>
    <row r="214" spans="1:34" ht="15.75" x14ac:dyDescent="0.3">
      <c r="A214" s="56" t="s">
        <v>296</v>
      </c>
      <c r="B214" s="54"/>
      <c r="C214" s="55">
        <f>C212+C202+C194+C184+C178</f>
        <v>3779073</v>
      </c>
      <c r="D214" s="55">
        <f t="shared" ref="D214:Q214" si="123">D212+D202+D194+D184+D178</f>
        <v>7281189.6634500008</v>
      </c>
      <c r="E214" s="55">
        <f t="shared" si="123"/>
        <v>7197429.0494666668</v>
      </c>
      <c r="F214" s="55">
        <f t="shared" si="123"/>
        <v>7206200.9554833341</v>
      </c>
      <c r="G214" s="55">
        <f t="shared" si="123"/>
        <v>7214973.1315000001</v>
      </c>
      <c r="H214" s="55">
        <f t="shared" si="123"/>
        <v>7223745.6975166667</v>
      </c>
      <c r="I214" s="55">
        <f t="shared" si="123"/>
        <v>7232518.7035333337</v>
      </c>
      <c r="J214" s="55">
        <f t="shared" si="123"/>
        <v>7241292.0995499995</v>
      </c>
      <c r="K214" s="55">
        <f t="shared" si="123"/>
        <v>7250065.9255666658</v>
      </c>
      <c r="L214" s="55">
        <f t="shared" si="123"/>
        <v>7258840.1615833323</v>
      </c>
      <c r="M214" s="55">
        <f t="shared" si="123"/>
        <v>7267614.807599999</v>
      </c>
      <c r="N214" s="55">
        <f t="shared" si="123"/>
        <v>7276389.8836166663</v>
      </c>
      <c r="O214" s="55">
        <f t="shared" si="123"/>
        <v>7285165.3796333326</v>
      </c>
      <c r="P214" s="55">
        <f t="shared" si="123"/>
        <v>90714498.458499998</v>
      </c>
      <c r="Q214" s="55">
        <f t="shared" si="123"/>
        <v>6978038.3429615386</v>
      </c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27"/>
    </row>
    <row r="215" spans="1:34" x14ac:dyDescent="0.25">
      <c r="A215" s="35"/>
      <c r="B215" s="35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27"/>
    </row>
    <row r="216" spans="1:34" ht="15.75" x14ac:dyDescent="0.3">
      <c r="A216" s="56" t="s">
        <v>297</v>
      </c>
      <c r="B216" s="54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27"/>
    </row>
    <row r="217" spans="1:34" x14ac:dyDescent="0.25">
      <c r="A217" s="37" t="s">
        <v>298</v>
      </c>
      <c r="B217" s="38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15"/>
      <c r="S217" s="15" t="s">
        <v>299</v>
      </c>
      <c r="T217" s="15"/>
      <c r="U217" s="15"/>
      <c r="V217" s="15"/>
      <c r="W217" s="15"/>
      <c r="X217" s="15"/>
      <c r="Y217" s="15"/>
      <c r="Z217" s="15"/>
      <c r="AA217" s="15" t="s">
        <v>299</v>
      </c>
      <c r="AB217" s="15"/>
      <c r="AC217" s="15"/>
      <c r="AD217" s="15"/>
      <c r="AE217" s="15"/>
      <c r="AF217" s="15"/>
      <c r="AG217" s="15"/>
      <c r="AH217" s="27">
        <f>SUM(AB217:AG217)+O217</f>
        <v>0</v>
      </c>
    </row>
    <row r="218" spans="1:34" x14ac:dyDescent="0.25">
      <c r="A218" s="57" t="s">
        <v>300</v>
      </c>
      <c r="B218" s="58" t="s">
        <v>301</v>
      </c>
      <c r="C218" s="64">
        <v>478666</v>
      </c>
      <c r="D218" s="153">
        <v>-58106.789999999994</v>
      </c>
      <c r="E218" s="153">
        <v>-46259.789999999994</v>
      </c>
      <c r="F218" s="153">
        <v>-34412.789999999994</v>
      </c>
      <c r="G218" s="153">
        <v>-22565.789999999994</v>
      </c>
      <c r="H218" s="153">
        <v>-10718.789999999994</v>
      </c>
      <c r="I218" s="153">
        <v>1128.2100000000064</v>
      </c>
      <c r="J218" s="153">
        <v>12975.210000000006</v>
      </c>
      <c r="K218" s="153">
        <v>24822.210000000006</v>
      </c>
      <c r="L218" s="153">
        <v>36669.210000000006</v>
      </c>
      <c r="M218" s="153">
        <v>48516.210000000006</v>
      </c>
      <c r="N218" s="153">
        <v>60363.210000000006</v>
      </c>
      <c r="O218" s="153">
        <v>72210.210000000006</v>
      </c>
      <c r="P218" s="2">
        <f t="shared" ref="P218:P233" si="124">SUM(C218:O218)</f>
        <v>563286.52000000025</v>
      </c>
      <c r="Q218" s="2">
        <f t="shared" ref="Q218:Q233" si="125">P218/13</f>
        <v>43329.732307692328</v>
      </c>
      <c r="R218" s="15" t="s">
        <v>504</v>
      </c>
      <c r="S218" s="15" t="s">
        <v>13</v>
      </c>
      <c r="T218" s="60">
        <f t="shared" ref="T218:Y225" si="126">-$Q218*T$3</f>
        <v>-7025.9160936923108</v>
      </c>
      <c r="U218" s="60">
        <f t="shared" si="126"/>
        <v>-16972.689442246163</v>
      </c>
      <c r="V218" s="60">
        <f t="shared" si="126"/>
        <v>-7967.4711767384642</v>
      </c>
      <c r="W218" s="60">
        <f t="shared" si="126"/>
        <v>-153.82054969230776</v>
      </c>
      <c r="X218" s="60">
        <f t="shared" si="126"/>
        <v>-48.096002861538487</v>
      </c>
      <c r="Y218" s="60">
        <f t="shared" si="126"/>
        <v>-11162.605637107697</v>
      </c>
      <c r="Z218" s="15"/>
      <c r="AA218" s="15" t="s">
        <v>13</v>
      </c>
      <c r="AB218" s="60">
        <f t="shared" ref="AB218:AG225" si="127">-$O218*AB$3</f>
        <v>-11708.8855515</v>
      </c>
      <c r="AC218" s="60">
        <v>23</v>
      </c>
      <c r="AD218" s="60">
        <f t="shared" si="127"/>
        <v>-13278.0134148</v>
      </c>
      <c r="AE218" s="60">
        <f t="shared" si="127"/>
        <v>-256.34624550000001</v>
      </c>
      <c r="AF218" s="60">
        <f t="shared" si="127"/>
        <v>-80.153333100000012</v>
      </c>
      <c r="AG218" s="60">
        <f t="shared" si="127"/>
        <v>-18602.794300200003</v>
      </c>
      <c r="AH218" s="27">
        <f>SUM(AB218:AG218)+O218</f>
        <v>28307.017154900008</v>
      </c>
    </row>
    <row r="219" spans="1:34" x14ac:dyDescent="0.25">
      <c r="A219" s="31" t="s">
        <v>302</v>
      </c>
      <c r="B219" s="31" t="s">
        <v>303</v>
      </c>
      <c r="C219" s="64">
        <v>-645706</v>
      </c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2">
        <f t="shared" si="124"/>
        <v>-645706</v>
      </c>
      <c r="Q219" s="2">
        <f t="shared" si="125"/>
        <v>-49669.692307692305</v>
      </c>
      <c r="R219" s="15" t="s">
        <v>504</v>
      </c>
      <c r="S219" s="15" t="s">
        <v>13</v>
      </c>
      <c r="T219" s="60">
        <f t="shared" si="126"/>
        <v>8053.9406076923069</v>
      </c>
      <c r="U219" s="60">
        <f t="shared" si="126"/>
        <v>19456.115173846152</v>
      </c>
      <c r="V219" s="60">
        <f t="shared" si="126"/>
        <v>9133.2630215384597</v>
      </c>
      <c r="W219" s="60">
        <f t="shared" si="126"/>
        <v>176.3274076923077</v>
      </c>
      <c r="X219" s="60">
        <f t="shared" si="126"/>
        <v>55.133358461538464</v>
      </c>
      <c r="Y219" s="60">
        <f t="shared" si="126"/>
        <v>12795.906132307693</v>
      </c>
      <c r="Z219" s="15"/>
      <c r="AA219" s="15" t="s">
        <v>13</v>
      </c>
      <c r="AB219" s="60">
        <f t="shared" si="127"/>
        <v>0</v>
      </c>
      <c r="AC219" s="60">
        <f t="shared" si="127"/>
        <v>0</v>
      </c>
      <c r="AD219" s="60">
        <f t="shared" si="127"/>
        <v>0</v>
      </c>
      <c r="AE219" s="60">
        <f t="shared" si="127"/>
        <v>0</v>
      </c>
      <c r="AF219" s="60">
        <f t="shared" si="127"/>
        <v>0</v>
      </c>
      <c r="AG219" s="60">
        <f t="shared" si="127"/>
        <v>0</v>
      </c>
      <c r="AH219" s="27"/>
    </row>
    <row r="220" spans="1:34" x14ac:dyDescent="0.25">
      <c r="A220" s="31" t="s">
        <v>304</v>
      </c>
      <c r="B220" s="31" t="s">
        <v>305</v>
      </c>
      <c r="C220" s="64">
        <v>132661</v>
      </c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2">
        <f t="shared" si="124"/>
        <v>132661</v>
      </c>
      <c r="Q220" s="2">
        <f t="shared" si="125"/>
        <v>10204.692307692309</v>
      </c>
      <c r="R220" s="15" t="s">
        <v>504</v>
      </c>
      <c r="S220" s="15" t="s">
        <v>13</v>
      </c>
      <c r="T220" s="60">
        <f t="shared" si="126"/>
        <v>-1654.6908576923076</v>
      </c>
      <c r="U220" s="60">
        <f t="shared" si="126"/>
        <v>-3997.2800238461541</v>
      </c>
      <c r="V220" s="60">
        <f t="shared" si="126"/>
        <v>-1876.4388215384615</v>
      </c>
      <c r="W220" s="60">
        <f t="shared" si="126"/>
        <v>-36.226657692307697</v>
      </c>
      <c r="X220" s="60">
        <f t="shared" si="126"/>
        <v>-11.327208461538463</v>
      </c>
      <c r="Y220" s="60">
        <f t="shared" si="126"/>
        <v>-2628.9328323076925</v>
      </c>
      <c r="Z220" s="15"/>
      <c r="AA220" s="15" t="s">
        <v>13</v>
      </c>
      <c r="AB220" s="60">
        <f t="shared" si="127"/>
        <v>0</v>
      </c>
      <c r="AC220" s="60">
        <f t="shared" si="127"/>
        <v>0</v>
      </c>
      <c r="AD220" s="60">
        <f t="shared" si="127"/>
        <v>0</v>
      </c>
      <c r="AE220" s="60">
        <f t="shared" si="127"/>
        <v>0</v>
      </c>
      <c r="AF220" s="60">
        <f t="shared" si="127"/>
        <v>0</v>
      </c>
      <c r="AG220" s="60">
        <f t="shared" si="127"/>
        <v>0</v>
      </c>
      <c r="AH220" s="27">
        <f t="shared" ref="AH220:AH230" si="128">SUM(AB220:AG220)+O220</f>
        <v>0</v>
      </c>
    </row>
    <row r="221" spans="1:34" x14ac:dyDescent="0.25">
      <c r="A221" s="31" t="s">
        <v>306</v>
      </c>
      <c r="B221" s="31" t="s">
        <v>307</v>
      </c>
      <c r="C221" s="64">
        <v>-178954</v>
      </c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2">
        <f t="shared" si="124"/>
        <v>-178954</v>
      </c>
      <c r="Q221" s="2">
        <f t="shared" si="125"/>
        <v>-13765.692307692309</v>
      </c>
      <c r="R221" s="15" t="s">
        <v>504</v>
      </c>
      <c r="S221" s="15" t="s">
        <v>13</v>
      </c>
      <c r="T221" s="60">
        <f t="shared" si="126"/>
        <v>2232.1070076923079</v>
      </c>
      <c r="U221" s="60">
        <f t="shared" si="126"/>
        <v>5392.1593338461544</v>
      </c>
      <c r="V221" s="60">
        <f t="shared" si="126"/>
        <v>2531.2355015384614</v>
      </c>
      <c r="W221" s="60">
        <f t="shared" si="126"/>
        <v>48.868207692307699</v>
      </c>
      <c r="X221" s="60">
        <f t="shared" si="126"/>
        <v>15.279918461538463</v>
      </c>
      <c r="Y221" s="60">
        <f t="shared" si="126"/>
        <v>3546.3176523076927</v>
      </c>
      <c r="Z221" s="15"/>
      <c r="AA221" s="15" t="s">
        <v>13</v>
      </c>
      <c r="AB221" s="60">
        <f t="shared" si="127"/>
        <v>0</v>
      </c>
      <c r="AC221" s="60">
        <f t="shared" si="127"/>
        <v>0</v>
      </c>
      <c r="AD221" s="60">
        <f t="shared" si="127"/>
        <v>0</v>
      </c>
      <c r="AE221" s="60">
        <f t="shared" si="127"/>
        <v>0</v>
      </c>
      <c r="AF221" s="60">
        <f t="shared" si="127"/>
        <v>0</v>
      </c>
      <c r="AG221" s="60">
        <f t="shared" si="127"/>
        <v>0</v>
      </c>
      <c r="AH221" s="27">
        <f t="shared" si="128"/>
        <v>0</v>
      </c>
    </row>
    <row r="222" spans="1:34" x14ac:dyDescent="0.25">
      <c r="A222" s="31" t="s">
        <v>308</v>
      </c>
      <c r="B222" s="31" t="s">
        <v>309</v>
      </c>
      <c r="C222" s="64">
        <v>0</v>
      </c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2">
        <f t="shared" si="124"/>
        <v>0</v>
      </c>
      <c r="Q222" s="2">
        <f t="shared" si="125"/>
        <v>0</v>
      </c>
      <c r="R222" s="15" t="s">
        <v>504</v>
      </c>
      <c r="S222" s="15" t="s">
        <v>13</v>
      </c>
      <c r="T222" s="60">
        <f t="shared" si="126"/>
        <v>0</v>
      </c>
      <c r="U222" s="60">
        <f t="shared" si="126"/>
        <v>0</v>
      </c>
      <c r="V222" s="60">
        <f t="shared" si="126"/>
        <v>0</v>
      </c>
      <c r="W222" s="60">
        <f t="shared" si="126"/>
        <v>0</v>
      </c>
      <c r="X222" s="60">
        <f t="shared" si="126"/>
        <v>0</v>
      </c>
      <c r="Y222" s="60">
        <f t="shared" si="126"/>
        <v>0</v>
      </c>
      <c r="Z222" s="15"/>
      <c r="AA222" s="15" t="s">
        <v>13</v>
      </c>
      <c r="AB222" s="60">
        <f t="shared" si="127"/>
        <v>0</v>
      </c>
      <c r="AC222" s="60">
        <f t="shared" si="127"/>
        <v>0</v>
      </c>
      <c r="AD222" s="60">
        <f t="shared" si="127"/>
        <v>0</v>
      </c>
      <c r="AE222" s="60">
        <f t="shared" si="127"/>
        <v>0</v>
      </c>
      <c r="AF222" s="60">
        <f t="shared" si="127"/>
        <v>0</v>
      </c>
      <c r="AG222" s="60">
        <f t="shared" si="127"/>
        <v>0</v>
      </c>
      <c r="AH222" s="27">
        <f t="shared" si="128"/>
        <v>0</v>
      </c>
    </row>
    <row r="223" spans="1:34" x14ac:dyDescent="0.25">
      <c r="A223" s="31" t="s">
        <v>310</v>
      </c>
      <c r="B223" s="31" t="s">
        <v>311</v>
      </c>
      <c r="C223" s="64">
        <v>0</v>
      </c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2">
        <f t="shared" si="124"/>
        <v>0</v>
      </c>
      <c r="Q223" s="2">
        <f t="shared" si="125"/>
        <v>0</v>
      </c>
      <c r="R223" s="15" t="s">
        <v>504</v>
      </c>
      <c r="S223" s="15" t="s">
        <v>13</v>
      </c>
      <c r="T223" s="60">
        <f t="shared" si="126"/>
        <v>0</v>
      </c>
      <c r="U223" s="60">
        <f t="shared" si="126"/>
        <v>0</v>
      </c>
      <c r="V223" s="60">
        <f t="shared" si="126"/>
        <v>0</v>
      </c>
      <c r="W223" s="60">
        <f t="shared" si="126"/>
        <v>0</v>
      </c>
      <c r="X223" s="60">
        <f t="shared" si="126"/>
        <v>0</v>
      </c>
      <c r="Y223" s="60">
        <f t="shared" si="126"/>
        <v>0</v>
      </c>
      <c r="Z223" s="15"/>
      <c r="AA223" s="15" t="s">
        <v>13</v>
      </c>
      <c r="AB223" s="60">
        <f t="shared" si="127"/>
        <v>0</v>
      </c>
      <c r="AC223" s="60">
        <f t="shared" si="127"/>
        <v>0</v>
      </c>
      <c r="AD223" s="60">
        <f t="shared" si="127"/>
        <v>0</v>
      </c>
      <c r="AE223" s="60">
        <f t="shared" si="127"/>
        <v>0</v>
      </c>
      <c r="AF223" s="60">
        <f t="shared" si="127"/>
        <v>0</v>
      </c>
      <c r="AG223" s="60">
        <f t="shared" si="127"/>
        <v>0</v>
      </c>
      <c r="AH223" s="27">
        <f t="shared" si="128"/>
        <v>0</v>
      </c>
    </row>
    <row r="224" spans="1:34" x14ac:dyDescent="0.25">
      <c r="A224" s="31" t="s">
        <v>312</v>
      </c>
      <c r="B224" s="31" t="s">
        <v>313</v>
      </c>
      <c r="C224" s="64">
        <v>0</v>
      </c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2">
        <f t="shared" si="124"/>
        <v>0</v>
      </c>
      <c r="Q224" s="2">
        <f t="shared" si="125"/>
        <v>0</v>
      </c>
      <c r="R224" s="15" t="s">
        <v>504</v>
      </c>
      <c r="S224" s="15" t="s">
        <v>13</v>
      </c>
      <c r="T224" s="60">
        <f>-$Q224*T$3</f>
        <v>0</v>
      </c>
      <c r="U224" s="60">
        <f t="shared" si="126"/>
        <v>0</v>
      </c>
      <c r="V224" s="60">
        <f t="shared" si="126"/>
        <v>0</v>
      </c>
      <c r="W224" s="60">
        <f t="shared" si="126"/>
        <v>0</v>
      </c>
      <c r="X224" s="60">
        <f t="shared" si="126"/>
        <v>0</v>
      </c>
      <c r="Y224" s="60">
        <f t="shared" si="126"/>
        <v>0</v>
      </c>
      <c r="Z224" s="15"/>
      <c r="AA224" s="15" t="s">
        <v>13</v>
      </c>
      <c r="AB224" s="60">
        <f>-$O224*AB$3</f>
        <v>0</v>
      </c>
      <c r="AC224" s="60">
        <f t="shared" si="127"/>
        <v>0</v>
      </c>
      <c r="AD224" s="60">
        <f t="shared" si="127"/>
        <v>0</v>
      </c>
      <c r="AE224" s="60">
        <f t="shared" si="127"/>
        <v>0</v>
      </c>
      <c r="AF224" s="60">
        <f t="shared" si="127"/>
        <v>0</v>
      </c>
      <c r="AG224" s="60">
        <f t="shared" si="127"/>
        <v>0</v>
      </c>
      <c r="AH224" s="27">
        <f t="shared" si="128"/>
        <v>0</v>
      </c>
    </row>
    <row r="225" spans="1:34" x14ac:dyDescent="0.25">
      <c r="A225" s="31" t="s">
        <v>314</v>
      </c>
      <c r="B225" s="31" t="s">
        <v>315</v>
      </c>
      <c r="C225" s="64">
        <v>0</v>
      </c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2">
        <f t="shared" si="124"/>
        <v>0</v>
      </c>
      <c r="Q225" s="2">
        <f t="shared" si="125"/>
        <v>0</v>
      </c>
      <c r="R225" s="15" t="s">
        <v>504</v>
      </c>
      <c r="S225" s="15" t="s">
        <v>13</v>
      </c>
      <c r="T225" s="60">
        <f>-$Q225*T$3</f>
        <v>0</v>
      </c>
      <c r="U225" s="60">
        <f t="shared" si="126"/>
        <v>0</v>
      </c>
      <c r="V225" s="60">
        <f t="shared" si="126"/>
        <v>0</v>
      </c>
      <c r="W225" s="60">
        <f t="shared" si="126"/>
        <v>0</v>
      </c>
      <c r="X225" s="60">
        <f t="shared" si="126"/>
        <v>0</v>
      </c>
      <c r="Y225" s="60">
        <f t="shared" si="126"/>
        <v>0</v>
      </c>
      <c r="Z225" s="15"/>
      <c r="AA225" s="15" t="s">
        <v>13</v>
      </c>
      <c r="AB225" s="60">
        <f>-$O225*AB$3</f>
        <v>0</v>
      </c>
      <c r="AC225" s="60">
        <f t="shared" si="127"/>
        <v>0</v>
      </c>
      <c r="AD225" s="60">
        <f t="shared" si="127"/>
        <v>0</v>
      </c>
      <c r="AE225" s="60">
        <f t="shared" si="127"/>
        <v>0</v>
      </c>
      <c r="AF225" s="60">
        <f t="shared" si="127"/>
        <v>0</v>
      </c>
      <c r="AG225" s="60">
        <f t="shared" si="127"/>
        <v>0</v>
      </c>
      <c r="AH225" s="27">
        <f t="shared" si="128"/>
        <v>0</v>
      </c>
    </row>
    <row r="226" spans="1:34" x14ac:dyDescent="0.25">
      <c r="A226" s="31" t="s">
        <v>316</v>
      </c>
      <c r="B226" s="31" t="s">
        <v>317</v>
      </c>
      <c r="C226" s="64">
        <v>0</v>
      </c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2">
        <f t="shared" si="124"/>
        <v>0</v>
      </c>
      <c r="Q226" s="2">
        <f t="shared" si="125"/>
        <v>0</v>
      </c>
      <c r="R226" s="15" t="s">
        <v>504</v>
      </c>
      <c r="S226" s="15" t="s">
        <v>13</v>
      </c>
      <c r="T226" s="60">
        <f t="shared" ref="T226:Y233" si="129">-$Q226*T$3</f>
        <v>0</v>
      </c>
      <c r="U226" s="60">
        <f t="shared" si="129"/>
        <v>0</v>
      </c>
      <c r="V226" s="60">
        <f t="shared" si="129"/>
        <v>0</v>
      </c>
      <c r="W226" s="60">
        <f t="shared" si="129"/>
        <v>0</v>
      </c>
      <c r="X226" s="60">
        <f t="shared" si="129"/>
        <v>0</v>
      </c>
      <c r="Y226" s="60">
        <f t="shared" si="129"/>
        <v>0</v>
      </c>
      <c r="Z226" s="15"/>
      <c r="AA226" s="15" t="s">
        <v>13</v>
      </c>
      <c r="AB226" s="60">
        <f t="shared" ref="AB226:AG233" si="130">-$O226*AB$3</f>
        <v>0</v>
      </c>
      <c r="AC226" s="60">
        <f t="shared" si="130"/>
        <v>0</v>
      </c>
      <c r="AD226" s="60">
        <f t="shared" si="130"/>
        <v>0</v>
      </c>
      <c r="AE226" s="60">
        <f t="shared" si="130"/>
        <v>0</v>
      </c>
      <c r="AF226" s="60">
        <f t="shared" si="130"/>
        <v>0</v>
      </c>
      <c r="AG226" s="60">
        <f t="shared" si="130"/>
        <v>0</v>
      </c>
      <c r="AH226" s="27">
        <f t="shared" si="128"/>
        <v>0</v>
      </c>
    </row>
    <row r="227" spans="1:34" x14ac:dyDescent="0.25">
      <c r="A227" s="31" t="s">
        <v>318</v>
      </c>
      <c r="B227" s="31" t="s">
        <v>319</v>
      </c>
      <c r="C227" s="64">
        <v>0</v>
      </c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2">
        <f t="shared" si="124"/>
        <v>0</v>
      </c>
      <c r="Q227" s="2">
        <f t="shared" si="125"/>
        <v>0</v>
      </c>
      <c r="R227" s="15" t="s">
        <v>504</v>
      </c>
      <c r="S227" s="15" t="s">
        <v>13</v>
      </c>
      <c r="T227" s="60">
        <f t="shared" si="129"/>
        <v>0</v>
      </c>
      <c r="U227" s="60">
        <f t="shared" si="129"/>
        <v>0</v>
      </c>
      <c r="V227" s="60">
        <f t="shared" si="129"/>
        <v>0</v>
      </c>
      <c r="W227" s="60">
        <f t="shared" si="129"/>
        <v>0</v>
      </c>
      <c r="X227" s="60">
        <f t="shared" si="129"/>
        <v>0</v>
      </c>
      <c r="Y227" s="60">
        <f t="shared" si="129"/>
        <v>0</v>
      </c>
      <c r="Z227" s="15"/>
      <c r="AA227" s="15" t="s">
        <v>13</v>
      </c>
      <c r="AB227" s="60">
        <f t="shared" si="130"/>
        <v>0</v>
      </c>
      <c r="AC227" s="60">
        <f t="shared" si="130"/>
        <v>0</v>
      </c>
      <c r="AD227" s="60">
        <f t="shared" si="130"/>
        <v>0</v>
      </c>
      <c r="AE227" s="60">
        <f t="shared" si="130"/>
        <v>0</v>
      </c>
      <c r="AF227" s="60">
        <f t="shared" si="130"/>
        <v>0</v>
      </c>
      <c r="AG227" s="60">
        <f t="shared" si="130"/>
        <v>0</v>
      </c>
      <c r="AH227" s="27">
        <f t="shared" si="128"/>
        <v>0</v>
      </c>
    </row>
    <row r="228" spans="1:34" x14ac:dyDescent="0.25">
      <c r="A228" s="31" t="s">
        <v>320</v>
      </c>
      <c r="B228" s="31" t="s">
        <v>321</v>
      </c>
      <c r="C228" s="64">
        <v>146357</v>
      </c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2">
        <f t="shared" si="124"/>
        <v>146357</v>
      </c>
      <c r="Q228" s="2">
        <f t="shared" si="125"/>
        <v>11258.23076923077</v>
      </c>
      <c r="R228" s="15" t="s">
        <v>504</v>
      </c>
      <c r="S228" s="15" t="s">
        <v>13</v>
      </c>
      <c r="T228" s="60">
        <f t="shared" si="129"/>
        <v>-1825.5221192307692</v>
      </c>
      <c r="U228" s="60">
        <f t="shared" si="129"/>
        <v>-4409.961574615385</v>
      </c>
      <c r="V228" s="60">
        <f t="shared" si="129"/>
        <v>-2070.1634738461539</v>
      </c>
      <c r="W228" s="60">
        <f t="shared" si="129"/>
        <v>-39.966719230769236</v>
      </c>
      <c r="X228" s="60">
        <f t="shared" si="129"/>
        <v>-12.496636153846156</v>
      </c>
      <c r="Y228" s="60">
        <f t="shared" si="129"/>
        <v>-2900.345410769231</v>
      </c>
      <c r="Z228" s="15"/>
      <c r="AA228" s="15" t="s">
        <v>13</v>
      </c>
      <c r="AB228" s="60">
        <f t="shared" si="130"/>
        <v>0</v>
      </c>
      <c r="AC228" s="60">
        <f t="shared" si="130"/>
        <v>0</v>
      </c>
      <c r="AD228" s="60">
        <f t="shared" si="130"/>
        <v>0</v>
      </c>
      <c r="AE228" s="60">
        <f t="shared" si="130"/>
        <v>0</v>
      </c>
      <c r="AF228" s="60">
        <f t="shared" si="130"/>
        <v>0</v>
      </c>
      <c r="AG228" s="60">
        <f t="shared" si="130"/>
        <v>0</v>
      </c>
      <c r="AH228" s="27">
        <f t="shared" si="128"/>
        <v>0</v>
      </c>
    </row>
    <row r="229" spans="1:34" x14ac:dyDescent="0.25">
      <c r="A229" s="31" t="s">
        <v>322</v>
      </c>
      <c r="B229" s="31" t="s">
        <v>323</v>
      </c>
      <c r="C229" s="64">
        <v>0</v>
      </c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2">
        <f t="shared" si="124"/>
        <v>0</v>
      </c>
      <c r="Q229" s="2">
        <f t="shared" si="125"/>
        <v>0</v>
      </c>
      <c r="R229" s="15" t="s">
        <v>504</v>
      </c>
      <c r="S229" s="15" t="s">
        <v>13</v>
      </c>
      <c r="T229" s="60">
        <f t="shared" si="129"/>
        <v>0</v>
      </c>
      <c r="U229" s="60">
        <f t="shared" si="129"/>
        <v>0</v>
      </c>
      <c r="V229" s="60">
        <f t="shared" si="129"/>
        <v>0</v>
      </c>
      <c r="W229" s="60">
        <f t="shared" si="129"/>
        <v>0</v>
      </c>
      <c r="X229" s="60">
        <f t="shared" si="129"/>
        <v>0</v>
      </c>
      <c r="Y229" s="60">
        <f t="shared" si="129"/>
        <v>0</v>
      </c>
      <c r="Z229" s="15"/>
      <c r="AA229" s="15" t="s">
        <v>13</v>
      </c>
      <c r="AB229" s="60">
        <f t="shared" si="130"/>
        <v>0</v>
      </c>
      <c r="AC229" s="60">
        <f t="shared" si="130"/>
        <v>0</v>
      </c>
      <c r="AD229" s="60">
        <f t="shared" si="130"/>
        <v>0</v>
      </c>
      <c r="AE229" s="60">
        <f t="shared" si="130"/>
        <v>0</v>
      </c>
      <c r="AF229" s="60">
        <f t="shared" si="130"/>
        <v>0</v>
      </c>
      <c r="AG229" s="60">
        <f t="shared" si="130"/>
        <v>0</v>
      </c>
      <c r="AH229" s="27">
        <f t="shared" si="128"/>
        <v>0</v>
      </c>
    </row>
    <row r="230" spans="1:34" x14ac:dyDescent="0.25">
      <c r="A230" s="31" t="s">
        <v>324</v>
      </c>
      <c r="B230" s="31" t="s">
        <v>325</v>
      </c>
      <c r="C230" s="64">
        <v>0</v>
      </c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2">
        <f t="shared" si="124"/>
        <v>0</v>
      </c>
      <c r="Q230" s="2">
        <f t="shared" si="125"/>
        <v>0</v>
      </c>
      <c r="R230" s="15" t="s">
        <v>504</v>
      </c>
      <c r="S230" s="15" t="s">
        <v>13</v>
      </c>
      <c r="T230" s="60">
        <f t="shared" si="129"/>
        <v>0</v>
      </c>
      <c r="U230" s="60">
        <f t="shared" si="129"/>
        <v>0</v>
      </c>
      <c r="V230" s="60">
        <f t="shared" si="129"/>
        <v>0</v>
      </c>
      <c r="W230" s="60">
        <f t="shared" si="129"/>
        <v>0</v>
      </c>
      <c r="X230" s="60">
        <f t="shared" si="129"/>
        <v>0</v>
      </c>
      <c r="Y230" s="60">
        <f t="shared" si="129"/>
        <v>0</v>
      </c>
      <c r="Z230" s="15"/>
      <c r="AA230" s="15" t="s">
        <v>13</v>
      </c>
      <c r="AB230" s="60">
        <f t="shared" si="130"/>
        <v>0</v>
      </c>
      <c r="AC230" s="60">
        <f t="shared" si="130"/>
        <v>0</v>
      </c>
      <c r="AD230" s="60">
        <f t="shared" si="130"/>
        <v>0</v>
      </c>
      <c r="AE230" s="60">
        <f t="shared" si="130"/>
        <v>0</v>
      </c>
      <c r="AF230" s="60">
        <f t="shared" si="130"/>
        <v>0</v>
      </c>
      <c r="AG230" s="60">
        <f t="shared" si="130"/>
        <v>0</v>
      </c>
      <c r="AH230" s="27">
        <f t="shared" si="128"/>
        <v>0</v>
      </c>
    </row>
    <row r="231" spans="1:34" x14ac:dyDescent="0.25">
      <c r="A231" s="31" t="s">
        <v>326</v>
      </c>
      <c r="B231" s="31" t="s">
        <v>327</v>
      </c>
      <c r="C231" s="64">
        <v>0</v>
      </c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2">
        <f t="shared" si="124"/>
        <v>0</v>
      </c>
      <c r="Q231" s="2">
        <f t="shared" si="125"/>
        <v>0</v>
      </c>
      <c r="R231" s="15" t="s">
        <v>504</v>
      </c>
      <c r="S231" s="15" t="s">
        <v>13</v>
      </c>
      <c r="T231" s="60">
        <f t="shared" si="129"/>
        <v>0</v>
      </c>
      <c r="U231" s="60">
        <f t="shared" si="129"/>
        <v>0</v>
      </c>
      <c r="V231" s="60">
        <f t="shared" si="129"/>
        <v>0</v>
      </c>
      <c r="W231" s="60">
        <f t="shared" si="129"/>
        <v>0</v>
      </c>
      <c r="X231" s="60">
        <f t="shared" si="129"/>
        <v>0</v>
      </c>
      <c r="Y231" s="60">
        <f t="shared" si="129"/>
        <v>0</v>
      </c>
      <c r="Z231" s="15"/>
      <c r="AA231" s="15" t="s">
        <v>13</v>
      </c>
      <c r="AB231" s="60">
        <f t="shared" si="130"/>
        <v>0</v>
      </c>
      <c r="AC231" s="60">
        <f t="shared" si="130"/>
        <v>0</v>
      </c>
      <c r="AD231" s="60">
        <f t="shared" si="130"/>
        <v>0</v>
      </c>
      <c r="AE231" s="60">
        <f t="shared" si="130"/>
        <v>0</v>
      </c>
      <c r="AF231" s="60">
        <f t="shared" si="130"/>
        <v>0</v>
      </c>
      <c r="AG231" s="60">
        <f t="shared" si="130"/>
        <v>0</v>
      </c>
      <c r="AH231" s="27"/>
    </row>
    <row r="232" spans="1:34" x14ac:dyDescent="0.25">
      <c r="A232" s="31" t="s">
        <v>328</v>
      </c>
      <c r="B232" s="31" t="s">
        <v>329</v>
      </c>
      <c r="C232" s="64">
        <v>874</v>
      </c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2">
        <f t="shared" si="124"/>
        <v>874</v>
      </c>
      <c r="Q232" s="2">
        <f t="shared" si="125"/>
        <v>67.230769230769226</v>
      </c>
      <c r="R232" s="15" t="s">
        <v>504</v>
      </c>
      <c r="S232" s="15" t="s">
        <v>13</v>
      </c>
      <c r="T232" s="60">
        <f t="shared" si="129"/>
        <v>-10.90146923076923</v>
      </c>
      <c r="U232" s="60">
        <f t="shared" si="129"/>
        <v>-26.334964615384614</v>
      </c>
      <c r="V232" s="60">
        <f t="shared" si="129"/>
        <v>-12.362393846153845</v>
      </c>
      <c r="W232" s="60">
        <f t="shared" si="129"/>
        <v>-0.23866923076923077</v>
      </c>
      <c r="X232" s="60">
        <f t="shared" si="129"/>
        <v>-7.4626153846153842E-2</v>
      </c>
      <c r="Y232" s="60">
        <f t="shared" si="129"/>
        <v>-17.31999076923077</v>
      </c>
      <c r="Z232" s="15"/>
      <c r="AA232" s="15" t="s">
        <v>13</v>
      </c>
      <c r="AB232" s="60">
        <f t="shared" si="130"/>
        <v>0</v>
      </c>
      <c r="AC232" s="60">
        <f t="shared" si="130"/>
        <v>0</v>
      </c>
      <c r="AD232" s="60">
        <f t="shared" si="130"/>
        <v>0</v>
      </c>
      <c r="AE232" s="60">
        <f t="shared" si="130"/>
        <v>0</v>
      </c>
      <c r="AF232" s="60">
        <f t="shared" si="130"/>
        <v>0</v>
      </c>
      <c r="AG232" s="60">
        <f t="shared" si="130"/>
        <v>0</v>
      </c>
      <c r="AH232" s="27"/>
    </row>
    <row r="233" spans="1:34" x14ac:dyDescent="0.25">
      <c r="A233" s="31" t="s">
        <v>330</v>
      </c>
      <c r="B233" s="31" t="s">
        <v>331</v>
      </c>
      <c r="C233" s="64">
        <v>0</v>
      </c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2">
        <f t="shared" si="124"/>
        <v>0</v>
      </c>
      <c r="Q233" s="2">
        <f t="shared" si="125"/>
        <v>0</v>
      </c>
      <c r="R233" s="15" t="s">
        <v>504</v>
      </c>
      <c r="S233" s="15" t="s">
        <v>13</v>
      </c>
      <c r="T233" s="60">
        <f t="shared" si="129"/>
        <v>0</v>
      </c>
      <c r="U233" s="60">
        <f t="shared" si="129"/>
        <v>0</v>
      </c>
      <c r="V233" s="60">
        <f t="shared" si="129"/>
        <v>0</v>
      </c>
      <c r="W233" s="60">
        <f t="shared" si="129"/>
        <v>0</v>
      </c>
      <c r="X233" s="60">
        <f t="shared" si="129"/>
        <v>0</v>
      </c>
      <c r="Y233" s="60">
        <f t="shared" si="129"/>
        <v>0</v>
      </c>
      <c r="Z233" s="15"/>
      <c r="AA233" s="15" t="s">
        <v>13</v>
      </c>
      <c r="AB233" s="60">
        <f t="shared" si="130"/>
        <v>0</v>
      </c>
      <c r="AC233" s="60">
        <f t="shared" si="130"/>
        <v>0</v>
      </c>
      <c r="AD233" s="60">
        <f t="shared" si="130"/>
        <v>0</v>
      </c>
      <c r="AE233" s="60">
        <f t="shared" si="130"/>
        <v>0</v>
      </c>
      <c r="AF233" s="60">
        <f t="shared" si="130"/>
        <v>0</v>
      </c>
      <c r="AG233" s="60">
        <f t="shared" si="130"/>
        <v>0</v>
      </c>
      <c r="AH233" s="27"/>
    </row>
    <row r="234" spans="1:34" x14ac:dyDescent="0.25">
      <c r="A234" s="35"/>
      <c r="B234" s="35"/>
      <c r="C234" s="36" t="s">
        <v>67</v>
      </c>
      <c r="D234" s="36" t="s">
        <v>67</v>
      </c>
      <c r="E234" s="36" t="s">
        <v>67</v>
      </c>
      <c r="F234" s="36" t="s">
        <v>67</v>
      </c>
      <c r="G234" s="36" t="s">
        <v>67</v>
      </c>
      <c r="H234" s="36" t="s">
        <v>67</v>
      </c>
      <c r="I234" s="36" t="s">
        <v>67</v>
      </c>
      <c r="J234" s="36" t="s">
        <v>67</v>
      </c>
      <c r="K234" s="36" t="s">
        <v>67</v>
      </c>
      <c r="L234" s="36" t="s">
        <v>67</v>
      </c>
      <c r="M234" s="36" t="s">
        <v>67</v>
      </c>
      <c r="N234" s="36" t="s">
        <v>67</v>
      </c>
      <c r="O234" s="36" t="s">
        <v>67</v>
      </c>
      <c r="P234" s="36" t="s">
        <v>67</v>
      </c>
      <c r="Q234" s="36" t="s">
        <v>67</v>
      </c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27"/>
    </row>
    <row r="235" spans="1:34" x14ac:dyDescent="0.25">
      <c r="A235" s="37" t="s">
        <v>332</v>
      </c>
      <c r="B235" s="38"/>
      <c r="C235" s="39">
        <f>SUM(C218:C233)</f>
        <v>-66102</v>
      </c>
      <c r="D235" s="147">
        <f t="shared" ref="D235:Q235" si="131">SUM(D218:D233)</f>
        <v>-58106.789999999994</v>
      </c>
      <c r="E235" s="39">
        <f t="shared" si="131"/>
        <v>-46259.789999999994</v>
      </c>
      <c r="F235" s="39">
        <f t="shared" si="131"/>
        <v>-34412.789999999994</v>
      </c>
      <c r="G235" s="39">
        <f t="shared" si="131"/>
        <v>-22565.789999999994</v>
      </c>
      <c r="H235" s="39">
        <f t="shared" si="131"/>
        <v>-10718.789999999994</v>
      </c>
      <c r="I235" s="39">
        <f t="shared" si="131"/>
        <v>1128.2100000000064</v>
      </c>
      <c r="J235" s="39">
        <f t="shared" si="131"/>
        <v>12975.210000000006</v>
      </c>
      <c r="K235" s="39">
        <f t="shared" si="131"/>
        <v>24822.210000000006</v>
      </c>
      <c r="L235" s="39">
        <f t="shared" si="131"/>
        <v>36669.210000000006</v>
      </c>
      <c r="M235" s="39">
        <f t="shared" si="131"/>
        <v>48516.210000000006</v>
      </c>
      <c r="N235" s="39">
        <f t="shared" si="131"/>
        <v>60363.210000000006</v>
      </c>
      <c r="O235" s="39">
        <f t="shared" si="131"/>
        <v>72210.210000000006</v>
      </c>
      <c r="P235" s="39">
        <f t="shared" si="131"/>
        <v>18518.520000000251</v>
      </c>
      <c r="Q235" s="39">
        <f t="shared" si="131"/>
        <v>1424.5015384615615</v>
      </c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27"/>
    </row>
    <row r="236" spans="1:34" x14ac:dyDescent="0.25">
      <c r="A236" s="35"/>
      <c r="B236" s="35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27"/>
    </row>
    <row r="237" spans="1:34" x14ac:dyDescent="0.25">
      <c r="A237" s="37" t="s">
        <v>333</v>
      </c>
      <c r="B237" s="38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27"/>
    </row>
    <row r="238" spans="1:34" x14ac:dyDescent="0.25">
      <c r="A238" s="31" t="s">
        <v>334</v>
      </c>
      <c r="B238" s="31" t="s">
        <v>335</v>
      </c>
      <c r="C238" s="64">
        <v>-288770</v>
      </c>
      <c r="D238" s="64">
        <f>C238+4011</f>
        <v>-284759</v>
      </c>
      <c r="E238" s="64">
        <f t="shared" ref="E238:O238" si="132">D238+4011</f>
        <v>-280748</v>
      </c>
      <c r="F238" s="64">
        <f t="shared" si="132"/>
        <v>-276737</v>
      </c>
      <c r="G238" s="64">
        <f t="shared" si="132"/>
        <v>-272726</v>
      </c>
      <c r="H238" s="64">
        <f t="shared" si="132"/>
        <v>-268715</v>
      </c>
      <c r="I238" s="64">
        <f t="shared" si="132"/>
        <v>-264704</v>
      </c>
      <c r="J238" s="64">
        <f t="shared" si="132"/>
        <v>-260693</v>
      </c>
      <c r="K238" s="64">
        <f t="shared" si="132"/>
        <v>-256682</v>
      </c>
      <c r="L238" s="64">
        <f t="shared" si="132"/>
        <v>-252671</v>
      </c>
      <c r="M238" s="64">
        <f t="shared" si="132"/>
        <v>-248660</v>
      </c>
      <c r="N238" s="64">
        <f t="shared" si="132"/>
        <v>-244649</v>
      </c>
      <c r="O238" s="64">
        <f t="shared" si="132"/>
        <v>-240638</v>
      </c>
      <c r="P238" s="2">
        <f t="shared" ref="P238:P239" si="133">SUM(C238:O238)</f>
        <v>-3441152</v>
      </c>
      <c r="Q238" s="2">
        <f t="shared" ref="Q238:Q239" si="134">P238/13</f>
        <v>-264704</v>
      </c>
      <c r="R238" s="15" t="s">
        <v>504</v>
      </c>
      <c r="S238" s="15" t="s">
        <v>13</v>
      </c>
      <c r="T238" s="60">
        <f t="shared" ref="T238:Y239" si="135">-$Q238*T$3</f>
        <v>42921.753599999996</v>
      </c>
      <c r="U238" s="60">
        <f t="shared" si="135"/>
        <v>103687.20384</v>
      </c>
      <c r="V238" s="60">
        <f t="shared" si="135"/>
        <v>48673.771519999995</v>
      </c>
      <c r="W238" s="60">
        <f t="shared" si="135"/>
        <v>939.69920000000002</v>
      </c>
      <c r="X238" s="60">
        <f t="shared" si="135"/>
        <v>293.82144000000005</v>
      </c>
      <c r="Y238" s="60">
        <f t="shared" si="135"/>
        <v>68193.044480000011</v>
      </c>
      <c r="Z238" s="15"/>
      <c r="AA238" s="15" t="s">
        <v>13</v>
      </c>
      <c r="AB238" s="60">
        <f t="shared" ref="AB238:AG239" si="136">-$O238*AB$3</f>
        <v>39019.451699999998</v>
      </c>
      <c r="AC238" s="60">
        <f t="shared" si="136"/>
        <v>94260.310979999995</v>
      </c>
      <c r="AD238" s="60">
        <f t="shared" si="136"/>
        <v>44248.515439999996</v>
      </c>
      <c r="AE238" s="60">
        <f t="shared" si="136"/>
        <v>854.26490000000001</v>
      </c>
      <c r="AF238" s="60">
        <f t="shared" si="136"/>
        <v>267.10818</v>
      </c>
      <c r="AG238" s="60">
        <f t="shared" si="136"/>
        <v>61993.16156</v>
      </c>
      <c r="AH238" s="27">
        <f>SUM(AB238:AG238)+O238</f>
        <v>4.8127600000007078</v>
      </c>
    </row>
    <row r="239" spans="1:34" x14ac:dyDescent="0.25">
      <c r="A239" s="31" t="s">
        <v>336</v>
      </c>
      <c r="B239" s="31" t="s">
        <v>337</v>
      </c>
      <c r="C239" s="64">
        <v>285385</v>
      </c>
      <c r="D239" s="64">
        <f>C239-1366</f>
        <v>284019</v>
      </c>
      <c r="E239" s="64">
        <f t="shared" ref="E239:O239" si="137">D239-1366</f>
        <v>282653</v>
      </c>
      <c r="F239" s="64">
        <f t="shared" si="137"/>
        <v>281287</v>
      </c>
      <c r="G239" s="64">
        <f t="shared" si="137"/>
        <v>279921</v>
      </c>
      <c r="H239" s="64">
        <f t="shared" si="137"/>
        <v>278555</v>
      </c>
      <c r="I239" s="64">
        <f t="shared" si="137"/>
        <v>277189</v>
      </c>
      <c r="J239" s="64">
        <f t="shared" si="137"/>
        <v>275823</v>
      </c>
      <c r="K239" s="64">
        <f t="shared" si="137"/>
        <v>274457</v>
      </c>
      <c r="L239" s="64">
        <f t="shared" si="137"/>
        <v>273091</v>
      </c>
      <c r="M239" s="64">
        <f t="shared" si="137"/>
        <v>271725</v>
      </c>
      <c r="N239" s="64">
        <f t="shared" si="137"/>
        <v>270359</v>
      </c>
      <c r="O239" s="64">
        <f t="shared" si="137"/>
        <v>268993</v>
      </c>
      <c r="P239" s="2">
        <f t="shared" si="133"/>
        <v>3603457</v>
      </c>
      <c r="Q239" s="2">
        <f t="shared" si="134"/>
        <v>277189</v>
      </c>
      <c r="R239" s="15" t="s">
        <v>504</v>
      </c>
      <c r="S239" s="15" t="s">
        <v>13</v>
      </c>
      <c r="T239" s="60">
        <f t="shared" si="135"/>
        <v>-44946.196349999998</v>
      </c>
      <c r="U239" s="60">
        <f t="shared" si="135"/>
        <v>-108577.70319</v>
      </c>
      <c r="V239" s="60">
        <f t="shared" si="135"/>
        <v>-50969.513319999998</v>
      </c>
      <c r="W239" s="60">
        <f t="shared" si="135"/>
        <v>-984.02095000000008</v>
      </c>
      <c r="X239" s="60">
        <f t="shared" si="135"/>
        <v>-307.67979000000003</v>
      </c>
      <c r="Y239" s="60">
        <f t="shared" si="135"/>
        <v>-71409.43018000001</v>
      </c>
      <c r="Z239" s="15"/>
      <c r="AA239" s="15" t="s">
        <v>13</v>
      </c>
      <c r="AB239" s="60">
        <f t="shared" si="136"/>
        <v>-43617.214949999994</v>
      </c>
      <c r="AC239" s="60">
        <f t="shared" si="136"/>
        <v>-105367.24803</v>
      </c>
      <c r="AD239" s="60">
        <f t="shared" si="136"/>
        <v>-49462.432839999994</v>
      </c>
      <c r="AE239" s="60">
        <f t="shared" si="136"/>
        <v>-954.92515000000003</v>
      </c>
      <c r="AF239" s="60">
        <f t="shared" si="136"/>
        <v>-298.58223000000004</v>
      </c>
      <c r="AG239" s="60">
        <f t="shared" si="136"/>
        <v>-69297.97666</v>
      </c>
      <c r="AH239" s="27">
        <f>SUM(AB239:AG239)+O239</f>
        <v>-5.3798599999863654</v>
      </c>
    </row>
    <row r="240" spans="1:34" x14ac:dyDescent="0.25">
      <c r="A240" s="35"/>
      <c r="B240" s="35"/>
      <c r="C240" s="36" t="s">
        <v>67</v>
      </c>
      <c r="D240" s="36" t="s">
        <v>67</v>
      </c>
      <c r="E240" s="36" t="s">
        <v>67</v>
      </c>
      <c r="F240" s="36" t="s">
        <v>67</v>
      </c>
      <c r="G240" s="36" t="s">
        <v>67</v>
      </c>
      <c r="H240" s="36" t="s">
        <v>67</v>
      </c>
      <c r="I240" s="36" t="s">
        <v>67</v>
      </c>
      <c r="J240" s="36" t="s">
        <v>67</v>
      </c>
      <c r="K240" s="36" t="s">
        <v>67</v>
      </c>
      <c r="L240" s="36" t="s">
        <v>67</v>
      </c>
      <c r="M240" s="36" t="s">
        <v>67</v>
      </c>
      <c r="N240" s="36" t="s">
        <v>67</v>
      </c>
      <c r="O240" s="36" t="s">
        <v>67</v>
      </c>
      <c r="P240" s="36" t="s">
        <v>67</v>
      </c>
      <c r="Q240" s="36" t="s">
        <v>67</v>
      </c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27"/>
    </row>
    <row r="241" spans="1:34" x14ac:dyDescent="0.25">
      <c r="A241" s="37" t="s">
        <v>338</v>
      </c>
      <c r="B241" s="38"/>
      <c r="C241" s="39">
        <f>SUM(C238:C239)</f>
        <v>-3385</v>
      </c>
      <c r="D241" s="147">
        <f t="shared" ref="D241:Q241" si="138">SUM(D238:D239)</f>
        <v>-740</v>
      </c>
      <c r="E241" s="39">
        <f t="shared" si="138"/>
        <v>1905</v>
      </c>
      <c r="F241" s="39">
        <f t="shared" si="138"/>
        <v>4550</v>
      </c>
      <c r="G241" s="39">
        <f t="shared" si="138"/>
        <v>7195</v>
      </c>
      <c r="H241" s="39">
        <f t="shared" si="138"/>
        <v>9840</v>
      </c>
      <c r="I241" s="39">
        <f t="shared" si="138"/>
        <v>12485</v>
      </c>
      <c r="J241" s="39">
        <f t="shared" si="138"/>
        <v>15130</v>
      </c>
      <c r="K241" s="39">
        <f t="shared" si="138"/>
        <v>17775</v>
      </c>
      <c r="L241" s="39">
        <f t="shared" si="138"/>
        <v>20420</v>
      </c>
      <c r="M241" s="39">
        <f t="shared" si="138"/>
        <v>23065</v>
      </c>
      <c r="N241" s="39">
        <f t="shared" si="138"/>
        <v>25710</v>
      </c>
      <c r="O241" s="39">
        <f t="shared" si="138"/>
        <v>28355</v>
      </c>
      <c r="P241" s="39">
        <f t="shared" si="138"/>
        <v>162305</v>
      </c>
      <c r="Q241" s="39">
        <f t="shared" si="138"/>
        <v>12485</v>
      </c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27"/>
    </row>
    <row r="242" spans="1:34" x14ac:dyDescent="0.25">
      <c r="A242" s="35"/>
      <c r="B242" s="35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27"/>
    </row>
    <row r="243" spans="1:34" x14ac:dyDescent="0.25">
      <c r="A243" s="21" t="s">
        <v>339</v>
      </c>
      <c r="B243" s="22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27"/>
    </row>
    <row r="244" spans="1:34" x14ac:dyDescent="0.25">
      <c r="A244" s="13" t="s">
        <v>340</v>
      </c>
      <c r="B244" s="13" t="s">
        <v>341</v>
      </c>
      <c r="C244" s="64">
        <v>-13579024</v>
      </c>
      <c r="D244" s="64">
        <f>C244</f>
        <v>-13579024</v>
      </c>
      <c r="E244" s="64">
        <f t="shared" ref="E244:O244" si="139">D244</f>
        <v>-13579024</v>
      </c>
      <c r="F244" s="64">
        <f t="shared" si="139"/>
        <v>-13579024</v>
      </c>
      <c r="G244" s="64">
        <f t="shared" si="139"/>
        <v>-13579024</v>
      </c>
      <c r="H244" s="64">
        <f t="shared" si="139"/>
        <v>-13579024</v>
      </c>
      <c r="I244" s="64">
        <f t="shared" si="139"/>
        <v>-13579024</v>
      </c>
      <c r="J244" s="64">
        <f t="shared" si="139"/>
        <v>-13579024</v>
      </c>
      <c r="K244" s="64">
        <f t="shared" si="139"/>
        <v>-13579024</v>
      </c>
      <c r="L244" s="64">
        <f t="shared" si="139"/>
        <v>-13579024</v>
      </c>
      <c r="M244" s="64">
        <f t="shared" si="139"/>
        <v>-13579024</v>
      </c>
      <c r="N244" s="64">
        <f t="shared" si="139"/>
        <v>-13579024</v>
      </c>
      <c r="O244" s="64">
        <f t="shared" si="139"/>
        <v>-13579024</v>
      </c>
      <c r="P244" s="2">
        <f t="shared" ref="P244:P249" si="140">SUM(C244:O244)</f>
        <v>-176527312</v>
      </c>
      <c r="Q244" s="2">
        <f t="shared" ref="Q244:Q249" si="141">P244/13</f>
        <v>-13579024</v>
      </c>
      <c r="R244" s="15" t="s">
        <v>504</v>
      </c>
      <c r="S244" s="15" t="s">
        <v>29</v>
      </c>
      <c r="T244" s="15">
        <f t="shared" ref="T244:Y249" si="142">-$Q244*T$6</f>
        <v>3421914.048</v>
      </c>
      <c r="U244" s="15">
        <f t="shared" si="142"/>
        <v>7061092.4800000004</v>
      </c>
      <c r="V244" s="15">
        <f t="shared" si="142"/>
        <v>0</v>
      </c>
      <c r="W244" s="15">
        <f t="shared" si="142"/>
        <v>0</v>
      </c>
      <c r="X244" s="15">
        <f t="shared" si="142"/>
        <v>0</v>
      </c>
      <c r="Y244" s="15">
        <f t="shared" si="142"/>
        <v>3096017.4720000001</v>
      </c>
      <c r="Z244" s="15"/>
      <c r="AA244" s="15" t="s">
        <v>29</v>
      </c>
      <c r="AB244" s="15">
        <f t="shared" ref="AB244:AG249" si="143">-$O244*AB$6</f>
        <v>3421914.048</v>
      </c>
      <c r="AC244" s="15">
        <f t="shared" si="143"/>
        <v>7061092.4800000004</v>
      </c>
      <c r="AD244" s="15">
        <f t="shared" si="143"/>
        <v>0</v>
      </c>
      <c r="AE244" s="15">
        <f t="shared" si="143"/>
        <v>0</v>
      </c>
      <c r="AF244" s="15">
        <f t="shared" si="143"/>
        <v>0</v>
      </c>
      <c r="AG244" s="15">
        <f t="shared" si="143"/>
        <v>3096017.4720000001</v>
      </c>
      <c r="AH244" s="27">
        <f t="shared" ref="AH244:AH249" si="144">SUM(AB244:AG244)+O244</f>
        <v>0</v>
      </c>
    </row>
    <row r="245" spans="1:34" x14ac:dyDescent="0.25">
      <c r="A245" s="13" t="s">
        <v>342</v>
      </c>
      <c r="B245" s="13" t="s">
        <v>343</v>
      </c>
      <c r="C245" s="64">
        <v>7455</v>
      </c>
      <c r="D245" s="64">
        <f t="shared" ref="D245:O245" si="145">C245+($C245*(0.035/12))</f>
        <v>7476.7437499999996</v>
      </c>
      <c r="E245" s="64">
        <f t="shared" si="145"/>
        <v>7498.4874999999993</v>
      </c>
      <c r="F245" s="64">
        <f t="shared" si="145"/>
        <v>7520.2312499999989</v>
      </c>
      <c r="G245" s="64">
        <f t="shared" si="145"/>
        <v>7541.9749999999985</v>
      </c>
      <c r="H245" s="64">
        <f t="shared" si="145"/>
        <v>7563.7187499999982</v>
      </c>
      <c r="I245" s="64">
        <f t="shared" si="145"/>
        <v>7585.4624999999978</v>
      </c>
      <c r="J245" s="64">
        <f t="shared" si="145"/>
        <v>7607.2062499999975</v>
      </c>
      <c r="K245" s="64">
        <f t="shared" si="145"/>
        <v>7628.9499999999971</v>
      </c>
      <c r="L245" s="64">
        <f t="shared" si="145"/>
        <v>7650.6937499999967</v>
      </c>
      <c r="M245" s="64">
        <f t="shared" si="145"/>
        <v>7672.4374999999964</v>
      </c>
      <c r="N245" s="64">
        <f t="shared" si="145"/>
        <v>7694.181249999996</v>
      </c>
      <c r="O245" s="64">
        <f t="shared" si="145"/>
        <v>7715.9249999999956</v>
      </c>
      <c r="P245" s="2">
        <f t="shared" si="140"/>
        <v>98611.012499999983</v>
      </c>
      <c r="Q245" s="2">
        <f t="shared" si="141"/>
        <v>7585.4624999999987</v>
      </c>
      <c r="R245" s="15" t="s">
        <v>503</v>
      </c>
      <c r="S245" s="15" t="s">
        <v>29</v>
      </c>
      <c r="T245" s="15">
        <f t="shared" si="142"/>
        <v>-1911.5365499999996</v>
      </c>
      <c r="U245" s="15">
        <f t="shared" si="142"/>
        <v>-3944.4404999999992</v>
      </c>
      <c r="V245" s="15">
        <f t="shared" si="142"/>
        <v>0</v>
      </c>
      <c r="W245" s="15">
        <f t="shared" si="142"/>
        <v>0</v>
      </c>
      <c r="X245" s="15">
        <f t="shared" si="142"/>
        <v>0</v>
      </c>
      <c r="Y245" s="15">
        <f t="shared" si="142"/>
        <v>-1729.4854499999997</v>
      </c>
      <c r="Z245" s="15"/>
      <c r="AA245" s="15" t="s">
        <v>29</v>
      </c>
      <c r="AB245" s="15">
        <f t="shared" si="143"/>
        <v>-1944.4130999999988</v>
      </c>
      <c r="AC245" s="15">
        <f t="shared" si="143"/>
        <v>-4012.2809999999977</v>
      </c>
      <c r="AD245" s="15">
        <f t="shared" si="143"/>
        <v>0</v>
      </c>
      <c r="AE245" s="15">
        <f t="shared" si="143"/>
        <v>0</v>
      </c>
      <c r="AF245" s="15">
        <f t="shared" si="143"/>
        <v>0</v>
      </c>
      <c r="AG245" s="15">
        <f t="shared" si="143"/>
        <v>-1759.2308999999991</v>
      </c>
      <c r="AH245" s="27">
        <f t="shared" si="144"/>
        <v>0</v>
      </c>
    </row>
    <row r="246" spans="1:34" x14ac:dyDescent="0.25">
      <c r="A246" s="13" t="s">
        <v>344</v>
      </c>
      <c r="B246" s="13" t="s">
        <v>345</v>
      </c>
      <c r="C246" s="64">
        <v>-598688</v>
      </c>
      <c r="D246" s="64">
        <f>C246</f>
        <v>-598688</v>
      </c>
      <c r="E246" s="64">
        <f t="shared" ref="E246:O246" si="146">D246</f>
        <v>-598688</v>
      </c>
      <c r="F246" s="64">
        <f t="shared" si="146"/>
        <v>-598688</v>
      </c>
      <c r="G246" s="64">
        <f t="shared" si="146"/>
        <v>-598688</v>
      </c>
      <c r="H246" s="64">
        <f t="shared" si="146"/>
        <v>-598688</v>
      </c>
      <c r="I246" s="64">
        <f t="shared" si="146"/>
        <v>-598688</v>
      </c>
      <c r="J246" s="64">
        <f t="shared" si="146"/>
        <v>-598688</v>
      </c>
      <c r="K246" s="64">
        <f t="shared" si="146"/>
        <v>-598688</v>
      </c>
      <c r="L246" s="64">
        <f t="shared" si="146"/>
        <v>-598688</v>
      </c>
      <c r="M246" s="64">
        <f t="shared" si="146"/>
        <v>-598688</v>
      </c>
      <c r="N246" s="64">
        <f t="shared" si="146"/>
        <v>-598688</v>
      </c>
      <c r="O246" s="64">
        <f t="shared" si="146"/>
        <v>-598688</v>
      </c>
      <c r="P246" s="2">
        <f t="shared" si="140"/>
        <v>-7782944</v>
      </c>
      <c r="Q246" s="2">
        <f t="shared" si="141"/>
        <v>-598688</v>
      </c>
      <c r="R246" s="15" t="s">
        <v>504</v>
      </c>
      <c r="S246" s="15" t="s">
        <v>29</v>
      </c>
      <c r="T246" s="15">
        <f t="shared" si="142"/>
        <v>150869.37599999999</v>
      </c>
      <c r="U246" s="15">
        <f t="shared" si="142"/>
        <v>311317.76000000001</v>
      </c>
      <c r="V246" s="15">
        <f t="shared" si="142"/>
        <v>0</v>
      </c>
      <c r="W246" s="15">
        <f t="shared" si="142"/>
        <v>0</v>
      </c>
      <c r="X246" s="15">
        <f t="shared" si="142"/>
        <v>0</v>
      </c>
      <c r="Y246" s="15">
        <f t="shared" si="142"/>
        <v>136500.864</v>
      </c>
      <c r="Z246" s="15"/>
      <c r="AA246" s="15" t="s">
        <v>29</v>
      </c>
      <c r="AB246" s="15">
        <f t="shared" si="143"/>
        <v>150869.37599999999</v>
      </c>
      <c r="AC246" s="15">
        <f t="shared" si="143"/>
        <v>311317.76000000001</v>
      </c>
      <c r="AD246" s="15">
        <f t="shared" si="143"/>
        <v>0</v>
      </c>
      <c r="AE246" s="15">
        <f t="shared" si="143"/>
        <v>0</v>
      </c>
      <c r="AF246" s="15">
        <f t="shared" si="143"/>
        <v>0</v>
      </c>
      <c r="AG246" s="15">
        <f t="shared" si="143"/>
        <v>136500.864</v>
      </c>
      <c r="AH246" s="27">
        <f t="shared" si="144"/>
        <v>0</v>
      </c>
    </row>
    <row r="247" spans="1:34" x14ac:dyDescent="0.25">
      <c r="A247" s="13" t="s">
        <v>346</v>
      </c>
      <c r="B247" s="13" t="s">
        <v>347</v>
      </c>
      <c r="C247" s="64">
        <v>-102586</v>
      </c>
      <c r="D247" s="64">
        <f t="shared" ref="D247:O247" si="147">C247+($C247*(0.035/12))</f>
        <v>-102885.20916666667</v>
      </c>
      <c r="E247" s="64">
        <f t="shared" si="147"/>
        <v>-103184.41833333333</v>
      </c>
      <c r="F247" s="64">
        <f t="shared" si="147"/>
        <v>-103483.6275</v>
      </c>
      <c r="G247" s="64">
        <f t="shared" si="147"/>
        <v>-103782.83666666667</v>
      </c>
      <c r="H247" s="64">
        <f t="shared" si="147"/>
        <v>-104082.04583333334</v>
      </c>
      <c r="I247" s="64">
        <f t="shared" si="147"/>
        <v>-104381.255</v>
      </c>
      <c r="J247" s="64">
        <f t="shared" si="147"/>
        <v>-104680.46416666667</v>
      </c>
      <c r="K247" s="64">
        <f t="shared" si="147"/>
        <v>-104979.67333333334</v>
      </c>
      <c r="L247" s="64">
        <f t="shared" si="147"/>
        <v>-105278.88250000001</v>
      </c>
      <c r="M247" s="64">
        <f t="shared" si="147"/>
        <v>-105578.09166666667</v>
      </c>
      <c r="N247" s="64">
        <f t="shared" si="147"/>
        <v>-105877.30083333334</v>
      </c>
      <c r="O247" s="64">
        <f t="shared" si="147"/>
        <v>-106176.51000000001</v>
      </c>
      <c r="P247" s="2">
        <f t="shared" si="140"/>
        <v>-1356956.3150000002</v>
      </c>
      <c r="Q247" s="2">
        <f t="shared" si="141"/>
        <v>-104381.25500000002</v>
      </c>
      <c r="R247" s="15" t="s">
        <v>503</v>
      </c>
      <c r="S247" s="15" t="s">
        <v>29</v>
      </c>
      <c r="T247" s="15">
        <f t="shared" si="142"/>
        <v>26304.076260000005</v>
      </c>
      <c r="U247" s="15">
        <f t="shared" si="142"/>
        <v>54278.252600000014</v>
      </c>
      <c r="V247" s="15">
        <f t="shared" si="142"/>
        <v>0</v>
      </c>
      <c r="W247" s="15">
        <f t="shared" si="142"/>
        <v>0</v>
      </c>
      <c r="X247" s="15">
        <f t="shared" si="142"/>
        <v>0</v>
      </c>
      <c r="Y247" s="15">
        <f t="shared" si="142"/>
        <v>23798.926140000007</v>
      </c>
      <c r="Z247" s="15"/>
      <c r="AA247" s="15" t="s">
        <v>29</v>
      </c>
      <c r="AB247" s="15">
        <f t="shared" si="143"/>
        <v>26756.480520000001</v>
      </c>
      <c r="AC247" s="15">
        <f t="shared" si="143"/>
        <v>55211.785200000006</v>
      </c>
      <c r="AD247" s="15">
        <f t="shared" si="143"/>
        <v>0</v>
      </c>
      <c r="AE247" s="15">
        <f t="shared" si="143"/>
        <v>0</v>
      </c>
      <c r="AF247" s="15">
        <f t="shared" si="143"/>
        <v>0</v>
      </c>
      <c r="AG247" s="15">
        <f t="shared" si="143"/>
        <v>24208.244280000003</v>
      </c>
      <c r="AH247" s="27">
        <f t="shared" si="144"/>
        <v>0</v>
      </c>
    </row>
    <row r="248" spans="1:34" x14ac:dyDescent="0.25">
      <c r="A248" s="13" t="s">
        <v>348</v>
      </c>
      <c r="B248" s="13" t="s">
        <v>349</v>
      </c>
      <c r="C248" s="64">
        <v>-8652</v>
      </c>
      <c r="D248" s="64">
        <f t="shared" ref="D248:O248" si="148">C248+($C248*(0.035/12))</f>
        <v>-8677.2350000000006</v>
      </c>
      <c r="E248" s="64">
        <f t="shared" si="148"/>
        <v>-8702.4700000000012</v>
      </c>
      <c r="F248" s="64">
        <f t="shared" si="148"/>
        <v>-8727.7050000000017</v>
      </c>
      <c r="G248" s="64">
        <f t="shared" si="148"/>
        <v>-8752.9400000000023</v>
      </c>
      <c r="H248" s="64">
        <f t="shared" si="148"/>
        <v>-8778.1750000000029</v>
      </c>
      <c r="I248" s="64">
        <f t="shared" si="148"/>
        <v>-8803.4100000000035</v>
      </c>
      <c r="J248" s="64">
        <f t="shared" si="148"/>
        <v>-8828.6450000000041</v>
      </c>
      <c r="K248" s="64">
        <f t="shared" si="148"/>
        <v>-8853.8800000000047</v>
      </c>
      <c r="L248" s="64">
        <f t="shared" si="148"/>
        <v>-8879.1150000000052</v>
      </c>
      <c r="M248" s="64">
        <f t="shared" si="148"/>
        <v>-8904.3500000000058</v>
      </c>
      <c r="N248" s="64">
        <f t="shared" si="148"/>
        <v>-8929.5850000000064</v>
      </c>
      <c r="O248" s="64">
        <f t="shared" si="148"/>
        <v>-8954.820000000007</v>
      </c>
      <c r="P248" s="2">
        <f t="shared" si="140"/>
        <v>-114444.33000000005</v>
      </c>
      <c r="Q248" s="2">
        <f t="shared" si="141"/>
        <v>-8803.4100000000035</v>
      </c>
      <c r="R248" s="15" t="s">
        <v>503</v>
      </c>
      <c r="S248" s="15" t="s">
        <v>29</v>
      </c>
      <c r="T248" s="15">
        <f t="shared" si="142"/>
        <v>2218.4593200000008</v>
      </c>
      <c r="U248" s="15">
        <f t="shared" si="142"/>
        <v>4577.7732000000024</v>
      </c>
      <c r="V248" s="15">
        <f t="shared" si="142"/>
        <v>0</v>
      </c>
      <c r="W248" s="15">
        <f t="shared" si="142"/>
        <v>0</v>
      </c>
      <c r="X248" s="15">
        <f t="shared" si="142"/>
        <v>0</v>
      </c>
      <c r="Y248" s="15">
        <f t="shared" si="142"/>
        <v>2007.177480000001</v>
      </c>
      <c r="Z248" s="15"/>
      <c r="AA248" s="15" t="s">
        <v>29</v>
      </c>
      <c r="AB248" s="15">
        <f t="shared" si="143"/>
        <v>2256.6146400000016</v>
      </c>
      <c r="AC248" s="15">
        <f t="shared" si="143"/>
        <v>4656.5064000000039</v>
      </c>
      <c r="AD248" s="15">
        <f t="shared" si="143"/>
        <v>0</v>
      </c>
      <c r="AE248" s="15">
        <f t="shared" si="143"/>
        <v>0</v>
      </c>
      <c r="AF248" s="15">
        <f t="shared" si="143"/>
        <v>0</v>
      </c>
      <c r="AG248" s="15">
        <f t="shared" si="143"/>
        <v>2041.6989600000018</v>
      </c>
      <c r="AH248" s="27">
        <f t="shared" si="144"/>
        <v>0</v>
      </c>
    </row>
    <row r="249" spans="1:34" x14ac:dyDescent="0.25">
      <c r="A249" s="13" t="s">
        <v>350</v>
      </c>
      <c r="B249" s="13" t="s">
        <v>351</v>
      </c>
      <c r="C249" s="64">
        <v>259223</v>
      </c>
      <c r="D249" s="64">
        <f t="shared" ref="D249:O249" si="149">C249+($C249*(0.035/12))</f>
        <v>259979.06708333333</v>
      </c>
      <c r="E249" s="64">
        <f t="shared" si="149"/>
        <v>260735.13416666666</v>
      </c>
      <c r="F249" s="64">
        <f t="shared" si="149"/>
        <v>261491.20124999998</v>
      </c>
      <c r="G249" s="64">
        <f t="shared" si="149"/>
        <v>262247.26833333331</v>
      </c>
      <c r="H249" s="64">
        <f t="shared" si="149"/>
        <v>263003.33541666664</v>
      </c>
      <c r="I249" s="64">
        <f t="shared" si="149"/>
        <v>263759.40249999997</v>
      </c>
      <c r="J249" s="64">
        <f t="shared" si="149"/>
        <v>264515.4695833333</v>
      </c>
      <c r="K249" s="64">
        <f t="shared" si="149"/>
        <v>265271.53666666662</v>
      </c>
      <c r="L249" s="64">
        <f t="shared" si="149"/>
        <v>266027.60374999995</v>
      </c>
      <c r="M249" s="64">
        <f t="shared" si="149"/>
        <v>266783.67083333328</v>
      </c>
      <c r="N249" s="64">
        <f t="shared" si="149"/>
        <v>267539.73791666661</v>
      </c>
      <c r="O249" s="64">
        <f t="shared" si="149"/>
        <v>268295.80499999993</v>
      </c>
      <c r="P249" s="2">
        <f t="shared" si="140"/>
        <v>3428872.2324999999</v>
      </c>
      <c r="Q249" s="2">
        <f t="shared" si="141"/>
        <v>263759.40249999997</v>
      </c>
      <c r="R249" s="15" t="s">
        <v>503</v>
      </c>
      <c r="S249" s="15" t="s">
        <v>29</v>
      </c>
      <c r="T249" s="15">
        <f t="shared" si="142"/>
        <v>-66467.369429999992</v>
      </c>
      <c r="U249" s="15">
        <f t="shared" si="142"/>
        <v>-137154.88929999998</v>
      </c>
      <c r="V249" s="15">
        <f t="shared" si="142"/>
        <v>0</v>
      </c>
      <c r="W249" s="15">
        <f t="shared" si="142"/>
        <v>0</v>
      </c>
      <c r="X249" s="15">
        <f t="shared" si="142"/>
        <v>0</v>
      </c>
      <c r="Y249" s="15">
        <f t="shared" si="142"/>
        <v>-60137.143769999995</v>
      </c>
      <c r="Z249" s="15"/>
      <c r="AA249" s="15" t="s">
        <v>29</v>
      </c>
      <c r="AB249" s="15">
        <f t="shared" si="143"/>
        <v>-67610.542859999987</v>
      </c>
      <c r="AC249" s="15">
        <f t="shared" si="143"/>
        <v>-139513.81859999997</v>
      </c>
      <c r="AD249" s="15">
        <f t="shared" si="143"/>
        <v>0</v>
      </c>
      <c r="AE249" s="15">
        <f t="shared" si="143"/>
        <v>0</v>
      </c>
      <c r="AF249" s="15">
        <f t="shared" si="143"/>
        <v>0</v>
      </c>
      <c r="AG249" s="15">
        <f t="shared" si="143"/>
        <v>-61171.443539999986</v>
      </c>
      <c r="AH249" s="27">
        <f t="shared" si="144"/>
        <v>0</v>
      </c>
    </row>
    <row r="250" spans="1:34" x14ac:dyDescent="0.25">
      <c r="C250" s="26" t="s">
        <v>67</v>
      </c>
      <c r="D250" s="26" t="s">
        <v>67</v>
      </c>
      <c r="E250" s="26" t="s">
        <v>67</v>
      </c>
      <c r="F250" s="26" t="s">
        <v>67</v>
      </c>
      <c r="G250" s="26" t="s">
        <v>67</v>
      </c>
      <c r="H250" s="26" t="s">
        <v>67</v>
      </c>
      <c r="I250" s="26" t="s">
        <v>67</v>
      </c>
      <c r="J250" s="26" t="s">
        <v>67</v>
      </c>
      <c r="K250" s="26" t="s">
        <v>67</v>
      </c>
      <c r="L250" s="26" t="s">
        <v>67</v>
      </c>
      <c r="M250" s="26" t="s">
        <v>67</v>
      </c>
      <c r="N250" s="26" t="s">
        <v>67</v>
      </c>
      <c r="O250" s="26" t="s">
        <v>67</v>
      </c>
      <c r="P250" s="26" t="s">
        <v>67</v>
      </c>
      <c r="Q250" s="26" t="s">
        <v>67</v>
      </c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27"/>
    </row>
    <row r="251" spans="1:34" x14ac:dyDescent="0.25">
      <c r="A251" s="21" t="s">
        <v>352</v>
      </c>
      <c r="B251" s="22"/>
      <c r="C251" s="23">
        <f>SUM(C244:C249)</f>
        <v>-14022272</v>
      </c>
      <c r="D251" s="146">
        <f t="shared" ref="D251:Q251" si="150">SUM(D244:D249)</f>
        <v>-14021818.633333333</v>
      </c>
      <c r="E251" s="23">
        <f t="shared" si="150"/>
        <v>-14021365.266666666</v>
      </c>
      <c r="F251" s="23">
        <f t="shared" si="150"/>
        <v>-14020911.9</v>
      </c>
      <c r="G251" s="23">
        <f t="shared" si="150"/>
        <v>-14020458.533333333</v>
      </c>
      <c r="H251" s="23">
        <f t="shared" si="150"/>
        <v>-14020005.166666666</v>
      </c>
      <c r="I251" s="23">
        <f t="shared" si="150"/>
        <v>-14019551.800000001</v>
      </c>
      <c r="J251" s="23">
        <f t="shared" si="150"/>
        <v>-14019098.433333334</v>
      </c>
      <c r="K251" s="23">
        <f t="shared" si="150"/>
        <v>-14018645.066666668</v>
      </c>
      <c r="L251" s="23">
        <f t="shared" si="150"/>
        <v>-14018191.700000001</v>
      </c>
      <c r="M251" s="23">
        <f t="shared" si="150"/>
        <v>-14017738.333333334</v>
      </c>
      <c r="N251" s="23">
        <f t="shared" si="150"/>
        <v>-14017284.966666667</v>
      </c>
      <c r="O251" s="23">
        <f t="shared" si="150"/>
        <v>-14016831.6</v>
      </c>
      <c r="P251" s="23">
        <f t="shared" si="150"/>
        <v>-182254173.40000004</v>
      </c>
      <c r="Q251" s="23">
        <f t="shared" si="150"/>
        <v>-14019551.800000001</v>
      </c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27"/>
    </row>
    <row r="252" spans="1:34" x14ac:dyDescent="0.25">
      <c r="C252" s="2"/>
      <c r="D252" s="2">
        <f>D251+D205</f>
        <v>-13866514.981666666</v>
      </c>
      <c r="E252" s="2">
        <f t="shared" ref="E252:O252" si="151">E251+E205</f>
        <v>-13865609.963333333</v>
      </c>
      <c r="F252" s="2">
        <f t="shared" si="151"/>
        <v>-13864704.945</v>
      </c>
      <c r="G252" s="2">
        <f t="shared" si="151"/>
        <v>-13863799.926666666</v>
      </c>
      <c r="H252" s="2">
        <f t="shared" si="151"/>
        <v>-13862894.908333333</v>
      </c>
      <c r="I252" s="2">
        <f t="shared" si="151"/>
        <v>-13861989.890000001</v>
      </c>
      <c r="J252" s="2">
        <f t="shared" si="151"/>
        <v>-13861084.871666666</v>
      </c>
      <c r="K252" s="2">
        <f t="shared" si="151"/>
        <v>-13860179.853333335</v>
      </c>
      <c r="L252" s="2">
        <f t="shared" si="151"/>
        <v>-13859274.835000001</v>
      </c>
      <c r="M252" s="2">
        <f t="shared" si="151"/>
        <v>-13858369.816666666</v>
      </c>
      <c r="N252" s="2">
        <f t="shared" si="151"/>
        <v>-13857464.798333334</v>
      </c>
      <c r="O252" s="2">
        <f t="shared" si="151"/>
        <v>-13856559.779999999</v>
      </c>
      <c r="P252" s="2"/>
      <c r="Q252" s="2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3"/>
    </row>
    <row r="253" spans="1:34" x14ac:dyDescent="0.25">
      <c r="A253" s="21" t="s">
        <v>353</v>
      </c>
      <c r="B253" s="22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3"/>
    </row>
    <row r="254" spans="1:34" x14ac:dyDescent="0.25">
      <c r="A254" s="13" t="s">
        <v>354</v>
      </c>
      <c r="B254" s="13" t="s">
        <v>355</v>
      </c>
      <c r="C254" s="64">
        <v>411149</v>
      </c>
      <c r="D254" s="150">
        <v>407548.72</v>
      </c>
      <c r="E254" s="64">
        <v>127413.64</v>
      </c>
      <c r="F254" s="64">
        <v>123791.29000000001</v>
      </c>
      <c r="G254" s="64">
        <v>120157.72</v>
      </c>
      <c r="H254" s="64">
        <v>116512.89</v>
      </c>
      <c r="I254" s="64">
        <v>112856.75</v>
      </c>
      <c r="J254" s="64">
        <v>109189.29000000001</v>
      </c>
      <c r="K254" s="64">
        <v>105510.45</v>
      </c>
      <c r="L254" s="64">
        <v>101820.21</v>
      </c>
      <c r="M254" s="64">
        <v>98118.53</v>
      </c>
      <c r="N254" s="64">
        <v>94405.37</v>
      </c>
      <c r="O254" s="64">
        <v>90680.7</v>
      </c>
      <c r="P254" s="2">
        <f t="shared" ref="P254" si="152">SUM(C254:O254)</f>
        <v>2019154.5599999998</v>
      </c>
      <c r="Q254" s="2">
        <f t="shared" ref="Q254" si="153">P254/13</f>
        <v>155319.58153846153</v>
      </c>
      <c r="R254" s="15" t="s">
        <v>504</v>
      </c>
      <c r="S254" s="15" t="s">
        <v>225</v>
      </c>
      <c r="T254" s="15">
        <f t="shared" ref="T254:Y254" si="154">-$Q254*T$3</f>
        <v>-25185.070146461534</v>
      </c>
      <c r="U254" s="15">
        <f t="shared" si="154"/>
        <v>-60840.233284430768</v>
      </c>
      <c r="V254" s="151">
        <f t="shared" si="154"/>
        <v>-28560.164653292304</v>
      </c>
      <c r="W254" s="15">
        <f t="shared" si="154"/>
        <v>-551.3845144615384</v>
      </c>
      <c r="X254" s="15">
        <f t="shared" si="154"/>
        <v>-172.40473550769232</v>
      </c>
      <c r="Y254" s="15">
        <f t="shared" si="154"/>
        <v>-40013.430595938458</v>
      </c>
      <c r="Z254" s="15"/>
      <c r="AA254" s="15" t="s">
        <v>225</v>
      </c>
      <c r="AB254" s="15">
        <f t="shared" ref="AB254:AG254" si="155">-$O254*AB$3</f>
        <v>-14703.875504999998</v>
      </c>
      <c r="AC254" s="15">
        <f t="shared" si="155"/>
        <v>-35520.536996999996</v>
      </c>
      <c r="AD254" s="15">
        <f t="shared" si="155"/>
        <v>-16674.367115999998</v>
      </c>
      <c r="AE254" s="15">
        <f t="shared" si="155"/>
        <v>-321.91648500000002</v>
      </c>
      <c r="AF254" s="15">
        <f t="shared" si="155"/>
        <v>-100.65557700000001</v>
      </c>
      <c r="AG254" s="15">
        <f t="shared" si="155"/>
        <v>-23361.161934</v>
      </c>
      <c r="AH254" s="27">
        <f>SUM(AB254:AG254)+O254</f>
        <v>-1.8136139999842271</v>
      </c>
    </row>
    <row r="255" spans="1:34" x14ac:dyDescent="0.25"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27"/>
    </row>
    <row r="256" spans="1:34" ht="15.75" x14ac:dyDescent="0.3">
      <c r="A256" s="18" t="s">
        <v>356</v>
      </c>
      <c r="B256" s="19"/>
      <c r="C256" s="20">
        <f>C254+C251+C241+C235</f>
        <v>-13680610</v>
      </c>
      <c r="D256" s="20">
        <f t="shared" ref="D256:Q256" si="156">D254+D251+D241+D235</f>
        <v>-13673116.703333331</v>
      </c>
      <c r="E256" s="20">
        <f t="shared" si="156"/>
        <v>-13938306.416666664</v>
      </c>
      <c r="F256" s="20">
        <f t="shared" si="156"/>
        <v>-13926983.4</v>
      </c>
      <c r="G256" s="20">
        <f t="shared" si="156"/>
        <v>-13915671.603333332</v>
      </c>
      <c r="H256" s="20">
        <f t="shared" si="156"/>
        <v>-13904371.066666665</v>
      </c>
      <c r="I256" s="20">
        <f t="shared" si="156"/>
        <v>-13893081.84</v>
      </c>
      <c r="J256" s="20">
        <f t="shared" si="156"/>
        <v>-13881803.933333334</v>
      </c>
      <c r="K256" s="20">
        <f t="shared" si="156"/>
        <v>-13870537.406666668</v>
      </c>
      <c r="L256" s="20">
        <f t="shared" si="156"/>
        <v>-13859282.279999999</v>
      </c>
      <c r="M256" s="20">
        <f t="shared" si="156"/>
        <v>-13848038.593333334</v>
      </c>
      <c r="N256" s="20">
        <f t="shared" si="156"/>
        <v>-13836806.386666667</v>
      </c>
      <c r="O256" s="20">
        <f t="shared" si="156"/>
        <v>-13825585.689999999</v>
      </c>
      <c r="P256" s="20">
        <f t="shared" si="156"/>
        <v>-180054195.32000002</v>
      </c>
      <c r="Q256" s="20">
        <f t="shared" si="156"/>
        <v>-13850322.716923079</v>
      </c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3"/>
    </row>
    <row r="257" spans="1:34" x14ac:dyDescent="0.25"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3"/>
    </row>
    <row r="258" spans="1:34" ht="15.75" x14ac:dyDescent="0.3">
      <c r="A258" s="18" t="s">
        <v>357</v>
      </c>
      <c r="B258" s="19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3"/>
    </row>
    <row r="259" spans="1:34" x14ac:dyDescent="0.25"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3"/>
    </row>
    <row r="260" spans="1:34" x14ac:dyDescent="0.25">
      <c r="A260" s="21" t="s">
        <v>358</v>
      </c>
      <c r="B260" s="22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3"/>
    </row>
    <row r="261" spans="1:34" x14ac:dyDescent="0.25">
      <c r="A261" s="13" t="s">
        <v>359</v>
      </c>
      <c r="B261" s="13" t="s">
        <v>360</v>
      </c>
      <c r="C261" s="64">
        <v>-2500241</v>
      </c>
      <c r="D261" s="64">
        <f>C261</f>
        <v>-2500241</v>
      </c>
      <c r="E261" s="64">
        <f t="shared" ref="E261:O261" si="157">D261</f>
        <v>-2500241</v>
      </c>
      <c r="F261" s="64">
        <f t="shared" si="157"/>
        <v>-2500241</v>
      </c>
      <c r="G261" s="64">
        <f t="shared" si="157"/>
        <v>-2500241</v>
      </c>
      <c r="H261" s="64">
        <f t="shared" si="157"/>
        <v>-2500241</v>
      </c>
      <c r="I261" s="64">
        <f t="shared" si="157"/>
        <v>-2500241</v>
      </c>
      <c r="J261" s="64">
        <f t="shared" si="157"/>
        <v>-2500241</v>
      </c>
      <c r="K261" s="64">
        <f t="shared" si="157"/>
        <v>-2500241</v>
      </c>
      <c r="L261" s="64">
        <f t="shared" si="157"/>
        <v>-2500241</v>
      </c>
      <c r="M261" s="64">
        <f t="shared" si="157"/>
        <v>-2500241</v>
      </c>
      <c r="N261" s="64">
        <f t="shared" si="157"/>
        <v>-2500241</v>
      </c>
      <c r="O261" s="64">
        <f t="shared" si="157"/>
        <v>-2500241</v>
      </c>
      <c r="P261" s="2">
        <f t="shared" ref="P261:P263" si="158">SUM(C261:O261)</f>
        <v>-32503133</v>
      </c>
      <c r="Q261" s="2">
        <f t="shared" ref="Q261:Q263" si="159">P261/13</f>
        <v>-2500241</v>
      </c>
      <c r="R261" s="15" t="s">
        <v>504</v>
      </c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3"/>
    </row>
    <row r="262" spans="1:34" x14ac:dyDescent="0.25">
      <c r="A262" s="13" t="s">
        <v>361</v>
      </c>
      <c r="B262" s="13" t="s">
        <v>362</v>
      </c>
      <c r="C262" s="64">
        <v>-590721</v>
      </c>
      <c r="D262" s="64">
        <f t="shared" ref="D262:O263" si="160">C262</f>
        <v>-590721</v>
      </c>
      <c r="E262" s="64">
        <f t="shared" si="160"/>
        <v>-590721</v>
      </c>
      <c r="F262" s="64">
        <f t="shared" si="160"/>
        <v>-590721</v>
      </c>
      <c r="G262" s="64">
        <f t="shared" si="160"/>
        <v>-590721</v>
      </c>
      <c r="H262" s="64">
        <f t="shared" si="160"/>
        <v>-590721</v>
      </c>
      <c r="I262" s="64">
        <f t="shared" si="160"/>
        <v>-590721</v>
      </c>
      <c r="J262" s="64">
        <f t="shared" si="160"/>
        <v>-590721</v>
      </c>
      <c r="K262" s="64">
        <f t="shared" si="160"/>
        <v>-590721</v>
      </c>
      <c r="L262" s="64">
        <f t="shared" si="160"/>
        <v>-590721</v>
      </c>
      <c r="M262" s="64">
        <f t="shared" si="160"/>
        <v>-590721</v>
      </c>
      <c r="N262" s="64">
        <f t="shared" si="160"/>
        <v>-590721</v>
      </c>
      <c r="O262" s="64">
        <f t="shared" si="160"/>
        <v>-590721</v>
      </c>
      <c r="P262" s="2">
        <f t="shared" si="158"/>
        <v>-7679373</v>
      </c>
      <c r="Q262" s="2">
        <f t="shared" si="159"/>
        <v>-590721</v>
      </c>
      <c r="R262" s="15" t="s">
        <v>504</v>
      </c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3"/>
    </row>
    <row r="263" spans="1:34" x14ac:dyDescent="0.25">
      <c r="A263" s="13" t="s">
        <v>363</v>
      </c>
      <c r="B263" s="13" t="s">
        <v>364</v>
      </c>
      <c r="C263" s="64">
        <v>73044291</v>
      </c>
      <c r="D263" s="64">
        <f t="shared" si="160"/>
        <v>73044291</v>
      </c>
      <c r="E263" s="64">
        <f t="shared" si="160"/>
        <v>73044291</v>
      </c>
      <c r="F263" s="64">
        <f t="shared" si="160"/>
        <v>73044291</v>
      </c>
      <c r="G263" s="64">
        <f t="shared" si="160"/>
        <v>73044291</v>
      </c>
      <c r="H263" s="64">
        <f t="shared" si="160"/>
        <v>73044291</v>
      </c>
      <c r="I263" s="64">
        <f t="shared" si="160"/>
        <v>73044291</v>
      </c>
      <c r="J263" s="64">
        <f t="shared" si="160"/>
        <v>73044291</v>
      </c>
      <c r="K263" s="64">
        <f t="shared" si="160"/>
        <v>73044291</v>
      </c>
      <c r="L263" s="64">
        <f t="shared" si="160"/>
        <v>73044291</v>
      </c>
      <c r="M263" s="64">
        <f t="shared" si="160"/>
        <v>73044291</v>
      </c>
      <c r="N263" s="64">
        <f t="shared" si="160"/>
        <v>73044291</v>
      </c>
      <c r="O263" s="64">
        <f t="shared" si="160"/>
        <v>73044291</v>
      </c>
      <c r="P263" s="2">
        <f t="shared" si="158"/>
        <v>949575783</v>
      </c>
      <c r="Q263" s="2">
        <f t="shared" si="159"/>
        <v>73044291</v>
      </c>
      <c r="R263" s="15" t="s">
        <v>504</v>
      </c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3"/>
    </row>
    <row r="264" spans="1:34" x14ac:dyDescent="0.25">
      <c r="C264" s="26" t="s">
        <v>67</v>
      </c>
      <c r="D264" s="26" t="s">
        <v>67</v>
      </c>
      <c r="E264" s="26" t="s">
        <v>67</v>
      </c>
      <c r="F264" s="26" t="s">
        <v>67</v>
      </c>
      <c r="G264" s="26" t="s">
        <v>67</v>
      </c>
      <c r="H264" s="26" t="s">
        <v>67</v>
      </c>
      <c r="I264" s="26" t="s">
        <v>67</v>
      </c>
      <c r="J264" s="26" t="s">
        <v>67</v>
      </c>
      <c r="K264" s="26" t="s">
        <v>67</v>
      </c>
      <c r="L264" s="26" t="s">
        <v>67</v>
      </c>
      <c r="M264" s="26" t="s">
        <v>67</v>
      </c>
      <c r="N264" s="26" t="s">
        <v>67</v>
      </c>
      <c r="O264" s="26" t="s">
        <v>67</v>
      </c>
      <c r="P264" s="26" t="s">
        <v>67</v>
      </c>
      <c r="Q264" s="26" t="s">
        <v>67</v>
      </c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3"/>
    </row>
    <row r="265" spans="1:34" x14ac:dyDescent="0.25">
      <c r="A265" s="21" t="s">
        <v>365</v>
      </c>
      <c r="B265" s="22"/>
      <c r="C265" s="146">
        <f>SUM(C261:C263)</f>
        <v>69953329</v>
      </c>
      <c r="D265" s="146">
        <f t="shared" ref="D265:Q265" si="161">SUM(D261:D263)</f>
        <v>69953329</v>
      </c>
      <c r="E265" s="23">
        <f t="shared" si="161"/>
        <v>69953329</v>
      </c>
      <c r="F265" s="23">
        <f t="shared" si="161"/>
        <v>69953329</v>
      </c>
      <c r="G265" s="23">
        <f t="shared" si="161"/>
        <v>69953329</v>
      </c>
      <c r="H265" s="23">
        <f t="shared" si="161"/>
        <v>69953329</v>
      </c>
      <c r="I265" s="23">
        <f t="shared" si="161"/>
        <v>69953329</v>
      </c>
      <c r="J265" s="23">
        <f t="shared" si="161"/>
        <v>69953329</v>
      </c>
      <c r="K265" s="23">
        <f t="shared" si="161"/>
        <v>69953329</v>
      </c>
      <c r="L265" s="23">
        <f t="shared" si="161"/>
        <v>69953329</v>
      </c>
      <c r="M265" s="23">
        <f t="shared" si="161"/>
        <v>69953329</v>
      </c>
      <c r="N265" s="23">
        <f t="shared" si="161"/>
        <v>69953329</v>
      </c>
      <c r="O265" s="23">
        <f t="shared" si="161"/>
        <v>69953329</v>
      </c>
      <c r="P265" s="23">
        <f t="shared" si="161"/>
        <v>909393277</v>
      </c>
      <c r="Q265" s="23">
        <f t="shared" si="161"/>
        <v>69953329</v>
      </c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3"/>
    </row>
    <row r="266" spans="1:34" x14ac:dyDescent="0.25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3"/>
    </row>
    <row r="267" spans="1:34" ht="15.75" x14ac:dyDescent="0.3">
      <c r="A267" s="18" t="s">
        <v>366</v>
      </c>
      <c r="B267" s="19"/>
      <c r="C267" s="20">
        <f>C265+C256+C214</f>
        <v>60051792</v>
      </c>
      <c r="D267" s="20">
        <f t="shared" ref="D267:Q267" si="162">D265+D256+D214</f>
        <v>63561401.96011667</v>
      </c>
      <c r="E267" s="20">
        <f t="shared" si="162"/>
        <v>63212451.632800005</v>
      </c>
      <c r="F267" s="20">
        <f t="shared" si="162"/>
        <v>63232546.555483334</v>
      </c>
      <c r="G267" s="20">
        <f t="shared" si="162"/>
        <v>63252630.528166667</v>
      </c>
      <c r="H267" s="20">
        <f t="shared" si="162"/>
        <v>63272703.630850002</v>
      </c>
      <c r="I267" s="20">
        <f t="shared" si="162"/>
        <v>63292765.863533333</v>
      </c>
      <c r="J267" s="20">
        <f t="shared" si="162"/>
        <v>63312817.166216664</v>
      </c>
      <c r="K267" s="20">
        <f t="shared" si="162"/>
        <v>63332857.5189</v>
      </c>
      <c r="L267" s="20">
        <f t="shared" si="162"/>
        <v>63352886.881583333</v>
      </c>
      <c r="M267" s="20">
        <f t="shared" si="162"/>
        <v>63372905.214266665</v>
      </c>
      <c r="N267" s="20">
        <f t="shared" si="162"/>
        <v>63392912.496949993</v>
      </c>
      <c r="O267" s="20">
        <f t="shared" si="162"/>
        <v>63412908.689633332</v>
      </c>
      <c r="P267" s="20">
        <f t="shared" si="162"/>
        <v>820053580.13849998</v>
      </c>
      <c r="Q267" s="20">
        <f t="shared" si="162"/>
        <v>63081044.626038462</v>
      </c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3"/>
    </row>
    <row r="268" spans="1:34" x14ac:dyDescent="0.25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3"/>
    </row>
    <row r="269" spans="1:34" ht="19.5" x14ac:dyDescent="0.4">
      <c r="A269" s="5" t="s">
        <v>367</v>
      </c>
      <c r="B269" s="16"/>
      <c r="C269" s="17">
        <f>C267</f>
        <v>60051792</v>
      </c>
      <c r="D269" s="17">
        <f t="shared" ref="D269:Q269" si="163">D267</f>
        <v>63561401.96011667</v>
      </c>
      <c r="E269" s="17">
        <f t="shared" si="163"/>
        <v>63212451.632800005</v>
      </c>
      <c r="F269" s="17">
        <f t="shared" si="163"/>
        <v>63232546.555483334</v>
      </c>
      <c r="G269" s="17">
        <f t="shared" si="163"/>
        <v>63252630.528166667</v>
      </c>
      <c r="H269" s="17">
        <f t="shared" si="163"/>
        <v>63272703.630850002</v>
      </c>
      <c r="I269" s="17">
        <f t="shared" si="163"/>
        <v>63292765.863533333</v>
      </c>
      <c r="J269" s="17">
        <f t="shared" si="163"/>
        <v>63312817.166216664</v>
      </c>
      <c r="K269" s="17">
        <f t="shared" si="163"/>
        <v>63332857.5189</v>
      </c>
      <c r="L269" s="17">
        <f t="shared" si="163"/>
        <v>63352886.881583333</v>
      </c>
      <c r="M269" s="17">
        <f t="shared" si="163"/>
        <v>63372905.214266665</v>
      </c>
      <c r="N269" s="17">
        <f t="shared" si="163"/>
        <v>63392912.496949993</v>
      </c>
      <c r="O269" s="17">
        <f t="shared" si="163"/>
        <v>63412908.689633332</v>
      </c>
      <c r="P269" s="17">
        <f t="shared" si="163"/>
        <v>820053580.13849998</v>
      </c>
      <c r="Q269" s="17">
        <f t="shared" si="163"/>
        <v>63081044.626038462</v>
      </c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3"/>
    </row>
    <row r="270" spans="1:34" x14ac:dyDescent="0.25">
      <c r="C270" s="26" t="s">
        <v>231</v>
      </c>
      <c r="D270" s="26" t="s">
        <v>231</v>
      </c>
      <c r="E270" s="26" t="s">
        <v>231</v>
      </c>
      <c r="F270" s="26" t="s">
        <v>231</v>
      </c>
      <c r="G270" s="26" t="s">
        <v>231</v>
      </c>
      <c r="H270" s="26" t="s">
        <v>231</v>
      </c>
      <c r="I270" s="26" t="s">
        <v>231</v>
      </c>
      <c r="J270" s="26" t="s">
        <v>231</v>
      </c>
      <c r="K270" s="26" t="s">
        <v>231</v>
      </c>
      <c r="L270" s="26" t="s">
        <v>231</v>
      </c>
      <c r="M270" s="26" t="s">
        <v>231</v>
      </c>
      <c r="N270" s="26" t="s">
        <v>231</v>
      </c>
      <c r="O270" s="26" t="s">
        <v>231</v>
      </c>
      <c r="P270" s="26" t="s">
        <v>231</v>
      </c>
      <c r="Q270" s="26" t="s">
        <v>231</v>
      </c>
      <c r="R270" s="15"/>
      <c r="S270" s="15"/>
      <c r="T270" s="61">
        <f t="shared" ref="T270:Y270" si="164">SUM(T79:T269)-SUM(T217:T233)-T238-T239</f>
        <v>2701905.5125478171</v>
      </c>
      <c r="U270" s="61">
        <f t="shared" si="164"/>
        <v>5851148.1321882112</v>
      </c>
      <c r="V270" s="61">
        <f t="shared" si="164"/>
        <v>-536188.82405587204</v>
      </c>
      <c r="W270" s="61">
        <f t="shared" si="164"/>
        <v>-5558.6885104415369</v>
      </c>
      <c r="X270" s="61">
        <f t="shared" si="164"/>
        <v>-4841.9680632953832</v>
      </c>
      <c r="Y270" s="61">
        <f t="shared" si="164"/>
        <v>2069638.8689010437</v>
      </c>
      <c r="Z270" s="61"/>
      <c r="AA270" s="61"/>
      <c r="AB270" s="61">
        <f t="shared" ref="AB270:AG270" si="165">SUM(AB79:AB269)-SUM(AB217:AB233)-AB238-AB239</f>
        <v>2641608.5388933001</v>
      </c>
      <c r="AC270" s="61">
        <f t="shared" si="165"/>
        <v>5750717.2526234975</v>
      </c>
      <c r="AD270" s="61">
        <f t="shared" si="165"/>
        <v>-577124.23986536684</v>
      </c>
      <c r="AE270" s="61">
        <f t="shared" si="165"/>
        <v>-5860.8323309400002</v>
      </c>
      <c r="AF270" s="61">
        <f t="shared" si="165"/>
        <v>-5113.9928797066668</v>
      </c>
      <c r="AG270" s="61">
        <f t="shared" si="165"/>
        <v>1986844.7854739509</v>
      </c>
      <c r="AH270" s="3"/>
    </row>
    <row r="271" spans="1:34" x14ac:dyDescent="0.25">
      <c r="C271" s="2">
        <f t="shared" ref="C271:Q271" si="166">C161-C269</f>
        <v>-0.21000000089406967</v>
      </c>
      <c r="D271" s="2">
        <f t="shared" si="166"/>
        <v>0</v>
      </c>
      <c r="E271" s="2">
        <f t="shared" si="166"/>
        <v>551722.71999999881</v>
      </c>
      <c r="F271" s="2">
        <f t="shared" si="166"/>
        <v>556168.1433333382</v>
      </c>
      <c r="G271" s="2">
        <f t="shared" si="166"/>
        <v>560613.56666665524</v>
      </c>
      <c r="H271" s="2">
        <f t="shared" si="166"/>
        <v>565058.99000001699</v>
      </c>
      <c r="I271" s="2">
        <f t="shared" si="166"/>
        <v>569504.41333334148</v>
      </c>
      <c r="J271" s="2">
        <f t="shared" si="166"/>
        <v>573949.83666665852</v>
      </c>
      <c r="K271" s="2">
        <f t="shared" si="166"/>
        <v>578395.25999996811</v>
      </c>
      <c r="L271" s="2">
        <f t="shared" si="166"/>
        <v>582840.68333333731</v>
      </c>
      <c r="M271" s="2">
        <f t="shared" si="166"/>
        <v>587286.1066666469</v>
      </c>
      <c r="N271" s="2">
        <f t="shared" si="166"/>
        <v>591731.52999997884</v>
      </c>
      <c r="O271" s="2">
        <f t="shared" si="166"/>
        <v>596176.95333334059</v>
      </c>
      <c r="P271" s="2">
        <f t="shared" si="166"/>
        <v>6313447.9933333397</v>
      </c>
      <c r="Q271" s="2">
        <f t="shared" si="166"/>
        <v>485649.81459796429</v>
      </c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3"/>
    </row>
    <row r="272" spans="1:34" x14ac:dyDescent="0.25">
      <c r="C272" s="2"/>
      <c r="D272" s="2">
        <f>-D271</f>
        <v>0</v>
      </c>
      <c r="E272" s="2">
        <f t="shared" ref="E272:Q272" si="167">-E271</f>
        <v>-551722.71999999881</v>
      </c>
      <c r="F272" s="2">
        <f t="shared" si="167"/>
        <v>-556168.1433333382</v>
      </c>
      <c r="G272" s="2">
        <f t="shared" si="167"/>
        <v>-560613.56666665524</v>
      </c>
      <c r="H272" s="2">
        <f t="shared" si="167"/>
        <v>-565058.99000001699</v>
      </c>
      <c r="I272" s="2">
        <f t="shared" si="167"/>
        <v>-569504.41333334148</v>
      </c>
      <c r="J272" s="2">
        <f t="shared" si="167"/>
        <v>-573949.83666665852</v>
      </c>
      <c r="K272" s="2">
        <f t="shared" si="167"/>
        <v>-578395.25999996811</v>
      </c>
      <c r="L272" s="2">
        <f t="shared" si="167"/>
        <v>-582840.68333333731</v>
      </c>
      <c r="M272" s="2">
        <f t="shared" si="167"/>
        <v>-587286.1066666469</v>
      </c>
      <c r="N272" s="2">
        <f t="shared" si="167"/>
        <v>-591731.52999997884</v>
      </c>
      <c r="O272" s="2">
        <f t="shared" si="167"/>
        <v>-596176.95333334059</v>
      </c>
      <c r="P272" s="2">
        <f t="shared" si="167"/>
        <v>-6313447.9933333397</v>
      </c>
      <c r="Q272" s="2">
        <f t="shared" si="167"/>
        <v>-485649.81459796429</v>
      </c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3"/>
    </row>
    <row r="273" spans="1:34" x14ac:dyDescent="0.25"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1:34" x14ac:dyDescent="0.25"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1:34" x14ac:dyDescent="0.25">
      <c r="A275" s="13" t="s">
        <v>368</v>
      </c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62" t="s">
        <v>369</v>
      </c>
      <c r="R275" s="3"/>
      <c r="S275" s="3"/>
      <c r="T275" s="3"/>
      <c r="U275" s="3" t="s">
        <v>370</v>
      </c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1:34" x14ac:dyDescent="0.25">
      <c r="A276" s="13" t="s">
        <v>371</v>
      </c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62" t="s">
        <v>372</v>
      </c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1:34" x14ac:dyDescent="0.25"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1:34" x14ac:dyDescent="0.25">
      <c r="A278" s="35"/>
      <c r="B278" s="35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1:34" x14ac:dyDescent="0.25">
      <c r="A279" s="35"/>
      <c r="B279" s="35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1:34" x14ac:dyDescent="0.25">
      <c r="A280" s="35"/>
      <c r="B280" s="35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1:34" x14ac:dyDescent="0.25">
      <c r="A281" s="35"/>
      <c r="B281" s="35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1:34" x14ac:dyDescent="0.25">
      <c r="A282" s="35"/>
      <c r="B282" s="35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1:34" x14ac:dyDescent="0.2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24"/>
      <c r="P283" s="24"/>
      <c r="Q283" s="24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spans="1:34" x14ac:dyDescent="0.2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24"/>
      <c r="P284" s="24"/>
      <c r="Q284" s="24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1:34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24"/>
      <c r="P285" s="24"/>
      <c r="Q285" s="24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1:34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24"/>
      <c r="P286" s="24"/>
      <c r="Q286" s="24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1:34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24"/>
      <c r="P287" s="24"/>
      <c r="Q287" s="24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1:34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24"/>
      <c r="P288" s="24"/>
      <c r="Q288" s="24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1:34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24"/>
      <c r="P289" s="24"/>
      <c r="Q289" s="24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1:34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24"/>
      <c r="P290" s="24"/>
      <c r="Q290" s="24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1:34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24"/>
      <c r="P291" s="24"/>
      <c r="Q291" s="24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1:34" x14ac:dyDescent="0.2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24"/>
      <c r="P292" s="24"/>
      <c r="Q292" s="24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1:34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24"/>
      <c r="P293" s="24"/>
      <c r="Q293" s="24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spans="1:34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24"/>
      <c r="P294" s="24"/>
      <c r="Q294" s="24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spans="1:34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24"/>
      <c r="P295" s="24"/>
      <c r="Q295" s="24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spans="1:34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24"/>
      <c r="P296" s="24"/>
      <c r="Q296" s="24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24"/>
      <c r="P297" s="24"/>
      <c r="Q297" s="24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spans="1:34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24"/>
      <c r="P298" s="24"/>
      <c r="Q298" s="24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24"/>
      <c r="P299" s="24"/>
      <c r="Q299" s="24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spans="1:34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24"/>
      <c r="P300" s="24"/>
      <c r="Q300" s="24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spans="1:34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24"/>
      <c r="P301" s="24"/>
      <c r="Q301" s="24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spans="1:34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24"/>
      <c r="P302" s="24"/>
      <c r="Q302" s="24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 spans="1:34" x14ac:dyDescent="0.2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24"/>
      <c r="P303" s="24"/>
      <c r="Q303" s="24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 spans="1:34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24"/>
      <c r="P304" s="24"/>
      <c r="Q304" s="24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spans="1:34" x14ac:dyDescent="0.25">
      <c r="A305" s="35"/>
      <c r="B305" s="35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spans="1:34" x14ac:dyDescent="0.25">
      <c r="A306" s="35"/>
      <c r="B306" s="35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spans="1:34" x14ac:dyDescent="0.25">
      <c r="A307" s="35"/>
      <c r="B307" s="35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spans="1:34" x14ac:dyDescent="0.25">
      <c r="A308" s="35"/>
      <c r="B308" s="35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 x14ac:dyDescent="0.25">
      <c r="A309" s="35"/>
      <c r="B309" s="35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spans="1:34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64"/>
      <c r="P310" s="64"/>
      <c r="Q310" s="64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</row>
    <row r="311" spans="1:34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</row>
  </sheetData>
  <pageMargins left="0.7" right="0.7" top="0.75" bottom="0.75" header="0.3" footer="0.3"/>
  <pageSetup orientation="portrait" horizontalDpi="90" verticalDpi="9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11"/>
  <sheetViews>
    <sheetView topLeftCell="A4" zoomScale="80" zoomScaleNormal="80" workbookViewId="0">
      <pane xSplit="2" ySplit="5" topLeftCell="I173" activePane="bottomRight" state="frozen"/>
      <selection activeCell="L39" sqref="L39"/>
      <selection pane="topRight" activeCell="L39" sqref="L39"/>
      <selection pane="bottomLeft" activeCell="L39" sqref="L39"/>
      <selection pane="bottomRight" activeCell="L39" sqref="L39"/>
    </sheetView>
  </sheetViews>
  <sheetFormatPr defaultRowHeight="15" x14ac:dyDescent="0.25"/>
  <cols>
    <col min="1" max="1" width="59.28515625" customWidth="1"/>
    <col min="2" max="2" width="10" bestFit="1" customWidth="1"/>
    <col min="3" max="15" width="15.42578125" bestFit="1" customWidth="1"/>
    <col min="16" max="16" width="17" bestFit="1" customWidth="1"/>
    <col min="17" max="17" width="15.42578125" bestFit="1" customWidth="1"/>
    <col min="18" max="18" width="17.28515625" customWidth="1"/>
    <col min="19" max="19" width="15.140625" bestFit="1" customWidth="1"/>
    <col min="20" max="20" width="13.140625" bestFit="1" customWidth="1"/>
    <col min="22" max="22" width="7.85546875" bestFit="1" customWidth="1"/>
    <col min="23" max="23" width="6.140625" bestFit="1" customWidth="1"/>
    <col min="24" max="24" width="8" bestFit="1" customWidth="1"/>
    <col min="27" max="27" width="8.42578125" bestFit="1" customWidth="1"/>
    <col min="28" max="29" width="8.7109375" bestFit="1" customWidth="1"/>
    <col min="30" max="30" width="7.85546875" bestFit="1" customWidth="1"/>
    <col min="31" max="31" width="6.140625" bestFit="1" customWidth="1"/>
    <col min="32" max="32" width="8" bestFit="1" customWidth="1"/>
    <col min="33" max="33" width="8.7109375" bestFit="1" customWidth="1"/>
    <col min="34" max="34" width="7.42578125" bestFit="1" customWidth="1"/>
  </cols>
  <sheetData>
    <row r="1" spans="1:34" ht="22.5" x14ac:dyDescent="0.45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 t="s">
        <v>1</v>
      </c>
      <c r="T1" s="4" t="s">
        <v>2</v>
      </c>
      <c r="U1" s="4"/>
      <c r="V1" s="4"/>
      <c r="W1" s="4"/>
      <c r="X1" s="4"/>
      <c r="Y1" s="4"/>
      <c r="Z1" s="4"/>
      <c r="AA1" s="4" t="s">
        <v>1</v>
      </c>
      <c r="AB1" s="4" t="s">
        <v>3</v>
      </c>
      <c r="AC1" s="4"/>
      <c r="AD1" s="4"/>
      <c r="AE1" s="4"/>
      <c r="AF1" s="4"/>
      <c r="AG1" s="4"/>
      <c r="AH1" s="3"/>
    </row>
    <row r="2" spans="1:34" ht="19.5" x14ac:dyDescent="0.4">
      <c r="A2" s="5" t="s">
        <v>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4" t="s">
        <v>5</v>
      </c>
      <c r="T2" s="4" t="s">
        <v>6</v>
      </c>
      <c r="U2" s="4" t="s">
        <v>7</v>
      </c>
      <c r="V2" s="4" t="s">
        <v>8</v>
      </c>
      <c r="W2" s="4" t="s">
        <v>9</v>
      </c>
      <c r="X2" s="4" t="s">
        <v>10</v>
      </c>
      <c r="Y2" s="4" t="s">
        <v>11</v>
      </c>
      <c r="Z2" s="4"/>
      <c r="AA2" s="4" t="s">
        <v>5</v>
      </c>
      <c r="AB2" s="4" t="s">
        <v>6</v>
      </c>
      <c r="AC2" s="4" t="s">
        <v>7</v>
      </c>
      <c r="AD2" s="4" t="s">
        <v>8</v>
      </c>
      <c r="AE2" s="4" t="s">
        <v>9</v>
      </c>
      <c r="AF2" s="4" t="s">
        <v>10</v>
      </c>
      <c r="AG2" s="4" t="s">
        <v>11</v>
      </c>
      <c r="AH2" s="3"/>
    </row>
    <row r="3" spans="1:34" ht="19.5" x14ac:dyDescent="0.4">
      <c r="A3" s="5" t="s">
        <v>12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4" t="s">
        <v>13</v>
      </c>
      <c r="T3" s="6">
        <v>0.16214999999999999</v>
      </c>
      <c r="U3" s="6">
        <v>0.39171</v>
      </c>
      <c r="V3" s="6">
        <v>0.18387999999999999</v>
      </c>
      <c r="W3" s="6">
        <v>3.5500000000000002E-3</v>
      </c>
      <c r="X3" s="6">
        <v>1.1100000000000001E-3</v>
      </c>
      <c r="Y3" s="6">
        <v>0.25762000000000002</v>
      </c>
      <c r="Z3" s="4"/>
      <c r="AA3" s="4" t="s">
        <v>13</v>
      </c>
      <c r="AB3" s="6">
        <v>0.16214999999999999</v>
      </c>
      <c r="AC3" s="6">
        <v>0.39171</v>
      </c>
      <c r="AD3" s="6">
        <v>0.18387999999999999</v>
      </c>
      <c r="AE3" s="6">
        <v>3.5500000000000002E-3</v>
      </c>
      <c r="AF3" s="6">
        <v>1.1100000000000001E-3</v>
      </c>
      <c r="AG3" s="6">
        <v>0.25762000000000002</v>
      </c>
      <c r="AH3" s="7"/>
    </row>
    <row r="4" spans="1:34" ht="19.5" x14ac:dyDescent="0.4">
      <c r="A4" s="5" t="s">
        <v>500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4" t="s">
        <v>15</v>
      </c>
      <c r="T4" s="8">
        <v>0.2928</v>
      </c>
      <c r="U4" s="8">
        <v>0.70720000000000005</v>
      </c>
      <c r="V4" s="8"/>
      <c r="W4" s="8"/>
      <c r="X4" s="8"/>
      <c r="Y4" s="9"/>
      <c r="Z4" s="4"/>
      <c r="AA4" s="4" t="s">
        <v>15</v>
      </c>
      <c r="AB4" s="8">
        <v>0.2928</v>
      </c>
      <c r="AC4" s="8">
        <v>0.70720000000000005</v>
      </c>
      <c r="AD4" s="8"/>
      <c r="AE4" s="8"/>
      <c r="AF4" s="8"/>
      <c r="AG4" s="9"/>
      <c r="AH4" s="7"/>
    </row>
    <row r="5" spans="1:34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4" t="s">
        <v>16</v>
      </c>
      <c r="T5" s="8">
        <v>0.21299999999999999</v>
      </c>
      <c r="U5" s="8">
        <v>0.34799999999999998</v>
      </c>
      <c r="V5" s="8">
        <v>0.14399999999999999</v>
      </c>
      <c r="W5" s="8">
        <v>1E-3</v>
      </c>
      <c r="X5" s="8">
        <v>1E-3</v>
      </c>
      <c r="Y5" s="8">
        <v>0.29299999999999998</v>
      </c>
      <c r="Z5" s="4"/>
      <c r="AA5" s="4" t="s">
        <v>16</v>
      </c>
      <c r="AB5" s="8">
        <v>0.21299999999999999</v>
      </c>
      <c r="AC5" s="8">
        <v>0.34799999999999998</v>
      </c>
      <c r="AD5" s="8">
        <v>0.14399999999999999</v>
      </c>
      <c r="AE5" s="8">
        <v>1E-3</v>
      </c>
      <c r="AF5" s="8">
        <v>1E-3</v>
      </c>
      <c r="AG5" s="8">
        <v>0.29299999999999998</v>
      </c>
      <c r="AH5" s="7"/>
    </row>
    <row r="6" spans="1:34" x14ac:dyDescent="0.25">
      <c r="C6" s="10" t="s">
        <v>17</v>
      </c>
      <c r="D6" s="10" t="s">
        <v>18</v>
      </c>
      <c r="E6" s="10" t="s">
        <v>19</v>
      </c>
      <c r="F6" s="10" t="s">
        <v>20</v>
      </c>
      <c r="G6" s="10" t="s">
        <v>21</v>
      </c>
      <c r="H6" s="10" t="s">
        <v>22</v>
      </c>
      <c r="I6" s="10" t="s">
        <v>23</v>
      </c>
      <c r="J6" s="10" t="s">
        <v>24</v>
      </c>
      <c r="K6" s="10" t="s">
        <v>25</v>
      </c>
      <c r="L6" s="10" t="s">
        <v>26</v>
      </c>
      <c r="M6" s="10" t="s">
        <v>27</v>
      </c>
      <c r="N6" s="10" t="s">
        <v>28</v>
      </c>
      <c r="O6" s="10" t="s">
        <v>17</v>
      </c>
      <c r="P6" s="2"/>
      <c r="Q6" s="2"/>
      <c r="R6" s="3"/>
      <c r="S6" s="4" t="s">
        <v>29</v>
      </c>
      <c r="T6" s="8">
        <v>0.252</v>
      </c>
      <c r="U6" s="8">
        <v>0.52</v>
      </c>
      <c r="V6" s="8"/>
      <c r="W6" s="8"/>
      <c r="X6" s="8"/>
      <c r="Y6" s="8">
        <v>0.22800000000000001</v>
      </c>
      <c r="Z6" s="4"/>
      <c r="AA6" s="4" t="s">
        <v>29</v>
      </c>
      <c r="AB6" s="8">
        <v>0.252</v>
      </c>
      <c r="AC6" s="8">
        <v>0.52</v>
      </c>
      <c r="AD6" s="8"/>
      <c r="AE6" s="8"/>
      <c r="AF6" s="8"/>
      <c r="AG6" s="8">
        <v>0.22800000000000001</v>
      </c>
      <c r="AH6" s="7"/>
    </row>
    <row r="7" spans="1:34" x14ac:dyDescent="0.25">
      <c r="C7" s="11" t="s">
        <v>497</v>
      </c>
      <c r="D7" s="11" t="s">
        <v>501</v>
      </c>
      <c r="E7" s="11" t="s">
        <v>501</v>
      </c>
      <c r="F7" s="11" t="s">
        <v>501</v>
      </c>
      <c r="G7" s="11" t="s">
        <v>501</v>
      </c>
      <c r="H7" s="11" t="s">
        <v>501</v>
      </c>
      <c r="I7" s="11" t="s">
        <v>501</v>
      </c>
      <c r="J7" s="11" t="s">
        <v>501</v>
      </c>
      <c r="K7" s="11" t="s">
        <v>501</v>
      </c>
      <c r="L7" s="11" t="s">
        <v>501</v>
      </c>
      <c r="M7" s="11" t="s">
        <v>501</v>
      </c>
      <c r="N7" s="11" t="s">
        <v>501</v>
      </c>
      <c r="O7" s="11" t="s">
        <v>501</v>
      </c>
      <c r="P7" s="12" t="s">
        <v>32</v>
      </c>
      <c r="Q7" s="12" t="s">
        <v>33</v>
      </c>
      <c r="R7" s="3"/>
      <c r="S7" s="4" t="s">
        <v>34</v>
      </c>
      <c r="T7" s="8">
        <v>0.192</v>
      </c>
      <c r="U7" s="8">
        <v>0.39610000000000001</v>
      </c>
      <c r="V7" s="8">
        <v>0.13700000000000001</v>
      </c>
      <c r="W7" s="8">
        <v>3.2000000000000002E-3</v>
      </c>
      <c r="X7" s="8">
        <v>2.2000000000000001E-3</v>
      </c>
      <c r="Y7" s="8">
        <v>0.26950000000000002</v>
      </c>
      <c r="Z7" s="4"/>
      <c r="AA7" s="4" t="s">
        <v>34</v>
      </c>
      <c r="AB7" s="8">
        <v>0.192</v>
      </c>
      <c r="AC7" s="8">
        <v>0.39610000000000001</v>
      </c>
      <c r="AD7" s="8">
        <v>0.13700000000000001</v>
      </c>
      <c r="AE7" s="8">
        <v>3.2000000000000002E-3</v>
      </c>
      <c r="AF7" s="8">
        <v>2.2000000000000001E-3</v>
      </c>
      <c r="AG7" s="8">
        <v>0.26950000000000002</v>
      </c>
      <c r="AH7" s="7"/>
    </row>
    <row r="8" spans="1:34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3"/>
    </row>
    <row r="9" spans="1:34" x14ac:dyDescent="0.25">
      <c r="A9" s="13" t="s">
        <v>35</v>
      </c>
      <c r="B9" s="13" t="s">
        <v>36</v>
      </c>
      <c r="C9" s="14">
        <v>-53473801</v>
      </c>
      <c r="D9" s="14">
        <v>-52927683</v>
      </c>
      <c r="E9" s="14">
        <v>-50782991</v>
      </c>
      <c r="F9" s="14">
        <v>-53728742</v>
      </c>
      <c r="G9" s="14">
        <v>-52528295</v>
      </c>
      <c r="H9" s="14">
        <v>-54546955</v>
      </c>
      <c r="I9" s="14">
        <v>-53198317</v>
      </c>
      <c r="J9" s="14">
        <v>-56088549</v>
      </c>
      <c r="K9" s="14">
        <v>-57339401</v>
      </c>
      <c r="L9" s="14">
        <v>-53454763</v>
      </c>
      <c r="M9" s="14">
        <v>-55104746</v>
      </c>
      <c r="N9" s="14">
        <v>-47993900</v>
      </c>
      <c r="O9" s="14">
        <v>-62628904</v>
      </c>
      <c r="P9" s="14">
        <v>-703797045</v>
      </c>
      <c r="Q9" s="14">
        <v>-54138234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3"/>
    </row>
    <row r="10" spans="1:34" x14ac:dyDescent="0.2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3"/>
    </row>
    <row r="11" spans="1:34" ht="19.5" x14ac:dyDescent="0.4">
      <c r="A11" s="5" t="s">
        <v>37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3"/>
    </row>
    <row r="12" spans="1:34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3"/>
    </row>
    <row r="13" spans="1:34" ht="15.75" x14ac:dyDescent="0.3">
      <c r="A13" s="18" t="s">
        <v>38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3"/>
    </row>
    <row r="14" spans="1:34" x14ac:dyDescent="0.2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3"/>
    </row>
    <row r="15" spans="1:34" x14ac:dyDescent="0.25">
      <c r="A15" s="21" t="s">
        <v>39</v>
      </c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3"/>
    </row>
    <row r="16" spans="1:34" x14ac:dyDescent="0.25">
      <c r="A16" s="13" t="s">
        <v>40</v>
      </c>
      <c r="B16" s="13" t="s">
        <v>41</v>
      </c>
      <c r="C16" s="2">
        <f>'WC def tax 22'!O16</f>
        <v>12191005</v>
      </c>
      <c r="D16" s="2">
        <v>12191005</v>
      </c>
      <c r="E16" s="2">
        <v>12191005</v>
      </c>
      <c r="F16" s="2">
        <v>12191005</v>
      </c>
      <c r="G16" s="2">
        <v>12191005</v>
      </c>
      <c r="H16" s="2">
        <v>12191005</v>
      </c>
      <c r="I16" s="2">
        <v>12191005</v>
      </c>
      <c r="J16" s="2">
        <v>12191005</v>
      </c>
      <c r="K16" s="2">
        <v>12191005</v>
      </c>
      <c r="L16" s="2">
        <v>12191005</v>
      </c>
      <c r="M16" s="2">
        <v>12191005</v>
      </c>
      <c r="N16" s="2">
        <v>12191005</v>
      </c>
      <c r="O16" s="2">
        <v>12191005</v>
      </c>
      <c r="P16" s="2">
        <f>SUM(C16:O16)</f>
        <v>158483065</v>
      </c>
      <c r="Q16" s="2">
        <f>P16/13</f>
        <v>12191005</v>
      </c>
      <c r="R16" s="24"/>
      <c r="S16" s="25" t="s">
        <v>42</v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3"/>
    </row>
    <row r="17" spans="1:34" x14ac:dyDescent="0.25">
      <c r="A17" s="13" t="s">
        <v>43</v>
      </c>
      <c r="B17" s="13" t="s">
        <v>44</v>
      </c>
      <c r="C17" s="2">
        <f>'WC def tax 22'!O17</f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f t="shared" ref="P17:P28" si="0">SUM(C17:O17)</f>
        <v>0</v>
      </c>
      <c r="Q17" s="2">
        <f t="shared" ref="Q17:Q28" si="1">P17/13</f>
        <v>0</v>
      </c>
      <c r="R17" s="1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3"/>
    </row>
    <row r="18" spans="1:34" x14ac:dyDescent="0.25">
      <c r="A18" s="13" t="s">
        <v>45</v>
      </c>
      <c r="B18" s="13" t="s">
        <v>46</v>
      </c>
      <c r="C18" s="2">
        <f>'WC def tax 22'!O18</f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f t="shared" si="0"/>
        <v>0</v>
      </c>
      <c r="Q18" s="2">
        <f t="shared" si="1"/>
        <v>0</v>
      </c>
      <c r="R18" s="1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3"/>
    </row>
    <row r="19" spans="1:34" x14ac:dyDescent="0.25">
      <c r="A19" s="13" t="s">
        <v>47</v>
      </c>
      <c r="B19" s="13" t="s">
        <v>48</v>
      </c>
      <c r="C19" s="2">
        <f>'WC def tax 22'!O19</f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f t="shared" si="0"/>
        <v>0</v>
      </c>
      <c r="Q19" s="2">
        <f t="shared" si="1"/>
        <v>0</v>
      </c>
      <c r="R19" s="1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3"/>
    </row>
    <row r="20" spans="1:34" x14ac:dyDescent="0.25">
      <c r="A20" s="13" t="s">
        <v>49</v>
      </c>
      <c r="B20" s="13" t="s">
        <v>50</v>
      </c>
      <c r="C20" s="2">
        <f>'WC def tax 22'!O20</f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f t="shared" si="0"/>
        <v>0</v>
      </c>
      <c r="Q20" s="2">
        <f t="shared" si="1"/>
        <v>0</v>
      </c>
      <c r="R20" s="1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3"/>
    </row>
    <row r="21" spans="1:34" x14ac:dyDescent="0.25">
      <c r="A21" s="13" t="s">
        <v>51</v>
      </c>
      <c r="B21" s="13" t="s">
        <v>52</v>
      </c>
      <c r="C21" s="2">
        <f>'WC def tax 22'!O21</f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f t="shared" si="0"/>
        <v>0</v>
      </c>
      <c r="Q21" s="2">
        <f t="shared" si="1"/>
        <v>0</v>
      </c>
      <c r="R21" s="1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3"/>
    </row>
    <row r="22" spans="1:34" x14ac:dyDescent="0.25">
      <c r="A22" s="13" t="s">
        <v>53</v>
      </c>
      <c r="B22" s="13" t="s">
        <v>54</v>
      </c>
      <c r="C22" s="2">
        <f>'WC def tax 22'!O22</f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f t="shared" si="0"/>
        <v>0</v>
      </c>
      <c r="Q22" s="2">
        <f t="shared" si="1"/>
        <v>0</v>
      </c>
      <c r="R22" s="1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3"/>
    </row>
    <row r="23" spans="1:34" x14ac:dyDescent="0.25">
      <c r="A23" s="13" t="s">
        <v>55</v>
      </c>
      <c r="B23" s="13" t="s">
        <v>56</v>
      </c>
      <c r="C23" s="2">
        <f>'WC def tax 22'!O23</f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f t="shared" si="0"/>
        <v>0</v>
      </c>
      <c r="Q23" s="2">
        <f t="shared" si="1"/>
        <v>0</v>
      </c>
      <c r="R23" s="1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3"/>
    </row>
    <row r="24" spans="1:34" x14ac:dyDescent="0.25">
      <c r="A24" s="13" t="s">
        <v>57</v>
      </c>
      <c r="B24" s="13" t="s">
        <v>58</v>
      </c>
      <c r="C24" s="2">
        <f>'WC def tax 22'!O24</f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f t="shared" si="0"/>
        <v>0</v>
      </c>
      <c r="Q24" s="2">
        <f t="shared" si="1"/>
        <v>0</v>
      </c>
      <c r="R24" s="1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3"/>
    </row>
    <row r="25" spans="1:34" x14ac:dyDescent="0.25">
      <c r="A25" s="13" t="s">
        <v>59</v>
      </c>
      <c r="B25" s="13" t="s">
        <v>60</v>
      </c>
      <c r="C25" s="2">
        <f>'WC def tax 22'!O25</f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f t="shared" si="0"/>
        <v>0</v>
      </c>
      <c r="Q25" s="2">
        <f t="shared" si="1"/>
        <v>0</v>
      </c>
      <c r="R25" s="1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3"/>
    </row>
    <row r="26" spans="1:34" x14ac:dyDescent="0.25">
      <c r="A26" s="13" t="s">
        <v>61</v>
      </c>
      <c r="B26" s="13" t="s">
        <v>62</v>
      </c>
      <c r="C26" s="2">
        <f>'WC def tax 22'!O26</f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f t="shared" si="0"/>
        <v>0</v>
      </c>
      <c r="Q26" s="2">
        <f t="shared" si="1"/>
        <v>0</v>
      </c>
      <c r="R26" s="1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3"/>
    </row>
    <row r="27" spans="1:34" x14ac:dyDescent="0.25">
      <c r="A27" s="13" t="s">
        <v>63</v>
      </c>
      <c r="B27" s="13" t="s">
        <v>64</v>
      </c>
      <c r="C27" s="2">
        <f>'WC def tax 22'!O27</f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f t="shared" si="0"/>
        <v>0</v>
      </c>
      <c r="Q27" s="2">
        <f t="shared" si="1"/>
        <v>0</v>
      </c>
      <c r="R27" s="1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3"/>
    </row>
    <row r="28" spans="1:34" x14ac:dyDescent="0.25">
      <c r="A28" s="13" t="s">
        <v>65</v>
      </c>
      <c r="B28" s="13" t="s">
        <v>66</v>
      </c>
      <c r="C28" s="2">
        <f>'WC def tax 22'!O28</f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f t="shared" si="0"/>
        <v>0</v>
      </c>
      <c r="Q28" s="2">
        <f t="shared" si="1"/>
        <v>0</v>
      </c>
      <c r="R28" s="1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3"/>
    </row>
    <row r="29" spans="1:34" x14ac:dyDescent="0.25">
      <c r="C29" s="26" t="s">
        <v>67</v>
      </c>
      <c r="D29" s="26" t="s">
        <v>67</v>
      </c>
      <c r="E29" s="26" t="s">
        <v>67</v>
      </c>
      <c r="F29" s="26" t="s">
        <v>67</v>
      </c>
      <c r="G29" s="26" t="s">
        <v>67</v>
      </c>
      <c r="H29" s="26" t="s">
        <v>67</v>
      </c>
      <c r="I29" s="26" t="s">
        <v>67</v>
      </c>
      <c r="J29" s="26" t="s">
        <v>67</v>
      </c>
      <c r="K29" s="26" t="s">
        <v>67</v>
      </c>
      <c r="L29" s="26" t="s">
        <v>67</v>
      </c>
      <c r="M29" s="26" t="s">
        <v>67</v>
      </c>
      <c r="N29" s="26" t="s">
        <v>67</v>
      </c>
      <c r="O29" s="26" t="s">
        <v>67</v>
      </c>
      <c r="P29" s="26" t="s">
        <v>67</v>
      </c>
      <c r="Q29" s="26" t="s">
        <v>67</v>
      </c>
      <c r="R29" s="1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3"/>
    </row>
    <row r="30" spans="1:34" x14ac:dyDescent="0.25">
      <c r="A30" s="21" t="s">
        <v>68</v>
      </c>
      <c r="B30" s="22"/>
      <c r="C30" s="23">
        <f t="shared" ref="C30:Q30" si="2">SUM(C16:C28)</f>
        <v>12191005</v>
      </c>
      <c r="D30" s="23">
        <f t="shared" si="2"/>
        <v>12191005</v>
      </c>
      <c r="E30" s="23">
        <f t="shared" si="2"/>
        <v>12191005</v>
      </c>
      <c r="F30" s="23">
        <f t="shared" si="2"/>
        <v>12191005</v>
      </c>
      <c r="G30" s="23">
        <f t="shared" si="2"/>
        <v>12191005</v>
      </c>
      <c r="H30" s="23">
        <f t="shared" si="2"/>
        <v>12191005</v>
      </c>
      <c r="I30" s="23">
        <f t="shared" si="2"/>
        <v>12191005</v>
      </c>
      <c r="J30" s="23">
        <f t="shared" si="2"/>
        <v>12191005</v>
      </c>
      <c r="K30" s="23">
        <f t="shared" si="2"/>
        <v>12191005</v>
      </c>
      <c r="L30" s="23">
        <f t="shared" si="2"/>
        <v>12191005</v>
      </c>
      <c r="M30" s="23">
        <f t="shared" si="2"/>
        <v>12191005</v>
      </c>
      <c r="N30" s="23">
        <f t="shared" si="2"/>
        <v>12191005</v>
      </c>
      <c r="O30" s="23">
        <f t="shared" si="2"/>
        <v>12191005</v>
      </c>
      <c r="P30" s="23">
        <f t="shared" si="2"/>
        <v>158483065</v>
      </c>
      <c r="Q30" s="23">
        <f t="shared" si="2"/>
        <v>12191005</v>
      </c>
      <c r="R30" s="1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7"/>
    </row>
    <row r="31" spans="1:34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1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3"/>
    </row>
    <row r="32" spans="1:34" x14ac:dyDescent="0.25">
      <c r="A32" s="21" t="s">
        <v>69</v>
      </c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3"/>
    </row>
    <row r="33" spans="1:34" x14ac:dyDescent="0.25">
      <c r="A33" s="13" t="s">
        <v>70</v>
      </c>
      <c r="B33" s="13" t="s">
        <v>71</v>
      </c>
      <c r="C33" s="2">
        <f>'WC def tax 22'!O33</f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f>SUM(C33:O33)</f>
        <v>0</v>
      </c>
      <c r="Q33" s="2">
        <f>P33/13</f>
        <v>0</v>
      </c>
      <c r="R33" s="15"/>
      <c r="S33" s="25" t="s">
        <v>42</v>
      </c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3"/>
    </row>
    <row r="34" spans="1:34" x14ac:dyDescent="0.25">
      <c r="C34" s="26" t="s">
        <v>67</v>
      </c>
      <c r="D34" s="26" t="s">
        <v>67</v>
      </c>
      <c r="E34" s="26" t="s">
        <v>67</v>
      </c>
      <c r="F34" s="26" t="s">
        <v>67</v>
      </c>
      <c r="G34" s="26" t="s">
        <v>67</v>
      </c>
      <c r="H34" s="26" t="s">
        <v>67</v>
      </c>
      <c r="I34" s="26" t="s">
        <v>67</v>
      </c>
      <c r="J34" s="26" t="s">
        <v>67</v>
      </c>
      <c r="K34" s="26" t="s">
        <v>67</v>
      </c>
      <c r="L34" s="26" t="s">
        <v>67</v>
      </c>
      <c r="M34" s="26" t="s">
        <v>67</v>
      </c>
      <c r="N34" s="26" t="s">
        <v>67</v>
      </c>
      <c r="O34" s="26" t="s">
        <v>67</v>
      </c>
      <c r="P34" s="26" t="s">
        <v>67</v>
      </c>
      <c r="Q34" s="26" t="s">
        <v>67</v>
      </c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3"/>
    </row>
    <row r="35" spans="1:34" x14ac:dyDescent="0.25">
      <c r="A35" s="21" t="s">
        <v>72</v>
      </c>
      <c r="B35" s="22"/>
      <c r="C35" s="23">
        <f>SUM(C33:C34)</f>
        <v>0</v>
      </c>
      <c r="D35" s="23">
        <f t="shared" ref="D35:Q35" si="3">SUM(D33:D34)</f>
        <v>0</v>
      </c>
      <c r="E35" s="23">
        <f t="shared" si="3"/>
        <v>0</v>
      </c>
      <c r="F35" s="23">
        <f t="shared" si="3"/>
        <v>0</v>
      </c>
      <c r="G35" s="23">
        <f t="shared" si="3"/>
        <v>0</v>
      </c>
      <c r="H35" s="23">
        <f t="shared" si="3"/>
        <v>0</v>
      </c>
      <c r="I35" s="23">
        <f t="shared" si="3"/>
        <v>0</v>
      </c>
      <c r="J35" s="23">
        <f t="shared" si="3"/>
        <v>0</v>
      </c>
      <c r="K35" s="23">
        <f t="shared" si="3"/>
        <v>0</v>
      </c>
      <c r="L35" s="23">
        <f t="shared" si="3"/>
        <v>0</v>
      </c>
      <c r="M35" s="23">
        <f t="shared" si="3"/>
        <v>0</v>
      </c>
      <c r="N35" s="23">
        <f t="shared" si="3"/>
        <v>0</v>
      </c>
      <c r="O35" s="23">
        <f t="shared" si="3"/>
        <v>0</v>
      </c>
      <c r="P35" s="23">
        <f t="shared" si="3"/>
        <v>0</v>
      </c>
      <c r="Q35" s="23">
        <f t="shared" si="3"/>
        <v>0</v>
      </c>
      <c r="R35" s="15">
        <f>SUM(T35:Y35)-Q35</f>
        <v>0</v>
      </c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27"/>
    </row>
    <row r="36" spans="1:34" x14ac:dyDescent="0.2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3"/>
    </row>
    <row r="37" spans="1:34" x14ac:dyDescent="0.25">
      <c r="A37" s="21" t="s">
        <v>73</v>
      </c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3"/>
    </row>
    <row r="38" spans="1:34" x14ac:dyDescent="0.25">
      <c r="A38" s="13" t="s">
        <v>74</v>
      </c>
      <c r="B38" s="13" t="s">
        <v>75</v>
      </c>
      <c r="C38" s="2">
        <f>'WC def tax 22'!O38</f>
        <v>-886103.73967663909</v>
      </c>
      <c r="D38" s="64">
        <v>-1529855.3165941362</v>
      </c>
      <c r="E38" s="64">
        <v>-1577429.9401783003</v>
      </c>
      <c r="F38" s="64">
        <v>-1625004.5637624646</v>
      </c>
      <c r="G38" s="64">
        <v>-1672579.1873466289</v>
      </c>
      <c r="H38" s="64">
        <v>-1720153.8109307929</v>
      </c>
      <c r="I38" s="64">
        <v>-1767728.4345149572</v>
      </c>
      <c r="J38" s="64">
        <v>-1815303.0580991213</v>
      </c>
      <c r="K38" s="64">
        <v>-1862877.6816832861</v>
      </c>
      <c r="L38" s="64">
        <v>-1910452.3052674504</v>
      </c>
      <c r="M38" s="64">
        <v>-1958026.9288516145</v>
      </c>
      <c r="N38" s="64">
        <v>-2005601.5524357788</v>
      </c>
      <c r="O38" s="64">
        <v>-2053176.1760199431</v>
      </c>
      <c r="P38" s="2">
        <f t="shared" ref="P38:P51" si="4">SUM(C38:O38)</f>
        <v>-22384292.695361111</v>
      </c>
      <c r="Q38" s="2">
        <f t="shared" ref="Q38:Q51" si="5">P38/13</f>
        <v>-1721868.6688739317</v>
      </c>
      <c r="R38" s="24"/>
      <c r="S38" s="25" t="s">
        <v>42</v>
      </c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3"/>
    </row>
    <row r="39" spans="1:34" x14ac:dyDescent="0.25">
      <c r="A39" s="13" t="s">
        <v>45</v>
      </c>
      <c r="B39" s="13" t="s">
        <v>76</v>
      </c>
      <c r="C39" s="2">
        <f>'WC def tax 22'!O39</f>
        <v>0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2">
        <f t="shared" si="4"/>
        <v>0</v>
      </c>
      <c r="Q39" s="2">
        <f t="shared" si="5"/>
        <v>0</v>
      </c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3"/>
    </row>
    <row r="40" spans="1:34" x14ac:dyDescent="0.25">
      <c r="A40" s="13" t="s">
        <v>47</v>
      </c>
      <c r="B40" s="13" t="s">
        <v>77</v>
      </c>
      <c r="C40" s="2">
        <f>'WC def tax 22'!O40</f>
        <v>0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2">
        <f t="shared" si="4"/>
        <v>0</v>
      </c>
      <c r="Q40" s="2">
        <f t="shared" si="5"/>
        <v>0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3"/>
    </row>
    <row r="41" spans="1:34" x14ac:dyDescent="0.25">
      <c r="A41" s="13" t="s">
        <v>49</v>
      </c>
      <c r="B41" s="13" t="s">
        <v>78</v>
      </c>
      <c r="C41" s="2">
        <f>'WC def tax 22'!O41</f>
        <v>0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2">
        <f t="shared" si="4"/>
        <v>0</v>
      </c>
      <c r="Q41" s="2">
        <f t="shared" si="5"/>
        <v>0</v>
      </c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3"/>
    </row>
    <row r="42" spans="1:34" x14ac:dyDescent="0.25">
      <c r="A42" s="13" t="s">
        <v>51</v>
      </c>
      <c r="B42" s="13" t="s">
        <v>79</v>
      </c>
      <c r="C42" s="2">
        <f>'WC def tax 22'!O42</f>
        <v>0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2">
        <f t="shared" si="4"/>
        <v>0</v>
      </c>
      <c r="Q42" s="2">
        <f t="shared" si="5"/>
        <v>0</v>
      </c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3"/>
    </row>
    <row r="43" spans="1:34" x14ac:dyDescent="0.25">
      <c r="A43" s="13" t="s">
        <v>53</v>
      </c>
      <c r="B43" s="13" t="s">
        <v>80</v>
      </c>
      <c r="C43" s="2">
        <f>'WC def tax 22'!O43</f>
        <v>0</v>
      </c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2">
        <f t="shared" si="4"/>
        <v>0</v>
      </c>
      <c r="Q43" s="2">
        <f t="shared" si="5"/>
        <v>0</v>
      </c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3"/>
    </row>
    <row r="44" spans="1:34" x14ac:dyDescent="0.25">
      <c r="A44" s="13" t="s">
        <v>55</v>
      </c>
      <c r="B44" s="13" t="s">
        <v>81</v>
      </c>
      <c r="C44" s="2">
        <f>'WC def tax 22'!O44</f>
        <v>0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2">
        <f t="shared" si="4"/>
        <v>0</v>
      </c>
      <c r="Q44" s="2">
        <f t="shared" si="5"/>
        <v>0</v>
      </c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3"/>
    </row>
    <row r="45" spans="1:34" x14ac:dyDescent="0.25">
      <c r="A45" s="13" t="s">
        <v>57</v>
      </c>
      <c r="B45" s="13" t="s">
        <v>82</v>
      </c>
      <c r="C45" s="2">
        <f>'WC def tax 22'!O45</f>
        <v>0</v>
      </c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2">
        <f t="shared" si="4"/>
        <v>0</v>
      </c>
      <c r="Q45" s="2">
        <f t="shared" si="5"/>
        <v>0</v>
      </c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3"/>
    </row>
    <row r="46" spans="1:34" x14ac:dyDescent="0.25">
      <c r="A46" s="13" t="s">
        <v>59</v>
      </c>
      <c r="B46" s="13" t="s">
        <v>83</v>
      </c>
      <c r="C46" s="2">
        <f>'WC def tax 22'!O46</f>
        <v>0</v>
      </c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2">
        <f t="shared" si="4"/>
        <v>0</v>
      </c>
      <c r="Q46" s="2">
        <f t="shared" si="5"/>
        <v>0</v>
      </c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3"/>
    </row>
    <row r="47" spans="1:34" x14ac:dyDescent="0.25">
      <c r="A47" s="13" t="s">
        <v>61</v>
      </c>
      <c r="B47" s="13" t="s">
        <v>84</v>
      </c>
      <c r="C47" s="2">
        <f>'WC def tax 22'!O47</f>
        <v>0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2">
        <f t="shared" si="4"/>
        <v>0</v>
      </c>
      <c r="Q47" s="2">
        <f t="shared" si="5"/>
        <v>0</v>
      </c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3"/>
    </row>
    <row r="48" spans="1:34" x14ac:dyDescent="0.25">
      <c r="A48" s="13" t="s">
        <v>63</v>
      </c>
      <c r="B48" s="13" t="s">
        <v>85</v>
      </c>
      <c r="C48" s="2">
        <f>'WC def tax 22'!O48</f>
        <v>0</v>
      </c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2">
        <f t="shared" si="4"/>
        <v>0</v>
      </c>
      <c r="Q48" s="2">
        <f t="shared" si="5"/>
        <v>0</v>
      </c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3"/>
    </row>
    <row r="49" spans="1:34" x14ac:dyDescent="0.25">
      <c r="A49" s="140" t="s">
        <v>86</v>
      </c>
      <c r="B49" s="140" t="s">
        <v>87</v>
      </c>
      <c r="C49" s="2">
        <f>'WC def tax 22'!O49</f>
        <v>0</v>
      </c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2">
        <f t="shared" si="4"/>
        <v>0</v>
      </c>
      <c r="Q49" s="2">
        <f t="shared" si="5"/>
        <v>0</v>
      </c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3"/>
    </row>
    <row r="50" spans="1:34" x14ac:dyDescent="0.25">
      <c r="A50" s="140" t="s">
        <v>88</v>
      </c>
      <c r="B50" s="140" t="s">
        <v>89</v>
      </c>
      <c r="C50" s="2">
        <f>'WC def tax 22'!O50</f>
        <v>0</v>
      </c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2">
        <f t="shared" si="4"/>
        <v>0</v>
      </c>
      <c r="Q50" s="2">
        <f t="shared" si="5"/>
        <v>0</v>
      </c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3"/>
    </row>
    <row r="51" spans="1:34" x14ac:dyDescent="0.25">
      <c r="A51" s="140" t="s">
        <v>90</v>
      </c>
      <c r="B51" s="140" t="s">
        <v>91</v>
      </c>
      <c r="C51" s="2">
        <f>'WC def tax 22'!O51</f>
        <v>0</v>
      </c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2">
        <f t="shared" si="4"/>
        <v>0</v>
      </c>
      <c r="Q51" s="2">
        <f t="shared" si="5"/>
        <v>0</v>
      </c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3"/>
    </row>
    <row r="52" spans="1:34" x14ac:dyDescent="0.25">
      <c r="C52" s="26" t="s">
        <v>67</v>
      </c>
      <c r="D52" s="26" t="s">
        <v>67</v>
      </c>
      <c r="E52" s="26" t="s">
        <v>67</v>
      </c>
      <c r="F52" s="26" t="s">
        <v>67</v>
      </c>
      <c r="G52" s="26" t="s">
        <v>67</v>
      </c>
      <c r="H52" s="26" t="s">
        <v>67</v>
      </c>
      <c r="I52" s="26" t="s">
        <v>67</v>
      </c>
      <c r="J52" s="26" t="s">
        <v>67</v>
      </c>
      <c r="K52" s="26" t="s">
        <v>67</v>
      </c>
      <c r="L52" s="26" t="s">
        <v>67</v>
      </c>
      <c r="M52" s="26" t="s">
        <v>67</v>
      </c>
      <c r="N52" s="26" t="s">
        <v>67</v>
      </c>
      <c r="O52" s="26" t="s">
        <v>67</v>
      </c>
      <c r="P52" s="26" t="s">
        <v>67</v>
      </c>
      <c r="Q52" s="26" t="s">
        <v>67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3"/>
    </row>
    <row r="53" spans="1:34" x14ac:dyDescent="0.25">
      <c r="A53" s="21" t="s">
        <v>92</v>
      </c>
      <c r="B53" s="22"/>
      <c r="C53" s="23">
        <f>SUM(C38:C51)</f>
        <v>-886103.73967663909</v>
      </c>
      <c r="D53" s="23">
        <f t="shared" ref="D53:Q53" si="6">SUM(D38:D51)</f>
        <v>-1529855.3165941362</v>
      </c>
      <c r="E53" s="23">
        <f t="shared" si="6"/>
        <v>-1577429.9401783003</v>
      </c>
      <c r="F53" s="23">
        <f t="shared" si="6"/>
        <v>-1625004.5637624646</v>
      </c>
      <c r="G53" s="23">
        <f t="shared" si="6"/>
        <v>-1672579.1873466289</v>
      </c>
      <c r="H53" s="23">
        <f t="shared" si="6"/>
        <v>-1720153.8109307929</v>
      </c>
      <c r="I53" s="23">
        <f t="shared" si="6"/>
        <v>-1767728.4345149572</v>
      </c>
      <c r="J53" s="23">
        <f t="shared" si="6"/>
        <v>-1815303.0580991213</v>
      </c>
      <c r="K53" s="23">
        <f t="shared" si="6"/>
        <v>-1862877.6816832861</v>
      </c>
      <c r="L53" s="23">
        <f t="shared" si="6"/>
        <v>-1910452.3052674504</v>
      </c>
      <c r="M53" s="23">
        <f t="shared" si="6"/>
        <v>-1958026.9288516145</v>
      </c>
      <c r="N53" s="23">
        <f t="shared" si="6"/>
        <v>-2005601.5524357788</v>
      </c>
      <c r="O53" s="23">
        <f t="shared" si="6"/>
        <v>-2053176.1760199431</v>
      </c>
      <c r="P53" s="23">
        <f t="shared" si="6"/>
        <v>-22384292.695361111</v>
      </c>
      <c r="Q53" s="23">
        <f t="shared" si="6"/>
        <v>-1721868.6688739317</v>
      </c>
      <c r="R53" s="15">
        <f>SUM(T53:Y53)-Q53</f>
        <v>1721868.6688739317</v>
      </c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27"/>
    </row>
    <row r="54" spans="1:34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3"/>
    </row>
    <row r="55" spans="1:34" ht="15.75" x14ac:dyDescent="0.3">
      <c r="A55" s="18" t="s">
        <v>93</v>
      </c>
      <c r="B55" s="19"/>
      <c r="C55" s="20">
        <f>C53+C35+C30</f>
        <v>11304901.260323361</v>
      </c>
      <c r="D55" s="20">
        <f t="shared" ref="D55:Q55" si="7">D53+D35+D30</f>
        <v>10661149.683405863</v>
      </c>
      <c r="E55" s="20">
        <f t="shared" si="7"/>
        <v>10613575.059821699</v>
      </c>
      <c r="F55" s="20">
        <f t="shared" si="7"/>
        <v>10566000.436237536</v>
      </c>
      <c r="G55" s="20">
        <f t="shared" si="7"/>
        <v>10518425.81265337</v>
      </c>
      <c r="H55" s="20">
        <f t="shared" si="7"/>
        <v>10470851.189069208</v>
      </c>
      <c r="I55" s="20">
        <f t="shared" si="7"/>
        <v>10423276.565485043</v>
      </c>
      <c r="J55" s="20">
        <f t="shared" si="7"/>
        <v>10375701.941900879</v>
      </c>
      <c r="K55" s="20">
        <f t="shared" si="7"/>
        <v>10328127.318316713</v>
      </c>
      <c r="L55" s="20">
        <f t="shared" si="7"/>
        <v>10280552.694732551</v>
      </c>
      <c r="M55" s="20">
        <f t="shared" si="7"/>
        <v>10232978.071148386</v>
      </c>
      <c r="N55" s="20">
        <f t="shared" si="7"/>
        <v>10185403.447564222</v>
      </c>
      <c r="O55" s="20">
        <f t="shared" si="7"/>
        <v>10137828.823980058</v>
      </c>
      <c r="P55" s="20">
        <f t="shared" si="7"/>
        <v>136098772.30463889</v>
      </c>
      <c r="Q55" s="20">
        <f t="shared" si="7"/>
        <v>10469136.331126068</v>
      </c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3"/>
    </row>
    <row r="56" spans="1:34" ht="15.75" x14ac:dyDescent="0.3">
      <c r="A56" s="18" t="s">
        <v>94</v>
      </c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3"/>
    </row>
    <row r="57" spans="1:34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3"/>
    </row>
    <row r="58" spans="1:34" x14ac:dyDescent="0.25">
      <c r="A58" s="21" t="s">
        <v>95</v>
      </c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3"/>
    </row>
    <row r="59" spans="1:34" x14ac:dyDescent="0.25">
      <c r="A59" s="13" t="s">
        <v>96</v>
      </c>
      <c r="B59" s="13" t="s">
        <v>97</v>
      </c>
      <c r="C59" s="2">
        <f>'WC def tax 22'!O59</f>
        <v>19699280</v>
      </c>
      <c r="D59" s="2">
        <v>19699280</v>
      </c>
      <c r="E59" s="2">
        <v>19699280</v>
      </c>
      <c r="F59" s="2">
        <v>19699280</v>
      </c>
      <c r="G59" s="2">
        <v>19699280</v>
      </c>
      <c r="H59" s="2">
        <v>19699280</v>
      </c>
      <c r="I59" s="2">
        <v>19699280</v>
      </c>
      <c r="J59" s="2">
        <v>19699280</v>
      </c>
      <c r="K59" s="2">
        <v>19699280</v>
      </c>
      <c r="L59" s="2">
        <v>19699280</v>
      </c>
      <c r="M59" s="2">
        <v>19699280</v>
      </c>
      <c r="N59" s="2">
        <v>19699280</v>
      </c>
      <c r="O59" s="2">
        <v>19699280</v>
      </c>
      <c r="P59" s="2">
        <f t="shared" ref="P59:P64" si="8">SUM(C59:O59)</f>
        <v>256090640</v>
      </c>
      <c r="Q59" s="2">
        <f t="shared" ref="Q59:Q64" si="9">P59/13</f>
        <v>19699280</v>
      </c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3"/>
    </row>
    <row r="60" spans="1:34" x14ac:dyDescent="0.25">
      <c r="A60" s="13" t="s">
        <v>98</v>
      </c>
      <c r="B60" s="13" t="s">
        <v>99</v>
      </c>
      <c r="C60" s="2">
        <f>'WC def tax 22'!O60</f>
        <v>9502865</v>
      </c>
      <c r="D60" s="2">
        <v>9502865</v>
      </c>
      <c r="E60" s="2">
        <v>9502865</v>
      </c>
      <c r="F60" s="2">
        <v>9502865</v>
      </c>
      <c r="G60" s="2">
        <v>9502865</v>
      </c>
      <c r="H60" s="2">
        <v>9502865</v>
      </c>
      <c r="I60" s="2">
        <v>9502865</v>
      </c>
      <c r="J60" s="2">
        <v>9502865</v>
      </c>
      <c r="K60" s="2">
        <v>9502865</v>
      </c>
      <c r="L60" s="2">
        <v>9502865</v>
      </c>
      <c r="M60" s="2">
        <v>9502865</v>
      </c>
      <c r="N60" s="2">
        <v>9502865</v>
      </c>
      <c r="O60" s="2">
        <v>9502865</v>
      </c>
      <c r="P60" s="2">
        <f t="shared" si="8"/>
        <v>123537245</v>
      </c>
      <c r="Q60" s="2">
        <f t="shared" si="9"/>
        <v>9502865</v>
      </c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3"/>
    </row>
    <row r="61" spans="1:34" x14ac:dyDescent="0.25">
      <c r="A61" s="13" t="s">
        <v>100</v>
      </c>
      <c r="B61" s="13" t="s">
        <v>101</v>
      </c>
      <c r="C61" s="2">
        <f>'WC def tax 22'!O61</f>
        <v>-234850</v>
      </c>
      <c r="D61" s="2">
        <v>-234850</v>
      </c>
      <c r="E61" s="2">
        <v>-234850</v>
      </c>
      <c r="F61" s="2">
        <v>-234850</v>
      </c>
      <c r="G61" s="2">
        <v>-234850</v>
      </c>
      <c r="H61" s="2">
        <v>-234850</v>
      </c>
      <c r="I61" s="2">
        <v>-234850</v>
      </c>
      <c r="J61" s="2">
        <v>-234850</v>
      </c>
      <c r="K61" s="2">
        <v>-234850</v>
      </c>
      <c r="L61" s="2">
        <v>-234850</v>
      </c>
      <c r="M61" s="2">
        <v>-234850</v>
      </c>
      <c r="N61" s="2">
        <v>-234850</v>
      </c>
      <c r="O61" s="2">
        <v>-234850</v>
      </c>
      <c r="P61" s="2">
        <f t="shared" si="8"/>
        <v>-3053050</v>
      </c>
      <c r="Q61" s="2">
        <f t="shared" si="9"/>
        <v>-234850</v>
      </c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3"/>
    </row>
    <row r="62" spans="1:34" x14ac:dyDescent="0.25">
      <c r="A62" s="13" t="s">
        <v>102</v>
      </c>
      <c r="B62" s="13" t="s">
        <v>103</v>
      </c>
      <c r="C62" s="2">
        <f>'WC def tax 22'!O62</f>
        <v>2980568</v>
      </c>
      <c r="D62" s="2">
        <v>2980568</v>
      </c>
      <c r="E62" s="2">
        <v>2980568</v>
      </c>
      <c r="F62" s="2">
        <v>2980568</v>
      </c>
      <c r="G62" s="2">
        <v>2980568</v>
      </c>
      <c r="H62" s="2">
        <v>2980568</v>
      </c>
      <c r="I62" s="2">
        <v>2980568</v>
      </c>
      <c r="J62" s="2">
        <v>2980568</v>
      </c>
      <c r="K62" s="2">
        <v>2980568</v>
      </c>
      <c r="L62" s="2">
        <v>2980568</v>
      </c>
      <c r="M62" s="2">
        <v>2980568</v>
      </c>
      <c r="N62" s="2">
        <v>2980568</v>
      </c>
      <c r="O62" s="2">
        <v>2980568</v>
      </c>
      <c r="P62" s="2">
        <f t="shared" si="8"/>
        <v>38747384</v>
      </c>
      <c r="Q62" s="2">
        <f t="shared" si="9"/>
        <v>2980568</v>
      </c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3"/>
    </row>
    <row r="63" spans="1:34" x14ac:dyDescent="0.25">
      <c r="A63" s="13" t="s">
        <v>104</v>
      </c>
      <c r="B63" s="13" t="s">
        <v>105</v>
      </c>
      <c r="C63" s="2">
        <f>'WC def tax 22'!O63</f>
        <v>77756946</v>
      </c>
      <c r="D63" s="2">
        <v>77756946</v>
      </c>
      <c r="E63" s="2">
        <v>77756946</v>
      </c>
      <c r="F63" s="2">
        <v>77756946</v>
      </c>
      <c r="G63" s="2">
        <v>77756946</v>
      </c>
      <c r="H63" s="2">
        <v>77756946</v>
      </c>
      <c r="I63" s="2">
        <v>77756946</v>
      </c>
      <c r="J63" s="2">
        <v>77756946</v>
      </c>
      <c r="K63" s="2">
        <v>77756946</v>
      </c>
      <c r="L63" s="2">
        <v>77756946</v>
      </c>
      <c r="M63" s="2">
        <v>77756946</v>
      </c>
      <c r="N63" s="2">
        <v>77756946</v>
      </c>
      <c r="O63" s="2">
        <v>77756946</v>
      </c>
      <c r="P63" s="2">
        <f t="shared" si="8"/>
        <v>1010840298</v>
      </c>
      <c r="Q63" s="2">
        <f t="shared" si="9"/>
        <v>77756946</v>
      </c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3"/>
    </row>
    <row r="64" spans="1:34" x14ac:dyDescent="0.25">
      <c r="A64" s="13" t="s">
        <v>106</v>
      </c>
      <c r="B64" s="13" t="s">
        <v>107</v>
      </c>
      <c r="C64" s="2">
        <f>'WC def tax 22'!O64</f>
        <v>-388179</v>
      </c>
      <c r="D64" s="2">
        <v>-388179</v>
      </c>
      <c r="E64" s="2">
        <v>-388179</v>
      </c>
      <c r="F64" s="2">
        <v>-388179</v>
      </c>
      <c r="G64" s="2">
        <v>-388179</v>
      </c>
      <c r="H64" s="2">
        <v>-388179</v>
      </c>
      <c r="I64" s="2">
        <v>-388179</v>
      </c>
      <c r="J64" s="2">
        <v>-388179</v>
      </c>
      <c r="K64" s="2">
        <v>-388179</v>
      </c>
      <c r="L64" s="2">
        <v>-388179</v>
      </c>
      <c r="M64" s="2">
        <v>-388179</v>
      </c>
      <c r="N64" s="2">
        <v>-388179</v>
      </c>
      <c r="O64" s="2">
        <v>-388179</v>
      </c>
      <c r="P64" s="2">
        <f t="shared" si="8"/>
        <v>-5046327</v>
      </c>
      <c r="Q64" s="2">
        <f t="shared" si="9"/>
        <v>-388179</v>
      </c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3"/>
    </row>
    <row r="65" spans="1:34" x14ac:dyDescent="0.25">
      <c r="C65" s="26" t="s">
        <v>67</v>
      </c>
      <c r="D65" s="26" t="s">
        <v>67</v>
      </c>
      <c r="E65" s="26" t="s">
        <v>67</v>
      </c>
      <c r="F65" s="26" t="s">
        <v>67</v>
      </c>
      <c r="G65" s="26" t="s">
        <v>67</v>
      </c>
      <c r="H65" s="26" t="s">
        <v>67</v>
      </c>
      <c r="I65" s="26" t="s">
        <v>67</v>
      </c>
      <c r="J65" s="26" t="s">
        <v>67</v>
      </c>
      <c r="K65" s="26" t="s">
        <v>67</v>
      </c>
      <c r="L65" s="26" t="s">
        <v>67</v>
      </c>
      <c r="M65" s="26" t="s">
        <v>67</v>
      </c>
      <c r="N65" s="26" t="s">
        <v>67</v>
      </c>
      <c r="O65" s="26" t="s">
        <v>67</v>
      </c>
      <c r="P65" s="26" t="s">
        <v>67</v>
      </c>
      <c r="Q65" s="26" t="s">
        <v>67</v>
      </c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3"/>
    </row>
    <row r="66" spans="1:34" x14ac:dyDescent="0.25">
      <c r="A66" s="21" t="s">
        <v>108</v>
      </c>
      <c r="B66" s="22"/>
      <c r="C66" s="23">
        <f>SUM(C59:C64)</f>
        <v>109316630</v>
      </c>
      <c r="D66" s="23">
        <f t="shared" ref="D66:P66" si="10">SUM(D59:D64)</f>
        <v>109316630</v>
      </c>
      <c r="E66" s="23">
        <f t="shared" si="10"/>
        <v>109316630</v>
      </c>
      <c r="F66" s="23">
        <f t="shared" si="10"/>
        <v>109316630</v>
      </c>
      <c r="G66" s="23">
        <f t="shared" si="10"/>
        <v>109316630</v>
      </c>
      <c r="H66" s="23">
        <f t="shared" si="10"/>
        <v>109316630</v>
      </c>
      <c r="I66" s="23">
        <f t="shared" si="10"/>
        <v>109316630</v>
      </c>
      <c r="J66" s="23">
        <f t="shared" si="10"/>
        <v>109316630</v>
      </c>
      <c r="K66" s="23">
        <f t="shared" si="10"/>
        <v>109316630</v>
      </c>
      <c r="L66" s="23">
        <f t="shared" si="10"/>
        <v>109316630</v>
      </c>
      <c r="M66" s="23">
        <f t="shared" si="10"/>
        <v>109316630</v>
      </c>
      <c r="N66" s="23">
        <f t="shared" si="10"/>
        <v>109316630</v>
      </c>
      <c r="O66" s="23">
        <f t="shared" si="10"/>
        <v>109316630</v>
      </c>
      <c r="P66" s="23">
        <f t="shared" si="10"/>
        <v>1421116190</v>
      </c>
      <c r="Q66" s="23">
        <v>109316630</v>
      </c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3"/>
    </row>
    <row r="67" spans="1:34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3"/>
    </row>
    <row r="68" spans="1:34" ht="15.75" x14ac:dyDescent="0.3">
      <c r="A68" s="18" t="s">
        <v>109</v>
      </c>
      <c r="B68" s="19"/>
      <c r="C68" s="20">
        <f>C66</f>
        <v>109316630</v>
      </c>
      <c r="D68" s="20">
        <f t="shared" ref="D68:Q68" si="11">D66</f>
        <v>109316630</v>
      </c>
      <c r="E68" s="20">
        <f t="shared" si="11"/>
        <v>109316630</v>
      </c>
      <c r="F68" s="20">
        <f t="shared" si="11"/>
        <v>109316630</v>
      </c>
      <c r="G68" s="20">
        <f t="shared" si="11"/>
        <v>109316630</v>
      </c>
      <c r="H68" s="20">
        <f t="shared" si="11"/>
        <v>109316630</v>
      </c>
      <c r="I68" s="20">
        <f t="shared" si="11"/>
        <v>109316630</v>
      </c>
      <c r="J68" s="20">
        <f t="shared" si="11"/>
        <v>109316630</v>
      </c>
      <c r="K68" s="20">
        <f t="shared" si="11"/>
        <v>109316630</v>
      </c>
      <c r="L68" s="20">
        <f t="shared" si="11"/>
        <v>109316630</v>
      </c>
      <c r="M68" s="20">
        <f t="shared" si="11"/>
        <v>109316630</v>
      </c>
      <c r="N68" s="20">
        <f t="shared" si="11"/>
        <v>109316630</v>
      </c>
      <c r="O68" s="20">
        <f t="shared" si="11"/>
        <v>109316630</v>
      </c>
      <c r="P68" s="20">
        <f t="shared" si="11"/>
        <v>1421116190</v>
      </c>
      <c r="Q68" s="20">
        <f t="shared" si="11"/>
        <v>109316630</v>
      </c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3"/>
    </row>
    <row r="69" spans="1:34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3"/>
    </row>
    <row r="70" spans="1:34" ht="15.75" x14ac:dyDescent="0.3">
      <c r="A70" s="18" t="s">
        <v>110</v>
      </c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3"/>
    </row>
    <row r="71" spans="1:34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3"/>
    </row>
    <row r="72" spans="1:34" x14ac:dyDescent="0.25">
      <c r="A72" s="21" t="s">
        <v>111</v>
      </c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3"/>
    </row>
    <row r="73" spans="1:34" x14ac:dyDescent="0.25">
      <c r="A73" s="13" t="s">
        <v>112</v>
      </c>
      <c r="B73" s="13" t="s">
        <v>113</v>
      </c>
      <c r="C73" s="2">
        <f>'WC def tax 22'!O73</f>
        <v>0</v>
      </c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2">
        <f t="shared" ref="P73:P77" si="12">SUM(C73:O73)</f>
        <v>0</v>
      </c>
      <c r="Q73" s="2">
        <f t="shared" ref="Q73:Q76" si="13">P73/13</f>
        <v>0</v>
      </c>
      <c r="R73" s="15" t="s">
        <v>502</v>
      </c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3"/>
    </row>
    <row r="74" spans="1:34" x14ac:dyDescent="0.25">
      <c r="A74" s="13" t="s">
        <v>114</v>
      </c>
      <c r="B74" s="13" t="s">
        <v>115</v>
      </c>
      <c r="C74" s="2">
        <f>'WC def tax 22'!O74</f>
        <v>991620.91666666663</v>
      </c>
      <c r="D74" s="64">
        <f t="shared" ref="D74:N74" si="14">(14045934-$C$79)/12</f>
        <v>1087859.4236111112</v>
      </c>
      <c r="E74" s="64">
        <f t="shared" si="14"/>
        <v>1087859.4236111112</v>
      </c>
      <c r="F74" s="64">
        <f t="shared" si="14"/>
        <v>1087859.4236111112</v>
      </c>
      <c r="G74" s="64">
        <f t="shared" si="14"/>
        <v>1087859.4236111112</v>
      </c>
      <c r="H74" s="64">
        <f t="shared" si="14"/>
        <v>1087859.4236111112</v>
      </c>
      <c r="I74" s="64">
        <f t="shared" si="14"/>
        <v>1087859.4236111112</v>
      </c>
      <c r="J74" s="64">
        <f t="shared" si="14"/>
        <v>1087859.4236111112</v>
      </c>
      <c r="K74" s="64">
        <f t="shared" si="14"/>
        <v>1087859.4236111112</v>
      </c>
      <c r="L74" s="64">
        <f t="shared" si="14"/>
        <v>1087859.4236111112</v>
      </c>
      <c r="M74" s="64">
        <f t="shared" si="14"/>
        <v>1087859.4236111112</v>
      </c>
      <c r="N74" s="64">
        <f t="shared" si="14"/>
        <v>1087859.4236111112</v>
      </c>
      <c r="O74" s="64">
        <f>(14045934-$C$79)/12</f>
        <v>1087859.4236111112</v>
      </c>
      <c r="P74" s="2">
        <f t="shared" si="12"/>
        <v>14045934.000000004</v>
      </c>
      <c r="Q74" s="2">
        <f>'WC def tax 22'!Q79*1.0557</f>
        <v>1080456.4570585929</v>
      </c>
      <c r="R74" s="15" t="s">
        <v>502</v>
      </c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3"/>
    </row>
    <row r="75" spans="1:34" x14ac:dyDescent="0.25">
      <c r="A75" s="13" t="s">
        <v>116</v>
      </c>
      <c r="B75" s="13" t="s">
        <v>117</v>
      </c>
      <c r="C75" s="2">
        <f>'WC def tax 22'!O75</f>
        <v>0</v>
      </c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2">
        <f t="shared" si="12"/>
        <v>0</v>
      </c>
      <c r="Q75" s="2">
        <f t="shared" si="13"/>
        <v>0</v>
      </c>
      <c r="R75" s="15" t="s">
        <v>502</v>
      </c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3"/>
    </row>
    <row r="76" spans="1:34" x14ac:dyDescent="0.25">
      <c r="A76" s="13" t="s">
        <v>118</v>
      </c>
      <c r="B76" s="13" t="s">
        <v>119</v>
      </c>
      <c r="C76" s="2">
        <f>'WC def tax 22'!O76</f>
        <v>0</v>
      </c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2">
        <f t="shared" si="12"/>
        <v>0</v>
      </c>
      <c r="Q76" s="2">
        <f t="shared" si="13"/>
        <v>0</v>
      </c>
      <c r="R76" s="15" t="s">
        <v>502</v>
      </c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3"/>
    </row>
    <row r="77" spans="1:34" x14ac:dyDescent="0.25">
      <c r="A77" s="30" t="s">
        <v>120</v>
      </c>
      <c r="B77" s="31"/>
      <c r="C77" s="2">
        <f>'WC def tax 22'!O77</f>
        <v>0</v>
      </c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24">
        <f t="shared" si="12"/>
        <v>0</v>
      </c>
      <c r="Q77" s="32">
        <f>+P77/13</f>
        <v>0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4"/>
    </row>
    <row r="78" spans="1:34" x14ac:dyDescent="0.25">
      <c r="A78" s="35"/>
      <c r="B78" s="35"/>
      <c r="C78" s="36" t="s">
        <v>67</v>
      </c>
      <c r="D78" s="36" t="s">
        <v>67</v>
      </c>
      <c r="E78" s="36" t="s">
        <v>67</v>
      </c>
      <c r="F78" s="36" t="s">
        <v>67</v>
      </c>
      <c r="G78" s="36" t="s">
        <v>67</v>
      </c>
      <c r="H78" s="36" t="s">
        <v>67</v>
      </c>
      <c r="I78" s="36" t="s">
        <v>67</v>
      </c>
      <c r="J78" s="36" t="s">
        <v>67</v>
      </c>
      <c r="K78" s="36" t="s">
        <v>67</v>
      </c>
      <c r="L78" s="36" t="s">
        <v>67</v>
      </c>
      <c r="M78" s="36" t="s">
        <v>67</v>
      </c>
      <c r="N78" s="36" t="s">
        <v>67</v>
      </c>
      <c r="O78" s="36" t="s">
        <v>67</v>
      </c>
      <c r="P78" s="36" t="s">
        <v>67</v>
      </c>
      <c r="Q78" s="36" t="s">
        <v>67</v>
      </c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3"/>
    </row>
    <row r="79" spans="1:34" x14ac:dyDescent="0.25">
      <c r="A79" s="37" t="s">
        <v>121</v>
      </c>
      <c r="B79" s="38"/>
      <c r="C79" s="39">
        <f>SUM(C73:C77)</f>
        <v>991620.91666666663</v>
      </c>
      <c r="D79" s="39">
        <f t="shared" ref="D79:Q79" si="15">SUM(D73:D77)</f>
        <v>1087859.4236111112</v>
      </c>
      <c r="E79" s="39">
        <f t="shared" si="15"/>
        <v>1087859.4236111112</v>
      </c>
      <c r="F79" s="39">
        <f t="shared" si="15"/>
        <v>1087859.4236111112</v>
      </c>
      <c r="G79" s="39">
        <f t="shared" si="15"/>
        <v>1087859.4236111112</v>
      </c>
      <c r="H79" s="39">
        <f t="shared" si="15"/>
        <v>1087859.4236111112</v>
      </c>
      <c r="I79" s="39">
        <f t="shared" si="15"/>
        <v>1087859.4236111112</v>
      </c>
      <c r="J79" s="39">
        <f t="shared" si="15"/>
        <v>1087859.4236111112</v>
      </c>
      <c r="K79" s="39">
        <f t="shared" si="15"/>
        <v>1087859.4236111112</v>
      </c>
      <c r="L79" s="39">
        <f t="shared" si="15"/>
        <v>1087859.4236111112</v>
      </c>
      <c r="M79" s="39">
        <f t="shared" si="15"/>
        <v>1087859.4236111112</v>
      </c>
      <c r="N79" s="39">
        <f t="shared" si="15"/>
        <v>1087859.4236111112</v>
      </c>
      <c r="O79" s="39">
        <f t="shared" si="15"/>
        <v>1087859.4236111112</v>
      </c>
      <c r="P79" s="39">
        <f t="shared" si="15"/>
        <v>14045934.000000004</v>
      </c>
      <c r="Q79" s="39">
        <f t="shared" si="15"/>
        <v>1080456.4570585929</v>
      </c>
      <c r="R79" s="15">
        <f>SUM(T79:Y79)-Q79</f>
        <v>0</v>
      </c>
      <c r="S79" s="15" t="s">
        <v>16</v>
      </c>
      <c r="T79" s="15">
        <f>$Q79*T$5</f>
        <v>230137.22535348029</v>
      </c>
      <c r="U79" s="15">
        <f t="shared" ref="U79:Y79" si="16">$Q79*U$5</f>
        <v>375998.84705639031</v>
      </c>
      <c r="V79" s="15">
        <f t="shared" si="16"/>
        <v>155585.72981643738</v>
      </c>
      <c r="W79" s="15">
        <f t="shared" si="16"/>
        <v>1080.4564570585931</v>
      </c>
      <c r="X79" s="15">
        <f t="shared" si="16"/>
        <v>1080.4564570585931</v>
      </c>
      <c r="Y79" s="15">
        <f t="shared" si="16"/>
        <v>316573.74191816768</v>
      </c>
      <c r="Z79" s="15"/>
      <c r="AA79" s="15" t="s">
        <v>16</v>
      </c>
      <c r="AB79" s="15">
        <f>$O79*AB$5</f>
        <v>231714.05722916668</v>
      </c>
      <c r="AC79" s="15">
        <f t="shared" ref="AC79:AG79" si="17">$O79*AC$5</f>
        <v>378575.0794166667</v>
      </c>
      <c r="AD79" s="15">
        <f t="shared" si="17"/>
        <v>156651.75700000001</v>
      </c>
      <c r="AE79" s="15">
        <f t="shared" si="17"/>
        <v>1087.8594236111112</v>
      </c>
      <c r="AF79" s="15">
        <f t="shared" si="17"/>
        <v>1087.8594236111112</v>
      </c>
      <c r="AG79" s="15">
        <f t="shared" si="17"/>
        <v>318742.8111180556</v>
      </c>
      <c r="AH79" s="27">
        <f>SUM(AB79:AG79)-O79</f>
        <v>0</v>
      </c>
    </row>
    <row r="80" spans="1:34" x14ac:dyDescent="0.25">
      <c r="A80" s="35"/>
      <c r="B80" s="35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3"/>
    </row>
    <row r="81" spans="1:34" x14ac:dyDescent="0.25">
      <c r="A81" s="21" t="s">
        <v>122</v>
      </c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3"/>
    </row>
    <row r="82" spans="1:34" x14ac:dyDescent="0.25">
      <c r="A82" s="13" t="s">
        <v>123</v>
      </c>
      <c r="B82" s="13" t="s">
        <v>124</v>
      </c>
      <c r="C82" s="2">
        <f>'WC def tax 22'!O82</f>
        <v>-2654627.9815999996</v>
      </c>
      <c r="D82" s="64">
        <f t="shared" ref="D82:O82" si="18">C82+($C82*(0.0557/12))</f>
        <v>-2666949.8798145931</v>
      </c>
      <c r="E82" s="64">
        <f t="shared" si="18"/>
        <v>-2679271.7780291867</v>
      </c>
      <c r="F82" s="64">
        <f t="shared" si="18"/>
        <v>-2691593.6762437802</v>
      </c>
      <c r="G82" s="64">
        <f t="shared" si="18"/>
        <v>-2703915.5744583737</v>
      </c>
      <c r="H82" s="64">
        <f t="shared" si="18"/>
        <v>-2716237.4726729672</v>
      </c>
      <c r="I82" s="64">
        <f t="shared" si="18"/>
        <v>-2728559.3708875608</v>
      </c>
      <c r="J82" s="64">
        <f t="shared" si="18"/>
        <v>-2740881.2691021543</v>
      </c>
      <c r="K82" s="64">
        <f t="shared" si="18"/>
        <v>-2753203.1673167478</v>
      </c>
      <c r="L82" s="64">
        <f t="shared" si="18"/>
        <v>-2765525.0655313414</v>
      </c>
      <c r="M82" s="64">
        <f t="shared" si="18"/>
        <v>-2777846.9637459349</v>
      </c>
      <c r="N82" s="64">
        <f t="shared" si="18"/>
        <v>-2790168.8619605284</v>
      </c>
      <c r="O82" s="64">
        <f t="shared" si="18"/>
        <v>-2802490.7601751219</v>
      </c>
      <c r="P82" s="2">
        <f t="shared" ref="P82:P84" si="19">SUM(C82:O82)</f>
        <v>-35471271.821538299</v>
      </c>
      <c r="Q82" s="2">
        <f t="shared" ref="Q82:Q84" si="20">P82/13</f>
        <v>-2728559.3708875617</v>
      </c>
      <c r="R82" s="15" t="s">
        <v>502</v>
      </c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3"/>
    </row>
    <row r="83" spans="1:34" x14ac:dyDescent="0.25">
      <c r="A83" s="13" t="s">
        <v>125</v>
      </c>
      <c r="B83" s="13" t="s">
        <v>126</v>
      </c>
      <c r="C83" s="2">
        <f>'WC def tax 22'!O83</f>
        <v>-841968.60440000053</v>
      </c>
      <c r="D83" s="64">
        <f t="shared" ref="D83:O83" si="21">C83+($C83*(0.0557/12))</f>
        <v>-845876.74200542388</v>
      </c>
      <c r="E83" s="64">
        <f t="shared" si="21"/>
        <v>-849784.87961084722</v>
      </c>
      <c r="F83" s="64">
        <f t="shared" si="21"/>
        <v>-853693.01721627056</v>
      </c>
      <c r="G83" s="64">
        <f t="shared" si="21"/>
        <v>-857601.1548216939</v>
      </c>
      <c r="H83" s="64">
        <f t="shared" si="21"/>
        <v>-861509.29242711724</v>
      </c>
      <c r="I83" s="64">
        <f t="shared" si="21"/>
        <v>-865417.43003254058</v>
      </c>
      <c r="J83" s="64">
        <f t="shared" si="21"/>
        <v>-869325.56763796392</v>
      </c>
      <c r="K83" s="64">
        <f t="shared" si="21"/>
        <v>-873233.70524338726</v>
      </c>
      <c r="L83" s="64">
        <f t="shared" si="21"/>
        <v>-877141.8428488106</v>
      </c>
      <c r="M83" s="64">
        <f t="shared" si="21"/>
        <v>-881049.98045423394</v>
      </c>
      <c r="N83" s="64">
        <f t="shared" si="21"/>
        <v>-884958.11805965728</v>
      </c>
      <c r="O83" s="64">
        <f t="shared" si="21"/>
        <v>-888866.25566508062</v>
      </c>
      <c r="P83" s="2">
        <f t="shared" si="19"/>
        <v>-11250426.590423029</v>
      </c>
      <c r="Q83" s="2">
        <f t="shared" si="20"/>
        <v>-865417.43003254069</v>
      </c>
      <c r="R83" s="15" t="s">
        <v>502</v>
      </c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</row>
    <row r="84" spans="1:34" x14ac:dyDescent="0.25">
      <c r="A84" s="13" t="s">
        <v>127</v>
      </c>
      <c r="B84" s="13" t="s">
        <v>128</v>
      </c>
      <c r="C84" s="2">
        <f>'WC def tax 22'!O84</f>
        <v>2654627.9815999996</v>
      </c>
      <c r="D84" s="64">
        <f t="shared" ref="D84:O84" si="22">C84+($C84*(0.0557/12))</f>
        <v>2666949.8798145931</v>
      </c>
      <c r="E84" s="64">
        <f t="shared" si="22"/>
        <v>2679271.7780291867</v>
      </c>
      <c r="F84" s="64">
        <f t="shared" si="22"/>
        <v>2691593.6762437802</v>
      </c>
      <c r="G84" s="64">
        <f t="shared" si="22"/>
        <v>2703915.5744583737</v>
      </c>
      <c r="H84" s="64">
        <f t="shared" si="22"/>
        <v>2716237.4726729672</v>
      </c>
      <c r="I84" s="64">
        <f t="shared" si="22"/>
        <v>2728559.3708875608</v>
      </c>
      <c r="J84" s="64">
        <f t="shared" si="22"/>
        <v>2740881.2691021543</v>
      </c>
      <c r="K84" s="64">
        <f t="shared" si="22"/>
        <v>2753203.1673167478</v>
      </c>
      <c r="L84" s="64">
        <f t="shared" si="22"/>
        <v>2765525.0655313414</v>
      </c>
      <c r="M84" s="64">
        <f t="shared" si="22"/>
        <v>2777846.9637459349</v>
      </c>
      <c r="N84" s="64">
        <f t="shared" si="22"/>
        <v>2790168.8619605284</v>
      </c>
      <c r="O84" s="64">
        <f t="shared" si="22"/>
        <v>2802490.7601751219</v>
      </c>
      <c r="P84" s="2">
        <f t="shared" si="19"/>
        <v>35471271.821538299</v>
      </c>
      <c r="Q84" s="2">
        <f t="shared" si="20"/>
        <v>2728559.3708875617</v>
      </c>
      <c r="R84" s="15" t="s">
        <v>502</v>
      </c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3"/>
    </row>
    <row r="85" spans="1:34" x14ac:dyDescent="0.25">
      <c r="C85" s="26" t="s">
        <v>67</v>
      </c>
      <c r="D85" s="26" t="s">
        <v>67</v>
      </c>
      <c r="E85" s="26" t="s">
        <v>67</v>
      </c>
      <c r="F85" s="26" t="s">
        <v>67</v>
      </c>
      <c r="G85" s="26" t="s">
        <v>67</v>
      </c>
      <c r="H85" s="26" t="s">
        <v>67</v>
      </c>
      <c r="I85" s="26" t="s">
        <v>67</v>
      </c>
      <c r="J85" s="26" t="s">
        <v>67</v>
      </c>
      <c r="K85" s="26" t="s">
        <v>67</v>
      </c>
      <c r="L85" s="26" t="s">
        <v>67</v>
      </c>
      <c r="M85" s="26" t="s">
        <v>67</v>
      </c>
      <c r="N85" s="26" t="s">
        <v>67</v>
      </c>
      <c r="O85" s="26" t="s">
        <v>67</v>
      </c>
      <c r="P85" s="26" t="s">
        <v>67</v>
      </c>
      <c r="Q85" s="26" t="s">
        <v>67</v>
      </c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3"/>
    </row>
    <row r="86" spans="1:34" x14ac:dyDescent="0.25">
      <c r="A86" s="21" t="s">
        <v>129</v>
      </c>
      <c r="B86" s="22"/>
      <c r="C86" s="23">
        <f>SUM(C82:C84)</f>
        <v>-841968.60440000053</v>
      </c>
      <c r="D86" s="23">
        <f t="shared" ref="D86:Q86" si="23">SUM(D82:D84)</f>
        <v>-845876.74200542364</v>
      </c>
      <c r="E86" s="23">
        <f t="shared" si="23"/>
        <v>-849784.87961084722</v>
      </c>
      <c r="F86" s="23">
        <f t="shared" si="23"/>
        <v>-853693.01721627079</v>
      </c>
      <c r="G86" s="23">
        <f t="shared" si="23"/>
        <v>-857601.1548216939</v>
      </c>
      <c r="H86" s="23">
        <f t="shared" si="23"/>
        <v>-861509.292427117</v>
      </c>
      <c r="I86" s="23">
        <f t="shared" si="23"/>
        <v>-865417.43003254058</v>
      </c>
      <c r="J86" s="23">
        <f t="shared" si="23"/>
        <v>-869325.56763796415</v>
      </c>
      <c r="K86" s="23">
        <f t="shared" si="23"/>
        <v>-873233.70524338726</v>
      </c>
      <c r="L86" s="23">
        <f t="shared" si="23"/>
        <v>-877141.84284881037</v>
      </c>
      <c r="M86" s="23">
        <f t="shared" si="23"/>
        <v>-881049.98045423394</v>
      </c>
      <c r="N86" s="23">
        <f t="shared" si="23"/>
        <v>-884958.11805965751</v>
      </c>
      <c r="O86" s="23">
        <f t="shared" si="23"/>
        <v>-888866.25566508062</v>
      </c>
      <c r="P86" s="23">
        <f t="shared" si="23"/>
        <v>-11250426.590423033</v>
      </c>
      <c r="Q86" s="23">
        <f t="shared" si="23"/>
        <v>-865417.43003254058</v>
      </c>
      <c r="R86" s="15">
        <f>SUM(T86:Y86)-Q86</f>
        <v>0</v>
      </c>
      <c r="S86" s="15" t="s">
        <v>16</v>
      </c>
      <c r="T86" s="15">
        <f t="shared" ref="T86:Y86" si="24">$Q86*T5</f>
        <v>-184333.91259693113</v>
      </c>
      <c r="U86" s="15">
        <f t="shared" si="24"/>
        <v>-301165.26565132412</v>
      </c>
      <c r="V86" s="15">
        <f t="shared" si="24"/>
        <v>-124620.10992468584</v>
      </c>
      <c r="W86" s="15">
        <f t="shared" si="24"/>
        <v>-865.41743003254055</v>
      </c>
      <c r="X86" s="15">
        <f t="shared" si="24"/>
        <v>-865.41743003254055</v>
      </c>
      <c r="Y86" s="15">
        <f t="shared" si="24"/>
        <v>-253567.30699953437</v>
      </c>
      <c r="Z86" s="15"/>
      <c r="AA86" s="15" t="s">
        <v>16</v>
      </c>
      <c r="AB86" s="15">
        <f t="shared" ref="AB86:AG86" si="25">$O86*AB$5</f>
        <v>-189328.51245666217</v>
      </c>
      <c r="AC86" s="15">
        <f t="shared" si="25"/>
        <v>-309325.45697144803</v>
      </c>
      <c r="AD86" s="15">
        <f t="shared" si="25"/>
        <v>-127996.7408157716</v>
      </c>
      <c r="AE86" s="15">
        <f t="shared" si="25"/>
        <v>-888.86625566508064</v>
      </c>
      <c r="AF86" s="15">
        <f t="shared" si="25"/>
        <v>-888.86625566508064</v>
      </c>
      <c r="AG86" s="15">
        <f t="shared" si="25"/>
        <v>-260437.8129098686</v>
      </c>
      <c r="AH86" s="27">
        <f>SUM(AB86:AG86)-O86</f>
        <v>0</v>
      </c>
    </row>
    <row r="87" spans="1:34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3"/>
    </row>
    <row r="88" spans="1:34" x14ac:dyDescent="0.25">
      <c r="A88" s="21" t="s">
        <v>130</v>
      </c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3"/>
    </row>
    <row r="89" spans="1:34" x14ac:dyDescent="0.25">
      <c r="A89" s="13" t="s">
        <v>131</v>
      </c>
      <c r="B89" s="13" t="s">
        <v>132</v>
      </c>
      <c r="C89" s="2">
        <f>'WC def tax 22'!O89</f>
        <v>0</v>
      </c>
      <c r="D89" s="64">
        <f t="shared" ref="D89:O90" si="26">C89+($C89*(0.0557/12))</f>
        <v>0</v>
      </c>
      <c r="E89" s="64">
        <f t="shared" si="26"/>
        <v>0</v>
      </c>
      <c r="F89" s="64">
        <f t="shared" si="26"/>
        <v>0</v>
      </c>
      <c r="G89" s="64">
        <f t="shared" si="26"/>
        <v>0</v>
      </c>
      <c r="H89" s="64">
        <f t="shared" si="26"/>
        <v>0</v>
      </c>
      <c r="I89" s="64">
        <f t="shared" si="26"/>
        <v>0</v>
      </c>
      <c r="J89" s="64">
        <f t="shared" si="26"/>
        <v>0</v>
      </c>
      <c r="K89" s="64">
        <f t="shared" si="26"/>
        <v>0</v>
      </c>
      <c r="L89" s="64">
        <f t="shared" si="26"/>
        <v>0</v>
      </c>
      <c r="M89" s="64">
        <f t="shared" si="26"/>
        <v>0</v>
      </c>
      <c r="N89" s="64">
        <f t="shared" si="26"/>
        <v>0</v>
      </c>
      <c r="O89" s="64">
        <f t="shared" si="26"/>
        <v>0</v>
      </c>
      <c r="P89" s="2">
        <f t="shared" ref="P89:P90" si="27">SUM(C89:O89)</f>
        <v>0</v>
      </c>
      <c r="Q89" s="2">
        <f t="shared" ref="Q89:Q90" si="28">P89/13</f>
        <v>0</v>
      </c>
      <c r="R89" s="15" t="s">
        <v>502</v>
      </c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3"/>
    </row>
    <row r="90" spans="1:34" x14ac:dyDescent="0.25">
      <c r="A90" s="13" t="s">
        <v>133</v>
      </c>
      <c r="B90" s="13" t="s">
        <v>134</v>
      </c>
      <c r="C90" s="2">
        <f>'WC def tax 22'!O90</f>
        <v>-722.80120000000034</v>
      </c>
      <c r="D90" s="64">
        <f t="shared" si="26"/>
        <v>-726.15620223666701</v>
      </c>
      <c r="E90" s="64">
        <f t="shared" si="26"/>
        <v>-729.51120447333369</v>
      </c>
      <c r="F90" s="64">
        <f t="shared" si="26"/>
        <v>-732.86620671000037</v>
      </c>
      <c r="G90" s="64">
        <f t="shared" si="26"/>
        <v>-736.22120894666705</v>
      </c>
      <c r="H90" s="64">
        <f t="shared" si="26"/>
        <v>-739.57621118333373</v>
      </c>
      <c r="I90" s="64">
        <f t="shared" si="26"/>
        <v>-742.9312134200004</v>
      </c>
      <c r="J90" s="64">
        <f t="shared" si="26"/>
        <v>-746.28621565666708</v>
      </c>
      <c r="K90" s="64">
        <f t="shared" si="26"/>
        <v>-749.64121789333376</v>
      </c>
      <c r="L90" s="64">
        <f t="shared" si="26"/>
        <v>-752.99622013000044</v>
      </c>
      <c r="M90" s="64">
        <f t="shared" si="26"/>
        <v>-756.35122236666712</v>
      </c>
      <c r="N90" s="64">
        <f t="shared" si="26"/>
        <v>-759.70622460333379</v>
      </c>
      <c r="O90" s="64">
        <f t="shared" si="26"/>
        <v>-763.06122684000047</v>
      </c>
      <c r="P90" s="2">
        <f t="shared" si="27"/>
        <v>-9658.1057744600075</v>
      </c>
      <c r="Q90" s="2">
        <f t="shared" si="28"/>
        <v>-742.93121342000063</v>
      </c>
      <c r="R90" s="15" t="s">
        <v>502</v>
      </c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3"/>
    </row>
    <row r="91" spans="1:34" x14ac:dyDescent="0.25">
      <c r="C91" s="26" t="s">
        <v>67</v>
      </c>
      <c r="D91" s="26" t="s">
        <v>67</v>
      </c>
      <c r="E91" s="26" t="s">
        <v>67</v>
      </c>
      <c r="F91" s="26" t="s">
        <v>67</v>
      </c>
      <c r="G91" s="26" t="s">
        <v>67</v>
      </c>
      <c r="H91" s="26" t="s">
        <v>67</v>
      </c>
      <c r="I91" s="26" t="s">
        <v>67</v>
      </c>
      <c r="J91" s="26" t="s">
        <v>67</v>
      </c>
      <c r="K91" s="26" t="s">
        <v>67</v>
      </c>
      <c r="L91" s="26" t="s">
        <v>67</v>
      </c>
      <c r="M91" s="26" t="s">
        <v>67</v>
      </c>
      <c r="N91" s="26" t="s">
        <v>67</v>
      </c>
      <c r="O91" s="26" t="s">
        <v>67</v>
      </c>
      <c r="P91" s="26" t="s">
        <v>67</v>
      </c>
      <c r="Q91" s="26" t="s">
        <v>67</v>
      </c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3"/>
    </row>
    <row r="92" spans="1:34" x14ac:dyDescent="0.25">
      <c r="A92" s="21" t="s">
        <v>135</v>
      </c>
      <c r="B92" s="22"/>
      <c r="C92" s="23">
        <f>SUM(C89:C90)</f>
        <v>-722.80120000000034</v>
      </c>
      <c r="D92" s="23">
        <f t="shared" ref="D92:Q92" si="29">SUM(D89:D90)</f>
        <v>-726.15620223666701</v>
      </c>
      <c r="E92" s="23">
        <f t="shared" si="29"/>
        <v>-729.51120447333369</v>
      </c>
      <c r="F92" s="23">
        <f t="shared" si="29"/>
        <v>-732.86620671000037</v>
      </c>
      <c r="G92" s="23">
        <f t="shared" si="29"/>
        <v>-736.22120894666705</v>
      </c>
      <c r="H92" s="23">
        <f t="shared" si="29"/>
        <v>-739.57621118333373</v>
      </c>
      <c r="I92" s="23">
        <f t="shared" si="29"/>
        <v>-742.9312134200004</v>
      </c>
      <c r="J92" s="23">
        <f t="shared" si="29"/>
        <v>-746.28621565666708</v>
      </c>
      <c r="K92" s="23">
        <f t="shared" si="29"/>
        <v>-749.64121789333376</v>
      </c>
      <c r="L92" s="23">
        <f t="shared" si="29"/>
        <v>-752.99622013000044</v>
      </c>
      <c r="M92" s="23">
        <f t="shared" si="29"/>
        <v>-756.35122236666712</v>
      </c>
      <c r="N92" s="23">
        <f t="shared" si="29"/>
        <v>-759.70622460333379</v>
      </c>
      <c r="O92" s="23">
        <f t="shared" si="29"/>
        <v>-763.06122684000047</v>
      </c>
      <c r="P92" s="23">
        <f t="shared" si="29"/>
        <v>-9658.1057744600075</v>
      </c>
      <c r="Q92" s="23">
        <f t="shared" si="29"/>
        <v>-742.93121342000063</v>
      </c>
      <c r="R92" s="15">
        <f>SUM(T92:Y92)-Q92</f>
        <v>0</v>
      </c>
      <c r="S92" s="15" t="s">
        <v>16</v>
      </c>
      <c r="T92" s="15">
        <f t="shared" ref="T92:Y92" si="30">$Q92*T5</f>
        <v>-158.24434845846014</v>
      </c>
      <c r="U92" s="15">
        <f t="shared" si="30"/>
        <v>-258.54006227016021</v>
      </c>
      <c r="V92" s="15">
        <f t="shared" si="30"/>
        <v>-106.98209473248008</v>
      </c>
      <c r="W92" s="15">
        <f t="shared" si="30"/>
        <v>-0.74293121342000068</v>
      </c>
      <c r="X92" s="15">
        <f t="shared" si="30"/>
        <v>-0.74293121342000068</v>
      </c>
      <c r="Y92" s="15">
        <f t="shared" si="30"/>
        <v>-217.67884553206017</v>
      </c>
      <c r="Z92" s="15"/>
      <c r="AA92" s="15" t="s">
        <v>16</v>
      </c>
      <c r="AB92" s="15">
        <f t="shared" ref="AB92:AG92" si="31">$O92*AB$5</f>
        <v>-162.5320413169201</v>
      </c>
      <c r="AC92" s="15">
        <f t="shared" si="31"/>
        <v>-265.54530694032013</v>
      </c>
      <c r="AD92" s="15">
        <f t="shared" si="31"/>
        <v>-109.88081666496007</v>
      </c>
      <c r="AE92" s="15">
        <f t="shared" si="31"/>
        <v>-0.76306122684000044</v>
      </c>
      <c r="AF92" s="15">
        <f t="shared" si="31"/>
        <v>-0.76306122684000044</v>
      </c>
      <c r="AG92" s="15">
        <f t="shared" si="31"/>
        <v>-223.57693946412013</v>
      </c>
      <c r="AH92" s="27">
        <f>SUM(AB92:AG92)-O92</f>
        <v>0</v>
      </c>
    </row>
    <row r="93" spans="1:34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3"/>
    </row>
    <row r="94" spans="1:34" x14ac:dyDescent="0.25">
      <c r="A94" s="21" t="s">
        <v>136</v>
      </c>
      <c r="B94" s="22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3"/>
    </row>
    <row r="95" spans="1:34" x14ac:dyDescent="0.25">
      <c r="A95" s="13" t="s">
        <v>137</v>
      </c>
      <c r="B95" s="13" t="s">
        <v>138</v>
      </c>
      <c r="C95" s="2">
        <f>'WC def tax 22'!O95</f>
        <v>5591627</v>
      </c>
      <c r="D95" s="64">
        <f>C95</f>
        <v>5591627</v>
      </c>
      <c r="E95" s="64">
        <f t="shared" ref="E95:O95" si="32">D95</f>
        <v>5591627</v>
      </c>
      <c r="F95" s="64">
        <f t="shared" si="32"/>
        <v>5591627</v>
      </c>
      <c r="G95" s="64">
        <f t="shared" si="32"/>
        <v>5591627</v>
      </c>
      <c r="H95" s="64">
        <f t="shared" si="32"/>
        <v>5591627</v>
      </c>
      <c r="I95" s="64">
        <f t="shared" si="32"/>
        <v>5591627</v>
      </c>
      <c r="J95" s="64">
        <f t="shared" si="32"/>
        <v>5591627</v>
      </c>
      <c r="K95" s="64">
        <f t="shared" si="32"/>
        <v>5591627</v>
      </c>
      <c r="L95" s="64">
        <f t="shared" si="32"/>
        <v>5591627</v>
      </c>
      <c r="M95" s="64">
        <f t="shared" si="32"/>
        <v>5591627</v>
      </c>
      <c r="N95" s="64">
        <f t="shared" si="32"/>
        <v>5591627</v>
      </c>
      <c r="O95" s="64">
        <f t="shared" si="32"/>
        <v>5591627</v>
      </c>
      <c r="P95" s="2">
        <f t="shared" ref="P95:P129" si="33">SUM(C95:O95)</f>
        <v>72691151</v>
      </c>
      <c r="Q95" s="2">
        <f t="shared" ref="Q95:Q129" si="34">P95/13</f>
        <v>5591627</v>
      </c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3"/>
    </row>
    <row r="96" spans="1:34" x14ac:dyDescent="0.25">
      <c r="A96" s="13" t="s">
        <v>139</v>
      </c>
      <c r="B96" s="13" t="s">
        <v>140</v>
      </c>
      <c r="C96" s="2">
        <f>'WC def tax 22'!O96</f>
        <v>10140</v>
      </c>
      <c r="D96" s="64">
        <f t="shared" ref="D96:O129" si="35">C96</f>
        <v>10140</v>
      </c>
      <c r="E96" s="64">
        <f t="shared" si="35"/>
        <v>10140</v>
      </c>
      <c r="F96" s="64">
        <f t="shared" si="35"/>
        <v>10140</v>
      </c>
      <c r="G96" s="64">
        <f t="shared" si="35"/>
        <v>10140</v>
      </c>
      <c r="H96" s="64">
        <f t="shared" si="35"/>
        <v>10140</v>
      </c>
      <c r="I96" s="64">
        <f t="shared" si="35"/>
        <v>10140</v>
      </c>
      <c r="J96" s="64">
        <f t="shared" si="35"/>
        <v>10140</v>
      </c>
      <c r="K96" s="64">
        <f t="shared" si="35"/>
        <v>10140</v>
      </c>
      <c r="L96" s="64">
        <f t="shared" si="35"/>
        <v>10140</v>
      </c>
      <c r="M96" s="64">
        <f t="shared" si="35"/>
        <v>10140</v>
      </c>
      <c r="N96" s="64">
        <f t="shared" si="35"/>
        <v>10140</v>
      </c>
      <c r="O96" s="64">
        <f t="shared" si="35"/>
        <v>10140</v>
      </c>
      <c r="P96" s="2">
        <f t="shared" si="33"/>
        <v>131820</v>
      </c>
      <c r="Q96" s="2">
        <f t="shared" si="34"/>
        <v>10140</v>
      </c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3"/>
    </row>
    <row r="97" spans="1:34" x14ac:dyDescent="0.25">
      <c r="A97" s="13" t="s">
        <v>141</v>
      </c>
      <c r="B97" s="13" t="s">
        <v>142</v>
      </c>
      <c r="C97" s="2">
        <f>'WC def tax 22'!O97</f>
        <v>-878937</v>
      </c>
      <c r="D97" s="64">
        <f t="shared" si="35"/>
        <v>-878937</v>
      </c>
      <c r="E97" s="64">
        <f t="shared" si="35"/>
        <v>-878937</v>
      </c>
      <c r="F97" s="64">
        <f t="shared" si="35"/>
        <v>-878937</v>
      </c>
      <c r="G97" s="64">
        <f t="shared" si="35"/>
        <v>-878937</v>
      </c>
      <c r="H97" s="64">
        <f t="shared" si="35"/>
        <v>-878937</v>
      </c>
      <c r="I97" s="64">
        <f t="shared" si="35"/>
        <v>-878937</v>
      </c>
      <c r="J97" s="64">
        <f t="shared" si="35"/>
        <v>-878937</v>
      </c>
      <c r="K97" s="64">
        <f t="shared" si="35"/>
        <v>-878937</v>
      </c>
      <c r="L97" s="64">
        <f t="shared" si="35"/>
        <v>-878937</v>
      </c>
      <c r="M97" s="64">
        <f t="shared" si="35"/>
        <v>-878937</v>
      </c>
      <c r="N97" s="64">
        <f t="shared" si="35"/>
        <v>-878937</v>
      </c>
      <c r="O97" s="64">
        <f t="shared" si="35"/>
        <v>-878937</v>
      </c>
      <c r="P97" s="2">
        <f t="shared" si="33"/>
        <v>-11426181</v>
      </c>
      <c r="Q97" s="2">
        <f t="shared" si="34"/>
        <v>-878937</v>
      </c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3"/>
    </row>
    <row r="98" spans="1:34" x14ac:dyDescent="0.25">
      <c r="A98" s="13" t="s">
        <v>143</v>
      </c>
      <c r="B98" s="13" t="s">
        <v>144</v>
      </c>
      <c r="C98" s="2">
        <f>'WC def tax 22'!O98</f>
        <v>261061369</v>
      </c>
      <c r="D98" s="64">
        <f t="shared" si="35"/>
        <v>261061369</v>
      </c>
      <c r="E98" s="64">
        <f t="shared" si="35"/>
        <v>261061369</v>
      </c>
      <c r="F98" s="64">
        <f t="shared" si="35"/>
        <v>261061369</v>
      </c>
      <c r="G98" s="64">
        <f t="shared" si="35"/>
        <v>261061369</v>
      </c>
      <c r="H98" s="64">
        <f t="shared" si="35"/>
        <v>261061369</v>
      </c>
      <c r="I98" s="64">
        <f t="shared" si="35"/>
        <v>261061369</v>
      </c>
      <c r="J98" s="64">
        <f t="shared" si="35"/>
        <v>261061369</v>
      </c>
      <c r="K98" s="64">
        <f t="shared" si="35"/>
        <v>261061369</v>
      </c>
      <c r="L98" s="64">
        <f t="shared" si="35"/>
        <v>261061369</v>
      </c>
      <c r="M98" s="64">
        <f t="shared" si="35"/>
        <v>261061369</v>
      </c>
      <c r="N98" s="64">
        <f t="shared" si="35"/>
        <v>261061369</v>
      </c>
      <c r="O98" s="64">
        <f t="shared" si="35"/>
        <v>261061369</v>
      </c>
      <c r="P98" s="2">
        <f t="shared" si="33"/>
        <v>3393797797</v>
      </c>
      <c r="Q98" s="2">
        <f t="shared" si="34"/>
        <v>261061369</v>
      </c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3"/>
    </row>
    <row r="99" spans="1:34" x14ac:dyDescent="0.25">
      <c r="A99" s="13" t="s">
        <v>498</v>
      </c>
      <c r="B99" s="13"/>
      <c r="C99" s="2">
        <f>'WC def tax 22'!O99</f>
        <v>4891985.8491766378</v>
      </c>
      <c r="D99" s="2">
        <v>4878693.193768166</v>
      </c>
      <c r="E99" s="2">
        <v>4956976.856943883</v>
      </c>
      <c r="F99" s="2">
        <v>5035260.5201196074</v>
      </c>
      <c r="G99" s="2">
        <v>5113544.1832953244</v>
      </c>
      <c r="H99" s="2">
        <v>5191827.8464710414</v>
      </c>
      <c r="I99" s="2">
        <v>5270111.5096467584</v>
      </c>
      <c r="J99" s="2">
        <v>5348395.1728224754</v>
      </c>
      <c r="K99" s="2">
        <v>5426678.8359981924</v>
      </c>
      <c r="L99" s="2">
        <v>5504962.499173902</v>
      </c>
      <c r="M99" s="2">
        <v>5583246.1623496264</v>
      </c>
      <c r="N99" s="2">
        <v>5661529.8255253509</v>
      </c>
      <c r="O99" s="2">
        <v>5739813.4887010604</v>
      </c>
      <c r="P99" s="2">
        <f t="shared" si="33"/>
        <v>68603025.943992019</v>
      </c>
      <c r="Q99" s="2">
        <f t="shared" si="34"/>
        <v>5277155.8418455403</v>
      </c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3"/>
    </row>
    <row r="100" spans="1:34" x14ac:dyDescent="0.25">
      <c r="A100" s="13" t="s">
        <v>145</v>
      </c>
      <c r="B100" s="13" t="s">
        <v>146</v>
      </c>
      <c r="C100" s="2">
        <f>'WC def tax 22'!O100</f>
        <v>2513</v>
      </c>
      <c r="D100" s="64">
        <f t="shared" si="35"/>
        <v>2513</v>
      </c>
      <c r="E100" s="64">
        <f t="shared" si="35"/>
        <v>2513</v>
      </c>
      <c r="F100" s="64">
        <f t="shared" si="35"/>
        <v>2513</v>
      </c>
      <c r="G100" s="64">
        <f t="shared" si="35"/>
        <v>2513</v>
      </c>
      <c r="H100" s="64">
        <f t="shared" si="35"/>
        <v>2513</v>
      </c>
      <c r="I100" s="64">
        <f t="shared" si="35"/>
        <v>2513</v>
      </c>
      <c r="J100" s="64">
        <f t="shared" si="35"/>
        <v>2513</v>
      </c>
      <c r="K100" s="64">
        <f t="shared" si="35"/>
        <v>2513</v>
      </c>
      <c r="L100" s="64">
        <f t="shared" si="35"/>
        <v>2513</v>
      </c>
      <c r="M100" s="64">
        <f t="shared" si="35"/>
        <v>2513</v>
      </c>
      <c r="N100" s="64">
        <f t="shared" si="35"/>
        <v>2513</v>
      </c>
      <c r="O100" s="64">
        <f t="shared" si="35"/>
        <v>2513</v>
      </c>
      <c r="P100" s="2">
        <f t="shared" si="33"/>
        <v>32669</v>
      </c>
      <c r="Q100" s="2">
        <f t="shared" si="34"/>
        <v>2513</v>
      </c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3"/>
    </row>
    <row r="101" spans="1:34" x14ac:dyDescent="0.25">
      <c r="A101" s="13" t="s">
        <v>147</v>
      </c>
      <c r="B101" s="13" t="s">
        <v>148</v>
      </c>
      <c r="C101" s="2">
        <f>'WC def tax 22'!O101</f>
        <v>717</v>
      </c>
      <c r="D101" s="64">
        <f t="shared" si="35"/>
        <v>717</v>
      </c>
      <c r="E101" s="64">
        <f t="shared" si="35"/>
        <v>717</v>
      </c>
      <c r="F101" s="64">
        <f t="shared" si="35"/>
        <v>717</v>
      </c>
      <c r="G101" s="64">
        <f t="shared" si="35"/>
        <v>717</v>
      </c>
      <c r="H101" s="64">
        <f t="shared" si="35"/>
        <v>717</v>
      </c>
      <c r="I101" s="64">
        <f t="shared" si="35"/>
        <v>717</v>
      </c>
      <c r="J101" s="64">
        <f t="shared" si="35"/>
        <v>717</v>
      </c>
      <c r="K101" s="64">
        <f t="shared" si="35"/>
        <v>717</v>
      </c>
      <c r="L101" s="64">
        <f t="shared" si="35"/>
        <v>717</v>
      </c>
      <c r="M101" s="64">
        <f t="shared" si="35"/>
        <v>717</v>
      </c>
      <c r="N101" s="64">
        <f t="shared" si="35"/>
        <v>717</v>
      </c>
      <c r="O101" s="64">
        <f t="shared" si="35"/>
        <v>717</v>
      </c>
      <c r="P101" s="2">
        <f t="shared" si="33"/>
        <v>9321</v>
      </c>
      <c r="Q101" s="2">
        <f t="shared" si="34"/>
        <v>717</v>
      </c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3"/>
    </row>
    <row r="102" spans="1:34" x14ac:dyDescent="0.25">
      <c r="A102" s="13" t="s">
        <v>149</v>
      </c>
      <c r="B102" s="13" t="s">
        <v>150</v>
      </c>
      <c r="C102" s="2">
        <f>'WC def tax 22'!O102</f>
        <v>28433</v>
      </c>
      <c r="D102" s="64">
        <f t="shared" si="35"/>
        <v>28433</v>
      </c>
      <c r="E102" s="64">
        <f t="shared" si="35"/>
        <v>28433</v>
      </c>
      <c r="F102" s="64">
        <f t="shared" si="35"/>
        <v>28433</v>
      </c>
      <c r="G102" s="64">
        <f t="shared" si="35"/>
        <v>28433</v>
      </c>
      <c r="H102" s="64">
        <f t="shared" si="35"/>
        <v>28433</v>
      </c>
      <c r="I102" s="64">
        <f t="shared" si="35"/>
        <v>28433</v>
      </c>
      <c r="J102" s="64">
        <f t="shared" si="35"/>
        <v>28433</v>
      </c>
      <c r="K102" s="64">
        <f t="shared" si="35"/>
        <v>28433</v>
      </c>
      <c r="L102" s="64">
        <f t="shared" si="35"/>
        <v>28433</v>
      </c>
      <c r="M102" s="64">
        <f t="shared" si="35"/>
        <v>28433</v>
      </c>
      <c r="N102" s="64">
        <f t="shared" si="35"/>
        <v>28433</v>
      </c>
      <c r="O102" s="64">
        <f t="shared" si="35"/>
        <v>28433</v>
      </c>
      <c r="P102" s="2">
        <f t="shared" si="33"/>
        <v>369629</v>
      </c>
      <c r="Q102" s="2">
        <f t="shared" si="34"/>
        <v>28433</v>
      </c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3"/>
    </row>
    <row r="103" spans="1:34" x14ac:dyDescent="0.25">
      <c r="A103" s="13" t="s">
        <v>151</v>
      </c>
      <c r="B103" s="13" t="s">
        <v>152</v>
      </c>
      <c r="C103" s="2">
        <f>'WC def tax 22'!O103</f>
        <v>-176556469</v>
      </c>
      <c r="D103" s="64">
        <f t="shared" si="35"/>
        <v>-176556469</v>
      </c>
      <c r="E103" s="64">
        <f t="shared" si="35"/>
        <v>-176556469</v>
      </c>
      <c r="F103" s="64">
        <f t="shared" si="35"/>
        <v>-176556469</v>
      </c>
      <c r="G103" s="64">
        <f t="shared" si="35"/>
        <v>-176556469</v>
      </c>
      <c r="H103" s="64">
        <f t="shared" si="35"/>
        <v>-176556469</v>
      </c>
      <c r="I103" s="64">
        <f t="shared" si="35"/>
        <v>-176556469</v>
      </c>
      <c r="J103" s="64">
        <f t="shared" si="35"/>
        <v>-176556469</v>
      </c>
      <c r="K103" s="64">
        <f t="shared" si="35"/>
        <v>-176556469</v>
      </c>
      <c r="L103" s="64">
        <f t="shared" si="35"/>
        <v>-176556469</v>
      </c>
      <c r="M103" s="64">
        <f t="shared" si="35"/>
        <v>-176556469</v>
      </c>
      <c r="N103" s="64">
        <f t="shared" si="35"/>
        <v>-176556469</v>
      </c>
      <c r="O103" s="64">
        <f t="shared" si="35"/>
        <v>-176556469</v>
      </c>
      <c r="P103" s="2">
        <f t="shared" si="33"/>
        <v>-2295234097</v>
      </c>
      <c r="Q103" s="2">
        <f t="shared" si="34"/>
        <v>-176556469</v>
      </c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3"/>
    </row>
    <row r="104" spans="1:34" x14ac:dyDescent="0.25">
      <c r="A104" s="13" t="s">
        <v>153</v>
      </c>
      <c r="B104" s="13" t="s">
        <v>154</v>
      </c>
      <c r="C104" s="2">
        <f>'WC def tax 22'!O104</f>
        <v>229881</v>
      </c>
      <c r="D104" s="64">
        <f t="shared" si="35"/>
        <v>229881</v>
      </c>
      <c r="E104" s="64">
        <f t="shared" si="35"/>
        <v>229881</v>
      </c>
      <c r="F104" s="64">
        <f t="shared" si="35"/>
        <v>229881</v>
      </c>
      <c r="G104" s="64">
        <f t="shared" si="35"/>
        <v>229881</v>
      </c>
      <c r="H104" s="64">
        <f t="shared" si="35"/>
        <v>229881</v>
      </c>
      <c r="I104" s="64">
        <f t="shared" si="35"/>
        <v>229881</v>
      </c>
      <c r="J104" s="64">
        <f t="shared" si="35"/>
        <v>229881</v>
      </c>
      <c r="K104" s="64">
        <f t="shared" si="35"/>
        <v>229881</v>
      </c>
      <c r="L104" s="64">
        <f t="shared" si="35"/>
        <v>229881</v>
      </c>
      <c r="M104" s="64">
        <f t="shared" si="35"/>
        <v>229881</v>
      </c>
      <c r="N104" s="64">
        <f t="shared" si="35"/>
        <v>229881</v>
      </c>
      <c r="O104" s="64">
        <f t="shared" si="35"/>
        <v>229881</v>
      </c>
      <c r="P104" s="2">
        <f t="shared" si="33"/>
        <v>2988453</v>
      </c>
      <c r="Q104" s="2">
        <f t="shared" si="34"/>
        <v>229881</v>
      </c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3"/>
    </row>
    <row r="105" spans="1:34" x14ac:dyDescent="0.25">
      <c r="A105" s="13" t="s">
        <v>155</v>
      </c>
      <c r="B105" s="13" t="s">
        <v>156</v>
      </c>
      <c r="C105" s="2">
        <f>'WC def tax 22'!O105</f>
        <v>205593022</v>
      </c>
      <c r="D105" s="64">
        <f t="shared" si="35"/>
        <v>205593022</v>
      </c>
      <c r="E105" s="64">
        <f t="shared" si="35"/>
        <v>205593022</v>
      </c>
      <c r="F105" s="64">
        <f t="shared" si="35"/>
        <v>205593022</v>
      </c>
      <c r="G105" s="64">
        <f t="shared" si="35"/>
        <v>205593022</v>
      </c>
      <c r="H105" s="64">
        <f t="shared" si="35"/>
        <v>205593022</v>
      </c>
      <c r="I105" s="64">
        <f t="shared" si="35"/>
        <v>205593022</v>
      </c>
      <c r="J105" s="64">
        <f t="shared" si="35"/>
        <v>205593022</v>
      </c>
      <c r="K105" s="64">
        <f t="shared" si="35"/>
        <v>205593022</v>
      </c>
      <c r="L105" s="64">
        <f t="shared" si="35"/>
        <v>205593022</v>
      </c>
      <c r="M105" s="64">
        <f t="shared" si="35"/>
        <v>205593022</v>
      </c>
      <c r="N105" s="64">
        <f t="shared" si="35"/>
        <v>205593022</v>
      </c>
      <c r="O105" s="64">
        <f t="shared" si="35"/>
        <v>205593022</v>
      </c>
      <c r="P105" s="2">
        <f t="shared" si="33"/>
        <v>2672709286</v>
      </c>
      <c r="Q105" s="2">
        <f t="shared" si="34"/>
        <v>205593022</v>
      </c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3"/>
    </row>
    <row r="106" spans="1:34" x14ac:dyDescent="0.25">
      <c r="A106" s="13" t="s">
        <v>157</v>
      </c>
      <c r="B106" s="13" t="s">
        <v>158</v>
      </c>
      <c r="C106" s="2">
        <f>'WC def tax 22'!O106</f>
        <v>1232745</v>
      </c>
      <c r="D106" s="64">
        <f t="shared" si="35"/>
        <v>1232745</v>
      </c>
      <c r="E106" s="64">
        <f t="shared" si="35"/>
        <v>1232745</v>
      </c>
      <c r="F106" s="64">
        <f t="shared" si="35"/>
        <v>1232745</v>
      </c>
      <c r="G106" s="64">
        <f t="shared" si="35"/>
        <v>1232745</v>
      </c>
      <c r="H106" s="64">
        <f t="shared" si="35"/>
        <v>1232745</v>
      </c>
      <c r="I106" s="64">
        <f t="shared" si="35"/>
        <v>1232745</v>
      </c>
      <c r="J106" s="64">
        <f t="shared" si="35"/>
        <v>1232745</v>
      </c>
      <c r="K106" s="64">
        <f t="shared" si="35"/>
        <v>1232745</v>
      </c>
      <c r="L106" s="64">
        <f t="shared" si="35"/>
        <v>1232745</v>
      </c>
      <c r="M106" s="64">
        <f t="shared" si="35"/>
        <v>1232745</v>
      </c>
      <c r="N106" s="64">
        <f t="shared" si="35"/>
        <v>1232745</v>
      </c>
      <c r="O106" s="64">
        <f t="shared" si="35"/>
        <v>1232745</v>
      </c>
      <c r="P106" s="2">
        <f t="shared" si="33"/>
        <v>16025685</v>
      </c>
      <c r="Q106" s="2">
        <f t="shared" si="34"/>
        <v>1232745</v>
      </c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3"/>
    </row>
    <row r="107" spans="1:34" x14ac:dyDescent="0.25">
      <c r="A107" s="13" t="s">
        <v>159</v>
      </c>
      <c r="B107" s="13" t="s">
        <v>160</v>
      </c>
      <c r="C107" s="2">
        <f>'WC def tax 22'!O107</f>
        <v>14639395</v>
      </c>
      <c r="D107" s="64">
        <f t="shared" si="35"/>
        <v>14639395</v>
      </c>
      <c r="E107" s="64">
        <f t="shared" si="35"/>
        <v>14639395</v>
      </c>
      <c r="F107" s="64">
        <f t="shared" si="35"/>
        <v>14639395</v>
      </c>
      <c r="G107" s="64">
        <f t="shared" si="35"/>
        <v>14639395</v>
      </c>
      <c r="H107" s="64">
        <f t="shared" si="35"/>
        <v>14639395</v>
      </c>
      <c r="I107" s="64">
        <f t="shared" si="35"/>
        <v>14639395</v>
      </c>
      <c r="J107" s="64">
        <f t="shared" si="35"/>
        <v>14639395</v>
      </c>
      <c r="K107" s="64">
        <f t="shared" si="35"/>
        <v>14639395</v>
      </c>
      <c r="L107" s="64">
        <f t="shared" si="35"/>
        <v>14639395</v>
      </c>
      <c r="M107" s="64">
        <f t="shared" si="35"/>
        <v>14639395</v>
      </c>
      <c r="N107" s="64">
        <f t="shared" si="35"/>
        <v>14639395</v>
      </c>
      <c r="O107" s="64">
        <f t="shared" si="35"/>
        <v>14639395</v>
      </c>
      <c r="P107" s="2">
        <f t="shared" si="33"/>
        <v>190312135</v>
      </c>
      <c r="Q107" s="2">
        <f t="shared" si="34"/>
        <v>14639395</v>
      </c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3"/>
    </row>
    <row r="108" spans="1:34" x14ac:dyDescent="0.25">
      <c r="A108" s="13" t="s">
        <v>161</v>
      </c>
      <c r="B108" s="13" t="s">
        <v>162</v>
      </c>
      <c r="C108" s="2">
        <f>'WC def tax 22'!O108</f>
        <v>20662</v>
      </c>
      <c r="D108" s="64">
        <f t="shared" si="35"/>
        <v>20662</v>
      </c>
      <c r="E108" s="64">
        <f t="shared" si="35"/>
        <v>20662</v>
      </c>
      <c r="F108" s="64">
        <f t="shared" si="35"/>
        <v>20662</v>
      </c>
      <c r="G108" s="64">
        <f t="shared" si="35"/>
        <v>20662</v>
      </c>
      <c r="H108" s="64">
        <f t="shared" si="35"/>
        <v>20662</v>
      </c>
      <c r="I108" s="64">
        <f t="shared" si="35"/>
        <v>20662</v>
      </c>
      <c r="J108" s="64">
        <f t="shared" si="35"/>
        <v>20662</v>
      </c>
      <c r="K108" s="64">
        <f t="shared" si="35"/>
        <v>20662</v>
      </c>
      <c r="L108" s="64">
        <f t="shared" si="35"/>
        <v>20662</v>
      </c>
      <c r="M108" s="64">
        <f t="shared" si="35"/>
        <v>20662</v>
      </c>
      <c r="N108" s="64">
        <f t="shared" si="35"/>
        <v>20662</v>
      </c>
      <c r="O108" s="64">
        <f t="shared" si="35"/>
        <v>20662</v>
      </c>
      <c r="P108" s="2">
        <f t="shared" si="33"/>
        <v>268606</v>
      </c>
      <c r="Q108" s="2">
        <f t="shared" si="34"/>
        <v>20662</v>
      </c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3"/>
    </row>
    <row r="109" spans="1:34" x14ac:dyDescent="0.25">
      <c r="A109" s="13" t="s">
        <v>163</v>
      </c>
      <c r="B109" s="13" t="s">
        <v>164</v>
      </c>
      <c r="C109" s="2">
        <f>'WC def tax 22'!O109</f>
        <v>76336</v>
      </c>
      <c r="D109" s="64">
        <f t="shared" si="35"/>
        <v>76336</v>
      </c>
      <c r="E109" s="64">
        <f t="shared" si="35"/>
        <v>76336</v>
      </c>
      <c r="F109" s="64">
        <f t="shared" si="35"/>
        <v>76336</v>
      </c>
      <c r="G109" s="64">
        <f t="shared" si="35"/>
        <v>76336</v>
      </c>
      <c r="H109" s="64">
        <f t="shared" si="35"/>
        <v>76336</v>
      </c>
      <c r="I109" s="64">
        <f t="shared" si="35"/>
        <v>76336</v>
      </c>
      <c r="J109" s="64">
        <f t="shared" si="35"/>
        <v>76336</v>
      </c>
      <c r="K109" s="64">
        <f t="shared" si="35"/>
        <v>76336</v>
      </c>
      <c r="L109" s="64">
        <f t="shared" si="35"/>
        <v>76336</v>
      </c>
      <c r="M109" s="64">
        <f t="shared" si="35"/>
        <v>76336</v>
      </c>
      <c r="N109" s="64">
        <f t="shared" si="35"/>
        <v>76336</v>
      </c>
      <c r="O109" s="64">
        <f t="shared" si="35"/>
        <v>76336</v>
      </c>
      <c r="P109" s="2">
        <f t="shared" si="33"/>
        <v>992368</v>
      </c>
      <c r="Q109" s="2">
        <f t="shared" si="34"/>
        <v>76336</v>
      </c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3"/>
    </row>
    <row r="110" spans="1:34" x14ac:dyDescent="0.25">
      <c r="A110" s="13" t="s">
        <v>165</v>
      </c>
      <c r="B110" s="13" t="s">
        <v>166</v>
      </c>
      <c r="C110" s="2">
        <f>'WC def tax 22'!O110</f>
        <v>69877</v>
      </c>
      <c r="D110" s="64">
        <f t="shared" si="35"/>
        <v>69877</v>
      </c>
      <c r="E110" s="64">
        <f t="shared" si="35"/>
        <v>69877</v>
      </c>
      <c r="F110" s="64">
        <f t="shared" si="35"/>
        <v>69877</v>
      </c>
      <c r="G110" s="64">
        <f t="shared" si="35"/>
        <v>69877</v>
      </c>
      <c r="H110" s="64">
        <f t="shared" si="35"/>
        <v>69877</v>
      </c>
      <c r="I110" s="64">
        <f t="shared" si="35"/>
        <v>69877</v>
      </c>
      <c r="J110" s="64">
        <f t="shared" si="35"/>
        <v>69877</v>
      </c>
      <c r="K110" s="64">
        <f t="shared" si="35"/>
        <v>69877</v>
      </c>
      <c r="L110" s="64">
        <f t="shared" si="35"/>
        <v>69877</v>
      </c>
      <c r="M110" s="64">
        <f t="shared" si="35"/>
        <v>69877</v>
      </c>
      <c r="N110" s="64">
        <f t="shared" si="35"/>
        <v>69877</v>
      </c>
      <c r="O110" s="64">
        <f t="shared" si="35"/>
        <v>69877</v>
      </c>
      <c r="P110" s="2">
        <f t="shared" si="33"/>
        <v>908401</v>
      </c>
      <c r="Q110" s="2">
        <f t="shared" si="34"/>
        <v>69877</v>
      </c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3"/>
    </row>
    <row r="111" spans="1:34" x14ac:dyDescent="0.25">
      <c r="A111" s="13" t="s">
        <v>167</v>
      </c>
      <c r="B111" s="13" t="s">
        <v>168</v>
      </c>
      <c r="C111" s="2">
        <f>'WC def tax 22'!O111</f>
        <v>-33020023</v>
      </c>
      <c r="D111" s="64">
        <f t="shared" si="35"/>
        <v>-33020023</v>
      </c>
      <c r="E111" s="64">
        <f t="shared" si="35"/>
        <v>-33020023</v>
      </c>
      <c r="F111" s="64">
        <f t="shared" si="35"/>
        <v>-33020023</v>
      </c>
      <c r="G111" s="64">
        <f t="shared" si="35"/>
        <v>-33020023</v>
      </c>
      <c r="H111" s="64">
        <f t="shared" si="35"/>
        <v>-33020023</v>
      </c>
      <c r="I111" s="64">
        <f t="shared" si="35"/>
        <v>-33020023</v>
      </c>
      <c r="J111" s="64">
        <f t="shared" si="35"/>
        <v>-33020023</v>
      </c>
      <c r="K111" s="64">
        <f t="shared" si="35"/>
        <v>-33020023</v>
      </c>
      <c r="L111" s="64">
        <f t="shared" si="35"/>
        <v>-33020023</v>
      </c>
      <c r="M111" s="64">
        <f t="shared" si="35"/>
        <v>-33020023</v>
      </c>
      <c r="N111" s="64">
        <f t="shared" si="35"/>
        <v>-33020023</v>
      </c>
      <c r="O111" s="64">
        <f t="shared" si="35"/>
        <v>-33020023</v>
      </c>
      <c r="P111" s="2">
        <f t="shared" si="33"/>
        <v>-429260299</v>
      </c>
      <c r="Q111" s="2">
        <f t="shared" si="34"/>
        <v>-33020023</v>
      </c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3"/>
    </row>
    <row r="112" spans="1:34" x14ac:dyDescent="0.25">
      <c r="A112" s="13" t="s">
        <v>169</v>
      </c>
      <c r="B112" s="13" t="s">
        <v>170</v>
      </c>
      <c r="C112" s="2">
        <f>'WC def tax 22'!O112</f>
        <v>-44354199</v>
      </c>
      <c r="D112" s="64">
        <f t="shared" si="35"/>
        <v>-44354199</v>
      </c>
      <c r="E112" s="64">
        <f t="shared" si="35"/>
        <v>-44354199</v>
      </c>
      <c r="F112" s="64">
        <f t="shared" si="35"/>
        <v>-44354199</v>
      </c>
      <c r="G112" s="64">
        <f t="shared" si="35"/>
        <v>-44354199</v>
      </c>
      <c r="H112" s="64">
        <f t="shared" si="35"/>
        <v>-44354199</v>
      </c>
      <c r="I112" s="64">
        <f t="shared" si="35"/>
        <v>-44354199</v>
      </c>
      <c r="J112" s="64">
        <f t="shared" si="35"/>
        <v>-44354199</v>
      </c>
      <c r="K112" s="64">
        <f t="shared" si="35"/>
        <v>-44354199</v>
      </c>
      <c r="L112" s="64">
        <f t="shared" si="35"/>
        <v>-44354199</v>
      </c>
      <c r="M112" s="64">
        <f t="shared" si="35"/>
        <v>-44354199</v>
      </c>
      <c r="N112" s="64">
        <f t="shared" si="35"/>
        <v>-44354199</v>
      </c>
      <c r="O112" s="64">
        <f t="shared" si="35"/>
        <v>-44354199</v>
      </c>
      <c r="P112" s="2">
        <f t="shared" si="33"/>
        <v>-576604587</v>
      </c>
      <c r="Q112" s="2">
        <f t="shared" si="34"/>
        <v>-44354199</v>
      </c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3"/>
    </row>
    <row r="113" spans="1:34" x14ac:dyDescent="0.25">
      <c r="A113" s="13" t="s">
        <v>171</v>
      </c>
      <c r="B113" s="13" t="s">
        <v>172</v>
      </c>
      <c r="C113" s="2">
        <f>'WC def tax 22'!O113</f>
        <v>139</v>
      </c>
      <c r="D113" s="64">
        <f t="shared" si="35"/>
        <v>139</v>
      </c>
      <c r="E113" s="64">
        <f t="shared" si="35"/>
        <v>139</v>
      </c>
      <c r="F113" s="64">
        <f t="shared" si="35"/>
        <v>139</v>
      </c>
      <c r="G113" s="64">
        <f t="shared" si="35"/>
        <v>139</v>
      </c>
      <c r="H113" s="64">
        <f t="shared" si="35"/>
        <v>139</v>
      </c>
      <c r="I113" s="64">
        <f t="shared" si="35"/>
        <v>139</v>
      </c>
      <c r="J113" s="64">
        <f t="shared" si="35"/>
        <v>139</v>
      </c>
      <c r="K113" s="64">
        <f t="shared" si="35"/>
        <v>139</v>
      </c>
      <c r="L113" s="64">
        <f t="shared" si="35"/>
        <v>139</v>
      </c>
      <c r="M113" s="64">
        <f t="shared" si="35"/>
        <v>139</v>
      </c>
      <c r="N113" s="64">
        <f t="shared" si="35"/>
        <v>139</v>
      </c>
      <c r="O113" s="64">
        <f t="shared" si="35"/>
        <v>139</v>
      </c>
      <c r="P113" s="2">
        <f t="shared" si="33"/>
        <v>1807</v>
      </c>
      <c r="Q113" s="2">
        <f t="shared" si="34"/>
        <v>139</v>
      </c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3"/>
    </row>
    <row r="114" spans="1:34" x14ac:dyDescent="0.25">
      <c r="A114" s="13" t="s">
        <v>173</v>
      </c>
      <c r="B114" s="13" t="s">
        <v>174</v>
      </c>
      <c r="C114" s="2">
        <f>'WC def tax 22'!O114</f>
        <v>-808476</v>
      </c>
      <c r="D114" s="64">
        <f t="shared" si="35"/>
        <v>-808476</v>
      </c>
      <c r="E114" s="64">
        <f t="shared" si="35"/>
        <v>-808476</v>
      </c>
      <c r="F114" s="64">
        <f t="shared" si="35"/>
        <v>-808476</v>
      </c>
      <c r="G114" s="64">
        <f t="shared" si="35"/>
        <v>-808476</v>
      </c>
      <c r="H114" s="64">
        <f t="shared" si="35"/>
        <v>-808476</v>
      </c>
      <c r="I114" s="64">
        <f t="shared" si="35"/>
        <v>-808476</v>
      </c>
      <c r="J114" s="64">
        <f t="shared" si="35"/>
        <v>-808476</v>
      </c>
      <c r="K114" s="64">
        <f t="shared" si="35"/>
        <v>-808476</v>
      </c>
      <c r="L114" s="64">
        <f t="shared" si="35"/>
        <v>-808476</v>
      </c>
      <c r="M114" s="64">
        <f t="shared" si="35"/>
        <v>-808476</v>
      </c>
      <c r="N114" s="64">
        <f t="shared" si="35"/>
        <v>-808476</v>
      </c>
      <c r="O114" s="64">
        <f t="shared" si="35"/>
        <v>-808476</v>
      </c>
      <c r="P114" s="2">
        <f t="shared" si="33"/>
        <v>-10510188</v>
      </c>
      <c r="Q114" s="2">
        <f t="shared" si="34"/>
        <v>-808476</v>
      </c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3"/>
    </row>
    <row r="115" spans="1:34" x14ac:dyDescent="0.25">
      <c r="A115" s="13" t="s">
        <v>175</v>
      </c>
      <c r="B115" s="13" t="s">
        <v>176</v>
      </c>
      <c r="C115" s="2">
        <f>'WC def tax 22'!O115</f>
        <v>-4598036</v>
      </c>
      <c r="D115" s="64">
        <f t="shared" si="35"/>
        <v>-4598036</v>
      </c>
      <c r="E115" s="64">
        <f t="shared" si="35"/>
        <v>-4598036</v>
      </c>
      <c r="F115" s="64">
        <f t="shared" si="35"/>
        <v>-4598036</v>
      </c>
      <c r="G115" s="64">
        <f t="shared" si="35"/>
        <v>-4598036</v>
      </c>
      <c r="H115" s="64">
        <f t="shared" si="35"/>
        <v>-4598036</v>
      </c>
      <c r="I115" s="64">
        <f t="shared" si="35"/>
        <v>-4598036</v>
      </c>
      <c r="J115" s="64">
        <f t="shared" si="35"/>
        <v>-4598036</v>
      </c>
      <c r="K115" s="64">
        <f t="shared" si="35"/>
        <v>-4598036</v>
      </c>
      <c r="L115" s="64">
        <f t="shared" si="35"/>
        <v>-4598036</v>
      </c>
      <c r="M115" s="64">
        <f t="shared" si="35"/>
        <v>-4598036</v>
      </c>
      <c r="N115" s="64">
        <f t="shared" si="35"/>
        <v>-4598036</v>
      </c>
      <c r="O115" s="64">
        <f t="shared" si="35"/>
        <v>-4598036</v>
      </c>
      <c r="P115" s="2">
        <f t="shared" si="33"/>
        <v>-59774468</v>
      </c>
      <c r="Q115" s="2">
        <f t="shared" si="34"/>
        <v>-4598036</v>
      </c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3"/>
    </row>
    <row r="116" spans="1:34" x14ac:dyDescent="0.25">
      <c r="A116" s="13" t="s">
        <v>177</v>
      </c>
      <c r="B116" s="13" t="s">
        <v>178</v>
      </c>
      <c r="C116" s="2">
        <f>'WC def tax 22'!O116</f>
        <v>-86351305</v>
      </c>
      <c r="D116" s="64">
        <f t="shared" si="35"/>
        <v>-86351305</v>
      </c>
      <c r="E116" s="64">
        <f t="shared" si="35"/>
        <v>-86351305</v>
      </c>
      <c r="F116" s="64">
        <f t="shared" ref="E116:O129" si="36">E116</f>
        <v>-86351305</v>
      </c>
      <c r="G116" s="64">
        <f t="shared" si="36"/>
        <v>-86351305</v>
      </c>
      <c r="H116" s="64">
        <f t="shared" si="36"/>
        <v>-86351305</v>
      </c>
      <c r="I116" s="64">
        <f t="shared" si="36"/>
        <v>-86351305</v>
      </c>
      <c r="J116" s="64">
        <f t="shared" si="36"/>
        <v>-86351305</v>
      </c>
      <c r="K116" s="64">
        <f t="shared" si="36"/>
        <v>-86351305</v>
      </c>
      <c r="L116" s="64">
        <f t="shared" si="36"/>
        <v>-86351305</v>
      </c>
      <c r="M116" s="64">
        <f t="shared" si="36"/>
        <v>-86351305</v>
      </c>
      <c r="N116" s="64">
        <f t="shared" si="36"/>
        <v>-86351305</v>
      </c>
      <c r="O116" s="64">
        <f t="shared" si="36"/>
        <v>-86351305</v>
      </c>
      <c r="P116" s="2">
        <f t="shared" si="33"/>
        <v>-1122566965</v>
      </c>
      <c r="Q116" s="2">
        <f t="shared" si="34"/>
        <v>-86351305</v>
      </c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3"/>
    </row>
    <row r="117" spans="1:34" x14ac:dyDescent="0.25">
      <c r="A117" s="13" t="s">
        <v>179</v>
      </c>
      <c r="B117" s="13" t="s">
        <v>180</v>
      </c>
      <c r="C117" s="2">
        <f>'WC def tax 22'!O117</f>
        <v>800877</v>
      </c>
      <c r="D117" s="64">
        <f t="shared" si="35"/>
        <v>800877</v>
      </c>
      <c r="E117" s="64">
        <f t="shared" si="36"/>
        <v>800877</v>
      </c>
      <c r="F117" s="64">
        <f t="shared" si="36"/>
        <v>800877</v>
      </c>
      <c r="G117" s="64">
        <f t="shared" si="36"/>
        <v>800877</v>
      </c>
      <c r="H117" s="64">
        <f t="shared" si="36"/>
        <v>800877</v>
      </c>
      <c r="I117" s="64">
        <f t="shared" si="36"/>
        <v>800877</v>
      </c>
      <c r="J117" s="64">
        <f t="shared" si="36"/>
        <v>800877</v>
      </c>
      <c r="K117" s="64">
        <f t="shared" si="36"/>
        <v>800877</v>
      </c>
      <c r="L117" s="64">
        <f t="shared" si="36"/>
        <v>800877</v>
      </c>
      <c r="M117" s="64">
        <f t="shared" si="36"/>
        <v>800877</v>
      </c>
      <c r="N117" s="64">
        <f t="shared" si="36"/>
        <v>800877</v>
      </c>
      <c r="O117" s="64">
        <f t="shared" si="36"/>
        <v>800877</v>
      </c>
      <c r="P117" s="2">
        <f t="shared" si="33"/>
        <v>10411401</v>
      </c>
      <c r="Q117" s="2">
        <f t="shared" si="34"/>
        <v>800877</v>
      </c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3"/>
    </row>
    <row r="118" spans="1:34" x14ac:dyDescent="0.25">
      <c r="A118" s="13" t="s">
        <v>181</v>
      </c>
      <c r="B118" s="13" t="s">
        <v>182</v>
      </c>
      <c r="C118" s="2">
        <f>'WC def tax 22'!O118</f>
        <v>169412</v>
      </c>
      <c r="D118" s="64">
        <f t="shared" si="35"/>
        <v>169412</v>
      </c>
      <c r="E118" s="64">
        <f t="shared" si="36"/>
        <v>169412</v>
      </c>
      <c r="F118" s="64">
        <f t="shared" si="36"/>
        <v>169412</v>
      </c>
      <c r="G118" s="64">
        <f t="shared" si="36"/>
        <v>169412</v>
      </c>
      <c r="H118" s="64">
        <f t="shared" si="36"/>
        <v>169412</v>
      </c>
      <c r="I118" s="64">
        <f t="shared" si="36"/>
        <v>169412</v>
      </c>
      <c r="J118" s="64">
        <f t="shared" si="36"/>
        <v>169412</v>
      </c>
      <c r="K118" s="64">
        <f t="shared" si="36"/>
        <v>169412</v>
      </c>
      <c r="L118" s="64">
        <f t="shared" si="36"/>
        <v>169412</v>
      </c>
      <c r="M118" s="64">
        <f t="shared" si="36"/>
        <v>169412</v>
      </c>
      <c r="N118" s="64">
        <f t="shared" si="36"/>
        <v>169412</v>
      </c>
      <c r="O118" s="64">
        <f t="shared" si="36"/>
        <v>169412</v>
      </c>
      <c r="P118" s="2">
        <f t="shared" si="33"/>
        <v>2202356</v>
      </c>
      <c r="Q118" s="2">
        <f t="shared" si="34"/>
        <v>169412</v>
      </c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3"/>
    </row>
    <row r="119" spans="1:34" x14ac:dyDescent="0.25">
      <c r="A119" s="13" t="s">
        <v>183</v>
      </c>
      <c r="B119" s="13" t="s">
        <v>184</v>
      </c>
      <c r="C119" s="2">
        <f>'WC def tax 22'!O119</f>
        <v>10638609</v>
      </c>
      <c r="D119" s="64">
        <f t="shared" si="35"/>
        <v>10638609</v>
      </c>
      <c r="E119" s="64">
        <f t="shared" si="36"/>
        <v>10638609</v>
      </c>
      <c r="F119" s="64">
        <f t="shared" si="36"/>
        <v>10638609</v>
      </c>
      <c r="G119" s="64">
        <f t="shared" si="36"/>
        <v>10638609</v>
      </c>
      <c r="H119" s="64">
        <f t="shared" si="36"/>
        <v>10638609</v>
      </c>
      <c r="I119" s="64">
        <f t="shared" si="36"/>
        <v>10638609</v>
      </c>
      <c r="J119" s="64">
        <f t="shared" si="36"/>
        <v>10638609</v>
      </c>
      <c r="K119" s="64">
        <f t="shared" si="36"/>
        <v>10638609</v>
      </c>
      <c r="L119" s="64">
        <f t="shared" si="36"/>
        <v>10638609</v>
      </c>
      <c r="M119" s="64">
        <f t="shared" si="36"/>
        <v>10638609</v>
      </c>
      <c r="N119" s="64">
        <f t="shared" si="36"/>
        <v>10638609</v>
      </c>
      <c r="O119" s="64">
        <f t="shared" si="36"/>
        <v>10638609</v>
      </c>
      <c r="P119" s="2">
        <f t="shared" si="33"/>
        <v>138301917</v>
      </c>
      <c r="Q119" s="2">
        <f t="shared" si="34"/>
        <v>10638609</v>
      </c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3"/>
    </row>
    <row r="120" spans="1:34" x14ac:dyDescent="0.25">
      <c r="A120" s="13" t="s">
        <v>185</v>
      </c>
      <c r="B120" s="13" t="s">
        <v>186</v>
      </c>
      <c r="C120" s="2">
        <f>'WC def tax 22'!O120</f>
        <v>38123553</v>
      </c>
      <c r="D120" s="64">
        <f t="shared" si="35"/>
        <v>38123553</v>
      </c>
      <c r="E120" s="64">
        <f t="shared" si="36"/>
        <v>38123553</v>
      </c>
      <c r="F120" s="64">
        <f t="shared" si="36"/>
        <v>38123553</v>
      </c>
      <c r="G120" s="64">
        <f t="shared" si="36"/>
        <v>38123553</v>
      </c>
      <c r="H120" s="64">
        <f t="shared" si="36"/>
        <v>38123553</v>
      </c>
      <c r="I120" s="64">
        <f t="shared" si="36"/>
        <v>38123553</v>
      </c>
      <c r="J120" s="64">
        <f t="shared" si="36"/>
        <v>38123553</v>
      </c>
      <c r="K120" s="64">
        <f t="shared" si="36"/>
        <v>38123553</v>
      </c>
      <c r="L120" s="64">
        <f t="shared" si="36"/>
        <v>38123553</v>
      </c>
      <c r="M120" s="64">
        <f t="shared" si="36"/>
        <v>38123553</v>
      </c>
      <c r="N120" s="64">
        <f t="shared" si="36"/>
        <v>38123553</v>
      </c>
      <c r="O120" s="64">
        <f t="shared" si="36"/>
        <v>38123553</v>
      </c>
      <c r="P120" s="2">
        <f t="shared" si="33"/>
        <v>495606189</v>
      </c>
      <c r="Q120" s="2">
        <f t="shared" si="34"/>
        <v>38123553</v>
      </c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3"/>
    </row>
    <row r="121" spans="1:34" x14ac:dyDescent="0.25">
      <c r="A121" s="13" t="s">
        <v>187</v>
      </c>
      <c r="B121" s="13" t="s">
        <v>188</v>
      </c>
      <c r="C121" s="2">
        <f>'WC def tax 22'!O121</f>
        <v>42173466</v>
      </c>
      <c r="D121" s="64">
        <f t="shared" si="35"/>
        <v>42173466</v>
      </c>
      <c r="E121" s="64">
        <f t="shared" si="36"/>
        <v>42173466</v>
      </c>
      <c r="F121" s="64">
        <f t="shared" si="36"/>
        <v>42173466</v>
      </c>
      <c r="G121" s="64">
        <f t="shared" si="36"/>
        <v>42173466</v>
      </c>
      <c r="H121" s="64">
        <f t="shared" si="36"/>
        <v>42173466</v>
      </c>
      <c r="I121" s="64">
        <f t="shared" si="36"/>
        <v>42173466</v>
      </c>
      <c r="J121" s="64">
        <f t="shared" si="36"/>
        <v>42173466</v>
      </c>
      <c r="K121" s="64">
        <f t="shared" si="36"/>
        <v>42173466</v>
      </c>
      <c r="L121" s="64">
        <f t="shared" si="36"/>
        <v>42173466</v>
      </c>
      <c r="M121" s="64">
        <f t="shared" si="36"/>
        <v>42173466</v>
      </c>
      <c r="N121" s="64">
        <f t="shared" si="36"/>
        <v>42173466</v>
      </c>
      <c r="O121" s="64">
        <f t="shared" si="36"/>
        <v>42173466</v>
      </c>
      <c r="P121" s="2">
        <f t="shared" si="33"/>
        <v>548255058</v>
      </c>
      <c r="Q121" s="2">
        <f t="shared" si="34"/>
        <v>42173466</v>
      </c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3"/>
    </row>
    <row r="122" spans="1:34" x14ac:dyDescent="0.25">
      <c r="A122" s="13" t="s">
        <v>189</v>
      </c>
      <c r="B122" s="13" t="s">
        <v>190</v>
      </c>
      <c r="C122" s="2">
        <f>'WC def tax 22'!O122</f>
        <v>-308270572</v>
      </c>
      <c r="D122" s="64">
        <f t="shared" si="35"/>
        <v>-308270572</v>
      </c>
      <c r="E122" s="64">
        <f t="shared" si="36"/>
        <v>-308270572</v>
      </c>
      <c r="F122" s="64">
        <f t="shared" si="36"/>
        <v>-308270572</v>
      </c>
      <c r="G122" s="64">
        <f t="shared" si="36"/>
        <v>-308270572</v>
      </c>
      <c r="H122" s="64">
        <f t="shared" si="36"/>
        <v>-308270572</v>
      </c>
      <c r="I122" s="64">
        <f t="shared" si="36"/>
        <v>-308270572</v>
      </c>
      <c r="J122" s="64">
        <f t="shared" si="36"/>
        <v>-308270572</v>
      </c>
      <c r="K122" s="64">
        <f t="shared" si="36"/>
        <v>-308270572</v>
      </c>
      <c r="L122" s="64">
        <f t="shared" si="36"/>
        <v>-308270572</v>
      </c>
      <c r="M122" s="64">
        <f t="shared" si="36"/>
        <v>-308270572</v>
      </c>
      <c r="N122" s="64">
        <f t="shared" si="36"/>
        <v>-308270572</v>
      </c>
      <c r="O122" s="64">
        <f t="shared" si="36"/>
        <v>-308270572</v>
      </c>
      <c r="P122" s="2">
        <f t="shared" si="33"/>
        <v>-4007517436</v>
      </c>
      <c r="Q122" s="2">
        <f t="shared" si="34"/>
        <v>-308270572</v>
      </c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3"/>
    </row>
    <row r="123" spans="1:34" x14ac:dyDescent="0.25">
      <c r="A123" s="13" t="s">
        <v>191</v>
      </c>
      <c r="B123" s="13" t="s">
        <v>192</v>
      </c>
      <c r="C123" s="2">
        <f>'WC def tax 22'!O123</f>
        <v>8670858</v>
      </c>
      <c r="D123" s="64">
        <f t="shared" si="35"/>
        <v>8670858</v>
      </c>
      <c r="E123" s="64">
        <f t="shared" si="36"/>
        <v>8670858</v>
      </c>
      <c r="F123" s="64">
        <f t="shared" si="36"/>
        <v>8670858</v>
      </c>
      <c r="G123" s="64">
        <f t="shared" si="36"/>
        <v>8670858</v>
      </c>
      <c r="H123" s="64">
        <f t="shared" si="36"/>
        <v>8670858</v>
      </c>
      <c r="I123" s="64">
        <f t="shared" si="36"/>
        <v>8670858</v>
      </c>
      <c r="J123" s="64">
        <f t="shared" si="36"/>
        <v>8670858</v>
      </c>
      <c r="K123" s="64">
        <f t="shared" si="36"/>
        <v>8670858</v>
      </c>
      <c r="L123" s="64">
        <f t="shared" si="36"/>
        <v>8670858</v>
      </c>
      <c r="M123" s="64">
        <f t="shared" si="36"/>
        <v>8670858</v>
      </c>
      <c r="N123" s="64">
        <f t="shared" si="36"/>
        <v>8670858</v>
      </c>
      <c r="O123" s="64">
        <f t="shared" si="36"/>
        <v>8670858</v>
      </c>
      <c r="P123" s="2">
        <f t="shared" si="33"/>
        <v>112721154</v>
      </c>
      <c r="Q123" s="2">
        <f t="shared" si="34"/>
        <v>8670858</v>
      </c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3"/>
    </row>
    <row r="124" spans="1:34" x14ac:dyDescent="0.25">
      <c r="A124" s="13" t="s">
        <v>193</v>
      </c>
      <c r="B124" s="13" t="s">
        <v>194</v>
      </c>
      <c r="C124" s="2">
        <f>'WC def tax 22'!O124</f>
        <v>3704</v>
      </c>
      <c r="D124" s="64">
        <f t="shared" si="35"/>
        <v>3704</v>
      </c>
      <c r="E124" s="64">
        <f t="shared" si="36"/>
        <v>3704</v>
      </c>
      <c r="F124" s="64">
        <f t="shared" si="36"/>
        <v>3704</v>
      </c>
      <c r="G124" s="64">
        <f t="shared" si="36"/>
        <v>3704</v>
      </c>
      <c r="H124" s="64">
        <f t="shared" si="36"/>
        <v>3704</v>
      </c>
      <c r="I124" s="64">
        <f t="shared" si="36"/>
        <v>3704</v>
      </c>
      <c r="J124" s="64">
        <f t="shared" si="36"/>
        <v>3704</v>
      </c>
      <c r="K124" s="64">
        <f t="shared" si="36"/>
        <v>3704</v>
      </c>
      <c r="L124" s="64">
        <f t="shared" si="36"/>
        <v>3704</v>
      </c>
      <c r="M124" s="64">
        <f t="shared" si="36"/>
        <v>3704</v>
      </c>
      <c r="N124" s="64">
        <f t="shared" si="36"/>
        <v>3704</v>
      </c>
      <c r="O124" s="64">
        <f t="shared" si="36"/>
        <v>3704</v>
      </c>
      <c r="P124" s="2">
        <f t="shared" si="33"/>
        <v>48152</v>
      </c>
      <c r="Q124" s="2">
        <f t="shared" si="34"/>
        <v>3704</v>
      </c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3"/>
    </row>
    <row r="125" spans="1:34" x14ac:dyDescent="0.25">
      <c r="A125" s="13" t="s">
        <v>195</v>
      </c>
      <c r="B125" s="13" t="s">
        <v>196</v>
      </c>
      <c r="C125" s="2">
        <f>'WC def tax 22'!O125</f>
        <v>-163</v>
      </c>
      <c r="D125" s="64">
        <f t="shared" si="35"/>
        <v>-163</v>
      </c>
      <c r="E125" s="64">
        <f t="shared" si="36"/>
        <v>-163</v>
      </c>
      <c r="F125" s="64">
        <f t="shared" si="36"/>
        <v>-163</v>
      </c>
      <c r="G125" s="64">
        <f t="shared" si="36"/>
        <v>-163</v>
      </c>
      <c r="H125" s="64">
        <f t="shared" si="36"/>
        <v>-163</v>
      </c>
      <c r="I125" s="64">
        <f t="shared" si="36"/>
        <v>-163</v>
      </c>
      <c r="J125" s="64">
        <f t="shared" si="36"/>
        <v>-163</v>
      </c>
      <c r="K125" s="64">
        <f t="shared" si="36"/>
        <v>-163</v>
      </c>
      <c r="L125" s="64">
        <f t="shared" si="36"/>
        <v>-163</v>
      </c>
      <c r="M125" s="64">
        <f t="shared" si="36"/>
        <v>-163</v>
      </c>
      <c r="N125" s="64">
        <f t="shared" si="36"/>
        <v>-163</v>
      </c>
      <c r="O125" s="64">
        <f t="shared" si="36"/>
        <v>-163</v>
      </c>
      <c r="P125" s="2">
        <f t="shared" si="33"/>
        <v>-2119</v>
      </c>
      <c r="Q125" s="2">
        <f t="shared" si="34"/>
        <v>-163</v>
      </c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3"/>
    </row>
    <row r="126" spans="1:34" x14ac:dyDescent="0.25">
      <c r="A126" s="13" t="s">
        <v>197</v>
      </c>
      <c r="B126" s="13" t="s">
        <v>198</v>
      </c>
      <c r="C126" s="2">
        <f>'WC def tax 22'!O126</f>
        <v>6500</v>
      </c>
      <c r="D126" s="64">
        <f t="shared" si="35"/>
        <v>6500</v>
      </c>
      <c r="E126" s="64">
        <f t="shared" si="36"/>
        <v>6500</v>
      </c>
      <c r="F126" s="64">
        <f t="shared" si="36"/>
        <v>6500</v>
      </c>
      <c r="G126" s="64">
        <f t="shared" si="36"/>
        <v>6500</v>
      </c>
      <c r="H126" s="64">
        <f t="shared" si="36"/>
        <v>6500</v>
      </c>
      <c r="I126" s="64">
        <f t="shared" si="36"/>
        <v>6500</v>
      </c>
      <c r="J126" s="64">
        <f t="shared" si="36"/>
        <v>6500</v>
      </c>
      <c r="K126" s="64">
        <f t="shared" si="36"/>
        <v>6500</v>
      </c>
      <c r="L126" s="64">
        <f t="shared" si="36"/>
        <v>6500</v>
      </c>
      <c r="M126" s="64">
        <f t="shared" si="36"/>
        <v>6500</v>
      </c>
      <c r="N126" s="64">
        <f t="shared" si="36"/>
        <v>6500</v>
      </c>
      <c r="O126" s="64">
        <f t="shared" si="36"/>
        <v>6500</v>
      </c>
      <c r="P126" s="2">
        <f t="shared" si="33"/>
        <v>84500</v>
      </c>
      <c r="Q126" s="2">
        <f t="shared" si="34"/>
        <v>6500</v>
      </c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3"/>
    </row>
    <row r="127" spans="1:34" x14ac:dyDescent="0.25">
      <c r="A127" s="13" t="s">
        <v>199</v>
      </c>
      <c r="B127" s="13" t="s">
        <v>200</v>
      </c>
      <c r="C127" s="2">
        <f>'WC def tax 22'!O127</f>
        <v>2775908</v>
      </c>
      <c r="D127" s="64">
        <f t="shared" si="35"/>
        <v>2775908</v>
      </c>
      <c r="E127" s="64">
        <f t="shared" si="36"/>
        <v>2775908</v>
      </c>
      <c r="F127" s="64">
        <f t="shared" si="36"/>
        <v>2775908</v>
      </c>
      <c r="G127" s="64">
        <f t="shared" si="36"/>
        <v>2775908</v>
      </c>
      <c r="H127" s="64">
        <f t="shared" si="36"/>
        <v>2775908</v>
      </c>
      <c r="I127" s="64">
        <f t="shared" si="36"/>
        <v>2775908</v>
      </c>
      <c r="J127" s="64">
        <f t="shared" si="36"/>
        <v>2775908</v>
      </c>
      <c r="K127" s="64">
        <f t="shared" si="36"/>
        <v>2775908</v>
      </c>
      <c r="L127" s="64">
        <f t="shared" si="36"/>
        <v>2775908</v>
      </c>
      <c r="M127" s="64">
        <f t="shared" si="36"/>
        <v>2775908</v>
      </c>
      <c r="N127" s="64">
        <f t="shared" si="36"/>
        <v>2775908</v>
      </c>
      <c r="O127" s="64">
        <f t="shared" si="36"/>
        <v>2775908</v>
      </c>
      <c r="P127" s="2">
        <f t="shared" si="33"/>
        <v>36086804</v>
      </c>
      <c r="Q127" s="2">
        <f t="shared" si="34"/>
        <v>2775908</v>
      </c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3"/>
    </row>
    <row r="128" spans="1:34" x14ac:dyDescent="0.25">
      <c r="A128" s="13" t="s">
        <v>201</v>
      </c>
      <c r="B128" s="13" t="s">
        <v>202</v>
      </c>
      <c r="C128" s="2">
        <f>'WC def tax 22'!O128</f>
        <v>109634</v>
      </c>
      <c r="D128" s="64">
        <f t="shared" si="35"/>
        <v>109634</v>
      </c>
      <c r="E128" s="64">
        <f t="shared" si="36"/>
        <v>109634</v>
      </c>
      <c r="F128" s="64">
        <f t="shared" si="36"/>
        <v>109634</v>
      </c>
      <c r="G128" s="64">
        <f t="shared" si="36"/>
        <v>109634</v>
      </c>
      <c r="H128" s="64">
        <f t="shared" si="36"/>
        <v>109634</v>
      </c>
      <c r="I128" s="64">
        <f t="shared" si="36"/>
        <v>109634</v>
      </c>
      <c r="J128" s="64">
        <f t="shared" si="36"/>
        <v>109634</v>
      </c>
      <c r="K128" s="64">
        <f t="shared" si="36"/>
        <v>109634</v>
      </c>
      <c r="L128" s="64">
        <f t="shared" si="36"/>
        <v>109634</v>
      </c>
      <c r="M128" s="64">
        <f t="shared" si="36"/>
        <v>109634</v>
      </c>
      <c r="N128" s="64">
        <f t="shared" si="36"/>
        <v>109634</v>
      </c>
      <c r="O128" s="64">
        <f t="shared" si="36"/>
        <v>109634</v>
      </c>
      <c r="P128" s="2">
        <f t="shared" si="33"/>
        <v>1425242</v>
      </c>
      <c r="Q128" s="2">
        <f t="shared" si="34"/>
        <v>109634</v>
      </c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3"/>
    </row>
    <row r="129" spans="1:34" x14ac:dyDescent="0.25">
      <c r="A129" s="13" t="s">
        <v>203</v>
      </c>
      <c r="B129" s="13" t="s">
        <v>204</v>
      </c>
      <c r="C129" s="2">
        <f>'WC def tax 22'!O129</f>
        <v>183748</v>
      </c>
      <c r="D129" s="64">
        <f t="shared" si="35"/>
        <v>183748</v>
      </c>
      <c r="E129" s="64">
        <f t="shared" si="36"/>
        <v>183748</v>
      </c>
      <c r="F129" s="64">
        <f t="shared" si="36"/>
        <v>183748</v>
      </c>
      <c r="G129" s="64">
        <f t="shared" si="36"/>
        <v>183748</v>
      </c>
      <c r="H129" s="64">
        <f t="shared" si="36"/>
        <v>183748</v>
      </c>
      <c r="I129" s="64">
        <f t="shared" si="36"/>
        <v>183748</v>
      </c>
      <c r="J129" s="64">
        <f t="shared" si="36"/>
        <v>183748</v>
      </c>
      <c r="K129" s="64">
        <f t="shared" si="36"/>
        <v>183748</v>
      </c>
      <c r="L129" s="64">
        <f t="shared" si="36"/>
        <v>183748</v>
      </c>
      <c r="M129" s="64">
        <f t="shared" si="36"/>
        <v>183748</v>
      </c>
      <c r="N129" s="64">
        <f t="shared" si="36"/>
        <v>183748</v>
      </c>
      <c r="O129" s="64">
        <f t="shared" si="36"/>
        <v>183748</v>
      </c>
      <c r="P129" s="2">
        <f t="shared" si="33"/>
        <v>2388724</v>
      </c>
      <c r="Q129" s="2">
        <f t="shared" si="34"/>
        <v>183748</v>
      </c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3"/>
    </row>
    <row r="130" spans="1:34" x14ac:dyDescent="0.25">
      <c r="C130" s="26" t="s">
        <v>67</v>
      </c>
      <c r="D130" s="26" t="s">
        <v>67</v>
      </c>
      <c r="E130" s="26" t="s">
        <v>67</v>
      </c>
      <c r="F130" s="26" t="s">
        <v>67</v>
      </c>
      <c r="G130" s="26" t="s">
        <v>67</v>
      </c>
      <c r="H130" s="26" t="s">
        <v>67</v>
      </c>
      <c r="I130" s="26" t="s">
        <v>67</v>
      </c>
      <c r="J130" s="26" t="s">
        <v>67</v>
      </c>
      <c r="K130" s="26" t="s">
        <v>67</v>
      </c>
      <c r="L130" s="26" t="s">
        <v>67</v>
      </c>
      <c r="M130" s="26" t="s">
        <v>67</v>
      </c>
      <c r="N130" s="26" t="s">
        <v>67</v>
      </c>
      <c r="O130" s="26" t="s">
        <v>67</v>
      </c>
      <c r="P130" s="26" t="s">
        <v>67</v>
      </c>
      <c r="Q130" s="26" t="s">
        <v>67</v>
      </c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3"/>
    </row>
    <row r="131" spans="1:34" x14ac:dyDescent="0.25">
      <c r="A131" s="21" t="s">
        <v>205</v>
      </c>
      <c r="B131" s="22"/>
      <c r="C131" s="23">
        <f t="shared" ref="C131:Q131" si="37">SUM(C95:C129)</f>
        <v>-57733069.150823355</v>
      </c>
      <c r="D131" s="23">
        <f t="shared" si="37"/>
        <v>-57746361.806231856</v>
      </c>
      <c r="E131" s="23">
        <f t="shared" si="37"/>
        <v>-57668078.143056095</v>
      </c>
      <c r="F131" s="23">
        <f t="shared" si="37"/>
        <v>-57589794.479880393</v>
      </c>
      <c r="G131" s="23">
        <f t="shared" si="37"/>
        <v>-57511510.81670469</v>
      </c>
      <c r="H131" s="23">
        <f t="shared" si="37"/>
        <v>-57433227.153528929</v>
      </c>
      <c r="I131" s="23">
        <f t="shared" si="37"/>
        <v>-57354943.490353227</v>
      </c>
      <c r="J131" s="23">
        <f t="shared" si="37"/>
        <v>-57276659.827177525</v>
      </c>
      <c r="K131" s="23">
        <f t="shared" si="37"/>
        <v>-57198376.164001822</v>
      </c>
      <c r="L131" s="23">
        <f t="shared" si="37"/>
        <v>-57120092.50082612</v>
      </c>
      <c r="M131" s="23">
        <f t="shared" si="37"/>
        <v>-57041808.837650359</v>
      </c>
      <c r="N131" s="23">
        <f t="shared" si="37"/>
        <v>-56963525.174474657</v>
      </c>
      <c r="O131" s="23">
        <f t="shared" si="37"/>
        <v>-56885241.511298954</v>
      </c>
      <c r="P131" s="23">
        <f t="shared" si="37"/>
        <v>-745522689.05600786</v>
      </c>
      <c r="Q131" s="23">
        <f t="shared" si="37"/>
        <v>-57347899.158154488</v>
      </c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3"/>
    </row>
    <row r="132" spans="1:34" x14ac:dyDescent="0.25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3"/>
    </row>
    <row r="133" spans="1:34" x14ac:dyDescent="0.25">
      <c r="A133" s="21" t="s">
        <v>206</v>
      </c>
      <c r="B133" s="22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3"/>
    </row>
    <row r="134" spans="1:34" x14ac:dyDescent="0.25">
      <c r="A134" s="13" t="s">
        <v>207</v>
      </c>
      <c r="B134" s="13" t="s">
        <v>208</v>
      </c>
      <c r="C134" s="2">
        <f>'WC def tax 22'!O134</f>
        <v>6633.3975999999966</v>
      </c>
      <c r="D134" s="64">
        <f t="shared" ref="D134:O134" si="38">C134+($C134*(0.0557/12))</f>
        <v>6664.1876205266635</v>
      </c>
      <c r="E134" s="64">
        <f t="shared" si="38"/>
        <v>6694.9776410533304</v>
      </c>
      <c r="F134" s="64">
        <f t="shared" si="38"/>
        <v>6725.7676615799974</v>
      </c>
      <c r="G134" s="64">
        <f t="shared" si="38"/>
        <v>6756.5576821066643</v>
      </c>
      <c r="H134" s="64">
        <f t="shared" si="38"/>
        <v>6787.3477026333312</v>
      </c>
      <c r="I134" s="64">
        <f t="shared" si="38"/>
        <v>6818.1377231599981</v>
      </c>
      <c r="J134" s="64">
        <f t="shared" si="38"/>
        <v>6848.9277436866651</v>
      </c>
      <c r="K134" s="64">
        <f t="shared" si="38"/>
        <v>6879.717764213332</v>
      </c>
      <c r="L134" s="64">
        <f t="shared" si="38"/>
        <v>6910.5077847399989</v>
      </c>
      <c r="M134" s="64">
        <f t="shared" si="38"/>
        <v>6941.2978052666658</v>
      </c>
      <c r="N134" s="64">
        <f t="shared" si="38"/>
        <v>6972.0878257933327</v>
      </c>
      <c r="O134" s="64">
        <f t="shared" si="38"/>
        <v>7002.8778463199997</v>
      </c>
      <c r="P134" s="2">
        <f t="shared" ref="P134:P135" si="39">SUM(C134:O134)</f>
        <v>88635.790401079968</v>
      </c>
      <c r="Q134" s="2">
        <f t="shared" ref="Q134:Q135" si="40">P134/13</f>
        <v>6818.1377231599972</v>
      </c>
      <c r="R134" s="15" t="s">
        <v>502</v>
      </c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3"/>
    </row>
    <row r="135" spans="1:34" x14ac:dyDescent="0.25">
      <c r="A135" s="13" t="s">
        <v>209</v>
      </c>
      <c r="B135" s="13" t="s">
        <v>210</v>
      </c>
      <c r="C135" s="2">
        <f>'WC def tax 22'!O135</f>
        <v>35682.249999999971</v>
      </c>
      <c r="D135" s="64">
        <f t="shared" ref="D135:O135" si="41">C135+($C135*(0.0557/12))</f>
        <v>35847.875110416637</v>
      </c>
      <c r="E135" s="64">
        <f t="shared" si="41"/>
        <v>36013.500220833303</v>
      </c>
      <c r="F135" s="64">
        <f t="shared" si="41"/>
        <v>36179.125331249968</v>
      </c>
      <c r="G135" s="64">
        <f t="shared" si="41"/>
        <v>36344.750441666634</v>
      </c>
      <c r="H135" s="64">
        <f t="shared" si="41"/>
        <v>36510.3755520833</v>
      </c>
      <c r="I135" s="64">
        <f t="shared" si="41"/>
        <v>36676.000662499966</v>
      </c>
      <c r="J135" s="64">
        <f t="shared" si="41"/>
        <v>36841.625772916632</v>
      </c>
      <c r="K135" s="64">
        <f t="shared" si="41"/>
        <v>37007.250883333298</v>
      </c>
      <c r="L135" s="64">
        <f t="shared" si="41"/>
        <v>37172.875993749964</v>
      </c>
      <c r="M135" s="64">
        <f t="shared" si="41"/>
        <v>37338.501104166629</v>
      </c>
      <c r="N135" s="64">
        <f t="shared" si="41"/>
        <v>37504.126214583295</v>
      </c>
      <c r="O135" s="64">
        <f t="shared" si="41"/>
        <v>37669.751324999961</v>
      </c>
      <c r="P135" s="2">
        <f t="shared" si="39"/>
        <v>476788.00861249957</v>
      </c>
      <c r="Q135" s="2">
        <f t="shared" si="40"/>
        <v>36676.000662499966</v>
      </c>
      <c r="R135" s="15" t="s">
        <v>502</v>
      </c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27">
        <f>SUM(AB135:AG135)-O135</f>
        <v>-37669.751324999961</v>
      </c>
    </row>
    <row r="136" spans="1:34" x14ac:dyDescent="0.25">
      <c r="C136" s="26" t="s">
        <v>67</v>
      </c>
      <c r="D136" s="26" t="s">
        <v>67</v>
      </c>
      <c r="E136" s="26" t="s">
        <v>67</v>
      </c>
      <c r="F136" s="26" t="s">
        <v>67</v>
      </c>
      <c r="G136" s="26" t="s">
        <v>67</v>
      </c>
      <c r="H136" s="26" t="s">
        <v>67</v>
      </c>
      <c r="I136" s="26" t="s">
        <v>67</v>
      </c>
      <c r="J136" s="26" t="s">
        <v>67</v>
      </c>
      <c r="K136" s="26" t="s">
        <v>67</v>
      </c>
      <c r="L136" s="26" t="s">
        <v>67</v>
      </c>
      <c r="M136" s="26" t="s">
        <v>67</v>
      </c>
      <c r="N136" s="26" t="s">
        <v>67</v>
      </c>
      <c r="O136" s="26" t="s">
        <v>67</v>
      </c>
      <c r="P136" s="26" t="s">
        <v>67</v>
      </c>
      <c r="Q136" s="26" t="s">
        <v>67</v>
      </c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3"/>
    </row>
    <row r="137" spans="1:34" x14ac:dyDescent="0.25">
      <c r="A137" s="21" t="s">
        <v>211</v>
      </c>
      <c r="B137" s="22"/>
      <c r="C137" s="23">
        <f>SUM(C134:C135)</f>
        <v>42315.647599999967</v>
      </c>
      <c r="D137" s="23">
        <f t="shared" ref="D137:Q137" si="42">SUM(D134:D135)</f>
        <v>42512.062730943304</v>
      </c>
      <c r="E137" s="23">
        <f t="shared" si="42"/>
        <v>42708.477861886633</v>
      </c>
      <c r="F137" s="23">
        <f t="shared" si="42"/>
        <v>42904.892992829962</v>
      </c>
      <c r="G137" s="23">
        <f t="shared" si="42"/>
        <v>43101.308123773299</v>
      </c>
      <c r="H137" s="23">
        <f t="shared" si="42"/>
        <v>43297.723254716635</v>
      </c>
      <c r="I137" s="23">
        <f t="shared" si="42"/>
        <v>43494.138385659964</v>
      </c>
      <c r="J137" s="23">
        <f t="shared" si="42"/>
        <v>43690.553516603293</v>
      </c>
      <c r="K137" s="23">
        <f t="shared" si="42"/>
        <v>43886.96864754663</v>
      </c>
      <c r="L137" s="23">
        <f t="shared" si="42"/>
        <v>44083.383778489966</v>
      </c>
      <c r="M137" s="23">
        <f t="shared" si="42"/>
        <v>44279.798909433295</v>
      </c>
      <c r="N137" s="23">
        <f t="shared" si="42"/>
        <v>44476.214040376624</v>
      </c>
      <c r="O137" s="23">
        <f t="shared" si="42"/>
        <v>44672.629171319961</v>
      </c>
      <c r="P137" s="23">
        <f t="shared" si="42"/>
        <v>565423.7990135795</v>
      </c>
      <c r="Q137" s="23">
        <f t="shared" si="42"/>
        <v>43494.138385659964</v>
      </c>
      <c r="R137" s="15">
        <f>SUM(T137:Y137)-Q137</f>
        <v>0</v>
      </c>
      <c r="S137" s="15" t="s">
        <v>16</v>
      </c>
      <c r="T137" s="15">
        <f t="shared" ref="T137:Y137" si="43">$Q137*T5</f>
        <v>9264.2514761455714</v>
      </c>
      <c r="U137" s="15">
        <f t="shared" si="43"/>
        <v>15135.960158209666</v>
      </c>
      <c r="V137" s="15">
        <f t="shared" si="43"/>
        <v>6263.1559275350346</v>
      </c>
      <c r="W137" s="15">
        <f t="shared" si="43"/>
        <v>43.494138385659966</v>
      </c>
      <c r="X137" s="15">
        <f t="shared" si="43"/>
        <v>43.494138385659966</v>
      </c>
      <c r="Y137" s="15">
        <f t="shared" si="43"/>
        <v>12743.782546998369</v>
      </c>
      <c r="Z137" s="15"/>
      <c r="AA137" s="15" t="s">
        <v>16</v>
      </c>
      <c r="AB137" s="15">
        <f t="shared" ref="AB137:AG137" si="44">$O137*AB$5</f>
        <v>9515.270013491152</v>
      </c>
      <c r="AC137" s="15">
        <f t="shared" si="44"/>
        <v>15546.074951619345</v>
      </c>
      <c r="AD137" s="15">
        <f t="shared" si="44"/>
        <v>6432.8586006700734</v>
      </c>
      <c r="AE137" s="15">
        <f t="shared" si="44"/>
        <v>44.672629171319961</v>
      </c>
      <c r="AF137" s="15">
        <f t="shared" si="44"/>
        <v>44.672629171319961</v>
      </c>
      <c r="AG137" s="15">
        <f t="shared" si="44"/>
        <v>13089.080347196748</v>
      </c>
      <c r="AH137" s="3"/>
    </row>
    <row r="138" spans="1:34" x14ac:dyDescent="0.25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27">
        <f>SUM(AB138:AG138)-O138</f>
        <v>0</v>
      </c>
    </row>
    <row r="139" spans="1:34" x14ac:dyDescent="0.25">
      <c r="A139" s="21" t="s">
        <v>212</v>
      </c>
      <c r="B139" s="22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3"/>
    </row>
    <row r="140" spans="1:34" x14ac:dyDescent="0.25">
      <c r="A140" s="13" t="s">
        <v>213</v>
      </c>
      <c r="B140" s="13" t="s">
        <v>214</v>
      </c>
      <c r="C140" s="2">
        <f>'WC def tax 22'!O140</f>
        <v>137002.60479999997</v>
      </c>
      <c r="D140" s="64">
        <v>127184</v>
      </c>
      <c r="E140" s="64">
        <v>127184</v>
      </c>
      <c r="F140" s="64">
        <v>127184</v>
      </c>
      <c r="G140" s="64">
        <v>127184</v>
      </c>
      <c r="H140" s="64">
        <v>127184</v>
      </c>
      <c r="I140" s="64">
        <v>127184</v>
      </c>
      <c r="J140" s="64">
        <v>127184</v>
      </c>
      <c r="K140" s="64">
        <v>127184</v>
      </c>
      <c r="L140" s="64">
        <v>127184</v>
      </c>
      <c r="M140" s="64">
        <v>127184</v>
      </c>
      <c r="N140" s="64">
        <v>127184</v>
      </c>
      <c r="O140" s="64">
        <v>127184</v>
      </c>
      <c r="P140" s="2">
        <f>SUM(C140:O140)</f>
        <v>1663210.6047999999</v>
      </c>
      <c r="Q140" s="2">
        <f>P140/13</f>
        <v>127939.27729230768</v>
      </c>
      <c r="R140" s="15" t="s">
        <v>502</v>
      </c>
      <c r="S140" s="15" t="s">
        <v>16</v>
      </c>
      <c r="T140" s="15">
        <f t="shared" ref="T140:Y140" si="45">$Q140*T5</f>
        <v>27251.066063261536</v>
      </c>
      <c r="U140" s="15">
        <f t="shared" si="45"/>
        <v>44522.868497723073</v>
      </c>
      <c r="V140" s="15">
        <f t="shared" si="45"/>
        <v>18423.255930092306</v>
      </c>
      <c r="W140" s="15">
        <f t="shared" si="45"/>
        <v>127.93927729230769</v>
      </c>
      <c r="X140" s="15">
        <f t="shared" si="45"/>
        <v>127.93927729230769</v>
      </c>
      <c r="Y140" s="15">
        <f t="shared" si="45"/>
        <v>37486.208246646151</v>
      </c>
      <c r="Z140" s="15"/>
      <c r="AA140" s="15" t="s">
        <v>16</v>
      </c>
      <c r="AB140" s="15">
        <f t="shared" ref="AB140:AG140" si="46">$O140*AB$5</f>
        <v>27090.191999999999</v>
      </c>
      <c r="AC140" s="15">
        <f t="shared" si="46"/>
        <v>44260.031999999999</v>
      </c>
      <c r="AD140" s="15">
        <f t="shared" si="46"/>
        <v>18314.495999999999</v>
      </c>
      <c r="AE140" s="15">
        <f t="shared" si="46"/>
        <v>127.184</v>
      </c>
      <c r="AF140" s="15">
        <f t="shared" si="46"/>
        <v>127.184</v>
      </c>
      <c r="AG140" s="15">
        <f t="shared" si="46"/>
        <v>37264.911999999997</v>
      </c>
      <c r="AH140" s="3"/>
    </row>
    <row r="141" spans="1:34" x14ac:dyDescent="0.25">
      <c r="C141" s="26" t="s">
        <v>67</v>
      </c>
      <c r="D141" s="26" t="s">
        <v>67</v>
      </c>
      <c r="E141" s="26" t="s">
        <v>67</v>
      </c>
      <c r="F141" s="26" t="s">
        <v>67</v>
      </c>
      <c r="G141" s="26" t="s">
        <v>67</v>
      </c>
      <c r="H141" s="26" t="s">
        <v>67</v>
      </c>
      <c r="I141" s="26" t="s">
        <v>67</v>
      </c>
      <c r="J141" s="26" t="s">
        <v>67</v>
      </c>
      <c r="K141" s="26" t="s">
        <v>67</v>
      </c>
      <c r="L141" s="26" t="s">
        <v>67</v>
      </c>
      <c r="M141" s="26" t="s">
        <v>67</v>
      </c>
      <c r="N141" s="26" t="s">
        <v>67</v>
      </c>
      <c r="O141" s="26" t="s">
        <v>67</v>
      </c>
      <c r="P141" s="26" t="s">
        <v>67</v>
      </c>
      <c r="Q141" s="26" t="s">
        <v>67</v>
      </c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3"/>
    </row>
    <row r="142" spans="1:34" x14ac:dyDescent="0.25">
      <c r="A142" s="21" t="s">
        <v>215</v>
      </c>
      <c r="B142" s="22"/>
      <c r="C142" s="23">
        <f>C140</f>
        <v>137002.60479999997</v>
      </c>
      <c r="D142" s="23">
        <f t="shared" ref="D142:Q142" si="47">D140</f>
        <v>127184</v>
      </c>
      <c r="E142" s="23">
        <f t="shared" si="47"/>
        <v>127184</v>
      </c>
      <c r="F142" s="23">
        <f t="shared" si="47"/>
        <v>127184</v>
      </c>
      <c r="G142" s="23">
        <f t="shared" si="47"/>
        <v>127184</v>
      </c>
      <c r="H142" s="23">
        <f t="shared" si="47"/>
        <v>127184</v>
      </c>
      <c r="I142" s="23">
        <f t="shared" si="47"/>
        <v>127184</v>
      </c>
      <c r="J142" s="23">
        <f t="shared" si="47"/>
        <v>127184</v>
      </c>
      <c r="K142" s="23">
        <f t="shared" si="47"/>
        <v>127184</v>
      </c>
      <c r="L142" s="23">
        <f t="shared" si="47"/>
        <v>127184</v>
      </c>
      <c r="M142" s="23">
        <f t="shared" si="47"/>
        <v>127184</v>
      </c>
      <c r="N142" s="23">
        <f t="shared" si="47"/>
        <v>127184</v>
      </c>
      <c r="O142" s="23">
        <f t="shared" si="47"/>
        <v>127184</v>
      </c>
      <c r="P142" s="23">
        <f t="shared" si="47"/>
        <v>1663210.6047999999</v>
      </c>
      <c r="Q142" s="23">
        <f t="shared" si="47"/>
        <v>127939.27729230768</v>
      </c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3"/>
    </row>
    <row r="143" spans="1:34" x14ac:dyDescent="0.25">
      <c r="A143" s="40"/>
      <c r="B143" s="40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3"/>
    </row>
    <row r="144" spans="1:34" ht="15.75" x14ac:dyDescent="0.3">
      <c r="A144" s="42" t="s">
        <v>216</v>
      </c>
      <c r="B144" s="43"/>
      <c r="C144" s="44">
        <f t="shared" ref="C144:Q144" si="48">C142+C137+C131+C92+C86+C79</f>
        <v>-57404821.387356691</v>
      </c>
      <c r="D144" s="44">
        <f t="shared" si="48"/>
        <v>-57335409.218097456</v>
      </c>
      <c r="E144" s="44">
        <f t="shared" si="48"/>
        <v>-57260840.632398412</v>
      </c>
      <c r="F144" s="44">
        <f t="shared" si="48"/>
        <v>-57186272.046699435</v>
      </c>
      <c r="G144" s="44">
        <f t="shared" si="48"/>
        <v>-57111703.461000443</v>
      </c>
      <c r="H144" s="44">
        <f t="shared" si="48"/>
        <v>-57037134.875301398</v>
      </c>
      <c r="I144" s="44">
        <f t="shared" si="48"/>
        <v>-56962566.289602421</v>
      </c>
      <c r="J144" s="44">
        <f t="shared" si="48"/>
        <v>-56887997.703903429</v>
      </c>
      <c r="K144" s="44">
        <f t="shared" si="48"/>
        <v>-56813429.118204445</v>
      </c>
      <c r="L144" s="44">
        <f t="shared" si="48"/>
        <v>-56738860.532505453</v>
      </c>
      <c r="M144" s="44">
        <f t="shared" si="48"/>
        <v>-56664291.946806416</v>
      </c>
      <c r="N144" s="44">
        <f t="shared" si="48"/>
        <v>-56589723.361107431</v>
      </c>
      <c r="O144" s="44">
        <f t="shared" si="48"/>
        <v>-56515154.775408439</v>
      </c>
      <c r="P144" s="44">
        <f t="shared" si="48"/>
        <v>-740508205.34839165</v>
      </c>
      <c r="Q144" s="44">
        <f t="shared" si="48"/>
        <v>-56962169.646663897</v>
      </c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3"/>
    </row>
    <row r="145" spans="1:34" x14ac:dyDescent="0.25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3"/>
    </row>
    <row r="146" spans="1:34" ht="15.75" x14ac:dyDescent="0.3">
      <c r="A146" s="18" t="s">
        <v>217</v>
      </c>
      <c r="B146" s="19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3"/>
    </row>
    <row r="147" spans="1:34" x14ac:dyDescent="0.25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3"/>
    </row>
    <row r="148" spans="1:34" x14ac:dyDescent="0.25">
      <c r="A148" s="45" t="s">
        <v>218</v>
      </c>
      <c r="B148" s="46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3"/>
    </row>
    <row r="149" spans="1:34" x14ac:dyDescent="0.25">
      <c r="A149" s="48" t="s">
        <v>219</v>
      </c>
      <c r="B149" s="48" t="s">
        <v>220</v>
      </c>
      <c r="C149" s="2">
        <f>'WC def tax 22'!O149</f>
        <v>647651</v>
      </c>
      <c r="D149" s="64">
        <f>C149-6142</f>
        <v>641509</v>
      </c>
      <c r="E149" s="64">
        <f t="shared" ref="E149:O149" si="49">D149-6142</f>
        <v>635367</v>
      </c>
      <c r="F149" s="64">
        <f t="shared" si="49"/>
        <v>629225</v>
      </c>
      <c r="G149" s="64">
        <f t="shared" si="49"/>
        <v>623083</v>
      </c>
      <c r="H149" s="64">
        <f t="shared" si="49"/>
        <v>616941</v>
      </c>
      <c r="I149" s="64">
        <f t="shared" si="49"/>
        <v>610799</v>
      </c>
      <c r="J149" s="64">
        <f t="shared" si="49"/>
        <v>604657</v>
      </c>
      <c r="K149" s="64">
        <f t="shared" si="49"/>
        <v>598515</v>
      </c>
      <c r="L149" s="64">
        <f t="shared" si="49"/>
        <v>592373</v>
      </c>
      <c r="M149" s="64">
        <f t="shared" si="49"/>
        <v>586231</v>
      </c>
      <c r="N149" s="64">
        <f t="shared" si="49"/>
        <v>580089</v>
      </c>
      <c r="O149" s="64">
        <f t="shared" si="49"/>
        <v>573947</v>
      </c>
      <c r="P149" s="2">
        <f>SUM(C149:O149)</f>
        <v>7940387</v>
      </c>
      <c r="Q149" s="2">
        <f>P149/13</f>
        <v>610799</v>
      </c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3"/>
    </row>
    <row r="150" spans="1:34" x14ac:dyDescent="0.25">
      <c r="C150" s="26" t="s">
        <v>67</v>
      </c>
      <c r="D150" s="26" t="s">
        <v>67</v>
      </c>
      <c r="E150" s="26" t="s">
        <v>67</v>
      </c>
      <c r="F150" s="26" t="s">
        <v>67</v>
      </c>
      <c r="G150" s="26" t="s">
        <v>67</v>
      </c>
      <c r="H150" s="26" t="s">
        <v>67</v>
      </c>
      <c r="I150" s="26" t="s">
        <v>67</v>
      </c>
      <c r="J150" s="26" t="s">
        <v>67</v>
      </c>
      <c r="K150" s="26" t="s">
        <v>67</v>
      </c>
      <c r="L150" s="26" t="s">
        <v>67</v>
      </c>
      <c r="M150" s="26" t="s">
        <v>67</v>
      </c>
      <c r="N150" s="26" t="s">
        <v>67</v>
      </c>
      <c r="O150" s="26" t="s">
        <v>67</v>
      </c>
      <c r="P150" s="26" t="s">
        <v>67</v>
      </c>
      <c r="Q150" s="26" t="s">
        <v>67</v>
      </c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3"/>
    </row>
    <row r="151" spans="1:34" x14ac:dyDescent="0.25">
      <c r="A151" s="21" t="s">
        <v>221</v>
      </c>
      <c r="B151" s="22"/>
      <c r="C151" s="23">
        <f>C149</f>
        <v>647651</v>
      </c>
      <c r="D151" s="23">
        <f t="shared" ref="D151:Q151" si="50">D149</f>
        <v>641509</v>
      </c>
      <c r="E151" s="23">
        <f t="shared" si="50"/>
        <v>635367</v>
      </c>
      <c r="F151" s="23">
        <f t="shared" si="50"/>
        <v>629225</v>
      </c>
      <c r="G151" s="23">
        <f t="shared" si="50"/>
        <v>623083</v>
      </c>
      <c r="H151" s="23">
        <f t="shared" si="50"/>
        <v>616941</v>
      </c>
      <c r="I151" s="23">
        <f t="shared" si="50"/>
        <v>610799</v>
      </c>
      <c r="J151" s="23">
        <f t="shared" si="50"/>
        <v>604657</v>
      </c>
      <c r="K151" s="23">
        <f t="shared" si="50"/>
        <v>598515</v>
      </c>
      <c r="L151" s="23">
        <f t="shared" si="50"/>
        <v>592373</v>
      </c>
      <c r="M151" s="23">
        <f t="shared" si="50"/>
        <v>586231</v>
      </c>
      <c r="N151" s="23">
        <f t="shared" si="50"/>
        <v>580089</v>
      </c>
      <c r="O151" s="23">
        <f t="shared" si="50"/>
        <v>573947</v>
      </c>
      <c r="P151" s="23">
        <f t="shared" si="50"/>
        <v>7940387</v>
      </c>
      <c r="Q151" s="23">
        <f t="shared" si="50"/>
        <v>610799</v>
      </c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3"/>
    </row>
    <row r="152" spans="1:34" x14ac:dyDescent="0.25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3"/>
    </row>
    <row r="153" spans="1:34" x14ac:dyDescent="0.25">
      <c r="A153" s="21" t="s">
        <v>222</v>
      </c>
      <c r="B153" s="22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3"/>
    </row>
    <row r="154" spans="1:34" x14ac:dyDescent="0.25">
      <c r="A154" s="13" t="s">
        <v>223</v>
      </c>
      <c r="B154" s="13" t="s">
        <v>224</v>
      </c>
      <c r="C154" s="2">
        <f>'WC def tax 22'!O154</f>
        <v>144724.76999999999</v>
      </c>
      <c r="D154" s="152">
        <v>133283.78</v>
      </c>
      <c r="E154" s="152">
        <v>129672.64</v>
      </c>
      <c r="F154" s="152">
        <v>126050.29000000001</v>
      </c>
      <c r="G154" s="152">
        <v>122416.72</v>
      </c>
      <c r="H154" s="152">
        <v>118771.89</v>
      </c>
      <c r="I154" s="152">
        <v>115115.75</v>
      </c>
      <c r="J154" s="152">
        <v>111448.29000000001</v>
      </c>
      <c r="K154" s="152">
        <v>107769.45</v>
      </c>
      <c r="L154" s="152">
        <v>104079.21</v>
      </c>
      <c r="M154" s="152">
        <v>100377.53</v>
      </c>
      <c r="N154" s="152">
        <v>96664.37</v>
      </c>
      <c r="O154" s="152">
        <v>92939.7</v>
      </c>
      <c r="P154" s="2">
        <f t="shared" ref="P154:P155" si="51">SUM(C154:O154)</f>
        <v>1503314.39</v>
      </c>
      <c r="Q154" s="2">
        <f t="shared" ref="Q154:Q155" si="52">P154/13</f>
        <v>115639.56846153845</v>
      </c>
      <c r="R154" s="15" t="s">
        <v>504</v>
      </c>
      <c r="S154" s="15" t="s">
        <v>225</v>
      </c>
      <c r="T154" s="15">
        <f>$Q154*T$3</f>
        <v>18750.956026038461</v>
      </c>
      <c r="U154" s="15">
        <f t="shared" ref="U154:Y154" si="53">$Q154*U$3</f>
        <v>45297.175362069225</v>
      </c>
      <c r="V154" s="15">
        <f t="shared" si="53"/>
        <v>21263.803848707688</v>
      </c>
      <c r="W154" s="15">
        <f t="shared" si="53"/>
        <v>410.52046803846156</v>
      </c>
      <c r="X154" s="15">
        <f t="shared" si="53"/>
        <v>128.35992099230771</v>
      </c>
      <c r="Y154" s="15">
        <f t="shared" si="53"/>
        <v>29791.065627061536</v>
      </c>
      <c r="Z154" s="15"/>
      <c r="AA154" s="15"/>
      <c r="AB154" s="15">
        <f>$O154*AB$3</f>
        <v>15070.172354999999</v>
      </c>
      <c r="AC154" s="15">
        <f t="shared" ref="AC154:AG154" si="54">$O154*AC$3</f>
        <v>36405.409887000002</v>
      </c>
      <c r="AD154" s="15">
        <f t="shared" si="54"/>
        <v>17089.752035999998</v>
      </c>
      <c r="AE154" s="15">
        <f t="shared" si="54"/>
        <v>329.93593500000003</v>
      </c>
      <c r="AF154" s="15">
        <f t="shared" si="54"/>
        <v>103.16306700000001</v>
      </c>
      <c r="AG154" s="15">
        <f t="shared" si="54"/>
        <v>23943.125513999999</v>
      </c>
      <c r="AH154" s="3"/>
    </row>
    <row r="155" spans="1:34" x14ac:dyDescent="0.25">
      <c r="A155" s="13" t="s">
        <v>226</v>
      </c>
      <c r="B155" s="13" t="s">
        <v>227</v>
      </c>
      <c r="C155" s="2">
        <f>'WC def tax 22'!O155</f>
        <v>0</v>
      </c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2">
        <f t="shared" si="51"/>
        <v>0</v>
      </c>
      <c r="Q155" s="2">
        <f t="shared" si="52"/>
        <v>0</v>
      </c>
      <c r="R155" s="15" t="s">
        <v>504</v>
      </c>
      <c r="S155" s="15" t="s">
        <v>225</v>
      </c>
      <c r="T155" s="15">
        <f t="shared" ref="T155:Y155" si="55">$Q155*T$3</f>
        <v>0</v>
      </c>
      <c r="U155" s="15">
        <f t="shared" si="55"/>
        <v>0</v>
      </c>
      <c r="V155" s="15">
        <f t="shared" si="55"/>
        <v>0</v>
      </c>
      <c r="W155" s="15">
        <f t="shared" si="55"/>
        <v>0</v>
      </c>
      <c r="X155" s="15">
        <f t="shared" si="55"/>
        <v>0</v>
      </c>
      <c r="Y155" s="15">
        <f t="shared" si="55"/>
        <v>0</v>
      </c>
      <c r="Z155" s="15"/>
      <c r="AA155" s="15"/>
      <c r="AB155" s="15">
        <f t="shared" ref="AB155:AG155" si="56">$O155*AB$3</f>
        <v>0</v>
      </c>
      <c r="AC155" s="15">
        <f t="shared" si="56"/>
        <v>0</v>
      </c>
      <c r="AD155" s="15">
        <f t="shared" si="56"/>
        <v>0</v>
      </c>
      <c r="AE155" s="15">
        <f t="shared" si="56"/>
        <v>0</v>
      </c>
      <c r="AF155" s="15">
        <f t="shared" si="56"/>
        <v>0</v>
      </c>
      <c r="AG155" s="15">
        <f t="shared" si="56"/>
        <v>0</v>
      </c>
      <c r="AH155" s="3"/>
    </row>
    <row r="156" spans="1:34" x14ac:dyDescent="0.25">
      <c r="C156" s="26" t="s">
        <v>67</v>
      </c>
      <c r="D156" s="26" t="s">
        <v>67</v>
      </c>
      <c r="E156" s="26" t="s">
        <v>67</v>
      </c>
      <c r="F156" s="26" t="s">
        <v>67</v>
      </c>
      <c r="G156" s="26" t="s">
        <v>67</v>
      </c>
      <c r="H156" s="26" t="s">
        <v>67</v>
      </c>
      <c r="I156" s="26" t="s">
        <v>67</v>
      </c>
      <c r="J156" s="26" t="s">
        <v>67</v>
      </c>
      <c r="K156" s="26" t="s">
        <v>67</v>
      </c>
      <c r="L156" s="26" t="s">
        <v>67</v>
      </c>
      <c r="M156" s="26" t="s">
        <v>67</v>
      </c>
      <c r="N156" s="26" t="s">
        <v>67</v>
      </c>
      <c r="O156" s="26" t="s">
        <v>67</v>
      </c>
      <c r="P156" s="26" t="s">
        <v>67</v>
      </c>
      <c r="Q156" s="26" t="s">
        <v>67</v>
      </c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3"/>
    </row>
    <row r="157" spans="1:34" x14ac:dyDescent="0.25">
      <c r="A157" s="21" t="s">
        <v>228</v>
      </c>
      <c r="B157" s="22"/>
      <c r="C157" s="23">
        <f>SUM(C154:C155)</f>
        <v>144724.76999999999</v>
      </c>
      <c r="D157" s="23">
        <f t="shared" ref="D157:Q157" si="57">SUM(D154:D155)</f>
        <v>133283.78</v>
      </c>
      <c r="E157" s="23">
        <f t="shared" si="57"/>
        <v>129672.64</v>
      </c>
      <c r="F157" s="23">
        <f t="shared" si="57"/>
        <v>126050.29000000001</v>
      </c>
      <c r="G157" s="23">
        <f t="shared" si="57"/>
        <v>122416.72</v>
      </c>
      <c r="H157" s="23">
        <f t="shared" si="57"/>
        <v>118771.89</v>
      </c>
      <c r="I157" s="23">
        <f t="shared" si="57"/>
        <v>115115.75</v>
      </c>
      <c r="J157" s="23">
        <f t="shared" si="57"/>
        <v>111448.29000000001</v>
      </c>
      <c r="K157" s="23">
        <f t="shared" si="57"/>
        <v>107769.45</v>
      </c>
      <c r="L157" s="23">
        <f t="shared" si="57"/>
        <v>104079.21</v>
      </c>
      <c r="M157" s="23">
        <f t="shared" si="57"/>
        <v>100377.53</v>
      </c>
      <c r="N157" s="23">
        <f t="shared" si="57"/>
        <v>96664.37</v>
      </c>
      <c r="O157" s="23">
        <f t="shared" si="57"/>
        <v>92939.7</v>
      </c>
      <c r="P157" s="23">
        <f t="shared" si="57"/>
        <v>1503314.39</v>
      </c>
      <c r="Q157" s="23">
        <f t="shared" si="57"/>
        <v>115639.56846153845</v>
      </c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3"/>
    </row>
    <row r="158" spans="1:34" x14ac:dyDescent="0.25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3"/>
    </row>
    <row r="159" spans="1:34" ht="15.75" x14ac:dyDescent="0.3">
      <c r="A159" s="18" t="s">
        <v>229</v>
      </c>
      <c r="B159" s="19"/>
      <c r="C159" s="20">
        <f>C157+C151</f>
        <v>792375.77</v>
      </c>
      <c r="D159" s="20">
        <f t="shared" ref="D159:Q159" si="58">D157+D151</f>
        <v>774792.78</v>
      </c>
      <c r="E159" s="20">
        <f t="shared" si="58"/>
        <v>765039.64</v>
      </c>
      <c r="F159" s="20">
        <f t="shared" si="58"/>
        <v>755275.29</v>
      </c>
      <c r="G159" s="20">
        <f t="shared" si="58"/>
        <v>745499.72</v>
      </c>
      <c r="H159" s="20">
        <f t="shared" si="58"/>
        <v>735712.89</v>
      </c>
      <c r="I159" s="20">
        <f t="shared" si="58"/>
        <v>725914.75</v>
      </c>
      <c r="J159" s="20">
        <f t="shared" si="58"/>
        <v>716105.29</v>
      </c>
      <c r="K159" s="20">
        <f t="shared" si="58"/>
        <v>706284.45</v>
      </c>
      <c r="L159" s="20">
        <f t="shared" si="58"/>
        <v>696452.21</v>
      </c>
      <c r="M159" s="20">
        <f t="shared" si="58"/>
        <v>686608.53</v>
      </c>
      <c r="N159" s="20">
        <f t="shared" si="58"/>
        <v>676753.37</v>
      </c>
      <c r="O159" s="20">
        <f t="shared" si="58"/>
        <v>666886.69999999995</v>
      </c>
      <c r="P159" s="20">
        <f t="shared" si="58"/>
        <v>9443701.3900000006</v>
      </c>
      <c r="Q159" s="20">
        <f t="shared" si="58"/>
        <v>726438.56846153841</v>
      </c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3"/>
    </row>
    <row r="160" spans="1:34" x14ac:dyDescent="0.25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3"/>
    </row>
    <row r="161" spans="1:34" ht="19.5" x14ac:dyDescent="0.4">
      <c r="A161" s="5" t="s">
        <v>230</v>
      </c>
      <c r="B161" s="16"/>
      <c r="C161" s="17">
        <f t="shared" ref="C161:Q161" si="59">C159+C144+C68+C55</f>
        <v>64009085.642966673</v>
      </c>
      <c r="D161" s="17">
        <f t="shared" si="59"/>
        <v>63417163.245308407</v>
      </c>
      <c r="E161" s="17">
        <f t="shared" si="59"/>
        <v>63434404.067423284</v>
      </c>
      <c r="F161" s="17">
        <f t="shared" si="59"/>
        <v>63451633.679538101</v>
      </c>
      <c r="G161" s="17">
        <f t="shared" si="59"/>
        <v>63468852.071652927</v>
      </c>
      <c r="H161" s="17">
        <f t="shared" si="59"/>
        <v>63486059.203767806</v>
      </c>
      <c r="I161" s="17">
        <f t="shared" si="59"/>
        <v>63503255.025882624</v>
      </c>
      <c r="J161" s="17">
        <f t="shared" si="59"/>
        <v>63520439.527997449</v>
      </c>
      <c r="K161" s="17">
        <f t="shared" si="59"/>
        <v>63537612.650112271</v>
      </c>
      <c r="L161" s="17">
        <f t="shared" si="59"/>
        <v>63554774.372227103</v>
      </c>
      <c r="M161" s="17">
        <f t="shared" si="59"/>
        <v>63571924.654341973</v>
      </c>
      <c r="N161" s="17">
        <f t="shared" si="59"/>
        <v>63589063.456456788</v>
      </c>
      <c r="O161" s="17">
        <f t="shared" si="59"/>
        <v>63606190.748571619</v>
      </c>
      <c r="P161" s="17">
        <f t="shared" si="59"/>
        <v>826150458.3462472</v>
      </c>
      <c r="Q161" s="17">
        <f t="shared" si="59"/>
        <v>63550035.252923712</v>
      </c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3"/>
    </row>
    <row r="162" spans="1:34" x14ac:dyDescent="0.25">
      <c r="C162" s="26" t="s">
        <v>231</v>
      </c>
      <c r="D162" s="26" t="s">
        <v>231</v>
      </c>
      <c r="E162" s="26" t="s">
        <v>231</v>
      </c>
      <c r="F162" s="26" t="s">
        <v>231</v>
      </c>
      <c r="G162" s="26" t="s">
        <v>231</v>
      </c>
      <c r="H162" s="26" t="s">
        <v>231</v>
      </c>
      <c r="I162" s="26" t="s">
        <v>231</v>
      </c>
      <c r="J162" s="26" t="s">
        <v>231</v>
      </c>
      <c r="K162" s="26" t="s">
        <v>231</v>
      </c>
      <c r="L162" s="26" t="s">
        <v>231</v>
      </c>
      <c r="M162" s="26" t="s">
        <v>231</v>
      </c>
      <c r="N162" s="26" t="s">
        <v>231</v>
      </c>
      <c r="O162" s="26" t="s">
        <v>231</v>
      </c>
      <c r="P162" s="26" t="s">
        <v>231</v>
      </c>
      <c r="Q162" s="26" t="s">
        <v>231</v>
      </c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3"/>
    </row>
    <row r="163" spans="1:34" x14ac:dyDescent="0.25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3"/>
    </row>
    <row r="164" spans="1:34" ht="19.5" x14ac:dyDescent="0.4">
      <c r="A164" s="50" t="s">
        <v>232</v>
      </c>
      <c r="B164" s="51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3"/>
    </row>
    <row r="165" spans="1:34" x14ac:dyDescent="0.25">
      <c r="A165" s="35"/>
      <c r="B165" s="35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3"/>
    </row>
    <row r="166" spans="1:34" ht="15.75" x14ac:dyDescent="0.3">
      <c r="A166" s="53" t="s">
        <v>233</v>
      </c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3"/>
    </row>
    <row r="167" spans="1:34" x14ac:dyDescent="0.25">
      <c r="A167" s="35"/>
      <c r="B167" s="35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27">
        <f t="shared" ref="AH167:AH173" si="60">SUM(AB167:AG167)+O167</f>
        <v>0</v>
      </c>
    </row>
    <row r="168" spans="1:34" x14ac:dyDescent="0.25">
      <c r="A168" s="37" t="s">
        <v>234</v>
      </c>
      <c r="B168" s="38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27">
        <f t="shared" si="60"/>
        <v>0</v>
      </c>
    </row>
    <row r="169" spans="1:34" x14ac:dyDescent="0.25">
      <c r="A169" s="31" t="s">
        <v>235</v>
      </c>
      <c r="B169" s="31" t="s">
        <v>236</v>
      </c>
      <c r="C169" s="2">
        <f>'WC def tax 22'!O169</f>
        <v>462932.11689999996</v>
      </c>
      <c r="D169" s="64">
        <f>($P169-$C169)/12</f>
        <v>483434.9538529967</v>
      </c>
      <c r="E169" s="64">
        <f t="shared" ref="E169:O169" si="61">($P169-$C169)/12</f>
        <v>483434.9538529967</v>
      </c>
      <c r="F169" s="64">
        <f t="shared" si="61"/>
        <v>483434.9538529967</v>
      </c>
      <c r="G169" s="64">
        <f t="shared" si="61"/>
        <v>483434.9538529967</v>
      </c>
      <c r="H169" s="64">
        <f t="shared" si="61"/>
        <v>483434.9538529967</v>
      </c>
      <c r="I169" s="64">
        <f t="shared" si="61"/>
        <v>483434.9538529967</v>
      </c>
      <c r="J169" s="64">
        <f t="shared" si="61"/>
        <v>483434.9538529967</v>
      </c>
      <c r="K169" s="64">
        <f t="shared" si="61"/>
        <v>483434.9538529967</v>
      </c>
      <c r="L169" s="64">
        <f t="shared" si="61"/>
        <v>483434.9538529967</v>
      </c>
      <c r="M169" s="64">
        <f t="shared" si="61"/>
        <v>483434.9538529967</v>
      </c>
      <c r="N169" s="64">
        <f t="shared" si="61"/>
        <v>483434.9538529967</v>
      </c>
      <c r="O169" s="64">
        <f t="shared" si="61"/>
        <v>483434.9538529967</v>
      </c>
      <c r="P169" s="2">
        <f>Q169*13</f>
        <v>6264151.5631359601</v>
      </c>
      <c r="Q169" s="2">
        <f>'WC def tax 22'!Q169*1.0557</f>
        <v>481857.81254891999</v>
      </c>
      <c r="R169" s="15" t="s">
        <v>502</v>
      </c>
      <c r="S169" s="15" t="s">
        <v>16</v>
      </c>
      <c r="T169" s="15">
        <f t="shared" ref="T169:Y169" si="62">-$Q169*T5</f>
        <v>-102635.71407291996</v>
      </c>
      <c r="U169" s="15">
        <f t="shared" si="62"/>
        <v>-167686.51876702416</v>
      </c>
      <c r="V169" s="15">
        <f t="shared" si="62"/>
        <v>-69387.525007044474</v>
      </c>
      <c r="W169" s="15">
        <f t="shared" si="62"/>
        <v>-481.85781254891998</v>
      </c>
      <c r="X169" s="15">
        <f t="shared" si="62"/>
        <v>-481.85781254891998</v>
      </c>
      <c r="Y169" s="15">
        <f t="shared" si="62"/>
        <v>-141184.33907683354</v>
      </c>
      <c r="Z169" s="15"/>
      <c r="AA169" s="15" t="s">
        <v>16</v>
      </c>
      <c r="AB169" s="15">
        <f t="shared" ref="AB169:AG171" si="63">-$O169*AB$5</f>
        <v>-102971.64517068829</v>
      </c>
      <c r="AC169" s="15">
        <f t="shared" si="63"/>
        <v>-168235.36394084283</v>
      </c>
      <c r="AD169" s="15">
        <f t="shared" si="63"/>
        <v>-69614.633354831516</v>
      </c>
      <c r="AE169" s="15">
        <f t="shared" si="63"/>
        <v>-483.43495385299673</v>
      </c>
      <c r="AF169" s="15">
        <f t="shared" si="63"/>
        <v>-483.43495385299673</v>
      </c>
      <c r="AG169" s="15">
        <f t="shared" si="63"/>
        <v>-141646.44147892803</v>
      </c>
      <c r="AH169" s="27">
        <f t="shared" si="60"/>
        <v>0</v>
      </c>
    </row>
    <row r="170" spans="1:34" x14ac:dyDescent="0.25">
      <c r="A170" s="31" t="s">
        <v>237</v>
      </c>
      <c r="B170" s="31" t="s">
        <v>238</v>
      </c>
      <c r="C170" s="2">
        <f>'WC def tax 22'!O170</f>
        <v>4700149.1886666669</v>
      </c>
      <c r="D170" s="64">
        <f t="shared" ref="D170:O176" si="64">($P170-$C170)/12</f>
        <v>4676927.6178948442</v>
      </c>
      <c r="E170" s="64">
        <f t="shared" si="64"/>
        <v>4676927.6178948442</v>
      </c>
      <c r="F170" s="64">
        <f t="shared" si="64"/>
        <v>4676927.6178948442</v>
      </c>
      <c r="G170" s="64">
        <f t="shared" si="64"/>
        <v>4676927.6178948442</v>
      </c>
      <c r="H170" s="64">
        <f t="shared" si="64"/>
        <v>4676927.6178948442</v>
      </c>
      <c r="I170" s="64">
        <f t="shared" si="64"/>
        <v>4676927.6178948442</v>
      </c>
      <c r="J170" s="64">
        <f t="shared" si="64"/>
        <v>4676927.6178948442</v>
      </c>
      <c r="K170" s="64">
        <f t="shared" si="64"/>
        <v>4676927.6178948442</v>
      </c>
      <c r="L170" s="64">
        <f t="shared" si="64"/>
        <v>4676927.6178948442</v>
      </c>
      <c r="M170" s="64">
        <f t="shared" si="64"/>
        <v>4676927.6178948442</v>
      </c>
      <c r="N170" s="64">
        <f t="shared" si="64"/>
        <v>4676927.6178948442</v>
      </c>
      <c r="O170" s="64">
        <f t="shared" si="64"/>
        <v>4676927.6178948442</v>
      </c>
      <c r="P170" s="2">
        <f t="shared" ref="P170:P176" si="65">Q170*13</f>
        <v>60823280.603404798</v>
      </c>
      <c r="Q170" s="2">
        <f>'WC def tax 22'!Q170*1.0557</f>
        <v>4678713.8925695997</v>
      </c>
      <c r="R170" s="15" t="s">
        <v>502</v>
      </c>
      <c r="S170" s="15" t="s">
        <v>16</v>
      </c>
      <c r="T170" s="15">
        <f t="shared" ref="T170:Y170" si="66">-$Q170*T5</f>
        <v>-996566.05911732465</v>
      </c>
      <c r="U170" s="15">
        <f t="shared" si="66"/>
        <v>-1628192.4346142206</v>
      </c>
      <c r="V170" s="15">
        <f t="shared" si="66"/>
        <v>-673734.80053002236</v>
      </c>
      <c r="W170" s="15">
        <f t="shared" si="66"/>
        <v>-4678.7138925695999</v>
      </c>
      <c r="X170" s="15">
        <f t="shared" si="66"/>
        <v>-4678.7138925695999</v>
      </c>
      <c r="Y170" s="15">
        <f t="shared" si="66"/>
        <v>-1370863.1705228926</v>
      </c>
      <c r="Z170" s="15"/>
      <c r="AA170" s="15" t="s">
        <v>16</v>
      </c>
      <c r="AB170" s="15">
        <f t="shared" si="63"/>
        <v>-996185.5826116018</v>
      </c>
      <c r="AC170" s="15">
        <f t="shared" si="63"/>
        <v>-1627570.8110274056</v>
      </c>
      <c r="AD170" s="15">
        <f t="shared" si="63"/>
        <v>-673477.5769768575</v>
      </c>
      <c r="AE170" s="15">
        <f t="shared" si="63"/>
        <v>-4676.9276178948439</v>
      </c>
      <c r="AF170" s="15">
        <f t="shared" si="63"/>
        <v>-4676.9276178948439</v>
      </c>
      <c r="AG170" s="15">
        <f t="shared" si="63"/>
        <v>-1370339.7920431893</v>
      </c>
      <c r="AH170" s="27">
        <f t="shared" si="60"/>
        <v>0</v>
      </c>
    </row>
    <row r="171" spans="1:34" x14ac:dyDescent="0.25">
      <c r="A171" s="31" t="s">
        <v>239</v>
      </c>
      <c r="B171" s="31" t="s">
        <v>240</v>
      </c>
      <c r="C171" s="2">
        <f>'WC def tax 22'!O171</f>
        <v>70455.404833333319</v>
      </c>
      <c r="D171" s="64">
        <f t="shared" si="64"/>
        <v>73473.532221438887</v>
      </c>
      <c r="E171" s="64">
        <f t="shared" si="64"/>
        <v>73473.532221438887</v>
      </c>
      <c r="F171" s="64">
        <f t="shared" si="64"/>
        <v>73473.532221438887</v>
      </c>
      <c r="G171" s="64">
        <f t="shared" si="64"/>
        <v>73473.532221438887</v>
      </c>
      <c r="H171" s="64">
        <f t="shared" si="64"/>
        <v>73473.532221438887</v>
      </c>
      <c r="I171" s="64">
        <f t="shared" si="64"/>
        <v>73473.532221438887</v>
      </c>
      <c r="J171" s="64">
        <f t="shared" si="64"/>
        <v>73473.532221438887</v>
      </c>
      <c r="K171" s="64">
        <f t="shared" si="64"/>
        <v>73473.532221438887</v>
      </c>
      <c r="L171" s="64">
        <f t="shared" si="64"/>
        <v>73473.532221438887</v>
      </c>
      <c r="M171" s="64">
        <f t="shared" si="64"/>
        <v>73473.532221438887</v>
      </c>
      <c r="N171" s="64">
        <f t="shared" si="64"/>
        <v>73473.532221438887</v>
      </c>
      <c r="O171" s="64">
        <f t="shared" si="64"/>
        <v>73473.532221438887</v>
      </c>
      <c r="P171" s="2">
        <f t="shared" si="65"/>
        <v>952137.79149059998</v>
      </c>
      <c r="Q171" s="2">
        <f>'WC def tax 22'!Q171*1.0557</f>
        <v>73241.368576199995</v>
      </c>
      <c r="R171" s="15" t="s">
        <v>502</v>
      </c>
      <c r="S171" s="15" t="s">
        <v>16</v>
      </c>
      <c r="T171" s="15">
        <f t="shared" ref="T171:Y171" si="67">-$Q171*T5</f>
        <v>-15600.411506730599</v>
      </c>
      <c r="U171" s="15">
        <f t="shared" si="67"/>
        <v>-25487.996264517598</v>
      </c>
      <c r="V171" s="15">
        <f t="shared" si="67"/>
        <v>-10546.757074972798</v>
      </c>
      <c r="W171" s="15">
        <f t="shared" si="67"/>
        <v>-73.241368576200003</v>
      </c>
      <c r="X171" s="15">
        <f t="shared" si="67"/>
        <v>-73.241368576200003</v>
      </c>
      <c r="Y171" s="15">
        <f t="shared" si="67"/>
        <v>-21459.720992826598</v>
      </c>
      <c r="Z171" s="15"/>
      <c r="AA171" s="15" t="s">
        <v>16</v>
      </c>
      <c r="AB171" s="15">
        <f t="shared" si="63"/>
        <v>-15649.862363166483</v>
      </c>
      <c r="AC171" s="15">
        <f t="shared" si="63"/>
        <v>-25568.789213060732</v>
      </c>
      <c r="AD171" s="15">
        <f t="shared" si="63"/>
        <v>-10580.188639887199</v>
      </c>
      <c r="AE171" s="15">
        <f t="shared" si="63"/>
        <v>-73.473532221438887</v>
      </c>
      <c r="AF171" s="15">
        <f t="shared" si="63"/>
        <v>-73.473532221438887</v>
      </c>
      <c r="AG171" s="15">
        <f t="shared" si="63"/>
        <v>-21527.744940881592</v>
      </c>
      <c r="AH171" s="27">
        <f t="shared" si="60"/>
        <v>0</v>
      </c>
    </row>
    <row r="172" spans="1:34" x14ac:dyDescent="0.25">
      <c r="A172" s="31" t="s">
        <v>241</v>
      </c>
      <c r="B172" s="31" t="s">
        <v>242</v>
      </c>
      <c r="C172" s="2">
        <f>'WC def tax 22'!O172</f>
        <v>552.8157666666666</v>
      </c>
      <c r="D172" s="64">
        <f t="shared" si="64"/>
        <v>566.21947431444448</v>
      </c>
      <c r="E172" s="64">
        <f t="shared" si="64"/>
        <v>566.21947431444448</v>
      </c>
      <c r="F172" s="64">
        <f t="shared" si="64"/>
        <v>566.21947431444448</v>
      </c>
      <c r="G172" s="64">
        <f t="shared" si="64"/>
        <v>566.21947431444448</v>
      </c>
      <c r="H172" s="64">
        <f t="shared" si="64"/>
        <v>566.21947431444448</v>
      </c>
      <c r="I172" s="64">
        <f t="shared" si="64"/>
        <v>566.21947431444448</v>
      </c>
      <c r="J172" s="64">
        <f t="shared" si="64"/>
        <v>566.21947431444448</v>
      </c>
      <c r="K172" s="64">
        <f t="shared" si="64"/>
        <v>566.21947431444448</v>
      </c>
      <c r="L172" s="64">
        <f t="shared" si="64"/>
        <v>566.21947431444448</v>
      </c>
      <c r="M172" s="64">
        <f t="shared" si="64"/>
        <v>566.21947431444448</v>
      </c>
      <c r="N172" s="64">
        <f t="shared" si="64"/>
        <v>566.21947431444448</v>
      </c>
      <c r="O172" s="64">
        <f t="shared" si="64"/>
        <v>566.21947431444448</v>
      </c>
      <c r="P172" s="2">
        <f t="shared" si="65"/>
        <v>7347.4494584399999</v>
      </c>
      <c r="Q172" s="2">
        <f>'WC def tax 22'!Q172*1.0557</f>
        <v>565.18841987999997</v>
      </c>
      <c r="R172" s="15" t="s">
        <v>502</v>
      </c>
      <c r="S172" s="15" t="s">
        <v>34</v>
      </c>
      <c r="T172" s="15">
        <f t="shared" ref="T172:Y172" si="68">-$Q172*T7</f>
        <v>-108.51617661696</v>
      </c>
      <c r="U172" s="15">
        <f t="shared" si="68"/>
        <v>-223.87113311446799</v>
      </c>
      <c r="V172" s="15">
        <f t="shared" si="68"/>
        <v>-77.430813523560005</v>
      </c>
      <c r="W172" s="15">
        <f t="shared" si="68"/>
        <v>-1.808602943616</v>
      </c>
      <c r="X172" s="15">
        <f t="shared" si="68"/>
        <v>-1.2434145237359999</v>
      </c>
      <c r="Y172" s="15">
        <f t="shared" si="68"/>
        <v>-152.31827915766002</v>
      </c>
      <c r="Z172" s="15"/>
      <c r="AA172" s="15" t="s">
        <v>34</v>
      </c>
      <c r="AB172" s="15">
        <f t="shared" ref="AB172:AG176" si="69">-$O172*AB$7</f>
        <v>-108.71413906837334</v>
      </c>
      <c r="AC172" s="15">
        <f t="shared" si="69"/>
        <v>-224.27953377595148</v>
      </c>
      <c r="AD172" s="15">
        <f t="shared" si="69"/>
        <v>-77.572067981078902</v>
      </c>
      <c r="AE172" s="15">
        <f t="shared" si="69"/>
        <v>-1.8119023178062224</v>
      </c>
      <c r="AF172" s="15">
        <f t="shared" si="69"/>
        <v>-1.2456828434917779</v>
      </c>
      <c r="AG172" s="15">
        <f t="shared" si="69"/>
        <v>-152.59614832774281</v>
      </c>
      <c r="AH172" s="27">
        <f t="shared" si="60"/>
        <v>0</v>
      </c>
    </row>
    <row r="173" spans="1:34" x14ac:dyDescent="0.25">
      <c r="A173" s="31" t="s">
        <v>243</v>
      </c>
      <c r="B173" s="31" t="s">
        <v>244</v>
      </c>
      <c r="C173" s="2">
        <f>'WC def tax 22'!O173</f>
        <v>1260.159433333333</v>
      </c>
      <c r="D173" s="64">
        <f t="shared" si="64"/>
        <v>1234.1345276588891</v>
      </c>
      <c r="E173" s="64">
        <f t="shared" si="64"/>
        <v>1234.1345276588891</v>
      </c>
      <c r="F173" s="64">
        <f t="shared" si="64"/>
        <v>1234.1345276588891</v>
      </c>
      <c r="G173" s="64">
        <f t="shared" si="64"/>
        <v>1234.1345276588891</v>
      </c>
      <c r="H173" s="64">
        <f t="shared" si="64"/>
        <v>1234.1345276588891</v>
      </c>
      <c r="I173" s="64">
        <f t="shared" si="64"/>
        <v>1234.1345276588891</v>
      </c>
      <c r="J173" s="64">
        <f t="shared" si="64"/>
        <v>1234.1345276588891</v>
      </c>
      <c r="K173" s="64">
        <f t="shared" si="64"/>
        <v>1234.1345276588891</v>
      </c>
      <c r="L173" s="64">
        <f t="shared" si="64"/>
        <v>1234.1345276588891</v>
      </c>
      <c r="M173" s="64">
        <f t="shared" si="64"/>
        <v>1234.1345276588891</v>
      </c>
      <c r="N173" s="64">
        <f t="shared" si="64"/>
        <v>1234.1345276588891</v>
      </c>
      <c r="O173" s="64">
        <f t="shared" si="64"/>
        <v>1234.1345276588891</v>
      </c>
      <c r="P173" s="2">
        <f t="shared" si="65"/>
        <v>16069.773765240001</v>
      </c>
      <c r="Q173" s="2">
        <f>'WC def tax 22'!Q173*1.0557</f>
        <v>1236.13644348</v>
      </c>
      <c r="R173" s="15" t="s">
        <v>502</v>
      </c>
      <c r="S173" s="15" t="s">
        <v>34</v>
      </c>
      <c r="T173" s="15">
        <f t="shared" ref="T173:Y176" si="70">-$Q173*T$7</f>
        <v>-237.33819714816002</v>
      </c>
      <c r="U173" s="15">
        <f t="shared" si="70"/>
        <v>-489.63364526242805</v>
      </c>
      <c r="V173" s="15">
        <f t="shared" si="70"/>
        <v>-169.35069275676003</v>
      </c>
      <c r="W173" s="15">
        <f t="shared" si="70"/>
        <v>-3.9556366191360004</v>
      </c>
      <c r="X173" s="15">
        <f t="shared" si="70"/>
        <v>-2.7195001756560004</v>
      </c>
      <c r="Y173" s="15">
        <f t="shared" si="70"/>
        <v>-333.13877151786005</v>
      </c>
      <c r="Z173" s="15"/>
      <c r="AA173" s="15" t="s">
        <v>34</v>
      </c>
      <c r="AB173" s="15">
        <f t="shared" si="69"/>
        <v>-236.95382931050671</v>
      </c>
      <c r="AC173" s="15">
        <f t="shared" si="69"/>
        <v>-488.84068640568597</v>
      </c>
      <c r="AD173" s="15">
        <f t="shared" si="69"/>
        <v>-169.07643028926782</v>
      </c>
      <c r="AE173" s="15">
        <f t="shared" si="69"/>
        <v>-3.9492304885084453</v>
      </c>
      <c r="AF173" s="15">
        <f t="shared" si="69"/>
        <v>-2.7150959608495562</v>
      </c>
      <c r="AG173" s="15">
        <f t="shared" si="69"/>
        <v>-332.59925520407063</v>
      </c>
      <c r="AH173" s="27">
        <f t="shared" si="60"/>
        <v>0</v>
      </c>
    </row>
    <row r="174" spans="1:34" x14ac:dyDescent="0.25">
      <c r="A174" s="31" t="s">
        <v>245</v>
      </c>
      <c r="B174" s="31" t="s">
        <v>246</v>
      </c>
      <c r="C174" s="2">
        <f>'WC def tax 22'!O174</f>
        <v>1720.6574666666666</v>
      </c>
      <c r="D174" s="64">
        <f t="shared" si="64"/>
        <v>1872.1094153377778</v>
      </c>
      <c r="E174" s="64">
        <f t="shared" si="64"/>
        <v>1872.1094153377778</v>
      </c>
      <c r="F174" s="64">
        <f t="shared" si="64"/>
        <v>1872.1094153377778</v>
      </c>
      <c r="G174" s="64">
        <f t="shared" si="64"/>
        <v>1872.1094153377778</v>
      </c>
      <c r="H174" s="64">
        <f t="shared" si="64"/>
        <v>1872.1094153377778</v>
      </c>
      <c r="I174" s="64">
        <f t="shared" si="64"/>
        <v>1872.1094153377778</v>
      </c>
      <c r="J174" s="64">
        <f t="shared" si="64"/>
        <v>1872.1094153377778</v>
      </c>
      <c r="K174" s="64">
        <f t="shared" si="64"/>
        <v>1872.1094153377778</v>
      </c>
      <c r="L174" s="64">
        <f t="shared" si="64"/>
        <v>1872.1094153377778</v>
      </c>
      <c r="M174" s="64">
        <f t="shared" si="64"/>
        <v>1872.1094153377778</v>
      </c>
      <c r="N174" s="64">
        <f t="shared" si="64"/>
        <v>1872.1094153377778</v>
      </c>
      <c r="O174" s="64">
        <f t="shared" si="64"/>
        <v>1872.1094153377778</v>
      </c>
      <c r="P174" s="2">
        <f t="shared" si="65"/>
        <v>24185.97045072</v>
      </c>
      <c r="Q174" s="2">
        <f>'WC def tax 22'!Q174*1.0557</f>
        <v>1860.4592654400001</v>
      </c>
      <c r="R174" s="15" t="s">
        <v>502</v>
      </c>
      <c r="S174" s="15" t="s">
        <v>34</v>
      </c>
      <c r="T174" s="15">
        <f t="shared" si="70"/>
        <v>-357.20817896448</v>
      </c>
      <c r="U174" s="15">
        <f t="shared" si="70"/>
        <v>-736.927915040784</v>
      </c>
      <c r="V174" s="15">
        <f t="shared" si="70"/>
        <v>-254.88291936528003</v>
      </c>
      <c r="W174" s="15">
        <f t="shared" si="70"/>
        <v>-5.9534696494080004</v>
      </c>
      <c r="X174" s="15">
        <f t="shared" si="70"/>
        <v>-4.0930103839680001</v>
      </c>
      <c r="Y174" s="15">
        <f t="shared" si="70"/>
        <v>-501.39377203608007</v>
      </c>
      <c r="Z174" s="15"/>
      <c r="AA174" s="15" t="s">
        <v>34</v>
      </c>
      <c r="AB174" s="15">
        <f t="shared" si="69"/>
        <v>-359.44500774485334</v>
      </c>
      <c r="AC174" s="15">
        <f t="shared" si="69"/>
        <v>-741.54253941529385</v>
      </c>
      <c r="AD174" s="15">
        <f t="shared" si="69"/>
        <v>-256.47898990127555</v>
      </c>
      <c r="AE174" s="15">
        <f t="shared" si="69"/>
        <v>-5.9907501290808893</v>
      </c>
      <c r="AF174" s="15">
        <f t="shared" si="69"/>
        <v>-4.1186407137431118</v>
      </c>
      <c r="AG174" s="15">
        <f t="shared" si="69"/>
        <v>-504.53348743353115</v>
      </c>
      <c r="AH174" s="27"/>
    </row>
    <row r="175" spans="1:34" x14ac:dyDescent="0.25">
      <c r="A175" s="31" t="s">
        <v>247</v>
      </c>
      <c r="B175" s="31" t="s">
        <v>248</v>
      </c>
      <c r="C175" s="2">
        <f>'WC def tax 22'!O175</f>
        <v>80019.974266666643</v>
      </c>
      <c r="D175" s="64">
        <f t="shared" si="64"/>
        <v>95205.459994431105</v>
      </c>
      <c r="E175" s="64">
        <f t="shared" si="64"/>
        <v>95205.459994431105</v>
      </c>
      <c r="F175" s="64">
        <f t="shared" si="64"/>
        <v>95205.459994431105</v>
      </c>
      <c r="G175" s="64">
        <f t="shared" si="64"/>
        <v>95205.459994431105</v>
      </c>
      <c r="H175" s="64">
        <f t="shared" si="64"/>
        <v>95205.459994431105</v>
      </c>
      <c r="I175" s="64">
        <f t="shared" si="64"/>
        <v>95205.459994431105</v>
      </c>
      <c r="J175" s="64">
        <f t="shared" si="64"/>
        <v>95205.459994431105</v>
      </c>
      <c r="K175" s="64">
        <f t="shared" si="64"/>
        <v>95205.459994431105</v>
      </c>
      <c r="L175" s="64">
        <f t="shared" si="64"/>
        <v>95205.459994431105</v>
      </c>
      <c r="M175" s="64">
        <f t="shared" si="64"/>
        <v>95205.459994431105</v>
      </c>
      <c r="N175" s="64">
        <f t="shared" si="64"/>
        <v>95205.459994431105</v>
      </c>
      <c r="O175" s="64">
        <f t="shared" si="64"/>
        <v>95205.459994431105</v>
      </c>
      <c r="P175" s="2">
        <f t="shared" si="65"/>
        <v>1222485.4941998399</v>
      </c>
      <c r="Q175" s="2">
        <f>'WC def tax 22'!Q175*1.0557</f>
        <v>94037.345707679997</v>
      </c>
      <c r="R175" s="15" t="s">
        <v>502</v>
      </c>
      <c r="S175" s="15" t="s">
        <v>34</v>
      </c>
      <c r="T175" s="15">
        <f>-$Q175*T$7</f>
        <v>-18055.170375874561</v>
      </c>
      <c r="U175" s="15">
        <f t="shared" si="70"/>
        <v>-37248.192634812047</v>
      </c>
      <c r="V175" s="15">
        <f t="shared" si="70"/>
        <v>-12883.116361952161</v>
      </c>
      <c r="W175" s="15">
        <f t="shared" si="70"/>
        <v>-300.919506264576</v>
      </c>
      <c r="X175" s="15">
        <f t="shared" si="70"/>
        <v>-206.882160556896</v>
      </c>
      <c r="Y175" s="15">
        <f t="shared" si="70"/>
        <v>-25343.064668219762</v>
      </c>
      <c r="Z175" s="15"/>
      <c r="AA175" s="15" t="s">
        <v>34</v>
      </c>
      <c r="AB175" s="15">
        <f t="shared" si="69"/>
        <v>-18279.448318930772</v>
      </c>
      <c r="AC175" s="15">
        <f t="shared" si="69"/>
        <v>-37710.882703794159</v>
      </c>
      <c r="AD175" s="15">
        <f t="shared" si="69"/>
        <v>-13043.148019237062</v>
      </c>
      <c r="AE175" s="15">
        <f t="shared" si="69"/>
        <v>-304.65747198217957</v>
      </c>
      <c r="AF175" s="15">
        <f t="shared" si="69"/>
        <v>-209.45201198774845</v>
      </c>
      <c r="AG175" s="15">
        <f t="shared" si="69"/>
        <v>-25657.871468499183</v>
      </c>
      <c r="AH175" s="3"/>
    </row>
    <row r="176" spans="1:34" x14ac:dyDescent="0.25">
      <c r="A176" s="31" t="s">
        <v>249</v>
      </c>
      <c r="B176" s="31" t="s">
        <v>250</v>
      </c>
      <c r="C176" s="2">
        <f>'WC def tax 22'!O176</f>
        <v>-34924.239899999993</v>
      </c>
      <c r="D176" s="64">
        <f t="shared" si="64"/>
        <v>-39140.366387430004</v>
      </c>
      <c r="E176" s="64">
        <f t="shared" si="64"/>
        <v>-39140.366387430004</v>
      </c>
      <c r="F176" s="64">
        <f t="shared" si="64"/>
        <v>-39140.366387430004</v>
      </c>
      <c r="G176" s="64">
        <f t="shared" si="64"/>
        <v>-39140.366387430004</v>
      </c>
      <c r="H176" s="64">
        <f t="shared" si="64"/>
        <v>-39140.366387430004</v>
      </c>
      <c r="I176" s="64">
        <f t="shared" si="64"/>
        <v>-39140.366387430004</v>
      </c>
      <c r="J176" s="64">
        <f t="shared" si="64"/>
        <v>-39140.366387430004</v>
      </c>
      <c r="K176" s="64">
        <f t="shared" si="64"/>
        <v>-39140.366387430004</v>
      </c>
      <c r="L176" s="64">
        <f t="shared" si="64"/>
        <v>-39140.366387430004</v>
      </c>
      <c r="M176" s="64">
        <f t="shared" si="64"/>
        <v>-39140.366387430004</v>
      </c>
      <c r="N176" s="64">
        <f t="shared" si="64"/>
        <v>-39140.366387430004</v>
      </c>
      <c r="O176" s="64">
        <f t="shared" si="64"/>
        <v>-39140.366387430004</v>
      </c>
      <c r="P176" s="2">
        <f t="shared" si="65"/>
        <v>-504608.63654916</v>
      </c>
      <c r="Q176" s="2">
        <f>'WC def tax 22'!Q176*1.0557</f>
        <v>-38816.048965319998</v>
      </c>
      <c r="R176" s="15" t="s">
        <v>502</v>
      </c>
      <c r="S176" s="15" t="s">
        <v>34</v>
      </c>
      <c r="T176" s="15">
        <f>-$Q176*T$7</f>
        <v>7452.6814013414396</v>
      </c>
      <c r="U176" s="15">
        <f t="shared" si="70"/>
        <v>15375.036995163251</v>
      </c>
      <c r="V176" s="15">
        <f t="shared" si="70"/>
        <v>5317.7987082488398</v>
      </c>
      <c r="W176" s="15">
        <f t="shared" si="70"/>
        <v>124.211356689024</v>
      </c>
      <c r="X176" s="15">
        <f t="shared" si="70"/>
        <v>85.395307723704008</v>
      </c>
      <c r="Y176" s="15">
        <f t="shared" si="70"/>
        <v>10460.925196153741</v>
      </c>
      <c r="Z176" s="15"/>
      <c r="AA176" s="15" t="s">
        <v>34</v>
      </c>
      <c r="AB176" s="15">
        <f t="shared" si="69"/>
        <v>7514.9503463865613</v>
      </c>
      <c r="AC176" s="15">
        <f t="shared" si="69"/>
        <v>15503.499126061024</v>
      </c>
      <c r="AD176" s="15">
        <f t="shared" si="69"/>
        <v>5362.230195077911</v>
      </c>
      <c r="AE176" s="15">
        <f t="shared" si="69"/>
        <v>125.24917243977602</v>
      </c>
      <c r="AF176" s="15">
        <f t="shared" si="69"/>
        <v>86.108806052346011</v>
      </c>
      <c r="AG176" s="15">
        <f t="shared" si="69"/>
        <v>10548.328741412386</v>
      </c>
      <c r="AH176" s="3"/>
    </row>
    <row r="177" spans="1:34" x14ac:dyDescent="0.25">
      <c r="A177" s="35"/>
      <c r="B177" s="35"/>
      <c r="C177" s="36" t="s">
        <v>67</v>
      </c>
      <c r="D177" s="36" t="s">
        <v>67</v>
      </c>
      <c r="E177" s="36" t="s">
        <v>67</v>
      </c>
      <c r="F177" s="36" t="s">
        <v>67</v>
      </c>
      <c r="G177" s="36" t="s">
        <v>67</v>
      </c>
      <c r="H177" s="36" t="s">
        <v>67</v>
      </c>
      <c r="I177" s="36" t="s">
        <v>67</v>
      </c>
      <c r="J177" s="36" t="s">
        <v>67</v>
      </c>
      <c r="K177" s="36" t="s">
        <v>67</v>
      </c>
      <c r="L177" s="36" t="s">
        <v>67</v>
      </c>
      <c r="M177" s="36" t="s">
        <v>67</v>
      </c>
      <c r="N177" s="36" t="s">
        <v>67</v>
      </c>
      <c r="O177" s="36" t="s">
        <v>67</v>
      </c>
      <c r="P177" s="36" t="s">
        <v>67</v>
      </c>
      <c r="Q177" s="36" t="s">
        <v>67</v>
      </c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3"/>
    </row>
    <row r="178" spans="1:34" x14ac:dyDescent="0.25">
      <c r="A178" s="37" t="s">
        <v>251</v>
      </c>
      <c r="B178" s="38"/>
      <c r="C178" s="39">
        <f>SUM(C169:C176)</f>
        <v>5282166.0774333337</v>
      </c>
      <c r="D178" s="39">
        <f t="shared" ref="D178:Q178" si="71">SUM(D169:D176)</f>
        <v>5293573.6609935928</v>
      </c>
      <c r="E178" s="39">
        <f t="shared" si="71"/>
        <v>5293573.6609935928</v>
      </c>
      <c r="F178" s="39">
        <f t="shared" si="71"/>
        <v>5293573.6609935928</v>
      </c>
      <c r="G178" s="39">
        <f t="shared" si="71"/>
        <v>5293573.6609935928</v>
      </c>
      <c r="H178" s="39">
        <f t="shared" si="71"/>
        <v>5293573.6609935928</v>
      </c>
      <c r="I178" s="39">
        <f t="shared" si="71"/>
        <v>5293573.6609935928</v>
      </c>
      <c r="J178" s="39">
        <f t="shared" si="71"/>
        <v>5293573.6609935928</v>
      </c>
      <c r="K178" s="39">
        <f t="shared" si="71"/>
        <v>5293573.6609935928</v>
      </c>
      <c r="L178" s="39">
        <f t="shared" si="71"/>
        <v>5293573.6609935928</v>
      </c>
      <c r="M178" s="39">
        <f t="shared" si="71"/>
        <v>5293573.6609935928</v>
      </c>
      <c r="N178" s="39">
        <f t="shared" si="71"/>
        <v>5293573.6609935928</v>
      </c>
      <c r="O178" s="39">
        <f t="shared" si="71"/>
        <v>5293573.6609935928</v>
      </c>
      <c r="P178" s="39">
        <f t="shared" si="71"/>
        <v>68805050.009356424</v>
      </c>
      <c r="Q178" s="39">
        <f t="shared" si="71"/>
        <v>5292696.1545658791</v>
      </c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3"/>
    </row>
    <row r="179" spans="1:34" x14ac:dyDescent="0.25">
      <c r="A179" s="35"/>
      <c r="B179" s="35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3"/>
    </row>
    <row r="180" spans="1:34" x14ac:dyDescent="0.25">
      <c r="A180" s="37" t="s">
        <v>252</v>
      </c>
      <c r="B180" s="38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3"/>
    </row>
    <row r="181" spans="1:34" x14ac:dyDescent="0.25">
      <c r="A181" s="31" t="s">
        <v>253</v>
      </c>
      <c r="B181" s="31" t="s">
        <v>254</v>
      </c>
      <c r="C181" s="2">
        <f>'WC def tax 22'!O181</f>
        <v>22484.395599999989</v>
      </c>
      <c r="D181" s="64">
        <f t="shared" ref="D181:O181" si="72">C181+($C181*(0.0557/12))</f>
        <v>22588.760669576655</v>
      </c>
      <c r="E181" s="64">
        <f t="shared" si="72"/>
        <v>22693.125739153322</v>
      </c>
      <c r="F181" s="64">
        <f t="shared" si="72"/>
        <v>22797.490808729988</v>
      </c>
      <c r="G181" s="64">
        <f t="shared" si="72"/>
        <v>22901.855878306655</v>
      </c>
      <c r="H181" s="64">
        <f t="shared" si="72"/>
        <v>23006.220947883321</v>
      </c>
      <c r="I181" s="64">
        <f t="shared" si="72"/>
        <v>23110.586017459987</v>
      </c>
      <c r="J181" s="64">
        <f t="shared" si="72"/>
        <v>23214.951087036654</v>
      </c>
      <c r="K181" s="64">
        <f t="shared" si="72"/>
        <v>23319.31615661332</v>
      </c>
      <c r="L181" s="64">
        <f t="shared" si="72"/>
        <v>23423.681226189987</v>
      </c>
      <c r="M181" s="64">
        <f t="shared" si="72"/>
        <v>23528.046295766653</v>
      </c>
      <c r="N181" s="64">
        <f t="shared" si="72"/>
        <v>23632.41136534332</v>
      </c>
      <c r="O181" s="64">
        <f t="shared" si="72"/>
        <v>23736.776434919986</v>
      </c>
      <c r="P181" s="2">
        <f t="shared" ref="P181:P182" si="73">SUM(C181:O181)</f>
        <v>300437.6182269798</v>
      </c>
      <c r="Q181" s="2">
        <f t="shared" ref="Q181:Q182" si="74">P181/13</f>
        <v>23110.586017459984</v>
      </c>
      <c r="R181" s="15" t="s">
        <v>502</v>
      </c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3"/>
    </row>
    <row r="182" spans="1:34" x14ac:dyDescent="0.25">
      <c r="A182" s="31" t="s">
        <v>255</v>
      </c>
      <c r="B182" s="31" t="s">
        <v>256</v>
      </c>
      <c r="C182" s="2">
        <f>'WC def tax 22'!O182</f>
        <v>2654627.9815999996</v>
      </c>
      <c r="D182" s="64">
        <f t="shared" ref="D182:O182" si="75">C182+($C182*(0.0557/12))</f>
        <v>2666949.8798145931</v>
      </c>
      <c r="E182" s="64">
        <f t="shared" si="75"/>
        <v>2679271.7780291867</v>
      </c>
      <c r="F182" s="64">
        <f t="shared" si="75"/>
        <v>2691593.6762437802</v>
      </c>
      <c r="G182" s="64">
        <f t="shared" si="75"/>
        <v>2703915.5744583737</v>
      </c>
      <c r="H182" s="64">
        <f t="shared" si="75"/>
        <v>2716237.4726729672</v>
      </c>
      <c r="I182" s="64">
        <f t="shared" si="75"/>
        <v>2728559.3708875608</v>
      </c>
      <c r="J182" s="64">
        <f t="shared" si="75"/>
        <v>2740881.2691021543</v>
      </c>
      <c r="K182" s="64">
        <f t="shared" si="75"/>
        <v>2753203.1673167478</v>
      </c>
      <c r="L182" s="64">
        <f t="shared" si="75"/>
        <v>2765525.0655313414</v>
      </c>
      <c r="M182" s="64">
        <f t="shared" si="75"/>
        <v>2777846.9637459349</v>
      </c>
      <c r="N182" s="64">
        <f t="shared" si="75"/>
        <v>2790168.8619605284</v>
      </c>
      <c r="O182" s="64">
        <f t="shared" si="75"/>
        <v>2802490.7601751219</v>
      </c>
      <c r="P182" s="2">
        <f t="shared" si="73"/>
        <v>35471271.821538299</v>
      </c>
      <c r="Q182" s="2">
        <f t="shared" si="74"/>
        <v>2728559.3708875617</v>
      </c>
      <c r="R182" s="15" t="s">
        <v>502</v>
      </c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3"/>
    </row>
    <row r="183" spans="1:34" x14ac:dyDescent="0.25">
      <c r="A183" s="35"/>
      <c r="B183" s="35"/>
      <c r="C183" s="36" t="s">
        <v>67</v>
      </c>
      <c r="D183" s="36" t="s">
        <v>67</v>
      </c>
      <c r="E183" s="36" t="s">
        <v>67</v>
      </c>
      <c r="F183" s="36" t="s">
        <v>67</v>
      </c>
      <c r="G183" s="36" t="s">
        <v>67</v>
      </c>
      <c r="H183" s="36" t="s">
        <v>67</v>
      </c>
      <c r="I183" s="36" t="s">
        <v>67</v>
      </c>
      <c r="J183" s="36" t="s">
        <v>67</v>
      </c>
      <c r="K183" s="36" t="s">
        <v>67</v>
      </c>
      <c r="L183" s="36" t="s">
        <v>67</v>
      </c>
      <c r="M183" s="36" t="s">
        <v>67</v>
      </c>
      <c r="N183" s="36" t="s">
        <v>67</v>
      </c>
      <c r="O183" s="36" t="s">
        <v>67</v>
      </c>
      <c r="P183" s="36" t="s">
        <v>67</v>
      </c>
      <c r="Q183" s="36" t="s">
        <v>67</v>
      </c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3"/>
    </row>
    <row r="184" spans="1:34" x14ac:dyDescent="0.25">
      <c r="A184" s="37" t="s">
        <v>257</v>
      </c>
      <c r="B184" s="38"/>
      <c r="C184" s="39">
        <f>SUM(C181:C182)</f>
        <v>2677112.3771999995</v>
      </c>
      <c r="D184" s="39">
        <f t="shared" ref="D184:Q184" si="76">SUM(D181:D182)</f>
        <v>2689538.6404841696</v>
      </c>
      <c r="E184" s="39">
        <f t="shared" si="76"/>
        <v>2701964.9037683401</v>
      </c>
      <c r="F184" s="39">
        <f t="shared" si="76"/>
        <v>2714391.1670525102</v>
      </c>
      <c r="G184" s="39">
        <f t="shared" si="76"/>
        <v>2726817.4303366803</v>
      </c>
      <c r="H184" s="39">
        <f t="shared" si="76"/>
        <v>2739243.6936208503</v>
      </c>
      <c r="I184" s="39">
        <f t="shared" si="76"/>
        <v>2751669.9569050209</v>
      </c>
      <c r="J184" s="39">
        <f t="shared" si="76"/>
        <v>2764096.2201891909</v>
      </c>
      <c r="K184" s="39">
        <f t="shared" si="76"/>
        <v>2776522.483473361</v>
      </c>
      <c r="L184" s="39">
        <f t="shared" si="76"/>
        <v>2788948.7467575315</v>
      </c>
      <c r="M184" s="39">
        <f t="shared" si="76"/>
        <v>2801375.0100417016</v>
      </c>
      <c r="N184" s="39">
        <f t="shared" si="76"/>
        <v>2813801.2733258717</v>
      </c>
      <c r="O184" s="39">
        <f t="shared" si="76"/>
        <v>2826227.5366100417</v>
      </c>
      <c r="P184" s="39">
        <f t="shared" si="76"/>
        <v>35771709.439765282</v>
      </c>
      <c r="Q184" s="39">
        <f t="shared" si="76"/>
        <v>2751669.9569050218</v>
      </c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3"/>
    </row>
    <row r="185" spans="1:34" x14ac:dyDescent="0.25">
      <c r="A185" s="35"/>
      <c r="B185" s="35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27">
        <f t="shared" ref="AH185:AH190" si="77">SUM(AB185:AG185)+O185</f>
        <v>0</v>
      </c>
    </row>
    <row r="186" spans="1:34" x14ac:dyDescent="0.25">
      <c r="A186" s="37" t="s">
        <v>258</v>
      </c>
      <c r="B186" s="38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24"/>
      <c r="Q186" s="24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27">
        <f t="shared" si="77"/>
        <v>0</v>
      </c>
    </row>
    <row r="187" spans="1:34" x14ac:dyDescent="0.25">
      <c r="A187" s="31" t="s">
        <v>259</v>
      </c>
      <c r="B187" s="31" t="s">
        <v>260</v>
      </c>
      <c r="C187" s="2">
        <f>'WC def tax 22'!O187</f>
        <v>-377020.00000000023</v>
      </c>
      <c r="D187" s="64">
        <f t="shared" ref="D187:O187" si="78">C187+($C187*(0.0557/12))</f>
        <v>-378770.00116666692</v>
      </c>
      <c r="E187" s="64">
        <f t="shared" si="78"/>
        <v>-380520.0023333336</v>
      </c>
      <c r="F187" s="64">
        <f t="shared" si="78"/>
        <v>-382270.00350000028</v>
      </c>
      <c r="G187" s="64">
        <f t="shared" si="78"/>
        <v>-384020.00466666697</v>
      </c>
      <c r="H187" s="64">
        <f t="shared" si="78"/>
        <v>-385770.00583333365</v>
      </c>
      <c r="I187" s="64">
        <f t="shared" si="78"/>
        <v>-387520.00700000033</v>
      </c>
      <c r="J187" s="64">
        <f t="shared" si="78"/>
        <v>-389270.00816666702</v>
      </c>
      <c r="K187" s="64">
        <f t="shared" si="78"/>
        <v>-391020.0093333337</v>
      </c>
      <c r="L187" s="64">
        <f t="shared" si="78"/>
        <v>-392770.01050000038</v>
      </c>
      <c r="M187" s="64">
        <f t="shared" si="78"/>
        <v>-394520.01166666707</v>
      </c>
      <c r="N187" s="64">
        <f t="shared" si="78"/>
        <v>-396270.01283333375</v>
      </c>
      <c r="O187" s="64">
        <f t="shared" si="78"/>
        <v>-398020.01400000043</v>
      </c>
      <c r="P187" s="2">
        <f t="shared" ref="P187:P192" si="79">SUM(C187:O187)</f>
        <v>-5037760.0910000037</v>
      </c>
      <c r="Q187" s="2">
        <f t="shared" ref="Q187:Q192" si="80">P187/13</f>
        <v>-387520.00700000027</v>
      </c>
      <c r="R187" s="15" t="s">
        <v>502</v>
      </c>
      <c r="S187" s="15" t="s">
        <v>16</v>
      </c>
      <c r="T187" s="15">
        <f t="shared" ref="T187:Y187" si="81">-$Q187*T5</f>
        <v>82541.761491000056</v>
      </c>
      <c r="U187" s="15">
        <f t="shared" si="81"/>
        <v>134856.96243600009</v>
      </c>
      <c r="V187" s="15">
        <f t="shared" si="81"/>
        <v>55802.881008000033</v>
      </c>
      <c r="W187" s="15">
        <f t="shared" si="81"/>
        <v>387.52000700000031</v>
      </c>
      <c r="X187" s="15">
        <f t="shared" si="81"/>
        <v>387.52000700000031</v>
      </c>
      <c r="Y187" s="15">
        <f t="shared" si="81"/>
        <v>113543.36205100008</v>
      </c>
      <c r="Z187" s="15"/>
      <c r="AA187" s="15" t="s">
        <v>16</v>
      </c>
      <c r="AB187" s="15">
        <f t="shared" ref="AB187:AG192" si="82">-$O187*AB$5</f>
        <v>84778.262982000088</v>
      </c>
      <c r="AC187" s="15">
        <f t="shared" si="82"/>
        <v>138510.96487200013</v>
      </c>
      <c r="AD187" s="15">
        <f t="shared" si="82"/>
        <v>57314.882016000061</v>
      </c>
      <c r="AE187" s="15">
        <f t="shared" si="82"/>
        <v>398.02001400000046</v>
      </c>
      <c r="AF187" s="15">
        <f t="shared" si="82"/>
        <v>398.02001400000046</v>
      </c>
      <c r="AG187" s="15">
        <f t="shared" si="82"/>
        <v>116619.86410200012</v>
      </c>
      <c r="AH187" s="27">
        <f t="shared" si="77"/>
        <v>0</v>
      </c>
    </row>
    <row r="188" spans="1:34" x14ac:dyDescent="0.25">
      <c r="A188" s="31" t="s">
        <v>261</v>
      </c>
      <c r="B188" s="31" t="s">
        <v>262</v>
      </c>
      <c r="C188" s="2">
        <f>'WC def tax 22'!O188</f>
        <v>-64141.873999999982</v>
      </c>
      <c r="D188" s="64">
        <f t="shared" ref="D188:O188" si="83">C188+($C188*(0.0557/12))</f>
        <v>-64439.599198483316</v>
      </c>
      <c r="E188" s="64">
        <f t="shared" si="83"/>
        <v>-64737.324396966651</v>
      </c>
      <c r="F188" s="64">
        <f t="shared" si="83"/>
        <v>-65035.049595449986</v>
      </c>
      <c r="G188" s="64">
        <f t="shared" si="83"/>
        <v>-65332.77479393332</v>
      </c>
      <c r="H188" s="64">
        <f t="shared" si="83"/>
        <v>-65630.499992416648</v>
      </c>
      <c r="I188" s="64">
        <f t="shared" si="83"/>
        <v>-65928.225190899975</v>
      </c>
      <c r="J188" s="64">
        <f t="shared" si="83"/>
        <v>-66225.950389383303</v>
      </c>
      <c r="K188" s="64">
        <f t="shared" si="83"/>
        <v>-66523.67558786663</v>
      </c>
      <c r="L188" s="64">
        <f t="shared" si="83"/>
        <v>-66821.400786349957</v>
      </c>
      <c r="M188" s="64">
        <f t="shared" si="83"/>
        <v>-67119.125984833285</v>
      </c>
      <c r="N188" s="64">
        <f t="shared" si="83"/>
        <v>-67416.851183316612</v>
      </c>
      <c r="O188" s="64">
        <f t="shared" si="83"/>
        <v>-67714.57638179994</v>
      </c>
      <c r="P188" s="2">
        <f t="shared" si="79"/>
        <v>-857066.92748169973</v>
      </c>
      <c r="Q188" s="2">
        <f t="shared" si="80"/>
        <v>-65928.225190899975</v>
      </c>
      <c r="R188" s="15" t="s">
        <v>502</v>
      </c>
      <c r="S188" s="15" t="s">
        <v>16</v>
      </c>
      <c r="T188" s="15">
        <f t="shared" ref="T188:Y188" si="84">-$Q188*T5</f>
        <v>14042.711965661694</v>
      </c>
      <c r="U188" s="15">
        <f t="shared" si="84"/>
        <v>22943.02236643319</v>
      </c>
      <c r="V188" s="15">
        <f t="shared" si="84"/>
        <v>9493.6644274895953</v>
      </c>
      <c r="W188" s="15">
        <f t="shared" si="84"/>
        <v>65.92822519089998</v>
      </c>
      <c r="X188" s="15">
        <f t="shared" si="84"/>
        <v>65.92822519089998</v>
      </c>
      <c r="Y188" s="15">
        <f t="shared" si="84"/>
        <v>19316.969980933693</v>
      </c>
      <c r="Z188" s="15"/>
      <c r="AA188" s="15" t="s">
        <v>16</v>
      </c>
      <c r="AB188" s="15">
        <f t="shared" si="82"/>
        <v>14423.204769323387</v>
      </c>
      <c r="AC188" s="15">
        <f t="shared" si="82"/>
        <v>23564.672580866376</v>
      </c>
      <c r="AD188" s="15">
        <f t="shared" si="82"/>
        <v>9750.8989989791899</v>
      </c>
      <c r="AE188" s="15">
        <f t="shared" si="82"/>
        <v>67.714576381799944</v>
      </c>
      <c r="AF188" s="15">
        <f t="shared" si="82"/>
        <v>67.714576381799944</v>
      </c>
      <c r="AG188" s="15">
        <f t="shared" si="82"/>
        <v>19840.37087986738</v>
      </c>
      <c r="AH188" s="27">
        <f t="shared" si="77"/>
        <v>0</v>
      </c>
    </row>
    <row r="189" spans="1:34" x14ac:dyDescent="0.25">
      <c r="A189" s="31" t="s">
        <v>263</v>
      </c>
      <c r="B189" s="31" t="s">
        <v>264</v>
      </c>
      <c r="C189" s="2">
        <f>'WC def tax 22'!O189</f>
        <v>-674470.46760000056</v>
      </c>
      <c r="D189" s="64">
        <f t="shared" ref="D189:O189" si="85">C189+($C189*(0.0557/12))</f>
        <v>-677601.13468711055</v>
      </c>
      <c r="E189" s="64">
        <f t="shared" si="85"/>
        <v>-680731.80177422054</v>
      </c>
      <c r="F189" s="64">
        <f t="shared" si="85"/>
        <v>-683862.46886133053</v>
      </c>
      <c r="G189" s="64">
        <f t="shared" si="85"/>
        <v>-686993.13594844053</v>
      </c>
      <c r="H189" s="64">
        <f t="shared" si="85"/>
        <v>-690123.80303555052</v>
      </c>
      <c r="I189" s="64">
        <f t="shared" si="85"/>
        <v>-693254.47012266051</v>
      </c>
      <c r="J189" s="64">
        <f t="shared" si="85"/>
        <v>-696385.1372097705</v>
      </c>
      <c r="K189" s="64">
        <f t="shared" si="85"/>
        <v>-699515.80429688049</v>
      </c>
      <c r="L189" s="64">
        <f t="shared" si="85"/>
        <v>-702646.47138399049</v>
      </c>
      <c r="M189" s="64">
        <f t="shared" si="85"/>
        <v>-705777.13847110048</v>
      </c>
      <c r="N189" s="64">
        <f t="shared" si="85"/>
        <v>-708907.80555821047</v>
      </c>
      <c r="O189" s="64">
        <f t="shared" si="85"/>
        <v>-712038.47264532046</v>
      </c>
      <c r="P189" s="2">
        <f t="shared" si="79"/>
        <v>-9012308.1115945857</v>
      </c>
      <c r="Q189" s="2">
        <f t="shared" si="80"/>
        <v>-693254.47012266039</v>
      </c>
      <c r="R189" s="15" t="s">
        <v>502</v>
      </c>
      <c r="S189" s="15" t="s">
        <v>16</v>
      </c>
      <c r="T189" s="15">
        <f t="shared" ref="T189:Y189" si="86">-$Q189*T5</f>
        <v>147663.20213612667</v>
      </c>
      <c r="U189" s="15">
        <f t="shared" si="86"/>
        <v>241252.55560268581</v>
      </c>
      <c r="V189" s="15">
        <f t="shared" si="86"/>
        <v>99828.643697663094</v>
      </c>
      <c r="W189" s="15">
        <f t="shared" si="86"/>
        <v>693.25447012266045</v>
      </c>
      <c r="X189" s="15">
        <f t="shared" si="86"/>
        <v>693.25447012266045</v>
      </c>
      <c r="Y189" s="15">
        <f t="shared" si="86"/>
        <v>203123.55974593948</v>
      </c>
      <c r="Z189" s="15"/>
      <c r="AA189" s="15" t="s">
        <v>16</v>
      </c>
      <c r="AB189" s="15">
        <f t="shared" si="82"/>
        <v>151664.19467345325</v>
      </c>
      <c r="AC189" s="15">
        <f t="shared" si="82"/>
        <v>247789.38848057151</v>
      </c>
      <c r="AD189" s="15">
        <f t="shared" si="82"/>
        <v>102533.54006092614</v>
      </c>
      <c r="AE189" s="15">
        <f t="shared" si="82"/>
        <v>712.03847264532044</v>
      </c>
      <c r="AF189" s="15">
        <f t="shared" si="82"/>
        <v>712.03847264532044</v>
      </c>
      <c r="AG189" s="15">
        <f t="shared" si="82"/>
        <v>208627.27248507889</v>
      </c>
      <c r="AH189" s="27">
        <f t="shared" si="77"/>
        <v>0</v>
      </c>
    </row>
    <row r="190" spans="1:34" x14ac:dyDescent="0.25">
      <c r="A190" s="31" t="s">
        <v>265</v>
      </c>
      <c r="B190" s="31" t="s">
        <v>266</v>
      </c>
      <c r="C190" s="2">
        <f>'WC def tax 22'!O190</f>
        <v>-370428.61319999979</v>
      </c>
      <c r="D190" s="64">
        <f t="shared" ref="D190:O190" si="87">C190+($C190*(0.0557/12))</f>
        <v>-372148.01934626978</v>
      </c>
      <c r="E190" s="64">
        <f t="shared" si="87"/>
        <v>-373867.42549253977</v>
      </c>
      <c r="F190" s="64">
        <f t="shared" si="87"/>
        <v>-375586.83163880976</v>
      </c>
      <c r="G190" s="64">
        <f t="shared" si="87"/>
        <v>-377306.23778507975</v>
      </c>
      <c r="H190" s="64">
        <f t="shared" si="87"/>
        <v>-379025.64393134974</v>
      </c>
      <c r="I190" s="64">
        <f t="shared" si="87"/>
        <v>-380745.05007761973</v>
      </c>
      <c r="J190" s="64">
        <f t="shared" si="87"/>
        <v>-382464.45622388972</v>
      </c>
      <c r="K190" s="64">
        <f t="shared" si="87"/>
        <v>-384183.86237015971</v>
      </c>
      <c r="L190" s="64">
        <f t="shared" si="87"/>
        <v>-385903.2685164297</v>
      </c>
      <c r="M190" s="64">
        <f t="shared" si="87"/>
        <v>-387622.67466269969</v>
      </c>
      <c r="N190" s="64">
        <f t="shared" si="87"/>
        <v>-389342.08080896968</v>
      </c>
      <c r="O190" s="64">
        <f t="shared" si="87"/>
        <v>-391061.48695523967</v>
      </c>
      <c r="P190" s="2">
        <f t="shared" si="79"/>
        <v>-4949685.6510090576</v>
      </c>
      <c r="Q190" s="2">
        <f t="shared" si="80"/>
        <v>-380745.05007761985</v>
      </c>
      <c r="R190" s="15" t="s">
        <v>502</v>
      </c>
      <c r="S190" s="15" t="s">
        <v>16</v>
      </c>
      <c r="T190" s="15">
        <f t="shared" ref="T190:Y190" si="88">-$Q190*T5</f>
        <v>81098.695666533022</v>
      </c>
      <c r="U190" s="15">
        <f t="shared" si="88"/>
        <v>132499.27742701169</v>
      </c>
      <c r="V190" s="15">
        <f t="shared" si="88"/>
        <v>54827.287211177252</v>
      </c>
      <c r="W190" s="15">
        <f t="shared" si="88"/>
        <v>380.74505007761985</v>
      </c>
      <c r="X190" s="15">
        <f t="shared" si="88"/>
        <v>380.74505007761985</v>
      </c>
      <c r="Y190" s="15">
        <f t="shared" si="88"/>
        <v>111558.29967274261</v>
      </c>
      <c r="Z190" s="15"/>
      <c r="AA190" s="15" t="s">
        <v>16</v>
      </c>
      <c r="AB190" s="15">
        <f t="shared" si="82"/>
        <v>83296.096721466049</v>
      </c>
      <c r="AC190" s="15">
        <f t="shared" si="82"/>
        <v>136089.39746042341</v>
      </c>
      <c r="AD190" s="15">
        <f t="shared" si="82"/>
        <v>56312.854121554505</v>
      </c>
      <c r="AE190" s="15">
        <f t="shared" si="82"/>
        <v>391.06148695523967</v>
      </c>
      <c r="AF190" s="15">
        <f t="shared" si="82"/>
        <v>391.06148695523967</v>
      </c>
      <c r="AG190" s="15">
        <f t="shared" si="82"/>
        <v>114581.01567788521</v>
      </c>
      <c r="AH190" s="27">
        <f t="shared" si="77"/>
        <v>0</v>
      </c>
    </row>
    <row r="191" spans="1:34" x14ac:dyDescent="0.25">
      <c r="A191" s="31" t="s">
        <v>267</v>
      </c>
      <c r="B191" s="31" t="s">
        <v>268</v>
      </c>
      <c r="C191" s="2">
        <f>'WC def tax 22'!O191</f>
        <v>-178401.55519999994</v>
      </c>
      <c r="D191" s="64">
        <f t="shared" ref="D191:O191" si="89">C191+($C191*(0.0557/12))</f>
        <v>-179229.63575205329</v>
      </c>
      <c r="E191" s="64">
        <f t="shared" si="89"/>
        <v>-180057.71630410664</v>
      </c>
      <c r="F191" s="64">
        <f t="shared" si="89"/>
        <v>-180885.79685615998</v>
      </c>
      <c r="G191" s="64">
        <f t="shared" si="89"/>
        <v>-181713.87740821333</v>
      </c>
      <c r="H191" s="64">
        <f t="shared" si="89"/>
        <v>-182541.95796026668</v>
      </c>
      <c r="I191" s="64">
        <f t="shared" si="89"/>
        <v>-183370.03851232002</v>
      </c>
      <c r="J191" s="64">
        <f t="shared" si="89"/>
        <v>-184198.11906437337</v>
      </c>
      <c r="K191" s="64">
        <f t="shared" si="89"/>
        <v>-185026.19961642672</v>
      </c>
      <c r="L191" s="64">
        <f t="shared" si="89"/>
        <v>-185854.28016848007</v>
      </c>
      <c r="M191" s="64">
        <f t="shared" si="89"/>
        <v>-186682.36072053341</v>
      </c>
      <c r="N191" s="64">
        <f t="shared" si="89"/>
        <v>-187510.44127258676</v>
      </c>
      <c r="O191" s="64">
        <f t="shared" si="89"/>
        <v>-188338.52182464011</v>
      </c>
      <c r="P191" s="2">
        <f t="shared" si="79"/>
        <v>-2383810.5006601606</v>
      </c>
      <c r="Q191" s="2">
        <f t="shared" si="80"/>
        <v>-183370.03851232005</v>
      </c>
      <c r="R191" s="15" t="s">
        <v>502</v>
      </c>
      <c r="S191" s="15" t="s">
        <v>16</v>
      </c>
      <c r="T191" s="15">
        <f t="shared" ref="T191:Y191" si="90">-$Q191*T5</f>
        <v>39057.818203124174</v>
      </c>
      <c r="U191" s="15">
        <f t="shared" si="90"/>
        <v>63812.773402287377</v>
      </c>
      <c r="V191" s="15">
        <f t="shared" si="90"/>
        <v>26405.285545774084</v>
      </c>
      <c r="W191" s="15">
        <f t="shared" si="90"/>
        <v>183.37003851232006</v>
      </c>
      <c r="X191" s="15">
        <f t="shared" si="90"/>
        <v>183.37003851232006</v>
      </c>
      <c r="Y191" s="15">
        <f t="shared" si="90"/>
        <v>53727.421284109776</v>
      </c>
      <c r="Z191" s="15"/>
      <c r="AA191" s="15" t="s">
        <v>16</v>
      </c>
      <c r="AB191" s="15">
        <f t="shared" si="82"/>
        <v>40116.105148648341</v>
      </c>
      <c r="AC191" s="15">
        <f t="shared" si="82"/>
        <v>65541.80559497475</v>
      </c>
      <c r="AD191" s="15">
        <f t="shared" si="82"/>
        <v>27120.747142748172</v>
      </c>
      <c r="AE191" s="15">
        <f t="shared" si="82"/>
        <v>188.33852182464011</v>
      </c>
      <c r="AF191" s="15">
        <f t="shared" si="82"/>
        <v>188.33852182464011</v>
      </c>
      <c r="AG191" s="15">
        <f t="shared" si="82"/>
        <v>55183.186894619546</v>
      </c>
      <c r="AH191" s="27"/>
    </row>
    <row r="192" spans="1:34" x14ac:dyDescent="0.25">
      <c r="A192" s="31" t="s">
        <v>269</v>
      </c>
      <c r="B192" s="31" t="s">
        <v>270</v>
      </c>
      <c r="C192" s="2">
        <f>'WC def tax 22'!O192</f>
        <v>0</v>
      </c>
      <c r="D192" s="64">
        <f t="shared" ref="D192:O192" si="91">C192+($C192*(0.0557/12))</f>
        <v>0</v>
      </c>
      <c r="E192" s="64">
        <f t="shared" si="91"/>
        <v>0</v>
      </c>
      <c r="F192" s="64">
        <f t="shared" si="91"/>
        <v>0</v>
      </c>
      <c r="G192" s="64">
        <f t="shared" si="91"/>
        <v>0</v>
      </c>
      <c r="H192" s="64">
        <f t="shared" si="91"/>
        <v>0</v>
      </c>
      <c r="I192" s="64">
        <f t="shared" si="91"/>
        <v>0</v>
      </c>
      <c r="J192" s="64">
        <f t="shared" si="91"/>
        <v>0</v>
      </c>
      <c r="K192" s="64">
        <f t="shared" si="91"/>
        <v>0</v>
      </c>
      <c r="L192" s="64">
        <f t="shared" si="91"/>
        <v>0</v>
      </c>
      <c r="M192" s="64">
        <f t="shared" si="91"/>
        <v>0</v>
      </c>
      <c r="N192" s="64">
        <f t="shared" si="91"/>
        <v>0</v>
      </c>
      <c r="O192" s="64">
        <f t="shared" si="91"/>
        <v>0</v>
      </c>
      <c r="P192" s="2">
        <f t="shared" si="79"/>
        <v>0</v>
      </c>
      <c r="Q192" s="2">
        <f t="shared" si="80"/>
        <v>0</v>
      </c>
      <c r="R192" s="15" t="s">
        <v>502</v>
      </c>
      <c r="S192" s="15" t="s">
        <v>16</v>
      </c>
      <c r="T192" s="15">
        <f t="shared" ref="T192:Y192" si="92">-$Q192*T5</f>
        <v>0</v>
      </c>
      <c r="U192" s="15">
        <f t="shared" si="92"/>
        <v>0</v>
      </c>
      <c r="V192" s="15">
        <f t="shared" si="92"/>
        <v>0</v>
      </c>
      <c r="W192" s="15">
        <f t="shared" si="92"/>
        <v>0</v>
      </c>
      <c r="X192" s="15">
        <f t="shared" si="92"/>
        <v>0</v>
      </c>
      <c r="Y192" s="15">
        <f t="shared" si="92"/>
        <v>0</v>
      </c>
      <c r="Z192" s="15"/>
      <c r="AA192" s="15" t="s">
        <v>16</v>
      </c>
      <c r="AB192" s="15">
        <f t="shared" si="82"/>
        <v>0</v>
      </c>
      <c r="AC192" s="15">
        <f t="shared" si="82"/>
        <v>0</v>
      </c>
      <c r="AD192" s="15">
        <f t="shared" si="82"/>
        <v>0</v>
      </c>
      <c r="AE192" s="15">
        <f t="shared" si="82"/>
        <v>0</v>
      </c>
      <c r="AF192" s="15">
        <f t="shared" si="82"/>
        <v>0</v>
      </c>
      <c r="AG192" s="15">
        <f t="shared" si="82"/>
        <v>0</v>
      </c>
      <c r="AH192" s="27"/>
    </row>
    <row r="193" spans="1:34" x14ac:dyDescent="0.25">
      <c r="A193" s="35"/>
      <c r="B193" s="35"/>
      <c r="C193" s="36" t="s">
        <v>67</v>
      </c>
      <c r="D193" s="36" t="s">
        <v>67</v>
      </c>
      <c r="E193" s="36" t="s">
        <v>67</v>
      </c>
      <c r="F193" s="36" t="s">
        <v>67</v>
      </c>
      <c r="G193" s="36" t="s">
        <v>67</v>
      </c>
      <c r="H193" s="36" t="s">
        <v>67</v>
      </c>
      <c r="I193" s="36" t="s">
        <v>67</v>
      </c>
      <c r="J193" s="36" t="s">
        <v>67</v>
      </c>
      <c r="K193" s="36" t="s">
        <v>67</v>
      </c>
      <c r="L193" s="36" t="s">
        <v>67</v>
      </c>
      <c r="M193" s="36" t="s">
        <v>67</v>
      </c>
      <c r="N193" s="36" t="s">
        <v>67</v>
      </c>
      <c r="O193" s="36" t="s">
        <v>67</v>
      </c>
      <c r="P193" s="36" t="s">
        <v>67</v>
      </c>
      <c r="Q193" s="36" t="s">
        <v>67</v>
      </c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27"/>
    </row>
    <row r="194" spans="1:34" x14ac:dyDescent="0.25">
      <c r="A194" s="37" t="s">
        <v>271</v>
      </c>
      <c r="B194" s="38"/>
      <c r="C194" s="39">
        <f>SUM(C187:C192)</f>
        <v>-1664462.5100000007</v>
      </c>
      <c r="D194" s="39">
        <f t="shared" ref="D194:Q194" si="93">SUM(D187:D192)</f>
        <v>-1672188.3901505838</v>
      </c>
      <c r="E194" s="39">
        <f t="shared" si="93"/>
        <v>-1679914.2703011672</v>
      </c>
      <c r="F194" s="39">
        <f t="shared" si="93"/>
        <v>-1687640.1504517507</v>
      </c>
      <c r="G194" s="39">
        <f t="shared" si="93"/>
        <v>-1695366.0306023341</v>
      </c>
      <c r="H194" s="39">
        <f t="shared" si="93"/>
        <v>-1703091.9107529172</v>
      </c>
      <c r="I194" s="39">
        <f t="shared" si="93"/>
        <v>-1710817.7909035005</v>
      </c>
      <c r="J194" s="39">
        <f t="shared" si="93"/>
        <v>-1718543.6710540839</v>
      </c>
      <c r="K194" s="39">
        <f t="shared" si="93"/>
        <v>-1726269.5512046674</v>
      </c>
      <c r="L194" s="39">
        <f t="shared" si="93"/>
        <v>-1733995.4313552505</v>
      </c>
      <c r="M194" s="39">
        <f t="shared" si="93"/>
        <v>-1741721.3115058339</v>
      </c>
      <c r="N194" s="39">
        <f t="shared" si="93"/>
        <v>-1749447.1916564174</v>
      </c>
      <c r="O194" s="39">
        <f t="shared" si="93"/>
        <v>-1757173.0718070008</v>
      </c>
      <c r="P194" s="39">
        <f t="shared" si="93"/>
        <v>-22240631.281745508</v>
      </c>
      <c r="Q194" s="147">
        <f t="shared" si="93"/>
        <v>-1710817.7909035005</v>
      </c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27"/>
    </row>
    <row r="195" spans="1:34" x14ac:dyDescent="0.25">
      <c r="A195" s="35"/>
      <c r="B195" s="35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27">
        <f>SUM(AB195:AG195)+O195</f>
        <v>0</v>
      </c>
    </row>
    <row r="196" spans="1:34" x14ac:dyDescent="0.25">
      <c r="A196" s="37" t="s">
        <v>272</v>
      </c>
      <c r="B196" s="38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27">
        <f>SUM(AB196:AG196)+O196</f>
        <v>0</v>
      </c>
    </row>
    <row r="197" spans="1:34" x14ac:dyDescent="0.25">
      <c r="A197" s="31" t="s">
        <v>273</v>
      </c>
      <c r="B197" s="31" t="s">
        <v>274</v>
      </c>
      <c r="C197" s="2">
        <f>'WC def tax 22'!O197</f>
        <v>491549.44499999983</v>
      </c>
      <c r="D197" s="64">
        <f>C197+($C197*(0.035/12))</f>
        <v>492983.13088124985</v>
      </c>
      <c r="E197" s="64">
        <f t="shared" ref="E197:O197" si="94">D197+($C197*(0.035/12))</f>
        <v>494416.81676249986</v>
      </c>
      <c r="F197" s="64">
        <f t="shared" si="94"/>
        <v>495850.50264374987</v>
      </c>
      <c r="G197" s="64">
        <f t="shared" si="94"/>
        <v>497284.18852499989</v>
      </c>
      <c r="H197" s="64">
        <f t="shared" si="94"/>
        <v>498717.8744062499</v>
      </c>
      <c r="I197" s="64">
        <f t="shared" si="94"/>
        <v>500151.56028749992</v>
      </c>
      <c r="J197" s="64">
        <f t="shared" si="94"/>
        <v>501585.24616874993</v>
      </c>
      <c r="K197" s="64">
        <f t="shared" si="94"/>
        <v>503018.93204999994</v>
      </c>
      <c r="L197" s="64">
        <f t="shared" si="94"/>
        <v>504452.61793124996</v>
      </c>
      <c r="M197" s="64">
        <f t="shared" si="94"/>
        <v>505886.30381249997</v>
      </c>
      <c r="N197" s="64">
        <f t="shared" si="94"/>
        <v>507319.98969374999</v>
      </c>
      <c r="O197" s="64">
        <f t="shared" si="94"/>
        <v>508753.675575</v>
      </c>
      <c r="P197" s="2">
        <f t="shared" ref="P197:P200" si="95">SUM(C197:O197)</f>
        <v>6501970.2837374983</v>
      </c>
      <c r="Q197" s="2">
        <f t="shared" ref="Q197:Q200" si="96">P197/13</f>
        <v>500151.56028749986</v>
      </c>
      <c r="R197" s="15" t="s">
        <v>503</v>
      </c>
      <c r="S197" s="15" t="s">
        <v>34</v>
      </c>
      <c r="T197" s="15">
        <f t="shared" ref="T197:Y200" si="97">-$Q197*T$7</f>
        <v>-96029.099575199973</v>
      </c>
      <c r="U197" s="15">
        <f t="shared" si="97"/>
        <v>-198110.03302987869</v>
      </c>
      <c r="V197" s="15">
        <f t="shared" si="97"/>
        <v>-68520.763759387482</v>
      </c>
      <c r="W197" s="15">
        <f t="shared" si="97"/>
        <v>-1600.4849929199995</v>
      </c>
      <c r="X197" s="15">
        <f t="shared" si="97"/>
        <v>-1100.3334326324998</v>
      </c>
      <c r="Y197" s="15">
        <f t="shared" si="97"/>
        <v>-134790.84549748123</v>
      </c>
      <c r="Z197" s="15"/>
      <c r="AA197" s="15" t="s">
        <v>34</v>
      </c>
      <c r="AB197" s="15">
        <f>-$O197*AB$7</f>
        <v>-97680.705710399998</v>
      </c>
      <c r="AC197" s="15">
        <f t="shared" ref="AC197:AG200" si="98">-$O197*AC$7</f>
        <v>-201517.3308952575</v>
      </c>
      <c r="AD197" s="15">
        <f t="shared" si="98"/>
        <v>-69699.253553775008</v>
      </c>
      <c r="AE197" s="15">
        <f t="shared" si="98"/>
        <v>-1628.0117618400002</v>
      </c>
      <c r="AF197" s="15">
        <f t="shared" si="98"/>
        <v>-1119.258086265</v>
      </c>
      <c r="AG197" s="15">
        <f t="shared" si="98"/>
        <v>-137109.11556746252</v>
      </c>
      <c r="AH197" s="27"/>
    </row>
    <row r="198" spans="1:34" x14ac:dyDescent="0.25">
      <c r="A198" s="31" t="s">
        <v>275</v>
      </c>
      <c r="B198" s="31" t="s">
        <v>276</v>
      </c>
      <c r="C198" s="2">
        <f>'WC def tax 22'!O198</f>
        <v>278445.0149999999</v>
      </c>
      <c r="D198" s="64">
        <f t="shared" ref="D198:O200" si="99">C198+($C198*(0.035/12))</f>
        <v>279257.14629374992</v>
      </c>
      <c r="E198" s="64">
        <f t="shared" si="99"/>
        <v>280069.27758749994</v>
      </c>
      <c r="F198" s="64">
        <f t="shared" si="99"/>
        <v>280881.40888124995</v>
      </c>
      <c r="G198" s="64">
        <f t="shared" si="99"/>
        <v>281693.54017499997</v>
      </c>
      <c r="H198" s="64">
        <f t="shared" si="99"/>
        <v>282505.67146874999</v>
      </c>
      <c r="I198" s="64">
        <f t="shared" si="99"/>
        <v>283317.80276250001</v>
      </c>
      <c r="J198" s="64">
        <f t="shared" si="99"/>
        <v>284129.93405625003</v>
      </c>
      <c r="K198" s="64">
        <f t="shared" si="99"/>
        <v>284942.06535000005</v>
      </c>
      <c r="L198" s="64">
        <f t="shared" si="99"/>
        <v>285754.19664375007</v>
      </c>
      <c r="M198" s="64">
        <f t="shared" si="99"/>
        <v>286566.32793750009</v>
      </c>
      <c r="N198" s="64">
        <f t="shared" si="99"/>
        <v>287378.4592312501</v>
      </c>
      <c r="O198" s="64">
        <f t="shared" si="99"/>
        <v>288190.59052500012</v>
      </c>
      <c r="P198" s="2">
        <f t="shared" si="95"/>
        <v>3683131.4359125001</v>
      </c>
      <c r="Q198" s="2">
        <f t="shared" si="96"/>
        <v>283317.80276250001</v>
      </c>
      <c r="R198" s="15" t="s">
        <v>503</v>
      </c>
      <c r="S198" s="15" t="s">
        <v>34</v>
      </c>
      <c r="T198" s="15">
        <f t="shared" si="97"/>
        <v>-54397.0181304</v>
      </c>
      <c r="U198" s="15">
        <f t="shared" si="97"/>
        <v>-112222.18167422626</v>
      </c>
      <c r="V198" s="15">
        <f t="shared" si="97"/>
        <v>-38814.538978462508</v>
      </c>
      <c r="W198" s="15">
        <f t="shared" si="97"/>
        <v>-906.61696884000003</v>
      </c>
      <c r="X198" s="15">
        <f t="shared" si="97"/>
        <v>-623.2991660775001</v>
      </c>
      <c r="Y198" s="15">
        <f t="shared" si="97"/>
        <v>-76354.147844493753</v>
      </c>
      <c r="Z198" s="15"/>
      <c r="AA198" s="15" t="s">
        <v>34</v>
      </c>
      <c r="AB198" s="15">
        <f>-$O198*AB$7</f>
        <v>-55332.593380800026</v>
      </c>
      <c r="AC198" s="15">
        <f t="shared" si="98"/>
        <v>-114152.29290695256</v>
      </c>
      <c r="AD198" s="15">
        <f t="shared" si="98"/>
        <v>-39482.110901925022</v>
      </c>
      <c r="AE198" s="15">
        <f t="shared" si="98"/>
        <v>-922.2098896800004</v>
      </c>
      <c r="AF198" s="15">
        <f t="shared" si="98"/>
        <v>-634.01929915500034</v>
      </c>
      <c r="AG198" s="15">
        <f t="shared" si="98"/>
        <v>-77667.36414648754</v>
      </c>
      <c r="AH198" s="27"/>
    </row>
    <row r="199" spans="1:34" x14ac:dyDescent="0.25">
      <c r="A199" s="31" t="s">
        <v>277</v>
      </c>
      <c r="B199" s="31" t="s">
        <v>278</v>
      </c>
      <c r="C199" s="2">
        <f>'WC def tax 22'!O199</f>
        <v>0</v>
      </c>
      <c r="D199" s="64">
        <f t="shared" si="99"/>
        <v>0</v>
      </c>
      <c r="E199" s="64">
        <f t="shared" si="99"/>
        <v>0</v>
      </c>
      <c r="F199" s="64">
        <f t="shared" si="99"/>
        <v>0</v>
      </c>
      <c r="G199" s="64">
        <f t="shared" si="99"/>
        <v>0</v>
      </c>
      <c r="H199" s="64">
        <f t="shared" si="99"/>
        <v>0</v>
      </c>
      <c r="I199" s="64">
        <f t="shared" si="99"/>
        <v>0</v>
      </c>
      <c r="J199" s="64">
        <f t="shared" si="99"/>
        <v>0</v>
      </c>
      <c r="K199" s="64">
        <f t="shared" si="99"/>
        <v>0</v>
      </c>
      <c r="L199" s="64">
        <f t="shared" si="99"/>
        <v>0</v>
      </c>
      <c r="M199" s="64">
        <f t="shared" si="99"/>
        <v>0</v>
      </c>
      <c r="N199" s="64">
        <f t="shared" si="99"/>
        <v>0</v>
      </c>
      <c r="O199" s="64">
        <f t="shared" si="99"/>
        <v>0</v>
      </c>
      <c r="P199" s="2">
        <f t="shared" si="95"/>
        <v>0</v>
      </c>
      <c r="Q199" s="2">
        <f t="shared" si="96"/>
        <v>0</v>
      </c>
      <c r="R199" s="15" t="s">
        <v>503</v>
      </c>
      <c r="S199" s="15" t="s">
        <v>34</v>
      </c>
      <c r="T199" s="15">
        <f t="shared" si="97"/>
        <v>0</v>
      </c>
      <c r="U199" s="15">
        <f t="shared" si="97"/>
        <v>0</v>
      </c>
      <c r="V199" s="15">
        <f t="shared" si="97"/>
        <v>0</v>
      </c>
      <c r="W199" s="15">
        <f t="shared" si="97"/>
        <v>0</v>
      </c>
      <c r="X199" s="15">
        <f t="shared" si="97"/>
        <v>0</v>
      </c>
      <c r="Y199" s="15">
        <f t="shared" si="97"/>
        <v>0</v>
      </c>
      <c r="Z199" s="15"/>
      <c r="AA199" s="15" t="s">
        <v>34</v>
      </c>
      <c r="AB199" s="15">
        <f>-$O199*AB$7</f>
        <v>0</v>
      </c>
      <c r="AC199" s="15">
        <f t="shared" si="98"/>
        <v>0</v>
      </c>
      <c r="AD199" s="15">
        <f t="shared" si="98"/>
        <v>0</v>
      </c>
      <c r="AE199" s="15">
        <f t="shared" si="98"/>
        <v>0</v>
      </c>
      <c r="AF199" s="15">
        <f t="shared" si="98"/>
        <v>0</v>
      </c>
      <c r="AG199" s="15">
        <f t="shared" si="98"/>
        <v>0</v>
      </c>
      <c r="AH199" s="27"/>
    </row>
    <row r="200" spans="1:34" x14ac:dyDescent="0.25">
      <c r="A200" s="31" t="s">
        <v>279</v>
      </c>
      <c r="B200" s="31" t="s">
        <v>280</v>
      </c>
      <c r="C200" s="2">
        <f>'WC def tax 22'!O200</f>
        <v>0</v>
      </c>
      <c r="D200" s="64">
        <f t="shared" si="99"/>
        <v>0</v>
      </c>
      <c r="E200" s="64">
        <f t="shared" si="99"/>
        <v>0</v>
      </c>
      <c r="F200" s="64">
        <f t="shared" si="99"/>
        <v>0</v>
      </c>
      <c r="G200" s="64">
        <f t="shared" si="99"/>
        <v>0</v>
      </c>
      <c r="H200" s="64">
        <f t="shared" si="99"/>
        <v>0</v>
      </c>
      <c r="I200" s="64">
        <f t="shared" si="99"/>
        <v>0</v>
      </c>
      <c r="J200" s="64">
        <f t="shared" si="99"/>
        <v>0</v>
      </c>
      <c r="K200" s="64">
        <f t="shared" si="99"/>
        <v>0</v>
      </c>
      <c r="L200" s="64">
        <f t="shared" si="99"/>
        <v>0</v>
      </c>
      <c r="M200" s="64">
        <f t="shared" si="99"/>
        <v>0</v>
      </c>
      <c r="N200" s="64">
        <f t="shared" si="99"/>
        <v>0</v>
      </c>
      <c r="O200" s="64">
        <f t="shared" si="99"/>
        <v>0</v>
      </c>
      <c r="P200" s="2">
        <f t="shared" si="95"/>
        <v>0</v>
      </c>
      <c r="Q200" s="2">
        <f t="shared" si="96"/>
        <v>0</v>
      </c>
      <c r="R200" s="15" t="s">
        <v>503</v>
      </c>
      <c r="S200" s="15" t="s">
        <v>34</v>
      </c>
      <c r="T200" s="15">
        <f t="shared" si="97"/>
        <v>0</v>
      </c>
      <c r="U200" s="15">
        <f t="shared" si="97"/>
        <v>0</v>
      </c>
      <c r="V200" s="15">
        <f t="shared" si="97"/>
        <v>0</v>
      </c>
      <c r="W200" s="15">
        <f t="shared" si="97"/>
        <v>0</v>
      </c>
      <c r="X200" s="15">
        <f t="shared" si="97"/>
        <v>0</v>
      </c>
      <c r="Y200" s="15">
        <f t="shared" si="97"/>
        <v>0</v>
      </c>
      <c r="Z200" s="15"/>
      <c r="AA200" s="15" t="s">
        <v>34</v>
      </c>
      <c r="AB200" s="15">
        <f>-$O200*AB$7</f>
        <v>0</v>
      </c>
      <c r="AC200" s="15">
        <f t="shared" si="98"/>
        <v>0</v>
      </c>
      <c r="AD200" s="15">
        <f t="shared" si="98"/>
        <v>0</v>
      </c>
      <c r="AE200" s="15">
        <f t="shared" si="98"/>
        <v>0</v>
      </c>
      <c r="AF200" s="15">
        <f t="shared" si="98"/>
        <v>0</v>
      </c>
      <c r="AG200" s="15">
        <f t="shared" si="98"/>
        <v>0</v>
      </c>
      <c r="AH200" s="27"/>
    </row>
    <row r="201" spans="1:34" x14ac:dyDescent="0.25">
      <c r="A201" s="35"/>
      <c r="B201" s="35"/>
      <c r="C201" s="36" t="s">
        <v>67</v>
      </c>
      <c r="D201" s="36" t="s">
        <v>67</v>
      </c>
      <c r="E201" s="36" t="s">
        <v>67</v>
      </c>
      <c r="F201" s="36" t="s">
        <v>67</v>
      </c>
      <c r="G201" s="36" t="s">
        <v>67</v>
      </c>
      <c r="H201" s="36" t="s">
        <v>67</v>
      </c>
      <c r="I201" s="36" t="s">
        <v>67</v>
      </c>
      <c r="J201" s="36" t="s">
        <v>67</v>
      </c>
      <c r="K201" s="36" t="s">
        <v>67</v>
      </c>
      <c r="L201" s="36" t="s">
        <v>67</v>
      </c>
      <c r="M201" s="36" t="s">
        <v>67</v>
      </c>
      <c r="N201" s="36" t="s">
        <v>67</v>
      </c>
      <c r="O201" s="36" t="s">
        <v>67</v>
      </c>
      <c r="P201" s="36" t="s">
        <v>67</v>
      </c>
      <c r="Q201" s="36" t="s">
        <v>67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27"/>
    </row>
    <row r="202" spans="1:34" x14ac:dyDescent="0.25">
      <c r="A202" s="37" t="s">
        <v>281</v>
      </c>
      <c r="B202" s="38"/>
      <c r="C202" s="39">
        <f>SUM(C197:C200)</f>
        <v>769994.45999999973</v>
      </c>
      <c r="D202" s="39">
        <f t="shared" ref="D202:Q202" si="100">SUM(D197:D200)</f>
        <v>772240.2771749997</v>
      </c>
      <c r="E202" s="39">
        <f t="shared" si="100"/>
        <v>774486.0943499998</v>
      </c>
      <c r="F202" s="39">
        <f t="shared" si="100"/>
        <v>776731.91152499989</v>
      </c>
      <c r="G202" s="39">
        <f t="shared" si="100"/>
        <v>778977.72869999986</v>
      </c>
      <c r="H202" s="39">
        <f t="shared" si="100"/>
        <v>781223.54587499984</v>
      </c>
      <c r="I202" s="39">
        <f t="shared" si="100"/>
        <v>783469.36304999993</v>
      </c>
      <c r="J202" s="39">
        <f t="shared" si="100"/>
        <v>785715.18022500002</v>
      </c>
      <c r="K202" s="39">
        <f t="shared" si="100"/>
        <v>787960.99739999999</v>
      </c>
      <c r="L202" s="39">
        <f t="shared" si="100"/>
        <v>790206.81457499997</v>
      </c>
      <c r="M202" s="39">
        <f t="shared" si="100"/>
        <v>792452.63175000006</v>
      </c>
      <c r="N202" s="39">
        <f t="shared" si="100"/>
        <v>794698.44892500015</v>
      </c>
      <c r="O202" s="39">
        <f t="shared" si="100"/>
        <v>796944.26610000012</v>
      </c>
      <c r="P202" s="39">
        <f t="shared" si="100"/>
        <v>10185101.719649998</v>
      </c>
      <c r="Q202" s="39">
        <f t="shared" si="100"/>
        <v>783469.36304999981</v>
      </c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27"/>
    </row>
    <row r="203" spans="1:34" x14ac:dyDescent="0.25">
      <c r="A203" s="35"/>
      <c r="B203" s="35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27">
        <f t="shared" ref="AH203:AH208" si="101">SUM(AB203:AG203)+O203</f>
        <v>0</v>
      </c>
    </row>
    <row r="204" spans="1:34" x14ac:dyDescent="0.25">
      <c r="A204" s="37" t="s">
        <v>282</v>
      </c>
      <c r="B204" s="38"/>
      <c r="C204" s="3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39"/>
      <c r="Q204" s="39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27">
        <f t="shared" si="101"/>
        <v>0</v>
      </c>
    </row>
    <row r="205" spans="1:34" x14ac:dyDescent="0.25">
      <c r="A205" s="31" t="s">
        <v>283</v>
      </c>
      <c r="B205" s="31" t="s">
        <v>284</v>
      </c>
      <c r="C205" s="2">
        <f>'WC def tax 22'!O205</f>
        <v>160271.82000000007</v>
      </c>
      <c r="D205" s="64">
        <f t="shared" ref="D205:O205" si="102">C205+($C205*(0.035/12))</f>
        <v>160739.27947500008</v>
      </c>
      <c r="E205" s="64">
        <f t="shared" si="102"/>
        <v>161206.73895000009</v>
      </c>
      <c r="F205" s="64">
        <f t="shared" si="102"/>
        <v>161674.1984250001</v>
      </c>
      <c r="G205" s="64">
        <f t="shared" si="102"/>
        <v>162141.65790000011</v>
      </c>
      <c r="H205" s="64">
        <f t="shared" si="102"/>
        <v>162609.11737500012</v>
      </c>
      <c r="I205" s="64">
        <f t="shared" si="102"/>
        <v>163076.57685000013</v>
      </c>
      <c r="J205" s="64">
        <f t="shared" si="102"/>
        <v>163544.03632500014</v>
      </c>
      <c r="K205" s="64">
        <f t="shared" si="102"/>
        <v>164011.49580000015</v>
      </c>
      <c r="L205" s="64">
        <f t="shared" si="102"/>
        <v>164478.95527500016</v>
      </c>
      <c r="M205" s="64">
        <f t="shared" si="102"/>
        <v>164946.41475000017</v>
      </c>
      <c r="N205" s="64">
        <f t="shared" si="102"/>
        <v>165413.87422500018</v>
      </c>
      <c r="O205" s="64">
        <f t="shared" si="102"/>
        <v>165881.33370000019</v>
      </c>
      <c r="P205" s="2">
        <f t="shared" ref="P205:P210" si="103">SUM(C205:O205)</f>
        <v>2119995.4990500016</v>
      </c>
      <c r="Q205" s="150">
        <f t="shared" ref="Q205:Q210" si="104">P205/13</f>
        <v>163076.57685000013</v>
      </c>
      <c r="R205" s="15" t="s">
        <v>503</v>
      </c>
      <c r="S205" s="15" t="s">
        <v>34</v>
      </c>
      <c r="T205" s="15">
        <f>-$Q205*T$6</f>
        <v>-41095.29736620003</v>
      </c>
      <c r="U205" s="15">
        <f t="shared" ref="U205:Y205" si="105">-$Q205*U$6</f>
        <v>-84799.819962000067</v>
      </c>
      <c r="V205" s="15">
        <f t="shared" si="105"/>
        <v>0</v>
      </c>
      <c r="W205" s="15">
        <f t="shared" si="105"/>
        <v>0</v>
      </c>
      <c r="X205" s="15">
        <f t="shared" si="105"/>
        <v>0</v>
      </c>
      <c r="Y205" s="15">
        <f t="shared" si="105"/>
        <v>-37181.459521800032</v>
      </c>
      <c r="Z205" s="15"/>
      <c r="AA205" s="15" t="s">
        <v>34</v>
      </c>
      <c r="AB205" s="15">
        <f>-$O205*AB$6</f>
        <v>-41802.096092400046</v>
      </c>
      <c r="AC205" s="15">
        <f t="shared" ref="AC205:AG205" si="106">-$O205*AC$6</f>
        <v>-86258.29352400011</v>
      </c>
      <c r="AD205" s="15">
        <f t="shared" si="106"/>
        <v>0</v>
      </c>
      <c r="AE205" s="15">
        <f t="shared" si="106"/>
        <v>0</v>
      </c>
      <c r="AF205" s="15">
        <f t="shared" si="106"/>
        <v>0</v>
      </c>
      <c r="AG205" s="15">
        <f t="shared" si="106"/>
        <v>-37820.944083600043</v>
      </c>
      <c r="AH205" s="27">
        <f t="shared" si="101"/>
        <v>0</v>
      </c>
    </row>
    <row r="206" spans="1:34" x14ac:dyDescent="0.25">
      <c r="A206" s="31" t="s">
        <v>285</v>
      </c>
      <c r="B206" s="31" t="s">
        <v>286</v>
      </c>
      <c r="C206" s="2">
        <f>'WC def tax 22'!O206</f>
        <v>70608.070000000007</v>
      </c>
      <c r="D206" s="64">
        <v>44080.29</v>
      </c>
      <c r="E206" s="64">
        <v>44216.950000000004</v>
      </c>
      <c r="F206" s="64">
        <v>44354.01</v>
      </c>
      <c r="G206" s="64">
        <v>44491.51</v>
      </c>
      <c r="H206" s="64">
        <v>44629.440000000002</v>
      </c>
      <c r="I206" s="64">
        <v>44767.78</v>
      </c>
      <c r="J206" s="64">
        <v>44906.57</v>
      </c>
      <c r="K206" s="64">
        <v>45045.78</v>
      </c>
      <c r="L206" s="64">
        <v>45185.42</v>
      </c>
      <c r="M206" s="64">
        <v>45325.5</v>
      </c>
      <c r="N206" s="64">
        <v>45466.01</v>
      </c>
      <c r="O206" s="64">
        <v>45606.950000000004</v>
      </c>
      <c r="P206" s="2">
        <f t="shared" si="103"/>
        <v>608684.27999999991</v>
      </c>
      <c r="Q206" s="150">
        <f t="shared" si="104"/>
        <v>46821.867692307686</v>
      </c>
      <c r="R206" s="15" t="s">
        <v>504</v>
      </c>
      <c r="S206" s="15" t="s">
        <v>34</v>
      </c>
      <c r="T206" s="15">
        <f t="shared" ref="T206:Y210" si="107">-$Q206*T$7</f>
        <v>-8989.7985969230758</v>
      </c>
      <c r="U206" s="15">
        <f t="shared" si="107"/>
        <v>-18546.141792923074</v>
      </c>
      <c r="V206" s="15">
        <f t="shared" si="107"/>
        <v>-6414.5958738461532</v>
      </c>
      <c r="W206" s="15">
        <f t="shared" si="107"/>
        <v>-149.8299766153846</v>
      </c>
      <c r="X206" s="15">
        <f t="shared" si="107"/>
        <v>-103.00810892307692</v>
      </c>
      <c r="Y206" s="15">
        <f t="shared" si="107"/>
        <v>-12618.493343076922</v>
      </c>
      <c r="Z206" s="15"/>
      <c r="AA206" s="15" t="s">
        <v>34</v>
      </c>
      <c r="AB206" s="15">
        <f t="shared" ref="AB206:AG210" si="108">-$O206*AB$7</f>
        <v>-8756.5344000000005</v>
      </c>
      <c r="AC206" s="15">
        <f t="shared" si="108"/>
        <v>-18064.912895000001</v>
      </c>
      <c r="AD206" s="15">
        <f t="shared" si="108"/>
        <v>-6248.1521500000008</v>
      </c>
      <c r="AE206" s="15">
        <f t="shared" si="108"/>
        <v>-145.94224000000003</v>
      </c>
      <c r="AF206" s="15">
        <f t="shared" si="108"/>
        <v>-100.33529000000001</v>
      </c>
      <c r="AG206" s="15">
        <f t="shared" si="108"/>
        <v>-12291.073025000002</v>
      </c>
      <c r="AH206" s="27">
        <f t="shared" si="101"/>
        <v>0</v>
      </c>
    </row>
    <row r="207" spans="1:34" x14ac:dyDescent="0.25">
      <c r="A207" s="31" t="s">
        <v>287</v>
      </c>
      <c r="B207" s="31" t="s">
        <v>288</v>
      </c>
      <c r="C207" s="2">
        <f>'WC def tax 22'!O207</f>
        <v>1118.835</v>
      </c>
      <c r="D207" s="64">
        <f t="shared" ref="D207:O207" si="109">C207+($C207*(0.035/12))</f>
        <v>1122.09826875</v>
      </c>
      <c r="E207" s="64">
        <f t="shared" si="109"/>
        <v>1125.3615374999999</v>
      </c>
      <c r="F207" s="64">
        <f t="shared" si="109"/>
        <v>1128.6248062499999</v>
      </c>
      <c r="G207" s="64">
        <f t="shared" si="109"/>
        <v>1131.8880749999998</v>
      </c>
      <c r="H207" s="64">
        <f t="shared" si="109"/>
        <v>1135.1513437499998</v>
      </c>
      <c r="I207" s="64">
        <f t="shared" si="109"/>
        <v>1138.4146124999997</v>
      </c>
      <c r="J207" s="64">
        <f t="shared" si="109"/>
        <v>1141.6778812499997</v>
      </c>
      <c r="K207" s="64">
        <f t="shared" si="109"/>
        <v>1144.9411499999997</v>
      </c>
      <c r="L207" s="64">
        <f t="shared" si="109"/>
        <v>1148.2044187499996</v>
      </c>
      <c r="M207" s="64">
        <f t="shared" si="109"/>
        <v>1151.4676874999996</v>
      </c>
      <c r="N207" s="64">
        <f t="shared" si="109"/>
        <v>1154.7309562499995</v>
      </c>
      <c r="O207" s="64">
        <f t="shared" si="109"/>
        <v>1157.9942249999995</v>
      </c>
      <c r="P207" s="2">
        <f t="shared" si="103"/>
        <v>14799.389962499998</v>
      </c>
      <c r="Q207" s="2">
        <f t="shared" si="104"/>
        <v>1138.4146124999997</v>
      </c>
      <c r="R207" s="15" t="s">
        <v>503</v>
      </c>
      <c r="S207" s="15" t="s">
        <v>34</v>
      </c>
      <c r="T207" s="15">
        <f t="shared" si="107"/>
        <v>-218.57560559999996</v>
      </c>
      <c r="U207" s="15">
        <f t="shared" si="107"/>
        <v>-450.92602801124991</v>
      </c>
      <c r="V207" s="15">
        <f t="shared" si="107"/>
        <v>-155.96280191249997</v>
      </c>
      <c r="W207" s="15">
        <f t="shared" si="107"/>
        <v>-3.6429267599999995</v>
      </c>
      <c r="X207" s="15">
        <f t="shared" si="107"/>
        <v>-2.5045121474999994</v>
      </c>
      <c r="Y207" s="15">
        <f t="shared" si="107"/>
        <v>-306.80273806874993</v>
      </c>
      <c r="Z207" s="15"/>
      <c r="AA207" s="15" t="s">
        <v>34</v>
      </c>
      <c r="AB207" s="15">
        <f t="shared" si="108"/>
        <v>-222.3348911999999</v>
      </c>
      <c r="AC207" s="15">
        <f t="shared" si="108"/>
        <v>-458.68151252249982</v>
      </c>
      <c r="AD207" s="15">
        <f t="shared" si="108"/>
        <v>-158.64520882499994</v>
      </c>
      <c r="AE207" s="15">
        <f t="shared" si="108"/>
        <v>-3.7055815199999986</v>
      </c>
      <c r="AF207" s="15">
        <f t="shared" si="108"/>
        <v>-2.5475872949999991</v>
      </c>
      <c r="AG207" s="15">
        <f t="shared" si="108"/>
        <v>-312.07944363749988</v>
      </c>
      <c r="AH207" s="27">
        <f t="shared" si="101"/>
        <v>0</v>
      </c>
    </row>
    <row r="208" spans="1:34" x14ac:dyDescent="0.25">
      <c r="A208" s="31" t="s">
        <v>289</v>
      </c>
      <c r="B208" s="31" t="s">
        <v>290</v>
      </c>
      <c r="C208" s="2">
        <f>'WC def tax 22'!O208</f>
        <v>-10.350000000000001</v>
      </c>
      <c r="D208" s="64">
        <f t="shared" ref="D208:O208" si="110">C208+($C208*(0.035/12))</f>
        <v>-10.380187500000002</v>
      </c>
      <c r="E208" s="64">
        <f t="shared" si="110"/>
        <v>-10.410375000000002</v>
      </c>
      <c r="F208" s="64">
        <f t="shared" si="110"/>
        <v>-10.440562500000002</v>
      </c>
      <c r="G208" s="64">
        <f t="shared" si="110"/>
        <v>-10.470750000000002</v>
      </c>
      <c r="H208" s="64">
        <f t="shared" si="110"/>
        <v>-10.500937500000003</v>
      </c>
      <c r="I208" s="64">
        <f t="shared" si="110"/>
        <v>-10.531125000000003</v>
      </c>
      <c r="J208" s="64">
        <f t="shared" si="110"/>
        <v>-10.561312500000003</v>
      </c>
      <c r="K208" s="64">
        <f t="shared" si="110"/>
        <v>-10.591500000000003</v>
      </c>
      <c r="L208" s="64">
        <f t="shared" si="110"/>
        <v>-10.621687500000004</v>
      </c>
      <c r="M208" s="64">
        <f t="shared" si="110"/>
        <v>-10.651875000000004</v>
      </c>
      <c r="N208" s="64">
        <f t="shared" si="110"/>
        <v>-10.682062500000004</v>
      </c>
      <c r="O208" s="64">
        <f t="shared" si="110"/>
        <v>-10.712250000000004</v>
      </c>
      <c r="P208" s="2">
        <f t="shared" si="103"/>
        <v>-136.90462500000004</v>
      </c>
      <c r="Q208" s="2">
        <f t="shared" si="104"/>
        <v>-10.531125000000003</v>
      </c>
      <c r="R208" s="15" t="s">
        <v>503</v>
      </c>
      <c r="S208" s="15" t="s">
        <v>34</v>
      </c>
      <c r="T208" s="15">
        <f t="shared" si="107"/>
        <v>2.0219760000000004</v>
      </c>
      <c r="U208" s="15">
        <f t="shared" si="107"/>
        <v>4.1713786125000016</v>
      </c>
      <c r="V208" s="15">
        <f t="shared" si="107"/>
        <v>1.4427641250000005</v>
      </c>
      <c r="W208" s="15">
        <f t="shared" si="107"/>
        <v>3.369960000000001E-2</v>
      </c>
      <c r="X208" s="15">
        <f t="shared" si="107"/>
        <v>2.3168475000000008E-2</v>
      </c>
      <c r="Y208" s="15">
        <f t="shared" si="107"/>
        <v>2.8381381875000011</v>
      </c>
      <c r="Z208" s="15"/>
      <c r="AA208" s="15" t="s">
        <v>34</v>
      </c>
      <c r="AB208" s="15">
        <f t="shared" si="108"/>
        <v>2.0567520000000008</v>
      </c>
      <c r="AC208" s="15">
        <f t="shared" si="108"/>
        <v>4.2431222250000022</v>
      </c>
      <c r="AD208" s="15">
        <f t="shared" si="108"/>
        <v>1.4675782500000008</v>
      </c>
      <c r="AE208" s="15">
        <f t="shared" si="108"/>
        <v>3.4279200000000017E-2</v>
      </c>
      <c r="AF208" s="15">
        <f t="shared" si="108"/>
        <v>2.356695000000001E-2</v>
      </c>
      <c r="AG208" s="15">
        <f t="shared" si="108"/>
        <v>2.8869513750000015</v>
      </c>
      <c r="AH208" s="27">
        <f t="shared" si="101"/>
        <v>0</v>
      </c>
    </row>
    <row r="209" spans="1:34" x14ac:dyDescent="0.25">
      <c r="A209" s="31" t="s">
        <v>291</v>
      </c>
      <c r="B209" s="31" t="s">
        <v>292</v>
      </c>
      <c r="C209" s="2">
        <f>'WC def tax 22'!O209</f>
        <v>-10319.984999999993</v>
      </c>
      <c r="D209" s="64">
        <f t="shared" ref="D209:O209" si="111">C209+($C209*(0.035/12))</f>
        <v>-10350.084956249993</v>
      </c>
      <c r="E209" s="64">
        <f t="shared" si="111"/>
        <v>-10380.184912499994</v>
      </c>
      <c r="F209" s="64">
        <f t="shared" si="111"/>
        <v>-10410.284868749994</v>
      </c>
      <c r="G209" s="64">
        <f t="shared" si="111"/>
        <v>-10440.384824999994</v>
      </c>
      <c r="H209" s="64">
        <f t="shared" si="111"/>
        <v>-10470.484781249994</v>
      </c>
      <c r="I209" s="64">
        <f t="shared" si="111"/>
        <v>-10500.584737499994</v>
      </c>
      <c r="J209" s="64">
        <f t="shared" si="111"/>
        <v>-10530.684693749994</v>
      </c>
      <c r="K209" s="64">
        <f t="shared" si="111"/>
        <v>-10560.784649999994</v>
      </c>
      <c r="L209" s="64">
        <f t="shared" si="111"/>
        <v>-10590.884606249994</v>
      </c>
      <c r="M209" s="64">
        <f t="shared" si="111"/>
        <v>-10620.984562499994</v>
      </c>
      <c r="N209" s="64">
        <f t="shared" si="111"/>
        <v>-10651.084518749994</v>
      </c>
      <c r="O209" s="64">
        <f t="shared" si="111"/>
        <v>-10681.184474999995</v>
      </c>
      <c r="P209" s="2">
        <f t="shared" si="103"/>
        <v>-136507.6015874999</v>
      </c>
      <c r="Q209" s="2">
        <f t="shared" si="104"/>
        <v>-10500.584737499992</v>
      </c>
      <c r="R209" s="15" t="s">
        <v>503</v>
      </c>
      <c r="S209" s="15" t="s">
        <v>34</v>
      </c>
      <c r="T209" s="15">
        <f t="shared" si="107"/>
        <v>2016.1122695999986</v>
      </c>
      <c r="U209" s="15">
        <f t="shared" si="107"/>
        <v>4159.2816145237466</v>
      </c>
      <c r="V209" s="15">
        <f t="shared" si="107"/>
        <v>1438.5801090374991</v>
      </c>
      <c r="W209" s="15">
        <f t="shared" si="107"/>
        <v>33.601871159999973</v>
      </c>
      <c r="X209" s="15">
        <f t="shared" si="107"/>
        <v>23.101286422499985</v>
      </c>
      <c r="Y209" s="15">
        <f t="shared" si="107"/>
        <v>2829.9075867562478</v>
      </c>
      <c r="Z209" s="15"/>
      <c r="AA209" s="15" t="s">
        <v>34</v>
      </c>
      <c r="AB209" s="15">
        <f t="shared" si="108"/>
        <v>2050.787419199999</v>
      </c>
      <c r="AC209" s="15">
        <f t="shared" si="108"/>
        <v>4230.8171705474979</v>
      </c>
      <c r="AD209" s="15">
        <f t="shared" si="108"/>
        <v>1463.3222730749994</v>
      </c>
      <c r="AE209" s="15">
        <f t="shared" si="108"/>
        <v>34.179790319999981</v>
      </c>
      <c r="AF209" s="15">
        <f t="shared" si="108"/>
        <v>23.49860584499999</v>
      </c>
      <c r="AG209" s="15">
        <f t="shared" si="108"/>
        <v>2878.5792160124988</v>
      </c>
      <c r="AH209" s="27"/>
    </row>
    <row r="210" spans="1:34" x14ac:dyDescent="0.25">
      <c r="A210" s="31" t="s">
        <v>293</v>
      </c>
      <c r="B210" s="31" t="s">
        <v>294</v>
      </c>
      <c r="C210" s="2">
        <f>'WC def tax 22'!O210</f>
        <v>-1313.4150000000009</v>
      </c>
      <c r="D210" s="64">
        <f t="shared" ref="D210:O210" si="112">C210+($C210*(0.035/12))</f>
        <v>-1317.245793750001</v>
      </c>
      <c r="E210" s="64">
        <f t="shared" si="112"/>
        <v>-1321.0765875000011</v>
      </c>
      <c r="F210" s="64">
        <f t="shared" si="112"/>
        <v>-1324.9073812500012</v>
      </c>
      <c r="G210" s="64">
        <f t="shared" si="112"/>
        <v>-1328.7381750000013</v>
      </c>
      <c r="H210" s="64">
        <f t="shared" si="112"/>
        <v>-1332.5689687500014</v>
      </c>
      <c r="I210" s="64">
        <f t="shared" si="112"/>
        <v>-1336.3997625000015</v>
      </c>
      <c r="J210" s="64">
        <f t="shared" si="112"/>
        <v>-1340.2305562500017</v>
      </c>
      <c r="K210" s="64">
        <f t="shared" si="112"/>
        <v>-1344.0613500000018</v>
      </c>
      <c r="L210" s="64">
        <f t="shared" si="112"/>
        <v>-1347.8921437500019</v>
      </c>
      <c r="M210" s="64">
        <f t="shared" si="112"/>
        <v>-1351.722937500002</v>
      </c>
      <c r="N210" s="64">
        <f t="shared" si="112"/>
        <v>-1355.5537312500021</v>
      </c>
      <c r="O210" s="64">
        <f t="shared" si="112"/>
        <v>-1359.3845250000022</v>
      </c>
      <c r="P210" s="2">
        <f t="shared" si="103"/>
        <v>-17373.196912500021</v>
      </c>
      <c r="Q210" s="2">
        <f t="shared" si="104"/>
        <v>-1336.3997625000015</v>
      </c>
      <c r="R210" s="15" t="s">
        <v>503</v>
      </c>
      <c r="S210" s="15" t="s">
        <v>34</v>
      </c>
      <c r="T210" s="15">
        <f t="shared" si="107"/>
        <v>256.58875440000031</v>
      </c>
      <c r="U210" s="15">
        <f t="shared" si="107"/>
        <v>529.34794592625065</v>
      </c>
      <c r="V210" s="15">
        <f t="shared" si="107"/>
        <v>183.08676746250023</v>
      </c>
      <c r="W210" s="15">
        <f t="shared" si="107"/>
        <v>4.2764792400000049</v>
      </c>
      <c r="X210" s="15">
        <f t="shared" si="107"/>
        <v>2.9400794775000034</v>
      </c>
      <c r="Y210" s="15">
        <f t="shared" si="107"/>
        <v>360.15973599375042</v>
      </c>
      <c r="Z210" s="15"/>
      <c r="AA210" s="15" t="s">
        <v>34</v>
      </c>
      <c r="AB210" s="15">
        <f t="shared" si="108"/>
        <v>261.00182880000045</v>
      </c>
      <c r="AC210" s="15">
        <f t="shared" si="108"/>
        <v>538.45221035250086</v>
      </c>
      <c r="AD210" s="15">
        <f t="shared" si="108"/>
        <v>186.23567992500031</v>
      </c>
      <c r="AE210" s="15">
        <f t="shared" si="108"/>
        <v>4.3500304800000071</v>
      </c>
      <c r="AF210" s="15">
        <f t="shared" si="108"/>
        <v>2.9906459550000051</v>
      </c>
      <c r="AG210" s="15">
        <f t="shared" si="108"/>
        <v>366.35412948750064</v>
      </c>
      <c r="AH210" s="27"/>
    </row>
    <row r="211" spans="1:34" x14ac:dyDescent="0.25">
      <c r="A211" s="35"/>
      <c r="B211" s="35"/>
      <c r="C211" s="36" t="s">
        <v>67</v>
      </c>
      <c r="D211" s="36" t="s">
        <v>67</v>
      </c>
      <c r="E211" s="36" t="s">
        <v>67</v>
      </c>
      <c r="F211" s="36" t="s">
        <v>67</v>
      </c>
      <c r="G211" s="36" t="s">
        <v>67</v>
      </c>
      <c r="H211" s="36" t="s">
        <v>67</v>
      </c>
      <c r="I211" s="36" t="s">
        <v>67</v>
      </c>
      <c r="J211" s="36" t="s">
        <v>67</v>
      </c>
      <c r="K211" s="36" t="s">
        <v>67</v>
      </c>
      <c r="L211" s="36" t="s">
        <v>67</v>
      </c>
      <c r="M211" s="36" t="s">
        <v>67</v>
      </c>
      <c r="N211" s="36" t="s">
        <v>67</v>
      </c>
      <c r="O211" s="36" t="s">
        <v>67</v>
      </c>
      <c r="P211" s="36" t="s">
        <v>67</v>
      </c>
      <c r="Q211" s="36" t="s">
        <v>67</v>
      </c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27"/>
    </row>
    <row r="212" spans="1:34" x14ac:dyDescent="0.25">
      <c r="A212" s="37" t="s">
        <v>295</v>
      </c>
      <c r="B212" s="38"/>
      <c r="C212" s="39">
        <f>SUM(C205:C210)</f>
        <v>220354.97500000006</v>
      </c>
      <c r="D212" s="39">
        <f t="shared" ref="D212:Q212" si="113">SUM(D205:D210)</f>
        <v>194263.95680625006</v>
      </c>
      <c r="E212" s="39">
        <f t="shared" si="113"/>
        <v>194837.37861250009</v>
      </c>
      <c r="F212" s="39">
        <f t="shared" si="113"/>
        <v>195411.20041875012</v>
      </c>
      <c r="G212" s="39">
        <f t="shared" si="113"/>
        <v>195985.46222500011</v>
      </c>
      <c r="H212" s="39">
        <f t="shared" si="113"/>
        <v>196560.1540312501</v>
      </c>
      <c r="I212" s="39">
        <f t="shared" si="113"/>
        <v>197135.25583750012</v>
      </c>
      <c r="J212" s="39">
        <f t="shared" si="113"/>
        <v>197710.80764375016</v>
      </c>
      <c r="K212" s="39">
        <f t="shared" si="113"/>
        <v>198286.77945000015</v>
      </c>
      <c r="L212" s="39">
        <f t="shared" si="113"/>
        <v>198863.18125625016</v>
      </c>
      <c r="M212" s="39">
        <f t="shared" si="113"/>
        <v>199440.02306250017</v>
      </c>
      <c r="N212" s="39">
        <f t="shared" si="113"/>
        <v>200017.29486875018</v>
      </c>
      <c r="O212" s="39">
        <f t="shared" si="113"/>
        <v>200594.99667500021</v>
      </c>
      <c r="P212" s="39">
        <f t="shared" si="113"/>
        <v>2589461.4658875014</v>
      </c>
      <c r="Q212" s="39">
        <f t="shared" si="113"/>
        <v>199189.34352980781</v>
      </c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27"/>
    </row>
    <row r="213" spans="1:34" x14ac:dyDescent="0.25">
      <c r="A213" s="35"/>
      <c r="B213" s="35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27"/>
    </row>
    <row r="214" spans="1:34" ht="15.75" x14ac:dyDescent="0.3">
      <c r="A214" s="56" t="s">
        <v>296</v>
      </c>
      <c r="B214" s="54"/>
      <c r="C214" s="55">
        <f>C212+C202+C194+C184+C178</f>
        <v>7285165.3796333326</v>
      </c>
      <c r="D214" s="55">
        <f t="shared" ref="D214:Q214" si="114">D212+D202+D194+D184+D178</f>
        <v>7277428.1453084284</v>
      </c>
      <c r="E214" s="55">
        <f t="shared" si="114"/>
        <v>7284947.7674232656</v>
      </c>
      <c r="F214" s="55">
        <f t="shared" si="114"/>
        <v>7292467.7895381022</v>
      </c>
      <c r="G214" s="55">
        <f t="shared" si="114"/>
        <v>7299988.2516529392</v>
      </c>
      <c r="H214" s="55">
        <f t="shared" si="114"/>
        <v>7307509.143767776</v>
      </c>
      <c r="I214" s="55">
        <f t="shared" si="114"/>
        <v>7315030.4458826128</v>
      </c>
      <c r="J214" s="55">
        <f t="shared" si="114"/>
        <v>7322552.1979974499</v>
      </c>
      <c r="K214" s="55">
        <f t="shared" si="114"/>
        <v>7330074.3701122869</v>
      </c>
      <c r="L214" s="55">
        <f t="shared" si="114"/>
        <v>7337596.9722271245</v>
      </c>
      <c r="M214" s="55">
        <f t="shared" si="114"/>
        <v>7345120.0143419607</v>
      </c>
      <c r="N214" s="55">
        <f t="shared" si="114"/>
        <v>7352643.4864567975</v>
      </c>
      <c r="O214" s="55">
        <f t="shared" si="114"/>
        <v>7360167.388571634</v>
      </c>
      <c r="P214" s="55">
        <f t="shared" si="114"/>
        <v>95110691.352913707</v>
      </c>
      <c r="Q214" s="55">
        <f t="shared" si="114"/>
        <v>7316207.0271472083</v>
      </c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27"/>
    </row>
    <row r="215" spans="1:34" x14ac:dyDescent="0.25">
      <c r="A215" s="35"/>
      <c r="B215" s="35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27">
        <f>SUM(AB215:AG215)+O215</f>
        <v>0</v>
      </c>
    </row>
    <row r="216" spans="1:34" ht="15.75" x14ac:dyDescent="0.3">
      <c r="A216" s="56" t="s">
        <v>297</v>
      </c>
      <c r="B216" s="54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27">
        <f>SUM(AB216:AG216)+O216</f>
        <v>0</v>
      </c>
    </row>
    <row r="217" spans="1:34" x14ac:dyDescent="0.25">
      <c r="A217" s="37" t="s">
        <v>298</v>
      </c>
      <c r="B217" s="38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15"/>
      <c r="S217" s="15" t="s">
        <v>299</v>
      </c>
      <c r="T217" s="15"/>
      <c r="U217" s="15"/>
      <c r="V217" s="15"/>
      <c r="W217" s="15"/>
      <c r="X217" s="15"/>
      <c r="Y217" s="15"/>
      <c r="Z217" s="15"/>
      <c r="AA217" s="15" t="s">
        <v>299</v>
      </c>
      <c r="AB217" s="15"/>
      <c r="AC217" s="15"/>
      <c r="AD217" s="15"/>
      <c r="AE217" s="15"/>
      <c r="AF217" s="15"/>
      <c r="AG217" s="15"/>
      <c r="AH217" s="27"/>
    </row>
    <row r="218" spans="1:34" x14ac:dyDescent="0.25">
      <c r="A218" s="57" t="s">
        <v>300</v>
      </c>
      <c r="B218" s="58" t="s">
        <v>301</v>
      </c>
      <c r="C218" s="2">
        <f>'WC def tax 22'!O218</f>
        <v>72210.210000000006</v>
      </c>
      <c r="D218" s="64">
        <v>83034.210000000006</v>
      </c>
      <c r="E218" s="64">
        <v>93858.21</v>
      </c>
      <c r="F218" s="64">
        <v>104682.21</v>
      </c>
      <c r="G218" s="64">
        <v>115506.21</v>
      </c>
      <c r="H218" s="64">
        <v>126330.21</v>
      </c>
      <c r="I218" s="64">
        <v>137154.21000000002</v>
      </c>
      <c r="J218" s="64">
        <v>147978.21000000002</v>
      </c>
      <c r="K218" s="64">
        <v>158802.21000000002</v>
      </c>
      <c r="L218" s="64">
        <v>169626.21000000002</v>
      </c>
      <c r="M218" s="64">
        <v>180450.21000000002</v>
      </c>
      <c r="N218" s="64">
        <v>191274.21000000002</v>
      </c>
      <c r="O218" s="64">
        <v>202098.21000000002</v>
      </c>
      <c r="P218" s="2">
        <f t="shared" ref="P218:P233" si="115">SUM(C218:O218)</f>
        <v>1783004.7299999997</v>
      </c>
      <c r="Q218" s="2">
        <f t="shared" ref="Q218:Q233" si="116">P218/13</f>
        <v>137154.21</v>
      </c>
      <c r="R218" s="15" t="s">
        <v>504</v>
      </c>
      <c r="S218" s="15" t="s">
        <v>13</v>
      </c>
      <c r="T218" s="60">
        <f t="shared" ref="T218:Y225" si="117">-$Q218*T$3</f>
        <v>-22239.555151499997</v>
      </c>
      <c r="U218" s="60">
        <f t="shared" si="117"/>
        <v>-53724.675599099995</v>
      </c>
      <c r="V218" s="60">
        <f t="shared" si="117"/>
        <v>-25219.916134799998</v>
      </c>
      <c r="W218" s="60">
        <f t="shared" si="117"/>
        <v>-486.8974455</v>
      </c>
      <c r="X218" s="60">
        <f t="shared" si="117"/>
        <v>-152.2411731</v>
      </c>
      <c r="Y218" s="60">
        <f t="shared" si="117"/>
        <v>-35333.667580200003</v>
      </c>
      <c r="Z218" s="15"/>
      <c r="AA218" s="15" t="s">
        <v>13</v>
      </c>
      <c r="AB218" s="60">
        <f t="shared" ref="AB218:AG225" si="118">-$O218*AB$3</f>
        <v>-32770.224751499998</v>
      </c>
      <c r="AC218" s="60">
        <v>23</v>
      </c>
      <c r="AD218" s="60">
        <f t="shared" si="118"/>
        <v>-37161.818854800003</v>
      </c>
      <c r="AE218" s="60">
        <f t="shared" si="118"/>
        <v>-717.44864550000011</v>
      </c>
      <c r="AF218" s="60">
        <f t="shared" si="118"/>
        <v>-224.32901310000005</v>
      </c>
      <c r="AG218" s="60">
        <f t="shared" si="118"/>
        <v>-52064.54086020001</v>
      </c>
      <c r="AH218" s="27">
        <f t="shared" ref="AH218:AH228" si="119">SUM(AB218:AG218)+O218</f>
        <v>79182.847874900021</v>
      </c>
    </row>
    <row r="219" spans="1:34" x14ac:dyDescent="0.25">
      <c r="A219" s="31" t="s">
        <v>302</v>
      </c>
      <c r="B219" s="31" t="s">
        <v>303</v>
      </c>
      <c r="C219" s="2">
        <f>'WC def tax 22'!O219</f>
        <v>0</v>
      </c>
      <c r="D219" s="64">
        <f t="shared" ref="D219:O233" si="120">C219</f>
        <v>0</v>
      </c>
      <c r="E219" s="64">
        <f t="shared" si="120"/>
        <v>0</v>
      </c>
      <c r="F219" s="64">
        <f t="shared" si="120"/>
        <v>0</v>
      </c>
      <c r="G219" s="64">
        <f t="shared" si="120"/>
        <v>0</v>
      </c>
      <c r="H219" s="64">
        <f t="shared" si="120"/>
        <v>0</v>
      </c>
      <c r="I219" s="64">
        <f t="shared" si="120"/>
        <v>0</v>
      </c>
      <c r="J219" s="64">
        <f t="shared" si="120"/>
        <v>0</v>
      </c>
      <c r="K219" s="64">
        <f t="shared" si="120"/>
        <v>0</v>
      </c>
      <c r="L219" s="64">
        <f t="shared" si="120"/>
        <v>0</v>
      </c>
      <c r="M219" s="64">
        <f t="shared" si="120"/>
        <v>0</v>
      </c>
      <c r="N219" s="64">
        <f t="shared" si="120"/>
        <v>0</v>
      </c>
      <c r="O219" s="64">
        <f t="shared" si="120"/>
        <v>0</v>
      </c>
      <c r="P219" s="2">
        <f t="shared" si="115"/>
        <v>0</v>
      </c>
      <c r="Q219" s="2">
        <f t="shared" si="116"/>
        <v>0</v>
      </c>
      <c r="R219" s="15" t="s">
        <v>504</v>
      </c>
      <c r="S219" s="15" t="s">
        <v>13</v>
      </c>
      <c r="T219" s="60">
        <f t="shared" si="117"/>
        <v>0</v>
      </c>
      <c r="U219" s="60">
        <f t="shared" si="117"/>
        <v>0</v>
      </c>
      <c r="V219" s="60">
        <f t="shared" si="117"/>
        <v>0</v>
      </c>
      <c r="W219" s="60">
        <f t="shared" si="117"/>
        <v>0</v>
      </c>
      <c r="X219" s="60">
        <f t="shared" si="117"/>
        <v>0</v>
      </c>
      <c r="Y219" s="60">
        <f t="shared" si="117"/>
        <v>0</v>
      </c>
      <c r="Z219" s="15"/>
      <c r="AA219" s="15" t="s">
        <v>13</v>
      </c>
      <c r="AB219" s="60">
        <f t="shared" si="118"/>
        <v>0</v>
      </c>
      <c r="AC219" s="60">
        <f t="shared" si="118"/>
        <v>0</v>
      </c>
      <c r="AD219" s="60">
        <f t="shared" si="118"/>
        <v>0</v>
      </c>
      <c r="AE219" s="60">
        <f t="shared" si="118"/>
        <v>0</v>
      </c>
      <c r="AF219" s="60">
        <f t="shared" si="118"/>
        <v>0</v>
      </c>
      <c r="AG219" s="60">
        <f t="shared" si="118"/>
        <v>0</v>
      </c>
      <c r="AH219" s="27">
        <f t="shared" si="119"/>
        <v>0</v>
      </c>
    </row>
    <row r="220" spans="1:34" x14ac:dyDescent="0.25">
      <c r="A220" s="31" t="s">
        <v>304</v>
      </c>
      <c r="B220" s="31" t="s">
        <v>305</v>
      </c>
      <c r="C220" s="2">
        <f>'WC def tax 22'!O220</f>
        <v>0</v>
      </c>
      <c r="D220" s="64">
        <f t="shared" si="120"/>
        <v>0</v>
      </c>
      <c r="E220" s="64">
        <f t="shared" si="120"/>
        <v>0</v>
      </c>
      <c r="F220" s="64">
        <f t="shared" si="120"/>
        <v>0</v>
      </c>
      <c r="G220" s="64">
        <f t="shared" si="120"/>
        <v>0</v>
      </c>
      <c r="H220" s="64">
        <f t="shared" si="120"/>
        <v>0</v>
      </c>
      <c r="I220" s="64">
        <f t="shared" si="120"/>
        <v>0</v>
      </c>
      <c r="J220" s="64">
        <f t="shared" si="120"/>
        <v>0</v>
      </c>
      <c r="K220" s="64">
        <f t="shared" si="120"/>
        <v>0</v>
      </c>
      <c r="L220" s="64">
        <f t="shared" si="120"/>
        <v>0</v>
      </c>
      <c r="M220" s="64">
        <f t="shared" si="120"/>
        <v>0</v>
      </c>
      <c r="N220" s="64">
        <f t="shared" si="120"/>
        <v>0</v>
      </c>
      <c r="O220" s="64">
        <f t="shared" si="120"/>
        <v>0</v>
      </c>
      <c r="P220" s="2">
        <f t="shared" si="115"/>
        <v>0</v>
      </c>
      <c r="Q220" s="2">
        <f t="shared" si="116"/>
        <v>0</v>
      </c>
      <c r="R220" s="15" t="s">
        <v>504</v>
      </c>
      <c r="S220" s="15" t="s">
        <v>13</v>
      </c>
      <c r="T220" s="60">
        <f t="shared" si="117"/>
        <v>0</v>
      </c>
      <c r="U220" s="60">
        <f t="shared" si="117"/>
        <v>0</v>
      </c>
      <c r="V220" s="60">
        <f t="shared" si="117"/>
        <v>0</v>
      </c>
      <c r="W220" s="60">
        <f t="shared" si="117"/>
        <v>0</v>
      </c>
      <c r="X220" s="60">
        <f t="shared" si="117"/>
        <v>0</v>
      </c>
      <c r="Y220" s="60">
        <f t="shared" si="117"/>
        <v>0</v>
      </c>
      <c r="Z220" s="15"/>
      <c r="AA220" s="15" t="s">
        <v>13</v>
      </c>
      <c r="AB220" s="60">
        <f t="shared" si="118"/>
        <v>0</v>
      </c>
      <c r="AC220" s="60">
        <f t="shared" si="118"/>
        <v>0</v>
      </c>
      <c r="AD220" s="60">
        <f t="shared" si="118"/>
        <v>0</v>
      </c>
      <c r="AE220" s="60">
        <f t="shared" si="118"/>
        <v>0</v>
      </c>
      <c r="AF220" s="60">
        <f t="shared" si="118"/>
        <v>0</v>
      </c>
      <c r="AG220" s="60">
        <f t="shared" si="118"/>
        <v>0</v>
      </c>
      <c r="AH220" s="27">
        <f t="shared" si="119"/>
        <v>0</v>
      </c>
    </row>
    <row r="221" spans="1:34" x14ac:dyDescent="0.25">
      <c r="A221" s="31" t="s">
        <v>306</v>
      </c>
      <c r="B221" s="31" t="s">
        <v>307</v>
      </c>
      <c r="C221" s="2">
        <f>'WC def tax 22'!O221</f>
        <v>0</v>
      </c>
      <c r="D221" s="64">
        <f t="shared" si="120"/>
        <v>0</v>
      </c>
      <c r="E221" s="64">
        <f t="shared" si="120"/>
        <v>0</v>
      </c>
      <c r="F221" s="64">
        <f t="shared" si="120"/>
        <v>0</v>
      </c>
      <c r="G221" s="64">
        <f t="shared" si="120"/>
        <v>0</v>
      </c>
      <c r="H221" s="64">
        <f t="shared" si="120"/>
        <v>0</v>
      </c>
      <c r="I221" s="64">
        <f t="shared" si="120"/>
        <v>0</v>
      </c>
      <c r="J221" s="64">
        <f t="shared" si="120"/>
        <v>0</v>
      </c>
      <c r="K221" s="64">
        <f t="shared" si="120"/>
        <v>0</v>
      </c>
      <c r="L221" s="64">
        <f t="shared" si="120"/>
        <v>0</v>
      </c>
      <c r="M221" s="64">
        <f t="shared" si="120"/>
        <v>0</v>
      </c>
      <c r="N221" s="64">
        <f t="shared" si="120"/>
        <v>0</v>
      </c>
      <c r="O221" s="64">
        <f t="shared" si="120"/>
        <v>0</v>
      </c>
      <c r="P221" s="2">
        <f t="shared" si="115"/>
        <v>0</v>
      </c>
      <c r="Q221" s="2">
        <f t="shared" si="116"/>
        <v>0</v>
      </c>
      <c r="R221" s="15" t="s">
        <v>504</v>
      </c>
      <c r="S221" s="15" t="s">
        <v>13</v>
      </c>
      <c r="T221" s="60">
        <f t="shared" si="117"/>
        <v>0</v>
      </c>
      <c r="U221" s="60">
        <f t="shared" si="117"/>
        <v>0</v>
      </c>
      <c r="V221" s="60">
        <f t="shared" si="117"/>
        <v>0</v>
      </c>
      <c r="W221" s="60">
        <f t="shared" si="117"/>
        <v>0</v>
      </c>
      <c r="X221" s="60">
        <f t="shared" si="117"/>
        <v>0</v>
      </c>
      <c r="Y221" s="60">
        <f t="shared" si="117"/>
        <v>0</v>
      </c>
      <c r="Z221" s="15"/>
      <c r="AA221" s="15" t="s">
        <v>13</v>
      </c>
      <c r="AB221" s="60">
        <f t="shared" si="118"/>
        <v>0</v>
      </c>
      <c r="AC221" s="60">
        <f t="shared" si="118"/>
        <v>0</v>
      </c>
      <c r="AD221" s="60">
        <f t="shared" si="118"/>
        <v>0</v>
      </c>
      <c r="AE221" s="60">
        <f t="shared" si="118"/>
        <v>0</v>
      </c>
      <c r="AF221" s="60">
        <f t="shared" si="118"/>
        <v>0</v>
      </c>
      <c r="AG221" s="60">
        <f t="shared" si="118"/>
        <v>0</v>
      </c>
      <c r="AH221" s="27">
        <f t="shared" si="119"/>
        <v>0</v>
      </c>
    </row>
    <row r="222" spans="1:34" x14ac:dyDescent="0.25">
      <c r="A222" s="31" t="s">
        <v>308</v>
      </c>
      <c r="B222" s="31" t="s">
        <v>309</v>
      </c>
      <c r="C222" s="2">
        <f>'WC def tax 22'!O222</f>
        <v>0</v>
      </c>
      <c r="D222" s="64">
        <f t="shared" si="120"/>
        <v>0</v>
      </c>
      <c r="E222" s="64">
        <f t="shared" si="120"/>
        <v>0</v>
      </c>
      <c r="F222" s="64">
        <f t="shared" si="120"/>
        <v>0</v>
      </c>
      <c r="G222" s="64">
        <f t="shared" si="120"/>
        <v>0</v>
      </c>
      <c r="H222" s="64">
        <f t="shared" si="120"/>
        <v>0</v>
      </c>
      <c r="I222" s="64">
        <f t="shared" si="120"/>
        <v>0</v>
      </c>
      <c r="J222" s="64">
        <f t="shared" si="120"/>
        <v>0</v>
      </c>
      <c r="K222" s="64">
        <f t="shared" si="120"/>
        <v>0</v>
      </c>
      <c r="L222" s="64">
        <f t="shared" si="120"/>
        <v>0</v>
      </c>
      <c r="M222" s="64">
        <f t="shared" si="120"/>
        <v>0</v>
      </c>
      <c r="N222" s="64">
        <f t="shared" si="120"/>
        <v>0</v>
      </c>
      <c r="O222" s="64">
        <f t="shared" si="120"/>
        <v>0</v>
      </c>
      <c r="P222" s="2">
        <f t="shared" si="115"/>
        <v>0</v>
      </c>
      <c r="Q222" s="2">
        <f t="shared" si="116"/>
        <v>0</v>
      </c>
      <c r="R222" s="15" t="s">
        <v>504</v>
      </c>
      <c r="S222" s="15" t="s">
        <v>13</v>
      </c>
      <c r="T222" s="60">
        <f t="shared" si="117"/>
        <v>0</v>
      </c>
      <c r="U222" s="60">
        <f t="shared" si="117"/>
        <v>0</v>
      </c>
      <c r="V222" s="60">
        <f t="shared" si="117"/>
        <v>0</v>
      </c>
      <c r="W222" s="60">
        <f t="shared" si="117"/>
        <v>0</v>
      </c>
      <c r="X222" s="60">
        <f t="shared" si="117"/>
        <v>0</v>
      </c>
      <c r="Y222" s="60">
        <f t="shared" si="117"/>
        <v>0</v>
      </c>
      <c r="Z222" s="15"/>
      <c r="AA222" s="15" t="s">
        <v>13</v>
      </c>
      <c r="AB222" s="60">
        <f t="shared" si="118"/>
        <v>0</v>
      </c>
      <c r="AC222" s="60">
        <f t="shared" si="118"/>
        <v>0</v>
      </c>
      <c r="AD222" s="60">
        <f t="shared" si="118"/>
        <v>0</v>
      </c>
      <c r="AE222" s="60">
        <f t="shared" si="118"/>
        <v>0</v>
      </c>
      <c r="AF222" s="60">
        <f t="shared" si="118"/>
        <v>0</v>
      </c>
      <c r="AG222" s="60">
        <f t="shared" si="118"/>
        <v>0</v>
      </c>
      <c r="AH222" s="27">
        <f t="shared" si="119"/>
        <v>0</v>
      </c>
    </row>
    <row r="223" spans="1:34" x14ac:dyDescent="0.25">
      <c r="A223" s="31" t="s">
        <v>310</v>
      </c>
      <c r="B223" s="31" t="s">
        <v>311</v>
      </c>
      <c r="C223" s="2">
        <f>'WC def tax 22'!O223</f>
        <v>0</v>
      </c>
      <c r="D223" s="64">
        <f t="shared" si="120"/>
        <v>0</v>
      </c>
      <c r="E223" s="64">
        <f t="shared" si="120"/>
        <v>0</v>
      </c>
      <c r="F223" s="64">
        <f t="shared" si="120"/>
        <v>0</v>
      </c>
      <c r="G223" s="64">
        <f t="shared" si="120"/>
        <v>0</v>
      </c>
      <c r="H223" s="64">
        <f t="shared" si="120"/>
        <v>0</v>
      </c>
      <c r="I223" s="64">
        <f t="shared" si="120"/>
        <v>0</v>
      </c>
      <c r="J223" s="64">
        <f t="shared" si="120"/>
        <v>0</v>
      </c>
      <c r="K223" s="64">
        <f t="shared" si="120"/>
        <v>0</v>
      </c>
      <c r="L223" s="64">
        <f t="shared" si="120"/>
        <v>0</v>
      </c>
      <c r="M223" s="64">
        <f t="shared" si="120"/>
        <v>0</v>
      </c>
      <c r="N223" s="64">
        <f t="shared" si="120"/>
        <v>0</v>
      </c>
      <c r="O223" s="64">
        <f t="shared" si="120"/>
        <v>0</v>
      </c>
      <c r="P223" s="2">
        <f t="shared" si="115"/>
        <v>0</v>
      </c>
      <c r="Q223" s="2">
        <f t="shared" si="116"/>
        <v>0</v>
      </c>
      <c r="R223" s="15" t="s">
        <v>504</v>
      </c>
      <c r="S223" s="15" t="s">
        <v>13</v>
      </c>
      <c r="T223" s="60">
        <f t="shared" si="117"/>
        <v>0</v>
      </c>
      <c r="U223" s="60">
        <f t="shared" si="117"/>
        <v>0</v>
      </c>
      <c r="V223" s="60">
        <f t="shared" si="117"/>
        <v>0</v>
      </c>
      <c r="W223" s="60">
        <f t="shared" si="117"/>
        <v>0</v>
      </c>
      <c r="X223" s="60">
        <f t="shared" si="117"/>
        <v>0</v>
      </c>
      <c r="Y223" s="60">
        <f t="shared" si="117"/>
        <v>0</v>
      </c>
      <c r="Z223" s="15"/>
      <c r="AA223" s="15" t="s">
        <v>13</v>
      </c>
      <c r="AB223" s="60">
        <f t="shared" si="118"/>
        <v>0</v>
      </c>
      <c r="AC223" s="60">
        <f t="shared" si="118"/>
        <v>0</v>
      </c>
      <c r="AD223" s="60">
        <f t="shared" si="118"/>
        <v>0</v>
      </c>
      <c r="AE223" s="60">
        <f t="shared" si="118"/>
        <v>0</v>
      </c>
      <c r="AF223" s="60">
        <f t="shared" si="118"/>
        <v>0</v>
      </c>
      <c r="AG223" s="60">
        <f t="shared" si="118"/>
        <v>0</v>
      </c>
      <c r="AH223" s="27">
        <f t="shared" si="119"/>
        <v>0</v>
      </c>
    </row>
    <row r="224" spans="1:34" x14ac:dyDescent="0.25">
      <c r="A224" s="31" t="s">
        <v>312</v>
      </c>
      <c r="B224" s="31" t="s">
        <v>313</v>
      </c>
      <c r="C224" s="2">
        <f>'WC def tax 22'!O224</f>
        <v>0</v>
      </c>
      <c r="D224" s="64">
        <f t="shared" si="120"/>
        <v>0</v>
      </c>
      <c r="E224" s="64">
        <f t="shared" si="120"/>
        <v>0</v>
      </c>
      <c r="F224" s="64">
        <f t="shared" si="120"/>
        <v>0</v>
      </c>
      <c r="G224" s="64">
        <f t="shared" si="120"/>
        <v>0</v>
      </c>
      <c r="H224" s="64">
        <f t="shared" si="120"/>
        <v>0</v>
      </c>
      <c r="I224" s="64">
        <f t="shared" si="120"/>
        <v>0</v>
      </c>
      <c r="J224" s="64">
        <f t="shared" si="120"/>
        <v>0</v>
      </c>
      <c r="K224" s="64">
        <f t="shared" si="120"/>
        <v>0</v>
      </c>
      <c r="L224" s="64">
        <f t="shared" si="120"/>
        <v>0</v>
      </c>
      <c r="M224" s="64">
        <f t="shared" si="120"/>
        <v>0</v>
      </c>
      <c r="N224" s="64">
        <f t="shared" si="120"/>
        <v>0</v>
      </c>
      <c r="O224" s="64">
        <f t="shared" si="120"/>
        <v>0</v>
      </c>
      <c r="P224" s="2">
        <f t="shared" si="115"/>
        <v>0</v>
      </c>
      <c r="Q224" s="2">
        <f t="shared" si="116"/>
        <v>0</v>
      </c>
      <c r="R224" s="15" t="s">
        <v>504</v>
      </c>
      <c r="S224" s="15" t="s">
        <v>13</v>
      </c>
      <c r="T224" s="60">
        <f>-$Q224*T$3</f>
        <v>0</v>
      </c>
      <c r="U224" s="60">
        <f t="shared" si="117"/>
        <v>0</v>
      </c>
      <c r="V224" s="60">
        <f t="shared" si="117"/>
        <v>0</v>
      </c>
      <c r="W224" s="60">
        <f t="shared" si="117"/>
        <v>0</v>
      </c>
      <c r="X224" s="60">
        <f t="shared" si="117"/>
        <v>0</v>
      </c>
      <c r="Y224" s="60">
        <f t="shared" si="117"/>
        <v>0</v>
      </c>
      <c r="Z224" s="15"/>
      <c r="AA224" s="15" t="s">
        <v>13</v>
      </c>
      <c r="AB224" s="60">
        <f>-$O224*AB$3</f>
        <v>0</v>
      </c>
      <c r="AC224" s="60">
        <f t="shared" si="118"/>
        <v>0</v>
      </c>
      <c r="AD224" s="60">
        <f t="shared" si="118"/>
        <v>0</v>
      </c>
      <c r="AE224" s="60">
        <f t="shared" si="118"/>
        <v>0</v>
      </c>
      <c r="AF224" s="60">
        <f t="shared" si="118"/>
        <v>0</v>
      </c>
      <c r="AG224" s="60">
        <f t="shared" si="118"/>
        <v>0</v>
      </c>
      <c r="AH224" s="27">
        <f t="shared" si="119"/>
        <v>0</v>
      </c>
    </row>
    <row r="225" spans="1:34" x14ac:dyDescent="0.25">
      <c r="A225" s="31" t="s">
        <v>314</v>
      </c>
      <c r="B225" s="31" t="s">
        <v>315</v>
      </c>
      <c r="C225" s="2">
        <f>'WC def tax 22'!O225</f>
        <v>0</v>
      </c>
      <c r="D225" s="64">
        <f t="shared" si="120"/>
        <v>0</v>
      </c>
      <c r="E225" s="64">
        <f t="shared" si="120"/>
        <v>0</v>
      </c>
      <c r="F225" s="64">
        <f t="shared" si="120"/>
        <v>0</v>
      </c>
      <c r="G225" s="64">
        <f t="shared" si="120"/>
        <v>0</v>
      </c>
      <c r="H225" s="64">
        <f t="shared" si="120"/>
        <v>0</v>
      </c>
      <c r="I225" s="64">
        <f t="shared" si="120"/>
        <v>0</v>
      </c>
      <c r="J225" s="64">
        <f t="shared" si="120"/>
        <v>0</v>
      </c>
      <c r="K225" s="64">
        <f t="shared" si="120"/>
        <v>0</v>
      </c>
      <c r="L225" s="64">
        <f t="shared" si="120"/>
        <v>0</v>
      </c>
      <c r="M225" s="64">
        <f t="shared" si="120"/>
        <v>0</v>
      </c>
      <c r="N225" s="64">
        <f t="shared" si="120"/>
        <v>0</v>
      </c>
      <c r="O225" s="64">
        <f t="shared" si="120"/>
        <v>0</v>
      </c>
      <c r="P225" s="2">
        <f t="shared" si="115"/>
        <v>0</v>
      </c>
      <c r="Q225" s="2">
        <f t="shared" si="116"/>
        <v>0</v>
      </c>
      <c r="R225" s="15" t="s">
        <v>504</v>
      </c>
      <c r="S225" s="15" t="s">
        <v>13</v>
      </c>
      <c r="T225" s="60">
        <f>-$Q225*T$3</f>
        <v>0</v>
      </c>
      <c r="U225" s="60">
        <f t="shared" si="117"/>
        <v>0</v>
      </c>
      <c r="V225" s="60">
        <f t="shared" si="117"/>
        <v>0</v>
      </c>
      <c r="W225" s="60">
        <f t="shared" si="117"/>
        <v>0</v>
      </c>
      <c r="X225" s="60">
        <f t="shared" si="117"/>
        <v>0</v>
      </c>
      <c r="Y225" s="60">
        <f t="shared" si="117"/>
        <v>0</v>
      </c>
      <c r="Z225" s="15"/>
      <c r="AA225" s="15" t="s">
        <v>13</v>
      </c>
      <c r="AB225" s="60">
        <f>-$O225*AB$3</f>
        <v>0</v>
      </c>
      <c r="AC225" s="60">
        <f t="shared" si="118"/>
        <v>0</v>
      </c>
      <c r="AD225" s="60">
        <f t="shared" si="118"/>
        <v>0</v>
      </c>
      <c r="AE225" s="60">
        <f t="shared" si="118"/>
        <v>0</v>
      </c>
      <c r="AF225" s="60">
        <f t="shared" si="118"/>
        <v>0</v>
      </c>
      <c r="AG225" s="60">
        <f t="shared" si="118"/>
        <v>0</v>
      </c>
      <c r="AH225" s="27">
        <f t="shared" si="119"/>
        <v>0</v>
      </c>
    </row>
    <row r="226" spans="1:34" x14ac:dyDescent="0.25">
      <c r="A226" s="31" t="s">
        <v>316</v>
      </c>
      <c r="B226" s="31" t="s">
        <v>317</v>
      </c>
      <c r="C226" s="2">
        <f>'WC def tax 22'!O226</f>
        <v>0</v>
      </c>
      <c r="D226" s="64">
        <f t="shared" si="120"/>
        <v>0</v>
      </c>
      <c r="E226" s="64">
        <f t="shared" si="120"/>
        <v>0</v>
      </c>
      <c r="F226" s="64">
        <f t="shared" si="120"/>
        <v>0</v>
      </c>
      <c r="G226" s="64">
        <f t="shared" si="120"/>
        <v>0</v>
      </c>
      <c r="H226" s="64">
        <f t="shared" si="120"/>
        <v>0</v>
      </c>
      <c r="I226" s="64">
        <f t="shared" si="120"/>
        <v>0</v>
      </c>
      <c r="J226" s="64">
        <f t="shared" si="120"/>
        <v>0</v>
      </c>
      <c r="K226" s="64">
        <f t="shared" si="120"/>
        <v>0</v>
      </c>
      <c r="L226" s="64">
        <f t="shared" si="120"/>
        <v>0</v>
      </c>
      <c r="M226" s="64">
        <f t="shared" si="120"/>
        <v>0</v>
      </c>
      <c r="N226" s="64">
        <f t="shared" si="120"/>
        <v>0</v>
      </c>
      <c r="O226" s="64">
        <f t="shared" si="120"/>
        <v>0</v>
      </c>
      <c r="P226" s="2">
        <f t="shared" si="115"/>
        <v>0</v>
      </c>
      <c r="Q226" s="2">
        <f t="shared" si="116"/>
        <v>0</v>
      </c>
      <c r="R226" s="15" t="s">
        <v>504</v>
      </c>
      <c r="S226" s="15" t="s">
        <v>13</v>
      </c>
      <c r="T226" s="60">
        <f t="shared" ref="T226:Y233" si="121">-$Q226*T$3</f>
        <v>0</v>
      </c>
      <c r="U226" s="60">
        <f t="shared" si="121"/>
        <v>0</v>
      </c>
      <c r="V226" s="60">
        <f t="shared" si="121"/>
        <v>0</v>
      </c>
      <c r="W226" s="60">
        <f t="shared" si="121"/>
        <v>0</v>
      </c>
      <c r="X226" s="60">
        <f t="shared" si="121"/>
        <v>0</v>
      </c>
      <c r="Y226" s="60">
        <f t="shared" si="121"/>
        <v>0</v>
      </c>
      <c r="Z226" s="15"/>
      <c r="AA226" s="15" t="s">
        <v>13</v>
      </c>
      <c r="AB226" s="60">
        <f t="shared" ref="AB226:AG233" si="122">-$O226*AB$3</f>
        <v>0</v>
      </c>
      <c r="AC226" s="60">
        <f t="shared" si="122"/>
        <v>0</v>
      </c>
      <c r="AD226" s="60">
        <f t="shared" si="122"/>
        <v>0</v>
      </c>
      <c r="AE226" s="60">
        <f t="shared" si="122"/>
        <v>0</v>
      </c>
      <c r="AF226" s="60">
        <f t="shared" si="122"/>
        <v>0</v>
      </c>
      <c r="AG226" s="60">
        <f t="shared" si="122"/>
        <v>0</v>
      </c>
      <c r="AH226" s="27">
        <f t="shared" si="119"/>
        <v>0</v>
      </c>
    </row>
    <row r="227" spans="1:34" x14ac:dyDescent="0.25">
      <c r="A227" s="31" t="s">
        <v>318</v>
      </c>
      <c r="B227" s="31" t="s">
        <v>319</v>
      </c>
      <c r="C227" s="2">
        <f>'WC def tax 22'!O227</f>
        <v>0</v>
      </c>
      <c r="D227" s="64">
        <f t="shared" si="120"/>
        <v>0</v>
      </c>
      <c r="E227" s="64">
        <f t="shared" si="120"/>
        <v>0</v>
      </c>
      <c r="F227" s="64">
        <f t="shared" si="120"/>
        <v>0</v>
      </c>
      <c r="G227" s="64">
        <f t="shared" si="120"/>
        <v>0</v>
      </c>
      <c r="H227" s="64">
        <f t="shared" si="120"/>
        <v>0</v>
      </c>
      <c r="I227" s="64">
        <f t="shared" si="120"/>
        <v>0</v>
      </c>
      <c r="J227" s="64">
        <f t="shared" si="120"/>
        <v>0</v>
      </c>
      <c r="K227" s="64">
        <f t="shared" si="120"/>
        <v>0</v>
      </c>
      <c r="L227" s="64">
        <f t="shared" si="120"/>
        <v>0</v>
      </c>
      <c r="M227" s="64">
        <f t="shared" si="120"/>
        <v>0</v>
      </c>
      <c r="N227" s="64">
        <f t="shared" si="120"/>
        <v>0</v>
      </c>
      <c r="O227" s="64">
        <f t="shared" si="120"/>
        <v>0</v>
      </c>
      <c r="P227" s="2">
        <f t="shared" si="115"/>
        <v>0</v>
      </c>
      <c r="Q227" s="2">
        <f t="shared" si="116"/>
        <v>0</v>
      </c>
      <c r="R227" s="15" t="s">
        <v>504</v>
      </c>
      <c r="S227" s="15" t="s">
        <v>13</v>
      </c>
      <c r="T227" s="60">
        <f t="shared" si="121"/>
        <v>0</v>
      </c>
      <c r="U227" s="60">
        <f t="shared" si="121"/>
        <v>0</v>
      </c>
      <c r="V227" s="60">
        <f t="shared" si="121"/>
        <v>0</v>
      </c>
      <c r="W227" s="60">
        <f t="shared" si="121"/>
        <v>0</v>
      </c>
      <c r="X227" s="60">
        <f t="shared" si="121"/>
        <v>0</v>
      </c>
      <c r="Y227" s="60">
        <f t="shared" si="121"/>
        <v>0</v>
      </c>
      <c r="Z227" s="15"/>
      <c r="AA227" s="15" t="s">
        <v>13</v>
      </c>
      <c r="AB227" s="60">
        <f t="shared" si="122"/>
        <v>0</v>
      </c>
      <c r="AC227" s="60">
        <f t="shared" si="122"/>
        <v>0</v>
      </c>
      <c r="AD227" s="60">
        <f t="shared" si="122"/>
        <v>0</v>
      </c>
      <c r="AE227" s="60">
        <f t="shared" si="122"/>
        <v>0</v>
      </c>
      <c r="AF227" s="60">
        <f t="shared" si="122"/>
        <v>0</v>
      </c>
      <c r="AG227" s="60">
        <f t="shared" si="122"/>
        <v>0</v>
      </c>
      <c r="AH227" s="27">
        <f t="shared" si="119"/>
        <v>0</v>
      </c>
    </row>
    <row r="228" spans="1:34" x14ac:dyDescent="0.25">
      <c r="A228" s="31" t="s">
        <v>320</v>
      </c>
      <c r="B228" s="31" t="s">
        <v>321</v>
      </c>
      <c r="C228" s="2">
        <f>'WC def tax 22'!O228</f>
        <v>0</v>
      </c>
      <c r="D228" s="64">
        <f t="shared" si="120"/>
        <v>0</v>
      </c>
      <c r="E228" s="64">
        <f t="shared" si="120"/>
        <v>0</v>
      </c>
      <c r="F228" s="64">
        <f t="shared" si="120"/>
        <v>0</v>
      </c>
      <c r="G228" s="64">
        <f t="shared" si="120"/>
        <v>0</v>
      </c>
      <c r="H228" s="64">
        <f t="shared" si="120"/>
        <v>0</v>
      </c>
      <c r="I228" s="64">
        <f t="shared" si="120"/>
        <v>0</v>
      </c>
      <c r="J228" s="64">
        <f t="shared" si="120"/>
        <v>0</v>
      </c>
      <c r="K228" s="64">
        <f t="shared" si="120"/>
        <v>0</v>
      </c>
      <c r="L228" s="64">
        <f t="shared" si="120"/>
        <v>0</v>
      </c>
      <c r="M228" s="64">
        <f t="shared" si="120"/>
        <v>0</v>
      </c>
      <c r="N228" s="64">
        <f t="shared" si="120"/>
        <v>0</v>
      </c>
      <c r="O228" s="64">
        <f t="shared" si="120"/>
        <v>0</v>
      </c>
      <c r="P228" s="2">
        <f t="shared" si="115"/>
        <v>0</v>
      </c>
      <c r="Q228" s="2">
        <f t="shared" si="116"/>
        <v>0</v>
      </c>
      <c r="R228" s="15" t="s">
        <v>504</v>
      </c>
      <c r="S228" s="15" t="s">
        <v>13</v>
      </c>
      <c r="T228" s="60">
        <f t="shared" si="121"/>
        <v>0</v>
      </c>
      <c r="U228" s="60">
        <f t="shared" si="121"/>
        <v>0</v>
      </c>
      <c r="V228" s="60">
        <f t="shared" si="121"/>
        <v>0</v>
      </c>
      <c r="W228" s="60">
        <f t="shared" si="121"/>
        <v>0</v>
      </c>
      <c r="X228" s="60">
        <f t="shared" si="121"/>
        <v>0</v>
      </c>
      <c r="Y228" s="60">
        <f t="shared" si="121"/>
        <v>0</v>
      </c>
      <c r="Z228" s="15"/>
      <c r="AA228" s="15" t="s">
        <v>13</v>
      </c>
      <c r="AB228" s="60">
        <f t="shared" si="122"/>
        <v>0</v>
      </c>
      <c r="AC228" s="60">
        <f t="shared" si="122"/>
        <v>0</v>
      </c>
      <c r="AD228" s="60">
        <f t="shared" si="122"/>
        <v>0</v>
      </c>
      <c r="AE228" s="60">
        <f t="shared" si="122"/>
        <v>0</v>
      </c>
      <c r="AF228" s="60">
        <f t="shared" si="122"/>
        <v>0</v>
      </c>
      <c r="AG228" s="60">
        <f t="shared" si="122"/>
        <v>0</v>
      </c>
      <c r="AH228" s="27">
        <f t="shared" si="119"/>
        <v>0</v>
      </c>
    </row>
    <row r="229" spans="1:34" x14ac:dyDescent="0.25">
      <c r="A229" s="31" t="s">
        <v>322</v>
      </c>
      <c r="B229" s="31" t="s">
        <v>323</v>
      </c>
      <c r="C229" s="2">
        <f>'WC def tax 22'!O229</f>
        <v>0</v>
      </c>
      <c r="D229" s="64">
        <f t="shared" si="120"/>
        <v>0</v>
      </c>
      <c r="E229" s="64">
        <f t="shared" si="120"/>
        <v>0</v>
      </c>
      <c r="F229" s="64">
        <f t="shared" si="120"/>
        <v>0</v>
      </c>
      <c r="G229" s="64">
        <f t="shared" si="120"/>
        <v>0</v>
      </c>
      <c r="H229" s="64">
        <f t="shared" si="120"/>
        <v>0</v>
      </c>
      <c r="I229" s="64">
        <f t="shared" si="120"/>
        <v>0</v>
      </c>
      <c r="J229" s="64">
        <f t="shared" si="120"/>
        <v>0</v>
      </c>
      <c r="K229" s="64">
        <f t="shared" si="120"/>
        <v>0</v>
      </c>
      <c r="L229" s="64">
        <f t="shared" si="120"/>
        <v>0</v>
      </c>
      <c r="M229" s="64">
        <f t="shared" si="120"/>
        <v>0</v>
      </c>
      <c r="N229" s="64">
        <f t="shared" si="120"/>
        <v>0</v>
      </c>
      <c r="O229" s="64">
        <f t="shared" si="120"/>
        <v>0</v>
      </c>
      <c r="P229" s="2">
        <f t="shared" si="115"/>
        <v>0</v>
      </c>
      <c r="Q229" s="2">
        <f t="shared" si="116"/>
        <v>0</v>
      </c>
      <c r="R229" s="15" t="s">
        <v>504</v>
      </c>
      <c r="S229" s="15" t="s">
        <v>13</v>
      </c>
      <c r="T229" s="60">
        <f t="shared" si="121"/>
        <v>0</v>
      </c>
      <c r="U229" s="60">
        <f t="shared" si="121"/>
        <v>0</v>
      </c>
      <c r="V229" s="60">
        <f t="shared" si="121"/>
        <v>0</v>
      </c>
      <c r="W229" s="60">
        <f t="shared" si="121"/>
        <v>0</v>
      </c>
      <c r="X229" s="60">
        <f t="shared" si="121"/>
        <v>0</v>
      </c>
      <c r="Y229" s="60">
        <f t="shared" si="121"/>
        <v>0</v>
      </c>
      <c r="Z229" s="15"/>
      <c r="AA229" s="15" t="s">
        <v>13</v>
      </c>
      <c r="AB229" s="60">
        <f t="shared" si="122"/>
        <v>0</v>
      </c>
      <c r="AC229" s="60">
        <f t="shared" si="122"/>
        <v>0</v>
      </c>
      <c r="AD229" s="60">
        <f t="shared" si="122"/>
        <v>0</v>
      </c>
      <c r="AE229" s="60">
        <f t="shared" si="122"/>
        <v>0</v>
      </c>
      <c r="AF229" s="60">
        <f t="shared" si="122"/>
        <v>0</v>
      </c>
      <c r="AG229" s="60">
        <f t="shared" si="122"/>
        <v>0</v>
      </c>
      <c r="AH229" s="27"/>
    </row>
    <row r="230" spans="1:34" x14ac:dyDescent="0.25">
      <c r="A230" s="31" t="s">
        <v>324</v>
      </c>
      <c r="B230" s="31" t="s">
        <v>325</v>
      </c>
      <c r="C230" s="2">
        <f>'WC def tax 22'!O230</f>
        <v>0</v>
      </c>
      <c r="D230" s="64">
        <f t="shared" si="120"/>
        <v>0</v>
      </c>
      <c r="E230" s="64">
        <f t="shared" si="120"/>
        <v>0</v>
      </c>
      <c r="F230" s="64">
        <f t="shared" si="120"/>
        <v>0</v>
      </c>
      <c r="G230" s="64">
        <f t="shared" si="120"/>
        <v>0</v>
      </c>
      <c r="H230" s="64">
        <f t="shared" si="120"/>
        <v>0</v>
      </c>
      <c r="I230" s="64">
        <f t="shared" si="120"/>
        <v>0</v>
      </c>
      <c r="J230" s="64">
        <f t="shared" si="120"/>
        <v>0</v>
      </c>
      <c r="K230" s="64">
        <f t="shared" si="120"/>
        <v>0</v>
      </c>
      <c r="L230" s="64">
        <f t="shared" si="120"/>
        <v>0</v>
      </c>
      <c r="M230" s="64">
        <f t="shared" si="120"/>
        <v>0</v>
      </c>
      <c r="N230" s="64">
        <f t="shared" si="120"/>
        <v>0</v>
      </c>
      <c r="O230" s="64">
        <f t="shared" si="120"/>
        <v>0</v>
      </c>
      <c r="P230" s="2">
        <f t="shared" si="115"/>
        <v>0</v>
      </c>
      <c r="Q230" s="2">
        <f t="shared" si="116"/>
        <v>0</v>
      </c>
      <c r="R230" s="15" t="s">
        <v>504</v>
      </c>
      <c r="S230" s="15" t="s">
        <v>13</v>
      </c>
      <c r="T230" s="60">
        <f t="shared" si="121"/>
        <v>0</v>
      </c>
      <c r="U230" s="60">
        <f t="shared" si="121"/>
        <v>0</v>
      </c>
      <c r="V230" s="60">
        <f t="shared" si="121"/>
        <v>0</v>
      </c>
      <c r="W230" s="60">
        <f t="shared" si="121"/>
        <v>0</v>
      </c>
      <c r="X230" s="60">
        <f t="shared" si="121"/>
        <v>0</v>
      </c>
      <c r="Y230" s="60">
        <f t="shared" si="121"/>
        <v>0</v>
      </c>
      <c r="Z230" s="15"/>
      <c r="AA230" s="15" t="s">
        <v>13</v>
      </c>
      <c r="AB230" s="60">
        <f t="shared" si="122"/>
        <v>0</v>
      </c>
      <c r="AC230" s="60">
        <f t="shared" si="122"/>
        <v>0</v>
      </c>
      <c r="AD230" s="60">
        <f t="shared" si="122"/>
        <v>0</v>
      </c>
      <c r="AE230" s="60">
        <f t="shared" si="122"/>
        <v>0</v>
      </c>
      <c r="AF230" s="60">
        <f t="shared" si="122"/>
        <v>0</v>
      </c>
      <c r="AG230" s="60">
        <f t="shared" si="122"/>
        <v>0</v>
      </c>
      <c r="AH230" s="27"/>
    </row>
    <row r="231" spans="1:34" x14ac:dyDescent="0.25">
      <c r="A231" s="31" t="s">
        <v>326</v>
      </c>
      <c r="B231" s="31" t="s">
        <v>327</v>
      </c>
      <c r="C231" s="2">
        <f>'WC def tax 22'!O231</f>
        <v>0</v>
      </c>
      <c r="D231" s="64">
        <f t="shared" si="120"/>
        <v>0</v>
      </c>
      <c r="E231" s="64">
        <f t="shared" si="120"/>
        <v>0</v>
      </c>
      <c r="F231" s="64">
        <f t="shared" si="120"/>
        <v>0</v>
      </c>
      <c r="G231" s="64">
        <f t="shared" si="120"/>
        <v>0</v>
      </c>
      <c r="H231" s="64">
        <f t="shared" si="120"/>
        <v>0</v>
      </c>
      <c r="I231" s="64">
        <f t="shared" si="120"/>
        <v>0</v>
      </c>
      <c r="J231" s="64">
        <f t="shared" si="120"/>
        <v>0</v>
      </c>
      <c r="K231" s="64">
        <f t="shared" si="120"/>
        <v>0</v>
      </c>
      <c r="L231" s="64">
        <f t="shared" si="120"/>
        <v>0</v>
      </c>
      <c r="M231" s="64">
        <f t="shared" si="120"/>
        <v>0</v>
      </c>
      <c r="N231" s="64">
        <f t="shared" si="120"/>
        <v>0</v>
      </c>
      <c r="O231" s="64">
        <f t="shared" si="120"/>
        <v>0</v>
      </c>
      <c r="P231" s="2">
        <f t="shared" si="115"/>
        <v>0</v>
      </c>
      <c r="Q231" s="2">
        <f t="shared" si="116"/>
        <v>0</v>
      </c>
      <c r="R231" s="15" t="s">
        <v>504</v>
      </c>
      <c r="S231" s="15" t="s">
        <v>13</v>
      </c>
      <c r="T231" s="60">
        <f t="shared" si="121"/>
        <v>0</v>
      </c>
      <c r="U231" s="60">
        <f t="shared" si="121"/>
        <v>0</v>
      </c>
      <c r="V231" s="60">
        <f t="shared" si="121"/>
        <v>0</v>
      </c>
      <c r="W231" s="60">
        <f t="shared" si="121"/>
        <v>0</v>
      </c>
      <c r="X231" s="60">
        <f t="shared" si="121"/>
        <v>0</v>
      </c>
      <c r="Y231" s="60">
        <f t="shared" si="121"/>
        <v>0</v>
      </c>
      <c r="Z231" s="15"/>
      <c r="AA231" s="15" t="s">
        <v>13</v>
      </c>
      <c r="AB231" s="60">
        <f t="shared" si="122"/>
        <v>0</v>
      </c>
      <c r="AC231" s="60">
        <f t="shared" si="122"/>
        <v>0</v>
      </c>
      <c r="AD231" s="60">
        <f t="shared" si="122"/>
        <v>0</v>
      </c>
      <c r="AE231" s="60">
        <f t="shared" si="122"/>
        <v>0</v>
      </c>
      <c r="AF231" s="60">
        <f t="shared" si="122"/>
        <v>0</v>
      </c>
      <c r="AG231" s="60">
        <f t="shared" si="122"/>
        <v>0</v>
      </c>
      <c r="AH231" s="27"/>
    </row>
    <row r="232" spans="1:34" x14ac:dyDescent="0.25">
      <c r="A232" s="31" t="s">
        <v>328</v>
      </c>
      <c r="B232" s="31" t="s">
        <v>329</v>
      </c>
      <c r="C232" s="2">
        <f>'WC def tax 22'!O232</f>
        <v>0</v>
      </c>
      <c r="D232" s="64">
        <f t="shared" si="120"/>
        <v>0</v>
      </c>
      <c r="E232" s="64">
        <f t="shared" si="120"/>
        <v>0</v>
      </c>
      <c r="F232" s="64">
        <f t="shared" si="120"/>
        <v>0</v>
      </c>
      <c r="G232" s="64">
        <f t="shared" si="120"/>
        <v>0</v>
      </c>
      <c r="H232" s="64">
        <f t="shared" si="120"/>
        <v>0</v>
      </c>
      <c r="I232" s="64">
        <f t="shared" si="120"/>
        <v>0</v>
      </c>
      <c r="J232" s="64">
        <f t="shared" si="120"/>
        <v>0</v>
      </c>
      <c r="K232" s="64">
        <f t="shared" si="120"/>
        <v>0</v>
      </c>
      <c r="L232" s="64">
        <f t="shared" si="120"/>
        <v>0</v>
      </c>
      <c r="M232" s="64">
        <f t="shared" si="120"/>
        <v>0</v>
      </c>
      <c r="N232" s="64">
        <f t="shared" si="120"/>
        <v>0</v>
      </c>
      <c r="O232" s="64">
        <f t="shared" si="120"/>
        <v>0</v>
      </c>
      <c r="P232" s="2">
        <f t="shared" si="115"/>
        <v>0</v>
      </c>
      <c r="Q232" s="2">
        <f t="shared" si="116"/>
        <v>0</v>
      </c>
      <c r="R232" s="15" t="s">
        <v>504</v>
      </c>
      <c r="S232" s="15" t="s">
        <v>13</v>
      </c>
      <c r="T232" s="60">
        <f t="shared" si="121"/>
        <v>0</v>
      </c>
      <c r="U232" s="60">
        <f t="shared" si="121"/>
        <v>0</v>
      </c>
      <c r="V232" s="60">
        <f t="shared" si="121"/>
        <v>0</v>
      </c>
      <c r="W232" s="60">
        <f t="shared" si="121"/>
        <v>0</v>
      </c>
      <c r="X232" s="60">
        <f t="shared" si="121"/>
        <v>0</v>
      </c>
      <c r="Y232" s="60">
        <f t="shared" si="121"/>
        <v>0</v>
      </c>
      <c r="Z232" s="15"/>
      <c r="AA232" s="15" t="s">
        <v>13</v>
      </c>
      <c r="AB232" s="60">
        <f t="shared" si="122"/>
        <v>0</v>
      </c>
      <c r="AC232" s="60">
        <f t="shared" si="122"/>
        <v>0</v>
      </c>
      <c r="AD232" s="60">
        <f t="shared" si="122"/>
        <v>0</v>
      </c>
      <c r="AE232" s="60">
        <f t="shared" si="122"/>
        <v>0</v>
      </c>
      <c r="AF232" s="60">
        <f t="shared" si="122"/>
        <v>0</v>
      </c>
      <c r="AG232" s="60">
        <f t="shared" si="122"/>
        <v>0</v>
      </c>
      <c r="AH232" s="27"/>
    </row>
    <row r="233" spans="1:34" x14ac:dyDescent="0.25">
      <c r="A233" s="31" t="s">
        <v>330</v>
      </c>
      <c r="B233" s="31" t="s">
        <v>331</v>
      </c>
      <c r="C233" s="2">
        <f>'WC def tax 22'!O233</f>
        <v>0</v>
      </c>
      <c r="D233" s="64">
        <f t="shared" si="120"/>
        <v>0</v>
      </c>
      <c r="E233" s="64">
        <f t="shared" si="120"/>
        <v>0</v>
      </c>
      <c r="F233" s="64">
        <f t="shared" si="120"/>
        <v>0</v>
      </c>
      <c r="G233" s="64">
        <f t="shared" si="120"/>
        <v>0</v>
      </c>
      <c r="H233" s="64">
        <f t="shared" si="120"/>
        <v>0</v>
      </c>
      <c r="I233" s="64">
        <f t="shared" si="120"/>
        <v>0</v>
      </c>
      <c r="J233" s="64">
        <f t="shared" si="120"/>
        <v>0</v>
      </c>
      <c r="K233" s="64">
        <f t="shared" si="120"/>
        <v>0</v>
      </c>
      <c r="L233" s="64">
        <f t="shared" si="120"/>
        <v>0</v>
      </c>
      <c r="M233" s="64">
        <f t="shared" si="120"/>
        <v>0</v>
      </c>
      <c r="N233" s="64">
        <f t="shared" si="120"/>
        <v>0</v>
      </c>
      <c r="O233" s="64">
        <f t="shared" si="120"/>
        <v>0</v>
      </c>
      <c r="P233" s="2">
        <f t="shared" si="115"/>
        <v>0</v>
      </c>
      <c r="Q233" s="2">
        <f t="shared" si="116"/>
        <v>0</v>
      </c>
      <c r="R233" s="15" t="s">
        <v>504</v>
      </c>
      <c r="S233" s="15" t="s">
        <v>13</v>
      </c>
      <c r="T233" s="60">
        <f t="shared" si="121"/>
        <v>0</v>
      </c>
      <c r="U233" s="60">
        <f t="shared" si="121"/>
        <v>0</v>
      </c>
      <c r="V233" s="60">
        <f t="shared" si="121"/>
        <v>0</v>
      </c>
      <c r="W233" s="60">
        <f t="shared" si="121"/>
        <v>0</v>
      </c>
      <c r="X233" s="60">
        <f t="shared" si="121"/>
        <v>0</v>
      </c>
      <c r="Y233" s="60">
        <f t="shared" si="121"/>
        <v>0</v>
      </c>
      <c r="Z233" s="15"/>
      <c r="AA233" s="15" t="s">
        <v>13</v>
      </c>
      <c r="AB233" s="60">
        <f t="shared" si="122"/>
        <v>0</v>
      </c>
      <c r="AC233" s="60">
        <f t="shared" si="122"/>
        <v>0</v>
      </c>
      <c r="AD233" s="60">
        <f t="shared" si="122"/>
        <v>0</v>
      </c>
      <c r="AE233" s="60">
        <f t="shared" si="122"/>
        <v>0</v>
      </c>
      <c r="AF233" s="60">
        <f t="shared" si="122"/>
        <v>0</v>
      </c>
      <c r="AG233" s="60">
        <f t="shared" si="122"/>
        <v>0</v>
      </c>
      <c r="AH233" s="27"/>
    </row>
    <row r="234" spans="1:34" x14ac:dyDescent="0.25">
      <c r="A234" s="35"/>
      <c r="B234" s="35"/>
      <c r="C234" s="36" t="s">
        <v>67</v>
      </c>
      <c r="D234" s="36" t="s">
        <v>67</v>
      </c>
      <c r="E234" s="36" t="s">
        <v>67</v>
      </c>
      <c r="F234" s="36" t="s">
        <v>67</v>
      </c>
      <c r="G234" s="36" t="s">
        <v>67</v>
      </c>
      <c r="H234" s="36" t="s">
        <v>67</v>
      </c>
      <c r="I234" s="36" t="s">
        <v>67</v>
      </c>
      <c r="J234" s="36" t="s">
        <v>67</v>
      </c>
      <c r="K234" s="36" t="s">
        <v>67</v>
      </c>
      <c r="L234" s="36" t="s">
        <v>67</v>
      </c>
      <c r="M234" s="36" t="s">
        <v>67</v>
      </c>
      <c r="N234" s="36" t="s">
        <v>67</v>
      </c>
      <c r="O234" s="36" t="s">
        <v>67</v>
      </c>
      <c r="P234" s="36" t="s">
        <v>67</v>
      </c>
      <c r="Q234" s="36" t="s">
        <v>67</v>
      </c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27"/>
    </row>
    <row r="235" spans="1:34" x14ac:dyDescent="0.25">
      <c r="A235" s="37" t="s">
        <v>332</v>
      </c>
      <c r="B235" s="38"/>
      <c r="C235" s="39">
        <f>SUM(C218:C233)</f>
        <v>72210.210000000006</v>
      </c>
      <c r="D235" s="39">
        <f t="shared" ref="D235:Q235" si="123">SUM(D218:D233)</f>
        <v>83034.210000000006</v>
      </c>
      <c r="E235" s="39">
        <f t="shared" si="123"/>
        <v>93858.21</v>
      </c>
      <c r="F235" s="39">
        <f t="shared" si="123"/>
        <v>104682.21</v>
      </c>
      <c r="G235" s="39">
        <f t="shared" si="123"/>
        <v>115506.21</v>
      </c>
      <c r="H235" s="39">
        <f t="shared" si="123"/>
        <v>126330.21</v>
      </c>
      <c r="I235" s="39">
        <f t="shared" si="123"/>
        <v>137154.21000000002</v>
      </c>
      <c r="J235" s="39">
        <f t="shared" si="123"/>
        <v>147978.21000000002</v>
      </c>
      <c r="K235" s="39">
        <f t="shared" si="123"/>
        <v>158802.21000000002</v>
      </c>
      <c r="L235" s="39">
        <f t="shared" si="123"/>
        <v>169626.21000000002</v>
      </c>
      <c r="M235" s="39">
        <f t="shared" si="123"/>
        <v>180450.21000000002</v>
      </c>
      <c r="N235" s="39">
        <f t="shared" si="123"/>
        <v>191274.21000000002</v>
      </c>
      <c r="O235" s="39">
        <f t="shared" si="123"/>
        <v>202098.21000000002</v>
      </c>
      <c r="P235" s="39">
        <f t="shared" si="123"/>
        <v>1783004.7299999997</v>
      </c>
      <c r="Q235" s="147">
        <f t="shared" si="123"/>
        <v>137154.21</v>
      </c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27"/>
    </row>
    <row r="236" spans="1:34" x14ac:dyDescent="0.25">
      <c r="A236" s="35"/>
      <c r="B236" s="35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27">
        <f>SUM(AB236:AG236)+O236</f>
        <v>0</v>
      </c>
    </row>
    <row r="237" spans="1:34" x14ac:dyDescent="0.25">
      <c r="A237" s="37" t="s">
        <v>333</v>
      </c>
      <c r="B237" s="38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27">
        <f>SUM(AB237:AG237)+O237</f>
        <v>0</v>
      </c>
    </row>
    <row r="238" spans="1:34" x14ac:dyDescent="0.25">
      <c r="A238" s="31" t="s">
        <v>334</v>
      </c>
      <c r="B238" s="31" t="s">
        <v>335</v>
      </c>
      <c r="C238" s="2">
        <f>'WC def tax 22'!O238</f>
        <v>-240638</v>
      </c>
      <c r="D238" s="64">
        <f>C238+4011</f>
        <v>-236627</v>
      </c>
      <c r="E238" s="64">
        <f t="shared" ref="E238:O238" si="124">D238+4011</f>
        <v>-232616</v>
      </c>
      <c r="F238" s="64">
        <f t="shared" si="124"/>
        <v>-228605</v>
      </c>
      <c r="G238" s="64">
        <f t="shared" si="124"/>
        <v>-224594</v>
      </c>
      <c r="H238" s="64">
        <f t="shared" si="124"/>
        <v>-220583</v>
      </c>
      <c r="I238" s="64">
        <f t="shared" si="124"/>
        <v>-216572</v>
      </c>
      <c r="J238" s="64">
        <f t="shared" si="124"/>
        <v>-212561</v>
      </c>
      <c r="K238" s="64">
        <f t="shared" si="124"/>
        <v>-208550</v>
      </c>
      <c r="L238" s="64">
        <f t="shared" si="124"/>
        <v>-204539</v>
      </c>
      <c r="M238" s="64">
        <f t="shared" si="124"/>
        <v>-200528</v>
      </c>
      <c r="N238" s="64">
        <f t="shared" si="124"/>
        <v>-196517</v>
      </c>
      <c r="O238" s="64">
        <f t="shared" si="124"/>
        <v>-192506</v>
      </c>
      <c r="P238" s="2">
        <f t="shared" ref="P238:P239" si="125">SUM(C238:O238)</f>
        <v>-2815436</v>
      </c>
      <c r="Q238" s="2">
        <f t="shared" ref="Q238:Q239" si="126">P238/13</f>
        <v>-216572</v>
      </c>
      <c r="R238" s="15" t="s">
        <v>504</v>
      </c>
      <c r="S238" s="15" t="s">
        <v>13</v>
      </c>
      <c r="T238" s="60">
        <f t="shared" ref="T238:Y239" si="127">-$Q238*T$3</f>
        <v>35117.149799999999</v>
      </c>
      <c r="U238" s="60">
        <f t="shared" si="127"/>
        <v>84833.418120000002</v>
      </c>
      <c r="V238" s="60">
        <f t="shared" si="127"/>
        <v>39823.259359999996</v>
      </c>
      <c r="W238" s="60">
        <f t="shared" si="127"/>
        <v>768.8306</v>
      </c>
      <c r="X238" s="60">
        <f t="shared" si="127"/>
        <v>240.39492000000001</v>
      </c>
      <c r="Y238" s="60">
        <f t="shared" si="127"/>
        <v>55793.278640000004</v>
      </c>
      <c r="Z238" s="15"/>
      <c r="AA238" s="15" t="s">
        <v>13</v>
      </c>
      <c r="AB238" s="60">
        <f t="shared" ref="AB238:AG239" si="128">-$O238*AB$3</f>
        <v>31214.847899999997</v>
      </c>
      <c r="AC238" s="60">
        <f t="shared" si="128"/>
        <v>75406.525259999995</v>
      </c>
      <c r="AD238" s="60">
        <f t="shared" si="128"/>
        <v>35398.003279999997</v>
      </c>
      <c r="AE238" s="60">
        <f t="shared" si="128"/>
        <v>683.3963</v>
      </c>
      <c r="AF238" s="60">
        <f t="shared" si="128"/>
        <v>213.68166000000002</v>
      </c>
      <c r="AG238" s="60">
        <f t="shared" si="128"/>
        <v>49593.39572</v>
      </c>
      <c r="AH238" s="27"/>
    </row>
    <row r="239" spans="1:34" x14ac:dyDescent="0.25">
      <c r="A239" s="31" t="s">
        <v>336</v>
      </c>
      <c r="B239" s="31" t="s">
        <v>337</v>
      </c>
      <c r="C239" s="2">
        <f>'WC def tax 22'!O239</f>
        <v>268993</v>
      </c>
      <c r="D239" s="64">
        <f>C239-1366</f>
        <v>267627</v>
      </c>
      <c r="E239" s="64">
        <f t="shared" ref="E239:O239" si="129">D239-1366</f>
        <v>266261</v>
      </c>
      <c r="F239" s="64">
        <f t="shared" si="129"/>
        <v>264895</v>
      </c>
      <c r="G239" s="64">
        <f t="shared" si="129"/>
        <v>263529</v>
      </c>
      <c r="H239" s="64">
        <f t="shared" si="129"/>
        <v>262163</v>
      </c>
      <c r="I239" s="64">
        <f t="shared" si="129"/>
        <v>260797</v>
      </c>
      <c r="J239" s="64">
        <f t="shared" si="129"/>
        <v>259431</v>
      </c>
      <c r="K239" s="64">
        <f t="shared" si="129"/>
        <v>258065</v>
      </c>
      <c r="L239" s="64">
        <f t="shared" si="129"/>
        <v>256699</v>
      </c>
      <c r="M239" s="64">
        <f t="shared" si="129"/>
        <v>255333</v>
      </c>
      <c r="N239" s="64">
        <f t="shared" si="129"/>
        <v>253967</v>
      </c>
      <c r="O239" s="64">
        <f t="shared" si="129"/>
        <v>252601</v>
      </c>
      <c r="P239" s="2">
        <f t="shared" si="125"/>
        <v>3390361</v>
      </c>
      <c r="Q239" s="2">
        <f t="shared" si="126"/>
        <v>260797</v>
      </c>
      <c r="R239" s="15" t="s">
        <v>504</v>
      </c>
      <c r="S239" s="15" t="s">
        <v>13</v>
      </c>
      <c r="T239" s="60">
        <f t="shared" si="127"/>
        <v>-42288.233549999997</v>
      </c>
      <c r="U239" s="60">
        <f t="shared" si="127"/>
        <v>-102156.79287</v>
      </c>
      <c r="V239" s="60">
        <f t="shared" si="127"/>
        <v>-47955.352359999997</v>
      </c>
      <c r="W239" s="60">
        <f t="shared" si="127"/>
        <v>-925.82935000000009</v>
      </c>
      <c r="X239" s="60">
        <f t="shared" si="127"/>
        <v>-289.48467000000005</v>
      </c>
      <c r="Y239" s="60">
        <f t="shared" si="127"/>
        <v>-67186.523140000005</v>
      </c>
      <c r="Z239" s="15"/>
      <c r="AA239" s="15" t="s">
        <v>13</v>
      </c>
      <c r="AB239" s="60">
        <f t="shared" si="128"/>
        <v>-40959.25215</v>
      </c>
      <c r="AC239" s="60">
        <f t="shared" si="128"/>
        <v>-98946.337710000007</v>
      </c>
      <c r="AD239" s="60">
        <f t="shared" si="128"/>
        <v>-46448.27188</v>
      </c>
      <c r="AE239" s="60">
        <f t="shared" si="128"/>
        <v>-896.73355000000004</v>
      </c>
      <c r="AF239" s="60">
        <f t="shared" si="128"/>
        <v>-280.38711000000001</v>
      </c>
      <c r="AG239" s="60">
        <f t="shared" si="128"/>
        <v>-65075.069620000002</v>
      </c>
      <c r="AH239" s="27"/>
    </row>
    <row r="240" spans="1:34" x14ac:dyDescent="0.25">
      <c r="A240" s="35"/>
      <c r="B240" s="35"/>
      <c r="C240" s="36" t="s">
        <v>67</v>
      </c>
      <c r="D240" s="36" t="s">
        <v>67</v>
      </c>
      <c r="E240" s="36" t="s">
        <v>67</v>
      </c>
      <c r="F240" s="36" t="s">
        <v>67</v>
      </c>
      <c r="G240" s="36" t="s">
        <v>67</v>
      </c>
      <c r="H240" s="36" t="s">
        <v>67</v>
      </c>
      <c r="I240" s="36" t="s">
        <v>67</v>
      </c>
      <c r="J240" s="36" t="s">
        <v>67</v>
      </c>
      <c r="K240" s="36" t="s">
        <v>67</v>
      </c>
      <c r="L240" s="36" t="s">
        <v>67</v>
      </c>
      <c r="M240" s="36" t="s">
        <v>67</v>
      </c>
      <c r="N240" s="36" t="s">
        <v>67</v>
      </c>
      <c r="O240" s="36" t="s">
        <v>67</v>
      </c>
      <c r="P240" s="36" t="s">
        <v>67</v>
      </c>
      <c r="Q240" s="36" t="s">
        <v>67</v>
      </c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27"/>
    </row>
    <row r="241" spans="1:34" x14ac:dyDescent="0.25">
      <c r="A241" s="37" t="s">
        <v>338</v>
      </c>
      <c r="B241" s="38"/>
      <c r="C241" s="39">
        <f>SUM(C238:C239)</f>
        <v>28355</v>
      </c>
      <c r="D241" s="39">
        <f t="shared" ref="D241:Q241" si="130">SUM(D238:D239)</f>
        <v>31000</v>
      </c>
      <c r="E241" s="39">
        <f t="shared" si="130"/>
        <v>33645</v>
      </c>
      <c r="F241" s="39">
        <f t="shared" si="130"/>
        <v>36290</v>
      </c>
      <c r="G241" s="39">
        <f t="shared" si="130"/>
        <v>38935</v>
      </c>
      <c r="H241" s="39">
        <f t="shared" si="130"/>
        <v>41580</v>
      </c>
      <c r="I241" s="39">
        <f t="shared" si="130"/>
        <v>44225</v>
      </c>
      <c r="J241" s="39">
        <f t="shared" si="130"/>
        <v>46870</v>
      </c>
      <c r="K241" s="39">
        <f t="shared" si="130"/>
        <v>49515</v>
      </c>
      <c r="L241" s="39">
        <f t="shared" si="130"/>
        <v>52160</v>
      </c>
      <c r="M241" s="39">
        <f t="shared" si="130"/>
        <v>54805</v>
      </c>
      <c r="N241" s="39">
        <f t="shared" si="130"/>
        <v>57450</v>
      </c>
      <c r="O241" s="39">
        <f t="shared" si="130"/>
        <v>60095</v>
      </c>
      <c r="P241" s="39">
        <f t="shared" si="130"/>
        <v>574925</v>
      </c>
      <c r="Q241" s="147">
        <f t="shared" si="130"/>
        <v>44225</v>
      </c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27"/>
    </row>
    <row r="242" spans="1:34" x14ac:dyDescent="0.25">
      <c r="A242" s="35"/>
      <c r="B242" s="35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27">
        <f t="shared" ref="AH242:AH247" si="131">SUM(AB242:AG242)+O242</f>
        <v>0</v>
      </c>
    </row>
    <row r="243" spans="1:34" x14ac:dyDescent="0.25">
      <c r="A243" s="21" t="s">
        <v>339</v>
      </c>
      <c r="B243" s="22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27">
        <f t="shared" si="131"/>
        <v>0</v>
      </c>
    </row>
    <row r="244" spans="1:34" x14ac:dyDescent="0.25">
      <c r="A244" s="13" t="s">
        <v>340</v>
      </c>
      <c r="B244" s="13" t="s">
        <v>341</v>
      </c>
      <c r="C244" s="2">
        <f>'WC def tax 22'!O244</f>
        <v>-13579024</v>
      </c>
      <c r="D244" s="64">
        <f>C244</f>
        <v>-13579024</v>
      </c>
      <c r="E244" s="64">
        <f t="shared" ref="E244:O244" si="132">D244</f>
        <v>-13579024</v>
      </c>
      <c r="F244" s="64">
        <f t="shared" si="132"/>
        <v>-13579024</v>
      </c>
      <c r="G244" s="64">
        <f t="shared" si="132"/>
        <v>-13579024</v>
      </c>
      <c r="H244" s="64">
        <f t="shared" si="132"/>
        <v>-13579024</v>
      </c>
      <c r="I244" s="64">
        <f t="shared" si="132"/>
        <v>-13579024</v>
      </c>
      <c r="J244" s="64">
        <f t="shared" si="132"/>
        <v>-13579024</v>
      </c>
      <c r="K244" s="64">
        <f t="shared" si="132"/>
        <v>-13579024</v>
      </c>
      <c r="L244" s="64">
        <f t="shared" si="132"/>
        <v>-13579024</v>
      </c>
      <c r="M244" s="64">
        <f t="shared" si="132"/>
        <v>-13579024</v>
      </c>
      <c r="N244" s="64">
        <f t="shared" si="132"/>
        <v>-13579024</v>
      </c>
      <c r="O244" s="64">
        <f t="shared" si="132"/>
        <v>-13579024</v>
      </c>
      <c r="P244" s="2">
        <f t="shared" ref="P244:P249" si="133">SUM(C244:O244)</f>
        <v>-176527312</v>
      </c>
      <c r="Q244" s="2">
        <f t="shared" ref="Q244:Q249" si="134">P244/13</f>
        <v>-13579024</v>
      </c>
      <c r="R244" s="15" t="s">
        <v>503</v>
      </c>
      <c r="S244" s="15" t="s">
        <v>29</v>
      </c>
      <c r="T244" s="15">
        <f t="shared" ref="T244:Y249" si="135">-$Q244*T$6</f>
        <v>3421914.048</v>
      </c>
      <c r="U244" s="15">
        <f t="shared" si="135"/>
        <v>7061092.4800000004</v>
      </c>
      <c r="V244" s="15">
        <f t="shared" si="135"/>
        <v>0</v>
      </c>
      <c r="W244" s="15">
        <f t="shared" si="135"/>
        <v>0</v>
      </c>
      <c r="X244" s="15">
        <f t="shared" si="135"/>
        <v>0</v>
      </c>
      <c r="Y244" s="15">
        <f t="shared" si="135"/>
        <v>3096017.4720000001</v>
      </c>
      <c r="Z244" s="15"/>
      <c r="AA244" s="15" t="s">
        <v>29</v>
      </c>
      <c r="AB244" s="15">
        <f t="shared" ref="AB244:AG249" si="136">-$O244*AB$6</f>
        <v>3421914.048</v>
      </c>
      <c r="AC244" s="15">
        <f t="shared" si="136"/>
        <v>7061092.4800000004</v>
      </c>
      <c r="AD244" s="15">
        <f t="shared" si="136"/>
        <v>0</v>
      </c>
      <c r="AE244" s="15">
        <f t="shared" si="136"/>
        <v>0</v>
      </c>
      <c r="AF244" s="15">
        <f t="shared" si="136"/>
        <v>0</v>
      </c>
      <c r="AG244" s="15">
        <f t="shared" si="136"/>
        <v>3096017.4720000001</v>
      </c>
      <c r="AH244" s="27">
        <f t="shared" si="131"/>
        <v>0</v>
      </c>
    </row>
    <row r="245" spans="1:34" x14ac:dyDescent="0.25">
      <c r="A245" s="13" t="s">
        <v>342</v>
      </c>
      <c r="B245" s="13" t="s">
        <v>343</v>
      </c>
      <c r="C245" s="2">
        <f>'WC def tax 22'!O245</f>
        <v>7715.9249999999956</v>
      </c>
      <c r="D245" s="64">
        <f t="shared" ref="D245:O249" si="137">C245</f>
        <v>7715.9249999999956</v>
      </c>
      <c r="E245" s="64">
        <f t="shared" si="137"/>
        <v>7715.9249999999956</v>
      </c>
      <c r="F245" s="64">
        <f t="shared" si="137"/>
        <v>7715.9249999999956</v>
      </c>
      <c r="G245" s="64">
        <f t="shared" si="137"/>
        <v>7715.9249999999956</v>
      </c>
      <c r="H245" s="64">
        <f t="shared" si="137"/>
        <v>7715.9249999999956</v>
      </c>
      <c r="I245" s="64">
        <f t="shared" si="137"/>
        <v>7715.9249999999956</v>
      </c>
      <c r="J245" s="64">
        <f t="shared" si="137"/>
        <v>7715.9249999999956</v>
      </c>
      <c r="K245" s="64">
        <f t="shared" si="137"/>
        <v>7715.9249999999956</v>
      </c>
      <c r="L245" s="64">
        <f t="shared" si="137"/>
        <v>7715.9249999999956</v>
      </c>
      <c r="M245" s="64">
        <f t="shared" si="137"/>
        <v>7715.9249999999956</v>
      </c>
      <c r="N245" s="64">
        <f t="shared" si="137"/>
        <v>7715.9249999999956</v>
      </c>
      <c r="O245" s="64">
        <f t="shared" si="137"/>
        <v>7715.9249999999956</v>
      </c>
      <c r="P245" s="2">
        <f t="shared" si="133"/>
        <v>100307.02499999991</v>
      </c>
      <c r="Q245" s="2">
        <f t="shared" si="134"/>
        <v>7715.9249999999929</v>
      </c>
      <c r="R245" s="15" t="s">
        <v>503</v>
      </c>
      <c r="S245" s="15" t="s">
        <v>29</v>
      </c>
      <c r="T245" s="15">
        <f t="shared" si="135"/>
        <v>-1944.4130999999982</v>
      </c>
      <c r="U245" s="15">
        <f t="shared" si="135"/>
        <v>-4012.2809999999963</v>
      </c>
      <c r="V245" s="15">
        <f t="shared" si="135"/>
        <v>0</v>
      </c>
      <c r="W245" s="15">
        <f t="shared" si="135"/>
        <v>0</v>
      </c>
      <c r="X245" s="15">
        <f t="shared" si="135"/>
        <v>0</v>
      </c>
      <c r="Y245" s="15">
        <f t="shared" si="135"/>
        <v>-1759.2308999999984</v>
      </c>
      <c r="Z245" s="15"/>
      <c r="AA245" s="15" t="s">
        <v>29</v>
      </c>
      <c r="AB245" s="15">
        <f t="shared" si="136"/>
        <v>-1944.4130999999988</v>
      </c>
      <c r="AC245" s="15">
        <f t="shared" si="136"/>
        <v>-4012.2809999999977</v>
      </c>
      <c r="AD245" s="15">
        <f t="shared" si="136"/>
        <v>0</v>
      </c>
      <c r="AE245" s="15">
        <f t="shared" si="136"/>
        <v>0</v>
      </c>
      <c r="AF245" s="15">
        <f t="shared" si="136"/>
        <v>0</v>
      </c>
      <c r="AG245" s="15">
        <f t="shared" si="136"/>
        <v>-1759.2308999999991</v>
      </c>
      <c r="AH245" s="27">
        <f t="shared" si="131"/>
        <v>0</v>
      </c>
    </row>
    <row r="246" spans="1:34" x14ac:dyDescent="0.25">
      <c r="A246" s="13" t="s">
        <v>344</v>
      </c>
      <c r="B246" s="13" t="s">
        <v>345</v>
      </c>
      <c r="C246" s="2">
        <f>'WC def tax 22'!O246</f>
        <v>-598688</v>
      </c>
      <c r="D246" s="64">
        <f t="shared" si="137"/>
        <v>-598688</v>
      </c>
      <c r="E246" s="64">
        <f t="shared" si="137"/>
        <v>-598688</v>
      </c>
      <c r="F246" s="64">
        <f t="shared" si="137"/>
        <v>-598688</v>
      </c>
      <c r="G246" s="64">
        <f t="shared" si="137"/>
        <v>-598688</v>
      </c>
      <c r="H246" s="64">
        <f t="shared" si="137"/>
        <v>-598688</v>
      </c>
      <c r="I246" s="64">
        <f t="shared" si="137"/>
        <v>-598688</v>
      </c>
      <c r="J246" s="64">
        <f t="shared" si="137"/>
        <v>-598688</v>
      </c>
      <c r="K246" s="64">
        <f t="shared" si="137"/>
        <v>-598688</v>
      </c>
      <c r="L246" s="64">
        <f t="shared" si="137"/>
        <v>-598688</v>
      </c>
      <c r="M246" s="64">
        <f t="shared" si="137"/>
        <v>-598688</v>
      </c>
      <c r="N246" s="64">
        <f t="shared" si="137"/>
        <v>-598688</v>
      </c>
      <c r="O246" s="64">
        <f t="shared" si="137"/>
        <v>-598688</v>
      </c>
      <c r="P246" s="2">
        <f t="shared" si="133"/>
        <v>-7782944</v>
      </c>
      <c r="Q246" s="2">
        <f t="shared" si="134"/>
        <v>-598688</v>
      </c>
      <c r="R246" s="15" t="s">
        <v>503</v>
      </c>
      <c r="S246" s="15" t="s">
        <v>29</v>
      </c>
      <c r="T246" s="15">
        <f t="shared" si="135"/>
        <v>150869.37599999999</v>
      </c>
      <c r="U246" s="15">
        <f t="shared" si="135"/>
        <v>311317.76000000001</v>
      </c>
      <c r="V246" s="15">
        <f t="shared" si="135"/>
        <v>0</v>
      </c>
      <c r="W246" s="15">
        <f t="shared" si="135"/>
        <v>0</v>
      </c>
      <c r="X246" s="15">
        <f t="shared" si="135"/>
        <v>0</v>
      </c>
      <c r="Y246" s="15">
        <f t="shared" si="135"/>
        <v>136500.864</v>
      </c>
      <c r="Z246" s="15"/>
      <c r="AA246" s="15" t="s">
        <v>29</v>
      </c>
      <c r="AB246" s="15">
        <f t="shared" si="136"/>
        <v>150869.37599999999</v>
      </c>
      <c r="AC246" s="15">
        <f t="shared" si="136"/>
        <v>311317.76000000001</v>
      </c>
      <c r="AD246" s="15">
        <f t="shared" si="136"/>
        <v>0</v>
      </c>
      <c r="AE246" s="15">
        <f t="shared" si="136"/>
        <v>0</v>
      </c>
      <c r="AF246" s="15">
        <f t="shared" si="136"/>
        <v>0</v>
      </c>
      <c r="AG246" s="15">
        <f t="shared" si="136"/>
        <v>136500.864</v>
      </c>
      <c r="AH246" s="27">
        <f t="shared" si="131"/>
        <v>0</v>
      </c>
    </row>
    <row r="247" spans="1:34" x14ac:dyDescent="0.25">
      <c r="A247" s="13" t="s">
        <v>346</v>
      </c>
      <c r="B247" s="13" t="s">
        <v>347</v>
      </c>
      <c r="C247" s="2">
        <f>'WC def tax 22'!O247</f>
        <v>-106176.51000000001</v>
      </c>
      <c r="D247" s="64">
        <f t="shared" si="137"/>
        <v>-106176.51000000001</v>
      </c>
      <c r="E247" s="64">
        <f t="shared" si="137"/>
        <v>-106176.51000000001</v>
      </c>
      <c r="F247" s="64">
        <f t="shared" si="137"/>
        <v>-106176.51000000001</v>
      </c>
      <c r="G247" s="64">
        <f t="shared" si="137"/>
        <v>-106176.51000000001</v>
      </c>
      <c r="H247" s="64">
        <f t="shared" si="137"/>
        <v>-106176.51000000001</v>
      </c>
      <c r="I247" s="64">
        <f t="shared" si="137"/>
        <v>-106176.51000000001</v>
      </c>
      <c r="J247" s="64">
        <f t="shared" si="137"/>
        <v>-106176.51000000001</v>
      </c>
      <c r="K247" s="64">
        <f t="shared" si="137"/>
        <v>-106176.51000000001</v>
      </c>
      <c r="L247" s="64">
        <f t="shared" si="137"/>
        <v>-106176.51000000001</v>
      </c>
      <c r="M247" s="64">
        <f t="shared" si="137"/>
        <v>-106176.51000000001</v>
      </c>
      <c r="N247" s="64">
        <f t="shared" si="137"/>
        <v>-106176.51000000001</v>
      </c>
      <c r="O247" s="64">
        <f t="shared" si="137"/>
        <v>-106176.51000000001</v>
      </c>
      <c r="P247" s="2">
        <f t="shared" si="133"/>
        <v>-1380294.6300000001</v>
      </c>
      <c r="Q247" s="2">
        <f t="shared" si="134"/>
        <v>-106176.51000000001</v>
      </c>
      <c r="R247" s="15" t="s">
        <v>503</v>
      </c>
      <c r="S247" s="15" t="s">
        <v>29</v>
      </c>
      <c r="T247" s="15">
        <f t="shared" si="135"/>
        <v>26756.480520000001</v>
      </c>
      <c r="U247" s="15">
        <f t="shared" si="135"/>
        <v>55211.785200000006</v>
      </c>
      <c r="V247" s="15">
        <f t="shared" si="135"/>
        <v>0</v>
      </c>
      <c r="W247" s="15">
        <f t="shared" si="135"/>
        <v>0</v>
      </c>
      <c r="X247" s="15">
        <f t="shared" si="135"/>
        <v>0</v>
      </c>
      <c r="Y247" s="15">
        <f t="shared" si="135"/>
        <v>24208.244280000003</v>
      </c>
      <c r="Z247" s="15"/>
      <c r="AA247" s="15" t="s">
        <v>29</v>
      </c>
      <c r="AB247" s="15">
        <f t="shared" si="136"/>
        <v>26756.480520000001</v>
      </c>
      <c r="AC247" s="15">
        <f t="shared" si="136"/>
        <v>55211.785200000006</v>
      </c>
      <c r="AD247" s="15">
        <f t="shared" si="136"/>
        <v>0</v>
      </c>
      <c r="AE247" s="15">
        <f t="shared" si="136"/>
        <v>0</v>
      </c>
      <c r="AF247" s="15">
        <f t="shared" si="136"/>
        <v>0</v>
      </c>
      <c r="AG247" s="15">
        <f t="shared" si="136"/>
        <v>24208.244280000003</v>
      </c>
      <c r="AH247" s="27">
        <f t="shared" si="131"/>
        <v>0</v>
      </c>
    </row>
    <row r="248" spans="1:34" x14ac:dyDescent="0.25">
      <c r="A248" s="13" t="s">
        <v>348</v>
      </c>
      <c r="B248" s="13" t="s">
        <v>349</v>
      </c>
      <c r="C248" s="2">
        <f>'WC def tax 22'!O248</f>
        <v>-8954.820000000007</v>
      </c>
      <c r="D248" s="64">
        <f t="shared" si="137"/>
        <v>-8954.820000000007</v>
      </c>
      <c r="E248" s="64">
        <f t="shared" si="137"/>
        <v>-8954.820000000007</v>
      </c>
      <c r="F248" s="64">
        <f t="shared" si="137"/>
        <v>-8954.820000000007</v>
      </c>
      <c r="G248" s="64">
        <f t="shared" si="137"/>
        <v>-8954.820000000007</v>
      </c>
      <c r="H248" s="64">
        <f t="shared" si="137"/>
        <v>-8954.820000000007</v>
      </c>
      <c r="I248" s="64">
        <f t="shared" si="137"/>
        <v>-8954.820000000007</v>
      </c>
      <c r="J248" s="64">
        <f t="shared" si="137"/>
        <v>-8954.820000000007</v>
      </c>
      <c r="K248" s="64">
        <f t="shared" si="137"/>
        <v>-8954.820000000007</v>
      </c>
      <c r="L248" s="64">
        <f t="shared" si="137"/>
        <v>-8954.820000000007</v>
      </c>
      <c r="M248" s="64">
        <f t="shared" si="137"/>
        <v>-8954.820000000007</v>
      </c>
      <c r="N248" s="64">
        <f t="shared" si="137"/>
        <v>-8954.820000000007</v>
      </c>
      <c r="O248" s="64">
        <f t="shared" si="137"/>
        <v>-8954.820000000007</v>
      </c>
      <c r="P248" s="2">
        <f t="shared" si="133"/>
        <v>-116412.66000000009</v>
      </c>
      <c r="Q248" s="2">
        <f t="shared" si="134"/>
        <v>-8954.820000000007</v>
      </c>
      <c r="R248" s="15" t="s">
        <v>503</v>
      </c>
      <c r="S248" s="15" t="s">
        <v>29</v>
      </c>
      <c r="T248" s="15">
        <f t="shared" si="135"/>
        <v>2256.6146400000016</v>
      </c>
      <c r="U248" s="15">
        <f t="shared" si="135"/>
        <v>4656.5064000000039</v>
      </c>
      <c r="V248" s="15">
        <f t="shared" si="135"/>
        <v>0</v>
      </c>
      <c r="W248" s="15">
        <f t="shared" si="135"/>
        <v>0</v>
      </c>
      <c r="X248" s="15">
        <f t="shared" si="135"/>
        <v>0</v>
      </c>
      <c r="Y248" s="15">
        <f t="shared" si="135"/>
        <v>2041.6989600000018</v>
      </c>
      <c r="Z248" s="15"/>
      <c r="AA248" s="15" t="s">
        <v>29</v>
      </c>
      <c r="AB248" s="15">
        <f t="shared" si="136"/>
        <v>2256.6146400000016</v>
      </c>
      <c r="AC248" s="15">
        <f t="shared" si="136"/>
        <v>4656.5064000000039</v>
      </c>
      <c r="AD248" s="15">
        <f t="shared" si="136"/>
        <v>0</v>
      </c>
      <c r="AE248" s="15">
        <f t="shared" si="136"/>
        <v>0</v>
      </c>
      <c r="AF248" s="15">
        <f t="shared" si="136"/>
        <v>0</v>
      </c>
      <c r="AG248" s="15">
        <f t="shared" si="136"/>
        <v>2041.6989600000018</v>
      </c>
      <c r="AH248" s="27"/>
    </row>
    <row r="249" spans="1:34" x14ac:dyDescent="0.25">
      <c r="A249" s="13" t="s">
        <v>350</v>
      </c>
      <c r="B249" s="13" t="s">
        <v>351</v>
      </c>
      <c r="C249" s="2">
        <f>'WC def tax 22'!O249</f>
        <v>268295.80499999993</v>
      </c>
      <c r="D249" s="64">
        <f t="shared" si="137"/>
        <v>268295.80499999993</v>
      </c>
      <c r="E249" s="64">
        <f t="shared" si="137"/>
        <v>268295.80499999993</v>
      </c>
      <c r="F249" s="64">
        <f t="shared" si="137"/>
        <v>268295.80499999993</v>
      </c>
      <c r="G249" s="64">
        <f t="shared" si="137"/>
        <v>268295.80499999993</v>
      </c>
      <c r="H249" s="64">
        <f t="shared" si="137"/>
        <v>268295.80499999993</v>
      </c>
      <c r="I249" s="64">
        <f t="shared" si="137"/>
        <v>268295.80499999993</v>
      </c>
      <c r="J249" s="64">
        <f t="shared" si="137"/>
        <v>268295.80499999993</v>
      </c>
      <c r="K249" s="64">
        <f t="shared" si="137"/>
        <v>268295.80499999993</v>
      </c>
      <c r="L249" s="64">
        <f t="shared" si="137"/>
        <v>268295.80499999993</v>
      </c>
      <c r="M249" s="64">
        <f t="shared" si="137"/>
        <v>268295.80499999993</v>
      </c>
      <c r="N249" s="64">
        <f t="shared" si="137"/>
        <v>268295.80499999993</v>
      </c>
      <c r="O249" s="64">
        <f t="shared" si="137"/>
        <v>268295.80499999993</v>
      </c>
      <c r="P249" s="2">
        <f t="shared" si="133"/>
        <v>3487845.464999998</v>
      </c>
      <c r="Q249" s="2">
        <f t="shared" si="134"/>
        <v>268295.80499999982</v>
      </c>
      <c r="R249" s="15" t="s">
        <v>503</v>
      </c>
      <c r="S249" s="15" t="s">
        <v>29</v>
      </c>
      <c r="T249" s="15">
        <f t="shared" si="135"/>
        <v>-67610.542859999958</v>
      </c>
      <c r="U249" s="15">
        <f t="shared" si="135"/>
        <v>-139513.81859999991</v>
      </c>
      <c r="V249" s="15">
        <f t="shared" si="135"/>
        <v>0</v>
      </c>
      <c r="W249" s="15">
        <f t="shared" si="135"/>
        <v>0</v>
      </c>
      <c r="X249" s="15">
        <f t="shared" si="135"/>
        <v>0</v>
      </c>
      <c r="Y249" s="15">
        <f t="shared" si="135"/>
        <v>-61171.443539999964</v>
      </c>
      <c r="Z249" s="15"/>
      <c r="AA249" s="15" t="s">
        <v>29</v>
      </c>
      <c r="AB249" s="15">
        <f t="shared" si="136"/>
        <v>-67610.542859999987</v>
      </c>
      <c r="AC249" s="15">
        <f t="shared" si="136"/>
        <v>-139513.81859999997</v>
      </c>
      <c r="AD249" s="15">
        <f t="shared" si="136"/>
        <v>0</v>
      </c>
      <c r="AE249" s="15">
        <f t="shared" si="136"/>
        <v>0</v>
      </c>
      <c r="AF249" s="15">
        <f t="shared" si="136"/>
        <v>0</v>
      </c>
      <c r="AG249" s="15">
        <f t="shared" si="136"/>
        <v>-61171.443539999986</v>
      </c>
      <c r="AH249" s="27"/>
    </row>
    <row r="250" spans="1:34" x14ac:dyDescent="0.25">
      <c r="C250" s="26" t="s">
        <v>67</v>
      </c>
      <c r="D250" s="26" t="s">
        <v>67</v>
      </c>
      <c r="E250" s="26" t="s">
        <v>67</v>
      </c>
      <c r="F250" s="26" t="s">
        <v>67</v>
      </c>
      <c r="G250" s="26" t="s">
        <v>67</v>
      </c>
      <c r="H250" s="26" t="s">
        <v>67</v>
      </c>
      <c r="I250" s="26" t="s">
        <v>67</v>
      </c>
      <c r="J250" s="26" t="s">
        <v>67</v>
      </c>
      <c r="K250" s="26" t="s">
        <v>67</v>
      </c>
      <c r="L250" s="26" t="s">
        <v>67</v>
      </c>
      <c r="M250" s="26" t="s">
        <v>67</v>
      </c>
      <c r="N250" s="26" t="s">
        <v>67</v>
      </c>
      <c r="O250" s="26" t="s">
        <v>67</v>
      </c>
      <c r="P250" s="26" t="s">
        <v>67</v>
      </c>
      <c r="Q250" s="26" t="s">
        <v>67</v>
      </c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3"/>
    </row>
    <row r="251" spans="1:34" x14ac:dyDescent="0.25">
      <c r="A251" s="21" t="s">
        <v>352</v>
      </c>
      <c r="B251" s="22"/>
      <c r="C251" s="23">
        <f>SUM(C244:C249)</f>
        <v>-14016831.6</v>
      </c>
      <c r="D251" s="23">
        <f t="shared" ref="D251:Q251" si="138">SUM(D244:D249)</f>
        <v>-14016831.6</v>
      </c>
      <c r="E251" s="23">
        <f t="shared" si="138"/>
        <v>-14016831.6</v>
      </c>
      <c r="F251" s="23">
        <f t="shared" si="138"/>
        <v>-14016831.6</v>
      </c>
      <c r="G251" s="23">
        <f t="shared" si="138"/>
        <v>-14016831.6</v>
      </c>
      <c r="H251" s="23">
        <f t="shared" si="138"/>
        <v>-14016831.6</v>
      </c>
      <c r="I251" s="23">
        <f t="shared" si="138"/>
        <v>-14016831.6</v>
      </c>
      <c r="J251" s="23">
        <f t="shared" si="138"/>
        <v>-14016831.6</v>
      </c>
      <c r="K251" s="23">
        <f t="shared" si="138"/>
        <v>-14016831.6</v>
      </c>
      <c r="L251" s="23">
        <f t="shared" si="138"/>
        <v>-14016831.6</v>
      </c>
      <c r="M251" s="23">
        <f t="shared" si="138"/>
        <v>-14016831.6</v>
      </c>
      <c r="N251" s="23">
        <f t="shared" si="138"/>
        <v>-14016831.6</v>
      </c>
      <c r="O251" s="23">
        <f t="shared" si="138"/>
        <v>-14016831.6</v>
      </c>
      <c r="P251" s="23">
        <f t="shared" si="138"/>
        <v>-182218810.79999998</v>
      </c>
      <c r="Q251" s="146">
        <f t="shared" si="138"/>
        <v>-14016831.6</v>
      </c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3"/>
    </row>
    <row r="252" spans="1:34" x14ac:dyDescent="0.25">
      <c r="C252" s="2">
        <f>C251+C205</f>
        <v>-13856559.779999999</v>
      </c>
      <c r="D252" s="2">
        <f t="shared" ref="D252:O252" si="139">D251+D205</f>
        <v>-13856092.320525</v>
      </c>
      <c r="E252" s="2">
        <f t="shared" si="139"/>
        <v>-13855624.86105</v>
      </c>
      <c r="F252" s="2">
        <f t="shared" si="139"/>
        <v>-13855157.401574999</v>
      </c>
      <c r="G252" s="2">
        <f t="shared" si="139"/>
        <v>-13854689.9421</v>
      </c>
      <c r="H252" s="2">
        <f t="shared" si="139"/>
        <v>-13854222.482625</v>
      </c>
      <c r="I252" s="2">
        <f t="shared" si="139"/>
        <v>-13853755.023149999</v>
      </c>
      <c r="J252" s="2">
        <f t="shared" si="139"/>
        <v>-13853287.563674999</v>
      </c>
      <c r="K252" s="2">
        <f t="shared" si="139"/>
        <v>-13852820.1042</v>
      </c>
      <c r="L252" s="2">
        <f t="shared" si="139"/>
        <v>-13852352.644724999</v>
      </c>
      <c r="M252" s="2">
        <f t="shared" si="139"/>
        <v>-13851885.185249999</v>
      </c>
      <c r="N252" s="2">
        <f t="shared" si="139"/>
        <v>-13851417.725775</v>
      </c>
      <c r="O252" s="2">
        <f t="shared" si="139"/>
        <v>-13850950.2663</v>
      </c>
      <c r="P252" s="2"/>
      <c r="Q252" s="2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27">
        <f>SUM(AB252:AG252)+O252</f>
        <v>-13850950.2663</v>
      </c>
    </row>
    <row r="253" spans="1:34" x14ac:dyDescent="0.25">
      <c r="A253" s="21" t="s">
        <v>353</v>
      </c>
      <c r="B253" s="22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27"/>
    </row>
    <row r="254" spans="1:34" x14ac:dyDescent="0.25">
      <c r="A254" s="13" t="s">
        <v>354</v>
      </c>
      <c r="B254" s="13" t="s">
        <v>355</v>
      </c>
      <c r="C254" s="2">
        <f>'WC def tax 22'!O254</f>
        <v>90680.7</v>
      </c>
      <c r="D254" s="152">
        <v>89203.49</v>
      </c>
      <c r="E254" s="152">
        <v>85455.69</v>
      </c>
      <c r="F254" s="152">
        <v>81696.28</v>
      </c>
      <c r="G254" s="152">
        <v>77925.210000000006</v>
      </c>
      <c r="H254" s="152">
        <v>74142.45</v>
      </c>
      <c r="I254" s="152">
        <v>70347.97</v>
      </c>
      <c r="J254" s="152">
        <v>66541.72</v>
      </c>
      <c r="K254" s="152">
        <v>62723.67</v>
      </c>
      <c r="L254" s="152">
        <v>58893.79</v>
      </c>
      <c r="M254" s="152">
        <v>55052.03</v>
      </c>
      <c r="N254" s="152">
        <v>51198.36</v>
      </c>
      <c r="O254" s="152">
        <v>47332.75</v>
      </c>
      <c r="P254" s="2">
        <f t="shared" ref="P254" si="140">SUM(C254:O254)</f>
        <v>911194.1100000001</v>
      </c>
      <c r="Q254" s="150">
        <f t="shared" ref="Q254" si="141">P254/13</f>
        <v>70091.854615384626</v>
      </c>
      <c r="R254" s="15" t="s">
        <v>504</v>
      </c>
      <c r="S254" s="15" t="s">
        <v>225</v>
      </c>
      <c r="T254" s="15">
        <f t="shared" ref="T254:Y254" si="142">-$Q254*T$3</f>
        <v>-11365.394225884616</v>
      </c>
      <c r="U254" s="15">
        <f t="shared" si="142"/>
        <v>-27455.680371392311</v>
      </c>
      <c r="V254" s="15">
        <f t="shared" si="142"/>
        <v>-12888.490226676924</v>
      </c>
      <c r="W254" s="15">
        <f t="shared" si="142"/>
        <v>-248.82608388461543</v>
      </c>
      <c r="X254" s="15">
        <f t="shared" si="142"/>
        <v>-77.801958623076942</v>
      </c>
      <c r="Y254" s="15">
        <f t="shared" si="142"/>
        <v>-18057.063586015389</v>
      </c>
      <c r="Z254" s="15"/>
      <c r="AA254" s="15" t="s">
        <v>225</v>
      </c>
      <c r="AB254" s="15">
        <f t="shared" ref="AB254:AG254" si="143">-$O254*AB$3</f>
        <v>-7675.0054124999997</v>
      </c>
      <c r="AC254" s="15">
        <f t="shared" si="143"/>
        <v>-18540.711502499998</v>
      </c>
      <c r="AD254" s="15">
        <f t="shared" si="143"/>
        <v>-8703.5460700000003</v>
      </c>
      <c r="AE254" s="15">
        <f t="shared" si="143"/>
        <v>-168.0312625</v>
      </c>
      <c r="AF254" s="15">
        <f t="shared" si="143"/>
        <v>-52.539352500000007</v>
      </c>
      <c r="AG254" s="15">
        <f t="shared" si="143"/>
        <v>-12193.863055000002</v>
      </c>
      <c r="AH254" s="3"/>
    </row>
    <row r="255" spans="1:34" x14ac:dyDescent="0.25"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3"/>
    </row>
    <row r="256" spans="1:34" ht="15.75" x14ac:dyDescent="0.3">
      <c r="A256" s="18" t="s">
        <v>356</v>
      </c>
      <c r="B256" s="19"/>
      <c r="C256" s="20">
        <f>C254+C251+C241+C235</f>
        <v>-13825585.689999999</v>
      </c>
      <c r="D256" s="20">
        <f t="shared" ref="D256:Q256" si="144">D254+D251+D241+D235</f>
        <v>-13813593.899999999</v>
      </c>
      <c r="E256" s="20">
        <f t="shared" si="144"/>
        <v>-13803872.699999999</v>
      </c>
      <c r="F256" s="20">
        <f t="shared" si="144"/>
        <v>-13794163.109999999</v>
      </c>
      <c r="G256" s="20">
        <f t="shared" si="144"/>
        <v>-13784465.179999998</v>
      </c>
      <c r="H256" s="20">
        <f t="shared" si="144"/>
        <v>-13774778.939999999</v>
      </c>
      <c r="I256" s="20">
        <f t="shared" si="144"/>
        <v>-13765104.419999998</v>
      </c>
      <c r="J256" s="20">
        <f t="shared" si="144"/>
        <v>-13755441.669999998</v>
      </c>
      <c r="K256" s="20">
        <f t="shared" si="144"/>
        <v>-13745790.719999999</v>
      </c>
      <c r="L256" s="20">
        <f t="shared" si="144"/>
        <v>-13736151.6</v>
      </c>
      <c r="M256" s="20">
        <f t="shared" si="144"/>
        <v>-13726524.359999999</v>
      </c>
      <c r="N256" s="20">
        <f t="shared" si="144"/>
        <v>-13716909.029999999</v>
      </c>
      <c r="O256" s="20">
        <f t="shared" si="144"/>
        <v>-13707305.639999999</v>
      </c>
      <c r="P256" s="20">
        <f t="shared" si="144"/>
        <v>-178949686.95999998</v>
      </c>
      <c r="Q256" s="20">
        <f t="shared" si="144"/>
        <v>-13765360.535384614</v>
      </c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3"/>
    </row>
    <row r="257" spans="1:34" x14ac:dyDescent="0.25"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3"/>
    </row>
    <row r="258" spans="1:34" ht="15.75" x14ac:dyDescent="0.3">
      <c r="A258" s="18" t="s">
        <v>357</v>
      </c>
      <c r="B258" s="19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3"/>
    </row>
    <row r="259" spans="1:34" x14ac:dyDescent="0.25"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3"/>
    </row>
    <row r="260" spans="1:34" x14ac:dyDescent="0.25">
      <c r="A260" s="21" t="s">
        <v>358</v>
      </c>
      <c r="B260" s="22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3"/>
    </row>
    <row r="261" spans="1:34" x14ac:dyDescent="0.25">
      <c r="A261" s="13" t="s">
        <v>359</v>
      </c>
      <c r="B261" s="13" t="s">
        <v>360</v>
      </c>
      <c r="C261" s="2">
        <f>'WC def tax 22'!O261</f>
        <v>-2500241</v>
      </c>
      <c r="D261" s="64">
        <f>C261</f>
        <v>-2500241</v>
      </c>
      <c r="E261" s="64">
        <f t="shared" ref="E261:O261" si="145">D261</f>
        <v>-2500241</v>
      </c>
      <c r="F261" s="64">
        <f t="shared" si="145"/>
        <v>-2500241</v>
      </c>
      <c r="G261" s="64">
        <f t="shared" si="145"/>
        <v>-2500241</v>
      </c>
      <c r="H261" s="64">
        <f t="shared" si="145"/>
        <v>-2500241</v>
      </c>
      <c r="I261" s="64">
        <f t="shared" si="145"/>
        <v>-2500241</v>
      </c>
      <c r="J261" s="64">
        <f t="shared" si="145"/>
        <v>-2500241</v>
      </c>
      <c r="K261" s="64">
        <f t="shared" si="145"/>
        <v>-2500241</v>
      </c>
      <c r="L261" s="64">
        <f t="shared" si="145"/>
        <v>-2500241</v>
      </c>
      <c r="M261" s="64">
        <f t="shared" si="145"/>
        <v>-2500241</v>
      </c>
      <c r="N261" s="64">
        <f t="shared" si="145"/>
        <v>-2500241</v>
      </c>
      <c r="O261" s="64">
        <f t="shared" si="145"/>
        <v>-2500241</v>
      </c>
      <c r="P261" s="2">
        <f t="shared" ref="P261:P263" si="146">SUM(C261:O261)</f>
        <v>-32503133</v>
      </c>
      <c r="Q261" s="2">
        <f t="shared" ref="Q261:Q263" si="147">P261/13</f>
        <v>-2500241</v>
      </c>
      <c r="R261" s="15" t="s">
        <v>504</v>
      </c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3"/>
    </row>
    <row r="262" spans="1:34" x14ac:dyDescent="0.25">
      <c r="A262" s="13" t="s">
        <v>361</v>
      </c>
      <c r="B262" s="13" t="s">
        <v>362</v>
      </c>
      <c r="C262" s="2">
        <f>'WC def tax 22'!O262</f>
        <v>-590721</v>
      </c>
      <c r="D262" s="64">
        <f t="shared" ref="D262:O263" si="148">C262</f>
        <v>-590721</v>
      </c>
      <c r="E262" s="64">
        <f t="shared" si="148"/>
        <v>-590721</v>
      </c>
      <c r="F262" s="64">
        <f t="shared" si="148"/>
        <v>-590721</v>
      </c>
      <c r="G262" s="64">
        <f t="shared" si="148"/>
        <v>-590721</v>
      </c>
      <c r="H262" s="64">
        <f t="shared" si="148"/>
        <v>-590721</v>
      </c>
      <c r="I262" s="64">
        <f t="shared" si="148"/>
        <v>-590721</v>
      </c>
      <c r="J262" s="64">
        <f t="shared" si="148"/>
        <v>-590721</v>
      </c>
      <c r="K262" s="64">
        <f t="shared" si="148"/>
        <v>-590721</v>
      </c>
      <c r="L262" s="64">
        <f t="shared" si="148"/>
        <v>-590721</v>
      </c>
      <c r="M262" s="64">
        <f t="shared" si="148"/>
        <v>-590721</v>
      </c>
      <c r="N262" s="64">
        <f t="shared" si="148"/>
        <v>-590721</v>
      </c>
      <c r="O262" s="64">
        <f t="shared" si="148"/>
        <v>-590721</v>
      </c>
      <c r="P262" s="2">
        <f t="shared" si="146"/>
        <v>-7679373</v>
      </c>
      <c r="Q262" s="2">
        <f t="shared" si="147"/>
        <v>-590721</v>
      </c>
      <c r="R262" s="15" t="s">
        <v>504</v>
      </c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3"/>
    </row>
    <row r="263" spans="1:34" x14ac:dyDescent="0.25">
      <c r="A263" s="13" t="s">
        <v>363</v>
      </c>
      <c r="B263" s="13" t="s">
        <v>364</v>
      </c>
      <c r="C263" s="2">
        <f>'WC def tax 22'!O263</f>
        <v>73044291</v>
      </c>
      <c r="D263" s="64">
        <f t="shared" si="148"/>
        <v>73044291</v>
      </c>
      <c r="E263" s="64">
        <f t="shared" si="148"/>
        <v>73044291</v>
      </c>
      <c r="F263" s="64">
        <f t="shared" si="148"/>
        <v>73044291</v>
      </c>
      <c r="G263" s="64">
        <f t="shared" si="148"/>
        <v>73044291</v>
      </c>
      <c r="H263" s="64">
        <f t="shared" si="148"/>
        <v>73044291</v>
      </c>
      <c r="I263" s="64">
        <f t="shared" si="148"/>
        <v>73044291</v>
      </c>
      <c r="J263" s="64">
        <f t="shared" si="148"/>
        <v>73044291</v>
      </c>
      <c r="K263" s="64">
        <f t="shared" si="148"/>
        <v>73044291</v>
      </c>
      <c r="L263" s="64">
        <f t="shared" si="148"/>
        <v>73044291</v>
      </c>
      <c r="M263" s="64">
        <f t="shared" si="148"/>
        <v>73044291</v>
      </c>
      <c r="N263" s="64">
        <f t="shared" si="148"/>
        <v>73044291</v>
      </c>
      <c r="O263" s="64">
        <f t="shared" si="148"/>
        <v>73044291</v>
      </c>
      <c r="P263" s="2">
        <f t="shared" si="146"/>
        <v>949575783</v>
      </c>
      <c r="Q263" s="2">
        <f t="shared" si="147"/>
        <v>73044291</v>
      </c>
      <c r="R263" s="15" t="s">
        <v>504</v>
      </c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3"/>
    </row>
    <row r="264" spans="1:34" x14ac:dyDescent="0.25">
      <c r="C264" s="26" t="s">
        <v>67</v>
      </c>
      <c r="D264" s="26" t="s">
        <v>67</v>
      </c>
      <c r="E264" s="26" t="s">
        <v>67</v>
      </c>
      <c r="F264" s="26" t="s">
        <v>67</v>
      </c>
      <c r="G264" s="26" t="s">
        <v>67</v>
      </c>
      <c r="H264" s="26" t="s">
        <v>67</v>
      </c>
      <c r="I264" s="26" t="s">
        <v>67</v>
      </c>
      <c r="J264" s="26" t="s">
        <v>67</v>
      </c>
      <c r="K264" s="26" t="s">
        <v>67</v>
      </c>
      <c r="L264" s="26" t="s">
        <v>67</v>
      </c>
      <c r="M264" s="26" t="s">
        <v>67</v>
      </c>
      <c r="N264" s="26" t="s">
        <v>67</v>
      </c>
      <c r="O264" s="26" t="s">
        <v>67</v>
      </c>
      <c r="P264" s="26" t="s">
        <v>67</v>
      </c>
      <c r="Q264" s="26" t="s">
        <v>67</v>
      </c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3"/>
    </row>
    <row r="265" spans="1:34" x14ac:dyDescent="0.25">
      <c r="A265" s="21" t="s">
        <v>365</v>
      </c>
      <c r="B265" s="22"/>
      <c r="C265" s="23">
        <f>SUM(C261:C263)</f>
        <v>69953329</v>
      </c>
      <c r="D265" s="23">
        <f t="shared" ref="D265:Q265" si="149">SUM(D261:D263)</f>
        <v>69953329</v>
      </c>
      <c r="E265" s="23">
        <f t="shared" si="149"/>
        <v>69953329</v>
      </c>
      <c r="F265" s="23">
        <f t="shared" si="149"/>
        <v>69953329</v>
      </c>
      <c r="G265" s="23">
        <f t="shared" si="149"/>
        <v>69953329</v>
      </c>
      <c r="H265" s="23">
        <f t="shared" si="149"/>
        <v>69953329</v>
      </c>
      <c r="I265" s="23">
        <f t="shared" si="149"/>
        <v>69953329</v>
      </c>
      <c r="J265" s="23">
        <f t="shared" si="149"/>
        <v>69953329</v>
      </c>
      <c r="K265" s="23">
        <f t="shared" si="149"/>
        <v>69953329</v>
      </c>
      <c r="L265" s="23">
        <f t="shared" si="149"/>
        <v>69953329</v>
      </c>
      <c r="M265" s="23">
        <f t="shared" si="149"/>
        <v>69953329</v>
      </c>
      <c r="N265" s="23">
        <f t="shared" si="149"/>
        <v>69953329</v>
      </c>
      <c r="O265" s="23">
        <f t="shared" si="149"/>
        <v>69953329</v>
      </c>
      <c r="P265" s="23">
        <f t="shared" si="149"/>
        <v>909393277</v>
      </c>
      <c r="Q265" s="23">
        <f t="shared" si="149"/>
        <v>69953329</v>
      </c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3"/>
    </row>
    <row r="266" spans="1:34" x14ac:dyDescent="0.25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3"/>
    </row>
    <row r="267" spans="1:34" ht="15.75" x14ac:dyDescent="0.3">
      <c r="A267" s="18" t="s">
        <v>366</v>
      </c>
      <c r="B267" s="19"/>
      <c r="C267" s="20">
        <f>C265+C256+C214</f>
        <v>63412908.689633332</v>
      </c>
      <c r="D267" s="20">
        <f t="shared" ref="D267:Q267" si="150">D265+D256+D214</f>
        <v>63417163.245308429</v>
      </c>
      <c r="E267" s="20">
        <f t="shared" si="150"/>
        <v>63434404.067423262</v>
      </c>
      <c r="F267" s="20">
        <f t="shared" si="150"/>
        <v>63451633.679538101</v>
      </c>
      <c r="G267" s="20">
        <f t="shared" si="150"/>
        <v>63468852.071652941</v>
      </c>
      <c r="H267" s="20">
        <f t="shared" si="150"/>
        <v>63486059.203767776</v>
      </c>
      <c r="I267" s="20">
        <f t="shared" si="150"/>
        <v>63503255.025882609</v>
      </c>
      <c r="J267" s="20">
        <f t="shared" si="150"/>
        <v>63520439.527997449</v>
      </c>
      <c r="K267" s="20">
        <f t="shared" si="150"/>
        <v>63537612.650112286</v>
      </c>
      <c r="L267" s="20">
        <f t="shared" si="150"/>
        <v>63554774.372227125</v>
      </c>
      <c r="M267" s="20">
        <f t="shared" si="150"/>
        <v>63571924.654341958</v>
      </c>
      <c r="N267" s="20">
        <f t="shared" si="150"/>
        <v>63589063.456456795</v>
      </c>
      <c r="O267" s="20">
        <f t="shared" si="150"/>
        <v>63606190.748571634</v>
      </c>
      <c r="P267" s="20">
        <f t="shared" si="150"/>
        <v>825554281.3929137</v>
      </c>
      <c r="Q267" s="20">
        <f t="shared" si="150"/>
        <v>63504175.491762601</v>
      </c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3"/>
    </row>
    <row r="268" spans="1:34" x14ac:dyDescent="0.25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3"/>
    </row>
    <row r="269" spans="1:34" ht="19.5" x14ac:dyDescent="0.4">
      <c r="A269" s="5" t="s">
        <v>367</v>
      </c>
      <c r="B269" s="16"/>
      <c r="C269" s="17">
        <f>C267</f>
        <v>63412908.689633332</v>
      </c>
      <c r="D269" s="17">
        <f t="shared" ref="D269:Q269" si="151">D267</f>
        <v>63417163.245308429</v>
      </c>
      <c r="E269" s="17">
        <f t="shared" si="151"/>
        <v>63434404.067423262</v>
      </c>
      <c r="F269" s="17">
        <f t="shared" si="151"/>
        <v>63451633.679538101</v>
      </c>
      <c r="G269" s="17">
        <f t="shared" si="151"/>
        <v>63468852.071652941</v>
      </c>
      <c r="H269" s="17">
        <f t="shared" si="151"/>
        <v>63486059.203767776</v>
      </c>
      <c r="I269" s="17">
        <f t="shared" si="151"/>
        <v>63503255.025882609</v>
      </c>
      <c r="J269" s="17">
        <f t="shared" si="151"/>
        <v>63520439.527997449</v>
      </c>
      <c r="K269" s="17">
        <f t="shared" si="151"/>
        <v>63537612.650112286</v>
      </c>
      <c r="L269" s="17">
        <f t="shared" si="151"/>
        <v>63554774.372227125</v>
      </c>
      <c r="M269" s="17">
        <f t="shared" si="151"/>
        <v>63571924.654341958</v>
      </c>
      <c r="N269" s="17">
        <f t="shared" si="151"/>
        <v>63589063.456456795</v>
      </c>
      <c r="O269" s="17">
        <f t="shared" si="151"/>
        <v>63606190.748571634</v>
      </c>
      <c r="P269" s="17">
        <f t="shared" si="151"/>
        <v>825554281.3929137</v>
      </c>
      <c r="Q269" s="17">
        <f t="shared" si="151"/>
        <v>63504175.491762601</v>
      </c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3"/>
    </row>
    <row r="270" spans="1:34" x14ac:dyDescent="0.25">
      <c r="C270" s="26" t="s">
        <v>231</v>
      </c>
      <c r="D270" s="26" t="s">
        <v>231</v>
      </c>
      <c r="E270" s="26" t="s">
        <v>231</v>
      </c>
      <c r="F270" s="26" t="s">
        <v>231</v>
      </c>
      <c r="G270" s="26" t="s">
        <v>231</v>
      </c>
      <c r="H270" s="26" t="s">
        <v>231</v>
      </c>
      <c r="I270" s="26" t="s">
        <v>231</v>
      </c>
      <c r="J270" s="26" t="s">
        <v>231</v>
      </c>
      <c r="K270" s="26" t="s">
        <v>231</v>
      </c>
      <c r="L270" s="26" t="s">
        <v>231</v>
      </c>
      <c r="M270" s="26" t="s">
        <v>231</v>
      </c>
      <c r="N270" s="26" t="s">
        <v>231</v>
      </c>
      <c r="O270" s="26" t="s">
        <v>231</v>
      </c>
      <c r="P270" s="26" t="s">
        <v>231</v>
      </c>
      <c r="Q270" s="26" t="s">
        <v>231</v>
      </c>
      <c r="R270" s="15"/>
      <c r="S270" s="15"/>
      <c r="T270" s="61">
        <f t="shared" ref="T270:Y270" si="152">SUM(T79:T269)-SUM(T217:T233)-T238-T239</f>
        <v>2661628.8979115365</v>
      </c>
      <c r="U270" s="61">
        <f t="shared" si="152"/>
        <v>5782065.548697019</v>
      </c>
      <c r="V270" s="61">
        <f t="shared" si="152"/>
        <v>-563740.69129759108</v>
      </c>
      <c r="W270" s="61">
        <f t="shared" si="152"/>
        <v>-5786.6600610698697</v>
      </c>
      <c r="X270" s="61">
        <f t="shared" si="152"/>
        <v>-5019.3312722535175</v>
      </c>
      <c r="Y270" s="61">
        <f t="shared" si="152"/>
        <v>2014424.9020712038</v>
      </c>
      <c r="Z270" s="61"/>
      <c r="AA270" s="61"/>
      <c r="AB270" s="61">
        <f t="shared" ref="AB270:AG270" si="153">SUM(AB79:AB269)-SUM(AB217:AB233)-AB238-AB239</f>
        <v>2664985.949613146</v>
      </c>
      <c r="AC270" s="61">
        <f t="shared" si="153"/>
        <v>5786188.5337139871</v>
      </c>
      <c r="AD270" s="61">
        <f t="shared" si="153"/>
        <v>-561081.96229274047</v>
      </c>
      <c r="AE270" s="61">
        <f t="shared" si="153"/>
        <v>-5797.1371792895688</v>
      </c>
      <c r="AF270" s="61">
        <f t="shared" si="153"/>
        <v>-5017.0226511902565</v>
      </c>
      <c r="AG270" s="61">
        <f t="shared" si="153"/>
        <v>2019307.984864007</v>
      </c>
      <c r="AH270" s="3"/>
    </row>
    <row r="271" spans="1:34" x14ac:dyDescent="0.25">
      <c r="C271" s="2">
        <f t="shared" ref="C271:Q271" si="154">C161-C269</f>
        <v>596176.95333334059</v>
      </c>
      <c r="D271" s="2">
        <f t="shared" si="154"/>
        <v>0</v>
      </c>
      <c r="E271" s="2">
        <f t="shared" si="154"/>
        <v>0</v>
      </c>
      <c r="F271" s="2">
        <f t="shared" si="154"/>
        <v>0</v>
      </c>
      <c r="G271" s="2">
        <f t="shared" si="154"/>
        <v>0</v>
      </c>
      <c r="H271" s="2">
        <f t="shared" si="154"/>
        <v>0</v>
      </c>
      <c r="I271" s="2">
        <f t="shared" si="154"/>
        <v>0</v>
      </c>
      <c r="J271" s="2">
        <f t="shared" si="154"/>
        <v>0</v>
      </c>
      <c r="K271" s="2">
        <f t="shared" si="154"/>
        <v>0</v>
      </c>
      <c r="L271" s="2">
        <f t="shared" si="154"/>
        <v>0</v>
      </c>
      <c r="M271" s="2">
        <f t="shared" si="154"/>
        <v>0</v>
      </c>
      <c r="N271" s="2">
        <f t="shared" si="154"/>
        <v>0</v>
      </c>
      <c r="O271" s="2">
        <f t="shared" si="154"/>
        <v>0</v>
      </c>
      <c r="P271" s="2">
        <f t="shared" si="154"/>
        <v>596176.95333349705</v>
      </c>
      <c r="Q271" s="2">
        <f t="shared" si="154"/>
        <v>45859.761161111295</v>
      </c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3"/>
    </row>
    <row r="272" spans="1:34" x14ac:dyDescent="0.25">
      <c r="C272" s="2"/>
      <c r="D272" s="2">
        <f>-D271</f>
        <v>0</v>
      </c>
      <c r="E272" s="2">
        <f t="shared" ref="E272:P272" si="155">-E271</f>
        <v>0</v>
      </c>
      <c r="F272" s="2">
        <f t="shared" si="155"/>
        <v>0</v>
      </c>
      <c r="G272" s="2">
        <f t="shared" si="155"/>
        <v>0</v>
      </c>
      <c r="H272" s="2">
        <f t="shared" si="155"/>
        <v>0</v>
      </c>
      <c r="I272" s="2">
        <f t="shared" si="155"/>
        <v>0</v>
      </c>
      <c r="J272" s="2">
        <f t="shared" si="155"/>
        <v>0</v>
      </c>
      <c r="K272" s="2">
        <f t="shared" si="155"/>
        <v>0</v>
      </c>
      <c r="L272" s="2">
        <f t="shared" si="155"/>
        <v>0</v>
      </c>
      <c r="M272" s="2">
        <f t="shared" si="155"/>
        <v>0</v>
      </c>
      <c r="N272" s="2">
        <f t="shared" si="155"/>
        <v>0</v>
      </c>
      <c r="O272" s="2">
        <f t="shared" si="155"/>
        <v>0</v>
      </c>
      <c r="P272" s="2">
        <f t="shared" si="155"/>
        <v>-596176.95333349705</v>
      </c>
      <c r="Q272" s="2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3"/>
    </row>
    <row r="273" spans="1:34" x14ac:dyDescent="0.25"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1:34" x14ac:dyDescent="0.25"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1:34" x14ac:dyDescent="0.25">
      <c r="A275" s="13" t="s">
        <v>368</v>
      </c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62" t="s">
        <v>369</v>
      </c>
      <c r="R275" s="3"/>
      <c r="S275" s="3"/>
      <c r="T275" s="3"/>
      <c r="U275" s="3" t="s">
        <v>370</v>
      </c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1:34" x14ac:dyDescent="0.25">
      <c r="A276" s="13" t="s">
        <v>371</v>
      </c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62" t="s">
        <v>372</v>
      </c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1:34" x14ac:dyDescent="0.25"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1:34" x14ac:dyDescent="0.25">
      <c r="A278" s="35"/>
      <c r="B278" s="35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1:34" x14ac:dyDescent="0.25">
      <c r="A279" s="35"/>
      <c r="B279" s="35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1:34" x14ac:dyDescent="0.25">
      <c r="A280" s="35"/>
      <c r="B280" s="35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1:34" x14ac:dyDescent="0.25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24"/>
      <c r="P281" s="24"/>
      <c r="Q281" s="24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1:34" x14ac:dyDescent="0.2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24"/>
      <c r="P282" s="24"/>
      <c r="Q282" s="24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1:34" x14ac:dyDescent="0.2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24"/>
      <c r="P283" s="24"/>
      <c r="Q283" s="24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spans="1:34" x14ac:dyDescent="0.2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24"/>
      <c r="P284" s="24"/>
      <c r="Q284" s="24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1:34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24"/>
      <c r="P285" s="24"/>
      <c r="Q285" s="24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1:34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24"/>
      <c r="P286" s="24"/>
      <c r="Q286" s="24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1:34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24"/>
      <c r="P287" s="24"/>
      <c r="Q287" s="24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1:34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24"/>
      <c r="P288" s="24"/>
      <c r="Q288" s="24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1:34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24"/>
      <c r="P289" s="24"/>
      <c r="Q289" s="24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1:34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24"/>
      <c r="P290" s="24"/>
      <c r="Q290" s="24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1:34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24"/>
      <c r="P291" s="24"/>
      <c r="Q291" s="24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1:34" x14ac:dyDescent="0.2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24"/>
      <c r="P292" s="24"/>
      <c r="Q292" s="24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1:34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24"/>
      <c r="P293" s="24"/>
      <c r="Q293" s="24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spans="1:34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24"/>
      <c r="P294" s="24"/>
      <c r="Q294" s="24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spans="1:34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24"/>
      <c r="P295" s="24"/>
      <c r="Q295" s="24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spans="1:34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24"/>
      <c r="P296" s="24"/>
      <c r="Q296" s="24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24"/>
      <c r="P297" s="24"/>
      <c r="Q297" s="24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spans="1:34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24"/>
      <c r="P298" s="24"/>
      <c r="Q298" s="24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24"/>
      <c r="P299" s="24"/>
      <c r="Q299" s="24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spans="1:34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24"/>
      <c r="P300" s="24"/>
      <c r="Q300" s="24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spans="1:34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24"/>
      <c r="P301" s="24"/>
      <c r="Q301" s="24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spans="1:34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24"/>
      <c r="P302" s="24"/>
      <c r="Q302" s="24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 spans="1:34" x14ac:dyDescent="0.25">
      <c r="A303" s="35"/>
      <c r="B303" s="35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 spans="1:34" x14ac:dyDescent="0.25">
      <c r="A304" s="35"/>
      <c r="B304" s="35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spans="1:34" x14ac:dyDescent="0.25">
      <c r="A305" s="35"/>
      <c r="B305" s="35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spans="1:34" x14ac:dyDescent="0.25">
      <c r="A306" s="35"/>
      <c r="B306" s="35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spans="1:34" x14ac:dyDescent="0.25">
      <c r="A307" s="35"/>
      <c r="B307" s="35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spans="1:34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64"/>
      <c r="P308" s="64"/>
      <c r="Q308" s="64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spans="1:34" x14ac:dyDescent="0.25">
      <c r="R310" s="3"/>
    </row>
    <row r="311" spans="1:34" x14ac:dyDescent="0.25">
      <c r="R311" s="3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7"/>
  <sheetViews>
    <sheetView topLeftCell="A109" zoomScale="80" zoomScaleNormal="80" workbookViewId="0">
      <selection activeCell="E45" sqref="E45"/>
    </sheetView>
  </sheetViews>
  <sheetFormatPr defaultRowHeight="15" x14ac:dyDescent="0.25"/>
  <cols>
    <col min="1" max="1" width="3" customWidth="1"/>
    <col min="2" max="2" width="16.42578125" customWidth="1"/>
    <col min="3" max="3" width="47.42578125" bestFit="1" customWidth="1"/>
    <col min="4" max="4" width="15.85546875" style="13" customWidth="1"/>
    <col min="5" max="5" width="17.85546875" customWidth="1"/>
    <col min="6" max="6" width="4.42578125" customWidth="1"/>
    <col min="7" max="7" width="13" customWidth="1"/>
    <col min="8" max="8" width="12.140625" customWidth="1"/>
    <col min="9" max="9" width="12.7109375" customWidth="1"/>
    <col min="10" max="10" width="13.42578125" customWidth="1"/>
    <col min="11" max="11" width="11.28515625" customWidth="1"/>
    <col min="12" max="12" width="12.28515625" customWidth="1"/>
    <col min="13" max="13" width="13.7109375" customWidth="1"/>
    <col min="14" max="14" width="13.5703125" customWidth="1"/>
    <col min="15" max="15" width="11.42578125" customWidth="1"/>
    <col min="16" max="16" width="13.5703125" customWidth="1"/>
    <col min="17" max="17" width="12.7109375" customWidth="1"/>
    <col min="18" max="18" width="12.85546875" customWidth="1"/>
    <col min="19" max="19" width="14.140625" customWidth="1"/>
    <col min="20" max="20" width="11.85546875" customWidth="1"/>
    <col min="21" max="21" width="3.28515625" customWidth="1"/>
    <col min="24" max="24" width="17" bestFit="1" customWidth="1"/>
  </cols>
  <sheetData>
    <row r="1" spans="1:26" x14ac:dyDescent="0.25">
      <c r="A1" t="s">
        <v>373</v>
      </c>
    </row>
    <row r="2" spans="1:26" x14ac:dyDescent="0.25">
      <c r="A2" t="s">
        <v>374</v>
      </c>
    </row>
    <row r="5" spans="1:26" x14ac:dyDescent="0.25">
      <c r="B5" t="s">
        <v>375</v>
      </c>
      <c r="C5" t="s">
        <v>376</v>
      </c>
      <c r="D5" s="13" t="s">
        <v>377</v>
      </c>
      <c r="E5" t="s">
        <v>378</v>
      </c>
      <c r="G5" s="65">
        <v>44179</v>
      </c>
      <c r="H5" s="65">
        <v>44209</v>
      </c>
      <c r="I5" s="65">
        <v>44239</v>
      </c>
      <c r="J5" s="65">
        <v>44269</v>
      </c>
      <c r="K5" s="65">
        <v>44299</v>
      </c>
      <c r="L5" s="65">
        <v>44329</v>
      </c>
      <c r="M5" s="65">
        <v>44359</v>
      </c>
      <c r="N5" s="65">
        <v>44389</v>
      </c>
      <c r="O5" s="65">
        <v>44419</v>
      </c>
      <c r="P5" s="65">
        <v>44449</v>
      </c>
      <c r="Q5" s="65">
        <f t="shared" ref="Q5:S5" si="0">P5+30</f>
        <v>44479</v>
      </c>
      <c r="R5" s="65">
        <f t="shared" si="0"/>
        <v>44509</v>
      </c>
      <c r="S5" s="65">
        <f t="shared" si="0"/>
        <v>44539</v>
      </c>
      <c r="T5" s="66" t="s">
        <v>379</v>
      </c>
    </row>
    <row r="6" spans="1:26" x14ac:dyDescent="0.25">
      <c r="C6" s="67" t="s">
        <v>380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6"/>
    </row>
    <row r="7" spans="1:26" x14ac:dyDescent="0.25"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6"/>
    </row>
    <row r="8" spans="1:26" x14ac:dyDescent="0.25">
      <c r="B8" t="s">
        <v>381</v>
      </c>
      <c r="C8" t="s">
        <v>382</v>
      </c>
      <c r="D8" s="13" t="s">
        <v>71</v>
      </c>
      <c r="E8" t="s">
        <v>383</v>
      </c>
      <c r="G8" s="68">
        <v>0</v>
      </c>
      <c r="H8" s="68">
        <v>0</v>
      </c>
      <c r="I8" s="68">
        <v>0</v>
      </c>
      <c r="J8" s="68">
        <v>0</v>
      </c>
      <c r="K8" s="68">
        <v>3418</v>
      </c>
      <c r="L8" s="68">
        <v>3418</v>
      </c>
      <c r="M8" s="68">
        <v>0</v>
      </c>
      <c r="N8" s="68">
        <v>0</v>
      </c>
      <c r="O8" s="68">
        <v>0</v>
      </c>
      <c r="P8" s="68">
        <v>1364</v>
      </c>
      <c r="Q8" s="68">
        <v>0</v>
      </c>
      <c r="R8" s="68">
        <v>0</v>
      </c>
      <c r="S8" s="68">
        <v>0</v>
      </c>
      <c r="T8" s="68">
        <f>SUM(G8:S8)/13</f>
        <v>630.76923076923072</v>
      </c>
      <c r="U8" s="68"/>
      <c r="V8" s="68"/>
      <c r="W8" s="68"/>
      <c r="X8" s="68"/>
      <c r="Y8" s="68"/>
      <c r="Z8" s="68"/>
    </row>
    <row r="9" spans="1:26" x14ac:dyDescent="0.25">
      <c r="C9" s="69"/>
      <c r="D9" s="70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spans="1:26" x14ac:dyDescent="0.25">
      <c r="G10" s="71">
        <f t="shared" ref="G10:T10" si="1">SUM(G8:G9)</f>
        <v>0</v>
      </c>
      <c r="H10" s="71">
        <f t="shared" si="1"/>
        <v>0</v>
      </c>
      <c r="I10" s="71">
        <f t="shared" si="1"/>
        <v>0</v>
      </c>
      <c r="J10" s="71">
        <f t="shared" si="1"/>
        <v>0</v>
      </c>
      <c r="K10" s="71">
        <f t="shared" si="1"/>
        <v>3418</v>
      </c>
      <c r="L10" s="71">
        <f t="shared" si="1"/>
        <v>3418</v>
      </c>
      <c r="M10" s="71">
        <f t="shared" si="1"/>
        <v>0</v>
      </c>
      <c r="N10" s="71">
        <f t="shared" si="1"/>
        <v>0</v>
      </c>
      <c r="O10" s="71">
        <f t="shared" si="1"/>
        <v>0</v>
      </c>
      <c r="P10" s="71">
        <f t="shared" si="1"/>
        <v>1364</v>
      </c>
      <c r="Q10" s="72">
        <f t="shared" si="1"/>
        <v>0</v>
      </c>
      <c r="R10" s="72">
        <f t="shared" si="1"/>
        <v>0</v>
      </c>
      <c r="S10" s="72">
        <f t="shared" si="1"/>
        <v>0</v>
      </c>
      <c r="T10" s="72">
        <f t="shared" si="1"/>
        <v>630.76923076923072</v>
      </c>
      <c r="U10" s="68"/>
      <c r="V10" s="68"/>
      <c r="W10" s="68"/>
      <c r="X10" s="68"/>
      <c r="Y10" s="68"/>
      <c r="Z10" s="68"/>
    </row>
    <row r="11" spans="1:26" x14ac:dyDescent="0.25"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73"/>
      <c r="R11" s="73"/>
      <c r="S11" s="73"/>
      <c r="T11" s="73"/>
      <c r="U11" s="68"/>
      <c r="V11" s="68"/>
      <c r="W11" s="68"/>
      <c r="X11" s="68"/>
      <c r="Y11" s="68"/>
      <c r="Z11" s="68"/>
    </row>
    <row r="12" spans="1:26" x14ac:dyDescent="0.25"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3"/>
      <c r="R12" s="73"/>
      <c r="S12" s="73"/>
      <c r="T12" s="73"/>
      <c r="U12" s="68"/>
      <c r="V12" s="68"/>
      <c r="W12" s="68"/>
      <c r="X12" s="68"/>
      <c r="Y12" s="68"/>
      <c r="Z12" s="68"/>
    </row>
    <row r="13" spans="1:26" x14ac:dyDescent="0.25">
      <c r="C13" s="67" t="s">
        <v>384</v>
      </c>
      <c r="D13" s="13">
        <v>10101010</v>
      </c>
      <c r="E13" t="s">
        <v>385</v>
      </c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73">
        <f t="shared" ref="T13:T25" si="2">SUM(G13:S13)/13</f>
        <v>0</v>
      </c>
      <c r="U13" s="68"/>
      <c r="V13" s="68"/>
      <c r="W13" s="68"/>
      <c r="X13" s="68"/>
      <c r="Y13" s="68"/>
      <c r="Z13" s="68"/>
    </row>
    <row r="14" spans="1:26" x14ac:dyDescent="0.25">
      <c r="C14" t="s">
        <v>386</v>
      </c>
      <c r="D14" s="13" t="s">
        <v>44</v>
      </c>
      <c r="E14" t="s">
        <v>385</v>
      </c>
      <c r="G14" s="68">
        <v>596857.97</v>
      </c>
      <c r="H14" s="68">
        <v>596857.97</v>
      </c>
      <c r="I14" s="68">
        <v>596857.97</v>
      </c>
      <c r="J14" s="68">
        <v>596857.97</v>
      </c>
      <c r="K14" s="68">
        <v>596857.97</v>
      </c>
      <c r="L14" s="68">
        <v>596857.97</v>
      </c>
      <c r="M14" s="68">
        <v>596857.97</v>
      </c>
      <c r="N14" s="68">
        <v>596857.97</v>
      </c>
      <c r="O14" s="68">
        <v>596857.97</v>
      </c>
      <c r="P14" s="68">
        <v>596857.97</v>
      </c>
      <c r="Q14" s="68">
        <v>596857.97</v>
      </c>
      <c r="R14" s="68">
        <v>596857.97</v>
      </c>
      <c r="S14" s="68">
        <v>596857.97</v>
      </c>
      <c r="T14" s="73">
        <f t="shared" si="2"/>
        <v>596857.96999999986</v>
      </c>
      <c r="U14" s="68"/>
      <c r="V14" s="68"/>
      <c r="W14" s="68"/>
      <c r="X14" s="68"/>
      <c r="Y14" s="68"/>
      <c r="Z14" s="68"/>
    </row>
    <row r="15" spans="1:26" x14ac:dyDescent="0.25">
      <c r="C15" t="s">
        <v>387</v>
      </c>
      <c r="D15" s="13" t="s">
        <v>46</v>
      </c>
      <c r="E15" t="s">
        <v>385</v>
      </c>
      <c r="G15" s="68">
        <v>7749844.6500000004</v>
      </c>
      <c r="H15" s="68">
        <v>7751696.3800000008</v>
      </c>
      <c r="I15" s="68">
        <v>7759924.9100000001</v>
      </c>
      <c r="J15" s="68">
        <v>7765008.8700000001</v>
      </c>
      <c r="K15" s="68">
        <v>7766493.8000000007</v>
      </c>
      <c r="L15" s="68">
        <v>7768078.9600000009</v>
      </c>
      <c r="M15" s="68">
        <v>7746101.1600000001</v>
      </c>
      <c r="N15" s="68">
        <v>7746101.1600000001</v>
      </c>
      <c r="O15" s="68">
        <v>7746101.1600000001</v>
      </c>
      <c r="P15" s="68">
        <v>7746101.1600000001</v>
      </c>
      <c r="Q15" s="68">
        <v>7746101.1600000001</v>
      </c>
      <c r="R15" s="68">
        <v>7746101.1600000001</v>
      </c>
      <c r="S15" s="68">
        <v>7746101.1600000001</v>
      </c>
      <c r="T15" s="73">
        <f t="shared" si="2"/>
        <v>7752596.59153846</v>
      </c>
      <c r="U15" s="68"/>
      <c r="V15" s="68"/>
      <c r="W15" s="68"/>
      <c r="X15" s="68"/>
      <c r="Y15" s="68"/>
      <c r="Z15" s="68"/>
    </row>
    <row r="16" spans="1:26" x14ac:dyDescent="0.25">
      <c r="C16" t="s">
        <v>388</v>
      </c>
      <c r="D16" s="13" t="s">
        <v>48</v>
      </c>
      <c r="E16" t="s">
        <v>385</v>
      </c>
      <c r="G16" s="68">
        <v>738584.92</v>
      </c>
      <c r="H16" s="68">
        <v>738584.92</v>
      </c>
      <c r="I16" s="68">
        <v>738584.92</v>
      </c>
      <c r="J16" s="68">
        <v>738584.92</v>
      </c>
      <c r="K16" s="68">
        <v>738584.92</v>
      </c>
      <c r="L16" s="68">
        <v>738584.92</v>
      </c>
      <c r="M16" s="68">
        <v>742002.67</v>
      </c>
      <c r="N16" s="68">
        <v>742002.67</v>
      </c>
      <c r="O16" s="68">
        <v>742002.67</v>
      </c>
      <c r="P16" s="68">
        <v>742002.67</v>
      </c>
      <c r="Q16" s="68">
        <v>742002.67</v>
      </c>
      <c r="R16" s="68">
        <v>742002.67</v>
      </c>
      <c r="S16" s="68">
        <v>742002.67</v>
      </c>
      <c r="T16" s="73">
        <f t="shared" si="2"/>
        <v>740425.24692307704</v>
      </c>
      <c r="U16" s="68"/>
      <c r="V16" s="68"/>
      <c r="W16" s="68"/>
      <c r="X16" s="68"/>
      <c r="Y16" s="68"/>
      <c r="Z16" s="68"/>
    </row>
    <row r="17" spans="2:26" x14ac:dyDescent="0.25">
      <c r="C17" t="s">
        <v>382</v>
      </c>
      <c r="D17" s="13">
        <v>10103912</v>
      </c>
      <c r="E17" t="s">
        <v>385</v>
      </c>
      <c r="G17" s="68">
        <v>155846.9</v>
      </c>
      <c r="H17" s="68">
        <v>155846.9</v>
      </c>
      <c r="I17" s="68">
        <v>155846.9</v>
      </c>
      <c r="J17" s="68">
        <v>152164.67000000001</v>
      </c>
      <c r="K17" s="68">
        <v>96328.87</v>
      </c>
      <c r="L17" s="68">
        <v>96328.87</v>
      </c>
      <c r="M17" s="68">
        <v>96328.87</v>
      </c>
      <c r="N17" s="68">
        <v>96328.87</v>
      </c>
      <c r="O17" s="68">
        <v>96328.87</v>
      </c>
      <c r="P17" s="68">
        <v>64153.94</v>
      </c>
      <c r="Q17" s="68">
        <v>64153.94</v>
      </c>
      <c r="R17" s="68">
        <v>64153.94</v>
      </c>
      <c r="S17" s="68">
        <v>41832.54</v>
      </c>
      <c r="T17" s="73">
        <f t="shared" si="2"/>
        <v>102741.8523076923</v>
      </c>
      <c r="U17" s="68"/>
      <c r="V17" s="68"/>
      <c r="W17" s="68"/>
      <c r="X17" s="68"/>
      <c r="Y17" s="68"/>
      <c r="Z17" s="68"/>
    </row>
    <row r="18" spans="2:26" x14ac:dyDescent="0.25">
      <c r="C18" t="s">
        <v>389</v>
      </c>
      <c r="D18" s="13" t="s">
        <v>52</v>
      </c>
      <c r="E18" t="s">
        <v>385</v>
      </c>
      <c r="G18" s="68">
        <v>432439.96</v>
      </c>
      <c r="H18" s="68">
        <v>432439.96</v>
      </c>
      <c r="I18" s="68">
        <v>432439.96</v>
      </c>
      <c r="J18" s="68">
        <v>432439.96</v>
      </c>
      <c r="K18" s="68">
        <v>432439.96</v>
      </c>
      <c r="L18" s="68">
        <v>432439.96</v>
      </c>
      <c r="M18" s="68">
        <v>432439.96</v>
      </c>
      <c r="N18" s="68">
        <v>432439.96</v>
      </c>
      <c r="O18" s="68">
        <v>432439.96</v>
      </c>
      <c r="P18" s="68">
        <v>432439.96</v>
      </c>
      <c r="Q18" s="68">
        <v>432439.96</v>
      </c>
      <c r="R18" s="68">
        <v>432439.96</v>
      </c>
      <c r="S18" s="68">
        <v>432439.96</v>
      </c>
      <c r="T18" s="73">
        <f t="shared" si="2"/>
        <v>432439.96</v>
      </c>
      <c r="U18" s="68"/>
      <c r="V18" s="68"/>
      <c r="W18" s="68"/>
      <c r="X18" s="68"/>
      <c r="Y18" s="68"/>
      <c r="Z18" s="68"/>
    </row>
    <row r="19" spans="2:26" x14ac:dyDescent="0.25">
      <c r="C19" t="s">
        <v>390</v>
      </c>
      <c r="D19" s="13" t="s">
        <v>54</v>
      </c>
      <c r="E19" t="s">
        <v>385</v>
      </c>
      <c r="G19" s="68">
        <v>856175.07000000007</v>
      </c>
      <c r="H19" s="68">
        <v>864260.97000000009</v>
      </c>
      <c r="I19" s="68">
        <v>864260.97000000009</v>
      </c>
      <c r="J19" s="68">
        <v>864260.97000000009</v>
      </c>
      <c r="K19" s="68">
        <v>864260.97000000009</v>
      </c>
      <c r="L19" s="68">
        <v>864260.97000000009</v>
      </c>
      <c r="M19" s="68">
        <v>892460.5</v>
      </c>
      <c r="N19" s="68">
        <v>908227.98</v>
      </c>
      <c r="O19" s="68">
        <v>917653.1</v>
      </c>
      <c r="P19" s="68">
        <v>917653.1</v>
      </c>
      <c r="Q19" s="68">
        <v>927709.92</v>
      </c>
      <c r="R19" s="68">
        <v>932207.7</v>
      </c>
      <c r="S19" s="68">
        <v>936225.38</v>
      </c>
      <c r="T19" s="73">
        <f t="shared" si="2"/>
        <v>893047.5076923077</v>
      </c>
      <c r="U19" s="68"/>
      <c r="V19" s="68"/>
      <c r="W19" s="68"/>
      <c r="X19" s="68"/>
      <c r="Y19" s="68"/>
      <c r="Z19" s="68"/>
    </row>
    <row r="20" spans="2:26" x14ac:dyDescent="0.25">
      <c r="C20" t="s">
        <v>391</v>
      </c>
      <c r="D20" s="13" t="s">
        <v>56</v>
      </c>
      <c r="E20" t="s">
        <v>385</v>
      </c>
      <c r="G20" s="68">
        <v>258116.52</v>
      </c>
      <c r="H20" s="68">
        <v>258116.52</v>
      </c>
      <c r="I20" s="68">
        <v>258116.52</v>
      </c>
      <c r="J20" s="68">
        <v>258116.52</v>
      </c>
      <c r="K20" s="68">
        <v>258116.52</v>
      </c>
      <c r="L20" s="68">
        <v>258116.52</v>
      </c>
      <c r="M20" s="68">
        <v>258116.52</v>
      </c>
      <c r="N20" s="68">
        <v>258116.52</v>
      </c>
      <c r="O20" s="68">
        <v>258116.52</v>
      </c>
      <c r="P20" s="68">
        <v>258116.52</v>
      </c>
      <c r="Q20" s="68">
        <v>258116.52</v>
      </c>
      <c r="R20" s="68">
        <v>258116.52</v>
      </c>
      <c r="S20" s="68">
        <v>258116.52000000002</v>
      </c>
      <c r="T20" s="73">
        <f t="shared" si="2"/>
        <v>258116.52</v>
      </c>
      <c r="U20" s="68"/>
      <c r="V20" s="68"/>
      <c r="W20" s="68"/>
      <c r="X20" s="68"/>
      <c r="Y20" s="68"/>
      <c r="Z20" s="68"/>
    </row>
    <row r="21" spans="2:26" x14ac:dyDescent="0.25">
      <c r="C21" t="s">
        <v>392</v>
      </c>
      <c r="D21" s="13" t="s">
        <v>58</v>
      </c>
      <c r="E21" t="s">
        <v>385</v>
      </c>
      <c r="G21" s="68">
        <v>763765.58</v>
      </c>
      <c r="H21" s="68">
        <v>763765.58</v>
      </c>
      <c r="I21" s="68">
        <v>763765.58</v>
      </c>
      <c r="J21" s="68">
        <v>763765.58</v>
      </c>
      <c r="K21" s="68">
        <v>763765.58</v>
      </c>
      <c r="L21" s="68">
        <v>763765.58</v>
      </c>
      <c r="M21" s="68">
        <v>763765.58</v>
      </c>
      <c r="N21" s="68">
        <v>763765.58</v>
      </c>
      <c r="O21" s="68">
        <v>763765.58</v>
      </c>
      <c r="P21" s="68">
        <v>763765.58</v>
      </c>
      <c r="Q21" s="68">
        <v>763765.58</v>
      </c>
      <c r="R21" s="68">
        <v>763765.58</v>
      </c>
      <c r="S21" s="68">
        <v>763765.58</v>
      </c>
      <c r="T21" s="73">
        <f t="shared" si="2"/>
        <v>763765.58</v>
      </c>
      <c r="U21" s="68"/>
      <c r="V21" s="68"/>
      <c r="W21" s="68"/>
      <c r="X21" s="68"/>
      <c r="Y21" s="68"/>
      <c r="Z21" s="68"/>
    </row>
    <row r="22" spans="2:26" x14ac:dyDescent="0.25">
      <c r="C22" t="s">
        <v>59</v>
      </c>
      <c r="D22" s="13" t="s">
        <v>60</v>
      </c>
      <c r="E22" t="s">
        <v>385</v>
      </c>
      <c r="G22" s="68">
        <v>640740.72</v>
      </c>
      <c r="H22" s="68">
        <v>640740.72</v>
      </c>
      <c r="I22" s="68">
        <v>640740.72</v>
      </c>
      <c r="J22" s="68">
        <v>640740.72</v>
      </c>
      <c r="K22" s="68">
        <v>640740.72</v>
      </c>
      <c r="L22" s="68">
        <v>640740.72</v>
      </c>
      <c r="M22" s="68">
        <v>640740.72</v>
      </c>
      <c r="N22" s="68">
        <v>640740.72</v>
      </c>
      <c r="O22" s="68">
        <v>640740.72</v>
      </c>
      <c r="P22" s="68">
        <v>640740.72</v>
      </c>
      <c r="Q22" s="68">
        <v>640740.72</v>
      </c>
      <c r="R22" s="68">
        <v>640740.72</v>
      </c>
      <c r="S22" s="68">
        <v>640740.72</v>
      </c>
      <c r="T22" s="73">
        <f t="shared" si="2"/>
        <v>640740.71999999986</v>
      </c>
      <c r="U22" s="68"/>
      <c r="V22" s="68"/>
      <c r="W22" s="68"/>
      <c r="X22" s="68"/>
      <c r="Y22" s="68"/>
      <c r="Z22" s="68"/>
    </row>
    <row r="23" spans="2:26" x14ac:dyDescent="0.25">
      <c r="C23" t="s">
        <v>61</v>
      </c>
      <c r="D23" s="13" t="s">
        <v>62</v>
      </c>
      <c r="E23" t="s">
        <v>385</v>
      </c>
      <c r="G23" s="68">
        <v>32922.449999999997</v>
      </c>
      <c r="H23" s="68">
        <v>32922.449999999997</v>
      </c>
      <c r="I23" s="68">
        <v>32922.449999999997</v>
      </c>
      <c r="J23" s="68">
        <v>32922.449999999997</v>
      </c>
      <c r="K23" s="68">
        <v>32922.449999999997</v>
      </c>
      <c r="L23" s="68">
        <v>32922.449999999997</v>
      </c>
      <c r="M23" s="68">
        <v>32922.449999999997</v>
      </c>
      <c r="N23" s="68">
        <v>32922.449999999997</v>
      </c>
      <c r="O23" s="68">
        <v>32922.449999999997</v>
      </c>
      <c r="P23" s="68">
        <v>32922.449999999997</v>
      </c>
      <c r="Q23" s="68">
        <v>32922.449999999997</v>
      </c>
      <c r="R23" s="68">
        <v>32922.449999999997</v>
      </c>
      <c r="S23" s="68">
        <v>32922.449999999997</v>
      </c>
      <c r="T23" s="73">
        <f t="shared" si="2"/>
        <v>32922.450000000004</v>
      </c>
      <c r="U23" s="68"/>
      <c r="V23" s="68"/>
      <c r="W23" s="68"/>
      <c r="X23" s="68"/>
      <c r="Y23" s="68"/>
      <c r="Z23" s="68"/>
    </row>
    <row r="24" spans="2:26" x14ac:dyDescent="0.25">
      <c r="C24" t="s">
        <v>393</v>
      </c>
      <c r="D24" s="13" t="s">
        <v>64</v>
      </c>
      <c r="E24" t="s">
        <v>385</v>
      </c>
      <c r="G24" s="68"/>
      <c r="H24" s="68"/>
      <c r="I24" s="68"/>
      <c r="J24" s="68"/>
      <c r="K24" s="68"/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  <c r="S24" s="68">
        <v>0</v>
      </c>
      <c r="T24" s="74">
        <f t="shared" si="2"/>
        <v>0</v>
      </c>
      <c r="U24" s="68"/>
      <c r="V24" s="68"/>
      <c r="W24" s="68"/>
      <c r="X24" s="68"/>
      <c r="Y24" s="68"/>
      <c r="Z24" s="68"/>
    </row>
    <row r="25" spans="2:26" x14ac:dyDescent="0.25">
      <c r="C25" t="s">
        <v>394</v>
      </c>
      <c r="D25" s="13" t="s">
        <v>395</v>
      </c>
      <c r="E25" t="s">
        <v>385</v>
      </c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75">
        <f t="shared" si="2"/>
        <v>0</v>
      </c>
      <c r="U25" s="68"/>
      <c r="V25" s="68"/>
      <c r="W25" s="68"/>
      <c r="X25" s="68"/>
      <c r="Y25" s="68"/>
      <c r="Z25" s="68"/>
    </row>
    <row r="26" spans="2:26" x14ac:dyDescent="0.25">
      <c r="G26" s="76">
        <f t="shared" ref="G26:T26" si="3">SUM(G13:G25)</f>
        <v>12225294.740000002</v>
      </c>
      <c r="H26" s="76">
        <f t="shared" si="3"/>
        <v>12235232.370000003</v>
      </c>
      <c r="I26" s="76">
        <f t="shared" si="3"/>
        <v>12243460.900000002</v>
      </c>
      <c r="J26" s="76">
        <f t="shared" si="3"/>
        <v>12244862.630000001</v>
      </c>
      <c r="K26" s="76">
        <f t="shared" si="3"/>
        <v>12190511.760000002</v>
      </c>
      <c r="L26" s="76">
        <f t="shared" si="3"/>
        <v>12192096.920000002</v>
      </c>
      <c r="M26" s="76">
        <f t="shared" si="3"/>
        <v>12201736.4</v>
      </c>
      <c r="N26" s="76">
        <f t="shared" si="3"/>
        <v>12217503.880000001</v>
      </c>
      <c r="O26" s="76">
        <f t="shared" si="3"/>
        <v>12226929</v>
      </c>
      <c r="P26" s="76">
        <f t="shared" si="3"/>
        <v>12194754.07</v>
      </c>
      <c r="Q26" s="76">
        <f t="shared" si="3"/>
        <v>12204810.890000001</v>
      </c>
      <c r="R26" s="76">
        <f t="shared" si="3"/>
        <v>12209308.67</v>
      </c>
      <c r="S26" s="76">
        <f t="shared" si="3"/>
        <v>12191004.950000001</v>
      </c>
      <c r="T26" s="76">
        <f t="shared" si="3"/>
        <v>12213654.398461537</v>
      </c>
      <c r="U26" s="68"/>
      <c r="V26" s="68"/>
      <c r="W26" s="68"/>
      <c r="X26" s="68"/>
      <c r="Y26" s="68"/>
      <c r="Z26" s="68"/>
    </row>
    <row r="27" spans="2:26" x14ac:dyDescent="0.25"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2:26" x14ac:dyDescent="0.25"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73"/>
      <c r="R28" s="73"/>
      <c r="S28" s="73"/>
      <c r="T28" s="73"/>
      <c r="U28" s="68"/>
      <c r="V28" s="68"/>
      <c r="W28" s="68"/>
      <c r="X28" s="68"/>
      <c r="Y28" s="68"/>
      <c r="Z28" s="68"/>
    </row>
    <row r="29" spans="2:26" x14ac:dyDescent="0.25">
      <c r="G29" s="77">
        <f>'[1]FC with allocations'!C30+'[1]FC with allocations'!C35</f>
        <v>12225295</v>
      </c>
      <c r="H29" s="77">
        <f>'[1]FC with allocations'!D30+'[1]FC with allocations'!D35</f>
        <v>12235232</v>
      </c>
      <c r="I29" s="77">
        <f>'[1]FC with allocations'!E30+'[1]FC with allocations'!E35</f>
        <v>12243461</v>
      </c>
      <c r="J29" s="77">
        <f>'[1]FC with allocations'!F30+'[1]FC with allocations'!F35</f>
        <v>12244863</v>
      </c>
      <c r="K29" s="77">
        <f>'[1]FC with allocations'!G30+'[1]FC with allocations'!G35</f>
        <v>12193930</v>
      </c>
      <c r="L29" s="77">
        <f>'[1]FC with allocations'!H30+'[1]FC with allocations'!H35</f>
        <v>12195515</v>
      </c>
      <c r="M29" s="77">
        <f>'[1]FC with allocations'!I30+'[1]FC with allocations'!I35</f>
        <v>12201736</v>
      </c>
      <c r="N29" s="77">
        <f>'[1]FC with allocations'!J30+'[1]FC with allocations'!J35</f>
        <v>12217504</v>
      </c>
      <c r="O29" s="77">
        <f>'[1]FC with allocations'!K30+'[1]FC with allocations'!K35</f>
        <v>12226929</v>
      </c>
      <c r="P29" s="77">
        <f>'[1]FC with allocations'!L30+'[1]FC with allocations'!L35</f>
        <v>12196118</v>
      </c>
      <c r="Q29" s="77">
        <f>'[1]FC with allocations'!M30+'[1]FC with allocations'!M35</f>
        <v>12204811</v>
      </c>
      <c r="R29" s="77">
        <f>'[1]FC with allocations'!N30+'[1]FC with allocations'!N35</f>
        <v>12209309</v>
      </c>
      <c r="S29" s="77">
        <f>'[1]FC with allocations'!O30+'[1]FC with allocations'!O35</f>
        <v>12191005</v>
      </c>
      <c r="T29" s="75">
        <f>SUM(G29:S29)/13</f>
        <v>12214285.23076923</v>
      </c>
      <c r="U29" s="68"/>
      <c r="V29" s="68"/>
      <c r="W29" s="68"/>
      <c r="X29" s="68"/>
      <c r="Y29" s="68"/>
      <c r="Z29" s="68"/>
    </row>
    <row r="30" spans="2:26" x14ac:dyDescent="0.25">
      <c r="G30" s="68">
        <f>G29-G26-G10</f>
        <v>0.25999999791383743</v>
      </c>
      <c r="H30" s="68">
        <f t="shared" ref="H30:T30" si="4">H29-H26-H10</f>
        <v>-0.37000000290572643</v>
      </c>
      <c r="I30" s="68">
        <f t="shared" si="4"/>
        <v>9.9999997764825821E-2</v>
      </c>
      <c r="J30" s="68">
        <f t="shared" si="4"/>
        <v>0.36999999918043613</v>
      </c>
      <c r="K30" s="68">
        <f t="shared" si="4"/>
        <v>0.23999999836087227</v>
      </c>
      <c r="L30" s="68">
        <f t="shared" si="4"/>
        <v>7.9999998211860657E-2</v>
      </c>
      <c r="M30" s="68">
        <f t="shared" si="4"/>
        <v>-0.40000000037252903</v>
      </c>
      <c r="N30" s="68">
        <f t="shared" si="4"/>
        <v>0.11999999918043613</v>
      </c>
      <c r="O30" s="68">
        <f t="shared" si="4"/>
        <v>0</v>
      </c>
      <c r="P30" s="68">
        <f t="shared" si="4"/>
        <v>-7.0000000298023224E-2</v>
      </c>
      <c r="Q30" s="68">
        <f t="shared" si="4"/>
        <v>0.10999999940395355</v>
      </c>
      <c r="R30" s="68">
        <f t="shared" si="4"/>
        <v>0.33000000007450581</v>
      </c>
      <c r="S30" s="68">
        <f t="shared" si="4"/>
        <v>4.999999888241291E-2</v>
      </c>
      <c r="T30" s="68">
        <f t="shared" si="4"/>
        <v>6.3076923386461203E-2</v>
      </c>
      <c r="U30" s="68"/>
      <c r="V30" s="68"/>
      <c r="W30" s="68"/>
      <c r="X30" s="68"/>
      <c r="Y30" s="68"/>
      <c r="Z30" s="68"/>
    </row>
    <row r="31" spans="2:26" x14ac:dyDescent="0.25">
      <c r="B31" t="s">
        <v>396</v>
      </c>
      <c r="C31" s="67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3"/>
      <c r="U31" s="68"/>
      <c r="V31" s="68"/>
      <c r="W31" s="68"/>
      <c r="X31" s="68"/>
      <c r="Y31" s="68"/>
      <c r="Z31" s="68"/>
    </row>
    <row r="32" spans="2:26" x14ac:dyDescent="0.25"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73"/>
      <c r="R32" s="73"/>
      <c r="S32" s="73"/>
      <c r="T32" s="73"/>
      <c r="U32" s="68"/>
      <c r="V32" s="68"/>
      <c r="W32" s="68"/>
      <c r="X32" s="68"/>
      <c r="Y32" s="68"/>
      <c r="Z32" s="68"/>
    </row>
    <row r="33" spans="3:26" x14ac:dyDescent="0.25"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73"/>
      <c r="R33" s="73"/>
      <c r="S33" s="73"/>
      <c r="T33" s="73"/>
      <c r="U33" s="68"/>
      <c r="V33" s="68"/>
      <c r="W33" s="68"/>
      <c r="X33" s="68"/>
      <c r="Y33" s="68"/>
      <c r="Z33" s="68"/>
    </row>
    <row r="34" spans="3:26" x14ac:dyDescent="0.25">
      <c r="C34" s="67" t="s">
        <v>397</v>
      </c>
      <c r="D34" s="13">
        <v>10801080</v>
      </c>
      <c r="E34" t="s">
        <v>398</v>
      </c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73">
        <f t="shared" ref="T34" si="5">SUM(G34:S34)/13</f>
        <v>0</v>
      </c>
      <c r="U34" s="68"/>
      <c r="V34" s="68"/>
      <c r="W34" s="68"/>
      <c r="X34" s="68"/>
      <c r="Y34" s="68"/>
      <c r="Z34" s="68"/>
    </row>
    <row r="35" spans="3:26" x14ac:dyDescent="0.25">
      <c r="C35" t="s">
        <v>399</v>
      </c>
      <c r="D35" s="13" t="s">
        <v>76</v>
      </c>
      <c r="E35" t="s">
        <v>385</v>
      </c>
      <c r="G35" s="68">
        <v>-240635.84000000003</v>
      </c>
      <c r="H35" s="68">
        <v>-255489.71000000002</v>
      </c>
      <c r="I35" s="68">
        <v>-270347.13</v>
      </c>
      <c r="J35" s="68">
        <v>-285220.32</v>
      </c>
      <c r="K35" s="68">
        <v>-300103.25</v>
      </c>
      <c r="L35" s="68">
        <v>-314989.03000000003</v>
      </c>
      <c r="M35" s="68">
        <v>-329877.85000000003</v>
      </c>
      <c r="N35" s="68">
        <v>-344724.54000000004</v>
      </c>
      <c r="O35" s="68">
        <v>-359571.23000000004</v>
      </c>
      <c r="P35" s="68">
        <v>-374417.91999999998</v>
      </c>
      <c r="Q35" s="68">
        <v>-389264.61</v>
      </c>
      <c r="R35" s="68">
        <v>-404111.3</v>
      </c>
      <c r="S35" s="68">
        <v>-420142.72</v>
      </c>
      <c r="T35" s="73">
        <f t="shared" ref="T35:T44" si="6">SUM(G35:S35)/13</f>
        <v>-329915.03461538453</v>
      </c>
      <c r="U35" s="68"/>
      <c r="V35" s="68"/>
      <c r="W35" s="68"/>
      <c r="X35" s="68"/>
      <c r="Y35" s="68"/>
      <c r="Z35" s="68"/>
    </row>
    <row r="36" spans="3:26" x14ac:dyDescent="0.25">
      <c r="C36" t="s">
        <v>400</v>
      </c>
      <c r="D36" s="13" t="s">
        <v>77</v>
      </c>
      <c r="E36" t="s">
        <v>385</v>
      </c>
      <c r="G36" s="68">
        <v>-394865.56000000011</v>
      </c>
      <c r="H36" s="68">
        <v>-413890.32000000012</v>
      </c>
      <c r="I36" s="68">
        <v>-432915.08000000013</v>
      </c>
      <c r="J36" s="68">
        <v>-451939.84000000014</v>
      </c>
      <c r="K36" s="68">
        <v>-470964.60000000015</v>
      </c>
      <c r="L36" s="68">
        <v>-489989.36000000016</v>
      </c>
      <c r="M36" s="68">
        <v>-509014.12000000017</v>
      </c>
      <c r="N36" s="68">
        <v>-528059.2200000002</v>
      </c>
      <c r="O36" s="68">
        <v>-547104.32000000018</v>
      </c>
      <c r="P36" s="68">
        <v>-566149.42000000004</v>
      </c>
      <c r="Q36" s="68">
        <v>-585194.52</v>
      </c>
      <c r="R36" s="68">
        <v>-604239.62</v>
      </c>
      <c r="S36" s="68">
        <v>-30015.37999999999</v>
      </c>
      <c r="T36" s="73">
        <f t="shared" si="6"/>
        <v>-463410.87384615396</v>
      </c>
      <c r="U36" s="68"/>
      <c r="V36" s="68"/>
      <c r="W36" s="68"/>
      <c r="X36" s="68"/>
      <c r="Y36" s="68"/>
      <c r="Z36" s="68"/>
    </row>
    <row r="37" spans="3:26" x14ac:dyDescent="0.25">
      <c r="C37" t="s">
        <v>401</v>
      </c>
      <c r="D37" s="13">
        <v>10803912</v>
      </c>
      <c r="E37" t="s">
        <v>383</v>
      </c>
      <c r="G37" s="68">
        <v>393600.4700000002</v>
      </c>
      <c r="H37" s="68">
        <v>394656.75000000023</v>
      </c>
      <c r="I37" s="68">
        <v>395713.03000000026</v>
      </c>
      <c r="J37" s="68">
        <v>400451.54000000027</v>
      </c>
      <c r="K37" s="68">
        <v>457374.30000000028</v>
      </c>
      <c r="L37" s="68">
        <v>458926.56000000029</v>
      </c>
      <c r="M37" s="68">
        <v>460478.8200000003</v>
      </c>
      <c r="N37" s="68">
        <v>462031.08000000031</v>
      </c>
      <c r="O37" s="68">
        <v>463583.34000000032</v>
      </c>
      <c r="P37" s="68">
        <v>497310.53</v>
      </c>
      <c r="Q37" s="68">
        <v>499130.91</v>
      </c>
      <c r="R37" s="68">
        <v>500951.29</v>
      </c>
      <c r="S37" s="68">
        <v>-100219.34</v>
      </c>
      <c r="T37" s="73">
        <f t="shared" si="6"/>
        <v>406460.71384615399</v>
      </c>
      <c r="U37" s="68"/>
      <c r="V37" s="68"/>
      <c r="W37" s="68"/>
      <c r="X37" s="68"/>
      <c r="Y37" s="68"/>
      <c r="Z37" s="68"/>
    </row>
    <row r="38" spans="3:26" x14ac:dyDescent="0.25">
      <c r="C38" t="s">
        <v>402</v>
      </c>
      <c r="D38" s="13">
        <v>10803913</v>
      </c>
      <c r="E38" t="s">
        <v>385</v>
      </c>
      <c r="G38" s="68">
        <v>153800.21000000005</v>
      </c>
      <c r="H38" s="68">
        <v>151484.80000000005</v>
      </c>
      <c r="I38" s="68">
        <v>149169.39000000004</v>
      </c>
      <c r="J38" s="68">
        <v>146853.98000000004</v>
      </c>
      <c r="K38" s="68">
        <v>144538.57000000004</v>
      </c>
      <c r="L38" s="68">
        <v>142223.16000000003</v>
      </c>
      <c r="M38" s="68">
        <v>139907.75000000003</v>
      </c>
      <c r="N38" s="68">
        <v>137592.34000000003</v>
      </c>
      <c r="O38" s="68">
        <v>135276.93000000002</v>
      </c>
      <c r="P38" s="68">
        <v>132961.51999999999</v>
      </c>
      <c r="Q38" s="68">
        <v>130646.11</v>
      </c>
      <c r="R38" s="68">
        <v>128330.7</v>
      </c>
      <c r="S38" s="68">
        <v>240146.58000000002</v>
      </c>
      <c r="T38" s="73">
        <f t="shared" si="6"/>
        <v>148687.08000000002</v>
      </c>
      <c r="U38" s="68"/>
      <c r="V38" s="68"/>
      <c r="W38" s="68"/>
      <c r="X38" s="68"/>
      <c r="Y38" s="68"/>
      <c r="Z38" s="68"/>
    </row>
    <row r="39" spans="3:26" x14ac:dyDescent="0.25">
      <c r="C39" t="s">
        <v>403</v>
      </c>
      <c r="D39" s="13" t="s">
        <v>80</v>
      </c>
      <c r="E39" t="s">
        <v>385</v>
      </c>
      <c r="G39" s="68">
        <v>-25434.540000000052</v>
      </c>
      <c r="H39" s="68">
        <v>-22596.080000000053</v>
      </c>
      <c r="I39" s="68">
        <v>-19825.000000000051</v>
      </c>
      <c r="J39" s="68">
        <v>-17053.920000000049</v>
      </c>
      <c r="K39" s="68">
        <v>-14282.840000000049</v>
      </c>
      <c r="L39" s="68">
        <v>-11511.760000000049</v>
      </c>
      <c r="M39" s="68">
        <v>-8740.6800000000494</v>
      </c>
      <c r="N39" s="68">
        <v>-6204.6000000000495</v>
      </c>
      <c r="O39" s="68">
        <v>-3799.9200000000492</v>
      </c>
      <c r="P39" s="68">
        <v>-1473.78</v>
      </c>
      <c r="Q39" s="68">
        <v>852.36</v>
      </c>
      <c r="R39" s="68">
        <v>3094.69</v>
      </c>
      <c r="S39" s="68">
        <v>9031.5400000000009</v>
      </c>
      <c r="T39" s="73">
        <f t="shared" si="6"/>
        <v>-9072.6561538461901</v>
      </c>
      <c r="U39" s="68"/>
      <c r="V39" s="68"/>
      <c r="W39" s="68"/>
      <c r="X39" s="68"/>
      <c r="Y39" s="68"/>
      <c r="Z39" s="68"/>
    </row>
    <row r="40" spans="3:26" x14ac:dyDescent="0.25">
      <c r="C40" t="s">
        <v>404</v>
      </c>
      <c r="D40" s="13" t="s">
        <v>81</v>
      </c>
      <c r="E40" t="s">
        <v>385</v>
      </c>
      <c r="G40" s="68">
        <v>-110913.55000000002</v>
      </c>
      <c r="H40" s="68">
        <v>-114656.24000000002</v>
      </c>
      <c r="I40" s="68">
        <v>-118398.93000000002</v>
      </c>
      <c r="J40" s="68">
        <v>-122141.62000000002</v>
      </c>
      <c r="K40" s="68">
        <v>-125884.31000000003</v>
      </c>
      <c r="L40" s="68">
        <v>-129627.00000000003</v>
      </c>
      <c r="M40" s="68">
        <v>-133369.69000000003</v>
      </c>
      <c r="N40" s="68">
        <v>-137112.38000000003</v>
      </c>
      <c r="O40" s="68">
        <v>-140855.07000000004</v>
      </c>
      <c r="P40" s="68">
        <v>-144597.76000000001</v>
      </c>
      <c r="Q40" s="68">
        <v>-148340.45000000001</v>
      </c>
      <c r="R40" s="68">
        <v>-152083.14000000001</v>
      </c>
      <c r="S40" s="68">
        <v>-155825.82999999999</v>
      </c>
      <c r="T40" s="73">
        <f t="shared" si="6"/>
        <v>-133369.69</v>
      </c>
      <c r="U40" s="68"/>
      <c r="V40" s="68"/>
      <c r="W40" s="68"/>
      <c r="X40" s="68"/>
      <c r="Y40" s="68"/>
      <c r="Z40" s="68"/>
    </row>
    <row r="41" spans="3:26" x14ac:dyDescent="0.25">
      <c r="C41" t="s">
        <v>405</v>
      </c>
      <c r="D41" s="13" t="s">
        <v>82</v>
      </c>
      <c r="E41" t="s">
        <v>385</v>
      </c>
      <c r="G41" s="68">
        <v>-263873.36999999988</v>
      </c>
      <c r="H41" s="68">
        <v>-269219.72999999986</v>
      </c>
      <c r="I41" s="68">
        <v>-274566.08999999985</v>
      </c>
      <c r="J41" s="68">
        <v>-279912.44999999984</v>
      </c>
      <c r="K41" s="68">
        <v>-285258.80999999982</v>
      </c>
      <c r="L41" s="68">
        <v>-290605.16999999981</v>
      </c>
      <c r="M41" s="68">
        <v>-295951.5299999998</v>
      </c>
      <c r="N41" s="68">
        <v>-301297.88999999978</v>
      </c>
      <c r="O41" s="68">
        <v>-306644.24999999977</v>
      </c>
      <c r="P41" s="68">
        <v>-311990.61</v>
      </c>
      <c r="Q41" s="68">
        <v>-317336.96999999997</v>
      </c>
      <c r="R41" s="68">
        <v>-322683.33</v>
      </c>
      <c r="S41" s="68">
        <v>-254232.94</v>
      </c>
      <c r="T41" s="73">
        <f t="shared" si="6"/>
        <v>-290274.85692307679</v>
      </c>
      <c r="U41" s="68"/>
      <c r="V41" s="68"/>
      <c r="W41" s="68"/>
      <c r="X41" s="68"/>
      <c r="Y41" s="68"/>
      <c r="Z41" s="68"/>
    </row>
    <row r="42" spans="3:26" x14ac:dyDescent="0.25">
      <c r="C42" t="s">
        <v>406</v>
      </c>
      <c r="D42" s="13" t="s">
        <v>83</v>
      </c>
      <c r="E42" t="s">
        <v>385</v>
      </c>
      <c r="G42" s="68">
        <v>-115532.95000000001</v>
      </c>
      <c r="H42" s="68">
        <v>-121640.93000000001</v>
      </c>
      <c r="I42" s="68">
        <v>-127748.91</v>
      </c>
      <c r="J42" s="68">
        <v>-133856.89000000001</v>
      </c>
      <c r="K42" s="68">
        <v>-139964.87000000002</v>
      </c>
      <c r="L42" s="68">
        <v>-146072.85000000003</v>
      </c>
      <c r="M42" s="68">
        <v>-152180.83000000005</v>
      </c>
      <c r="N42" s="68">
        <v>-158288.81000000006</v>
      </c>
      <c r="O42" s="68">
        <v>-164396.79000000007</v>
      </c>
      <c r="P42" s="68">
        <v>-170504.77</v>
      </c>
      <c r="Q42" s="68">
        <v>-176612.75</v>
      </c>
      <c r="R42" s="68">
        <v>-182720.73</v>
      </c>
      <c r="S42" s="68">
        <v>-192055.3</v>
      </c>
      <c r="T42" s="73">
        <f t="shared" si="6"/>
        <v>-152429.02923076926</v>
      </c>
      <c r="U42" s="68"/>
      <c r="V42" s="68"/>
      <c r="W42" s="68"/>
      <c r="X42" s="68"/>
      <c r="Y42" s="68"/>
      <c r="Z42" s="68"/>
    </row>
    <row r="43" spans="3:26" x14ac:dyDescent="0.25">
      <c r="C43" t="s">
        <v>407</v>
      </c>
      <c r="D43" s="13" t="s">
        <v>84</v>
      </c>
      <c r="E43" t="s">
        <v>385</v>
      </c>
      <c r="G43" s="68">
        <v>-81.5900000000006</v>
      </c>
      <c r="H43" s="68">
        <v>-811.80000000000064</v>
      </c>
      <c r="I43" s="68">
        <v>-1542.0100000000007</v>
      </c>
      <c r="J43" s="68">
        <v>-2272.2200000000007</v>
      </c>
      <c r="K43" s="68">
        <v>-3002.4300000000007</v>
      </c>
      <c r="L43" s="68">
        <v>-3732.6400000000008</v>
      </c>
      <c r="M43" s="68">
        <v>-4462.8500000000004</v>
      </c>
      <c r="N43" s="68">
        <v>-5193.0600000000004</v>
      </c>
      <c r="O43" s="68">
        <v>-5923.27</v>
      </c>
      <c r="P43" s="68">
        <v>-6653.48</v>
      </c>
      <c r="Q43" s="68">
        <v>-7383.69</v>
      </c>
      <c r="R43" s="68">
        <v>-8113.9</v>
      </c>
      <c r="S43" s="68">
        <v>-9977.82</v>
      </c>
      <c r="T43" s="73">
        <f t="shared" si="6"/>
        <v>-4550.0584615384623</v>
      </c>
      <c r="U43" s="68"/>
      <c r="V43" s="68"/>
      <c r="W43" s="68"/>
      <c r="X43" s="68"/>
      <c r="Y43" s="68"/>
      <c r="Z43" s="68"/>
    </row>
    <row r="44" spans="3:26" x14ac:dyDescent="0.25">
      <c r="C44" t="s">
        <v>408</v>
      </c>
      <c r="D44" s="13" t="s">
        <v>85</v>
      </c>
      <c r="E44" t="s">
        <v>385</v>
      </c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73">
        <f t="shared" si="6"/>
        <v>0</v>
      </c>
      <c r="U44" s="68"/>
      <c r="V44" s="68"/>
      <c r="W44" s="68"/>
      <c r="X44" s="68"/>
      <c r="Y44" s="68"/>
      <c r="Z44" s="68"/>
    </row>
    <row r="45" spans="3:26" x14ac:dyDescent="0.25">
      <c r="C45" s="13" t="s">
        <v>86</v>
      </c>
      <c r="D45" s="13" t="s">
        <v>87</v>
      </c>
      <c r="E45" t="s">
        <v>385</v>
      </c>
      <c r="G45" s="68">
        <v>30205</v>
      </c>
      <c r="H45" s="68">
        <v>32003</v>
      </c>
      <c r="I45" s="68">
        <v>32006</v>
      </c>
      <c r="J45" s="68">
        <v>32022</v>
      </c>
      <c r="K45" s="68">
        <v>32001</v>
      </c>
      <c r="L45" s="68">
        <v>31539</v>
      </c>
      <c r="M45" s="68">
        <v>31497</v>
      </c>
      <c r="N45" s="68">
        <v>31475</v>
      </c>
      <c r="O45" s="68">
        <v>31520</v>
      </c>
      <c r="P45" s="68">
        <v>31520</v>
      </c>
      <c r="Q45" s="68">
        <v>31252</v>
      </c>
      <c r="R45" s="68">
        <v>31252</v>
      </c>
      <c r="S45" s="68">
        <v>25334</v>
      </c>
      <c r="T45" s="73">
        <f t="shared" ref="T45:T47" si="7">SUM(G45:S45)/13</f>
        <v>31048.153846153848</v>
      </c>
      <c r="U45" s="68"/>
      <c r="V45" s="68"/>
      <c r="W45" s="68"/>
      <c r="X45" s="68"/>
      <c r="Y45" s="68"/>
      <c r="Z45" s="68"/>
    </row>
    <row r="46" spans="3:26" x14ac:dyDescent="0.25">
      <c r="C46" s="13" t="s">
        <v>88</v>
      </c>
      <c r="D46" s="13" t="s">
        <v>89</v>
      </c>
      <c r="E46" t="s">
        <v>385</v>
      </c>
      <c r="G46" s="68">
        <v>18026</v>
      </c>
      <c r="H46" s="68">
        <v>16224</v>
      </c>
      <c r="I46" s="68">
        <v>16291</v>
      </c>
      <c r="J46" s="68">
        <v>16291</v>
      </c>
      <c r="K46" s="68">
        <v>16291</v>
      </c>
      <c r="L46" s="68">
        <v>16291</v>
      </c>
      <c r="M46" s="68">
        <v>16291</v>
      </c>
      <c r="N46" s="68">
        <v>16526</v>
      </c>
      <c r="O46" s="68">
        <v>16658</v>
      </c>
      <c r="P46" s="68">
        <v>16736</v>
      </c>
      <c r="Q46" s="68">
        <v>16736</v>
      </c>
      <c r="R46" s="68">
        <v>16820</v>
      </c>
      <c r="S46" s="68">
        <v>22241</v>
      </c>
      <c r="T46" s="73">
        <f t="shared" si="7"/>
        <v>17032.461538461539</v>
      </c>
      <c r="U46" s="68"/>
      <c r="V46" s="68"/>
      <c r="W46" s="68"/>
      <c r="X46" s="68"/>
      <c r="Y46" s="68"/>
      <c r="Z46" s="68"/>
    </row>
    <row r="47" spans="3:26" x14ac:dyDescent="0.25">
      <c r="C47" s="13" t="s">
        <v>90</v>
      </c>
      <c r="D47" s="13" t="s">
        <v>91</v>
      </c>
      <c r="E47" t="s">
        <v>385</v>
      </c>
      <c r="G47" s="68">
        <v>-45669</v>
      </c>
      <c r="H47" s="68">
        <v>-45669</v>
      </c>
      <c r="I47" s="68">
        <v>-45669</v>
      </c>
      <c r="J47" s="68">
        <v>-45669</v>
      </c>
      <c r="K47" s="68">
        <v>-45669</v>
      </c>
      <c r="L47" s="68">
        <v>-45669</v>
      </c>
      <c r="M47" s="68">
        <v>-45669</v>
      </c>
      <c r="N47" s="68">
        <v>-45669</v>
      </c>
      <c r="O47" s="68">
        <v>-45669</v>
      </c>
      <c r="P47" s="68">
        <v>-45669</v>
      </c>
      <c r="Q47" s="68">
        <v>-45669</v>
      </c>
      <c r="R47" s="68">
        <v>-45669</v>
      </c>
      <c r="S47" s="68">
        <v>-45669</v>
      </c>
      <c r="T47" s="73">
        <f t="shared" si="7"/>
        <v>-45669</v>
      </c>
      <c r="U47" s="68"/>
      <c r="V47" s="68"/>
      <c r="W47" s="68"/>
      <c r="X47" s="68"/>
      <c r="Y47" s="68"/>
      <c r="Z47" s="68"/>
    </row>
    <row r="48" spans="3:26" x14ac:dyDescent="0.25">
      <c r="G48" s="71">
        <f t="shared" ref="G48:T48" si="8">SUM(G34:G47)</f>
        <v>-601374.71999999986</v>
      </c>
      <c r="H48" s="71">
        <f t="shared" si="8"/>
        <v>-649605.25999999989</v>
      </c>
      <c r="I48" s="71">
        <f t="shared" si="8"/>
        <v>-697832.72999999986</v>
      </c>
      <c r="J48" s="71">
        <f t="shared" si="8"/>
        <v>-742447.73999999976</v>
      </c>
      <c r="K48" s="71">
        <f t="shared" si="8"/>
        <v>-734925.23999999976</v>
      </c>
      <c r="L48" s="71">
        <f t="shared" si="8"/>
        <v>-783217.08999999973</v>
      </c>
      <c r="M48" s="71">
        <f t="shared" si="8"/>
        <v>-831091.97999999986</v>
      </c>
      <c r="N48" s="71">
        <f t="shared" si="8"/>
        <v>-878925.07999999984</v>
      </c>
      <c r="O48" s="71">
        <f t="shared" si="8"/>
        <v>-926925.57999999984</v>
      </c>
      <c r="P48" s="71">
        <f t="shared" si="8"/>
        <v>-942928.69000000006</v>
      </c>
      <c r="Q48" s="71">
        <f t="shared" si="8"/>
        <v>-991184.61</v>
      </c>
      <c r="R48" s="71">
        <f t="shared" si="8"/>
        <v>-1039172.34</v>
      </c>
      <c r="S48" s="71">
        <f t="shared" si="8"/>
        <v>-911385.20999999985</v>
      </c>
      <c r="T48" s="71">
        <f t="shared" si="8"/>
        <v>-825462.78999999992</v>
      </c>
      <c r="U48" s="68"/>
      <c r="V48" s="68"/>
      <c r="W48" s="68"/>
      <c r="X48" s="68"/>
      <c r="Y48" s="68"/>
      <c r="Z48" s="68"/>
    </row>
    <row r="49" spans="1:26" x14ac:dyDescent="0.25">
      <c r="G49" s="76">
        <f t="shared" ref="G49:T49" si="9">G48+G31</f>
        <v>-601374.71999999986</v>
      </c>
      <c r="H49" s="76">
        <f t="shared" si="9"/>
        <v>-649605.25999999989</v>
      </c>
      <c r="I49" s="76">
        <f t="shared" si="9"/>
        <v>-697832.72999999986</v>
      </c>
      <c r="J49" s="76">
        <f t="shared" si="9"/>
        <v>-742447.73999999976</v>
      </c>
      <c r="K49" s="76">
        <f t="shared" si="9"/>
        <v>-734925.23999999976</v>
      </c>
      <c r="L49" s="76">
        <f t="shared" si="9"/>
        <v>-783217.08999999973</v>
      </c>
      <c r="M49" s="76">
        <f t="shared" si="9"/>
        <v>-831091.97999999986</v>
      </c>
      <c r="N49" s="76">
        <f t="shared" si="9"/>
        <v>-878925.07999999984</v>
      </c>
      <c r="O49" s="76">
        <f t="shared" si="9"/>
        <v>-926925.57999999984</v>
      </c>
      <c r="P49" s="76">
        <f t="shared" si="9"/>
        <v>-942928.69000000006</v>
      </c>
      <c r="Q49" s="76">
        <f t="shared" si="9"/>
        <v>-991184.61</v>
      </c>
      <c r="R49" s="76">
        <f t="shared" si="9"/>
        <v>-1039172.34</v>
      </c>
      <c r="S49" s="76">
        <f t="shared" si="9"/>
        <v>-911385.20999999985</v>
      </c>
      <c r="T49" s="76">
        <f t="shared" si="9"/>
        <v>-825462.78999999992</v>
      </c>
      <c r="U49" s="68"/>
      <c r="V49" s="68"/>
      <c r="W49" s="68"/>
      <c r="X49" s="68"/>
      <c r="Y49" s="68"/>
      <c r="Z49" s="68"/>
    </row>
    <row r="50" spans="1:26" x14ac:dyDescent="0.25"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73"/>
      <c r="R50" s="73"/>
      <c r="S50" s="73"/>
      <c r="T50" s="68"/>
      <c r="U50" s="68"/>
      <c r="V50" s="68"/>
      <c r="W50" s="68"/>
      <c r="X50" s="68"/>
      <c r="Y50" s="68"/>
      <c r="Z50" s="68"/>
    </row>
    <row r="51" spans="1:26" x14ac:dyDescent="0.25">
      <c r="G51" s="79">
        <f>'[1]FC with allocations'!C53</f>
        <v>-601375</v>
      </c>
      <c r="H51" s="79">
        <f>'[1]FC with allocations'!D53</f>
        <v>-649606</v>
      </c>
      <c r="I51" s="79">
        <f>'[1]FC with allocations'!E53</f>
        <v>-697833</v>
      </c>
      <c r="J51" s="79">
        <f>'[1]FC with allocations'!F53</f>
        <v>-742448</v>
      </c>
      <c r="K51" s="79">
        <f>'[1]FC with allocations'!G53</f>
        <v>-734925</v>
      </c>
      <c r="L51" s="79">
        <f>'[1]FC with allocations'!H53</f>
        <v>-783218</v>
      </c>
      <c r="M51" s="79">
        <f>'[1]FC with allocations'!I53</f>
        <v>-831093</v>
      </c>
      <c r="N51" s="79">
        <f>'[1]FC with allocations'!J53</f>
        <v>-878925</v>
      </c>
      <c r="O51" s="79">
        <f>'[1]FC with allocations'!K53</f>
        <v>-926927</v>
      </c>
      <c r="P51" s="79">
        <f>'[1]FC with allocations'!L53</f>
        <v>-942929</v>
      </c>
      <c r="Q51" s="75">
        <f>'[1]FC with allocations'!M53</f>
        <v>-991185</v>
      </c>
      <c r="R51" s="75">
        <f>'[1]FC with allocations'!N53</f>
        <v>-1039173</v>
      </c>
      <c r="S51" s="75">
        <f>'[1]FC with allocations'!O53</f>
        <v>-911386</v>
      </c>
      <c r="T51" s="79">
        <f>('[1]FC with allocations'!P53)/13</f>
        <v>-825463.30769230775</v>
      </c>
      <c r="U51" s="68"/>
      <c r="V51" s="68"/>
      <c r="W51" s="68"/>
      <c r="X51" s="68"/>
      <c r="Y51" s="68"/>
      <c r="Z51" s="68"/>
    </row>
    <row r="52" spans="1:26" x14ac:dyDescent="0.25">
      <c r="G52" s="68">
        <f>G48-G51</f>
        <v>0.280000000144355</v>
      </c>
      <c r="H52" s="68">
        <f t="shared" ref="H52:T52" si="10">H48-H51</f>
        <v>0.7400000001071021</v>
      </c>
      <c r="I52" s="68">
        <f t="shared" si="10"/>
        <v>0.27000000013504177</v>
      </c>
      <c r="J52" s="68">
        <f t="shared" si="10"/>
        <v>0.26000000024214387</v>
      </c>
      <c r="K52" s="68">
        <f t="shared" si="10"/>
        <v>-0.23999999975785613</v>
      </c>
      <c r="L52" s="68">
        <f t="shared" si="10"/>
        <v>0.91000000026542693</v>
      </c>
      <c r="M52" s="68">
        <f t="shared" si="10"/>
        <v>1.0200000001350418</v>
      </c>
      <c r="N52" s="68">
        <f t="shared" si="10"/>
        <v>-7.9999999841675162E-2</v>
      </c>
      <c r="O52" s="68">
        <f t="shared" si="10"/>
        <v>1.4200000001583248</v>
      </c>
      <c r="P52" s="68">
        <f t="shared" si="10"/>
        <v>0.30999999993946403</v>
      </c>
      <c r="Q52" s="68">
        <f t="shared" si="10"/>
        <v>0.39000000001396984</v>
      </c>
      <c r="R52" s="68">
        <f t="shared" si="10"/>
        <v>0.66000000003259629</v>
      </c>
      <c r="S52" s="68">
        <f t="shared" si="10"/>
        <v>0.79000000015366822</v>
      </c>
      <c r="T52" s="68">
        <f t="shared" si="10"/>
        <v>0.51769230782520026</v>
      </c>
      <c r="U52" s="68"/>
      <c r="V52" s="68"/>
      <c r="W52" s="68"/>
      <c r="X52" s="68"/>
      <c r="Y52" s="68"/>
      <c r="Z52" s="68"/>
    </row>
    <row r="53" spans="1:26" x14ac:dyDescent="0.25">
      <c r="C53" s="13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73"/>
    </row>
    <row r="54" spans="1:26" x14ac:dyDescent="0.25">
      <c r="C54" s="13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73"/>
    </row>
    <row r="55" spans="1:26" x14ac:dyDescent="0.25">
      <c r="C55" s="13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73"/>
    </row>
    <row r="57" spans="1:26" ht="15.75" thickBot="1" x14ac:dyDescent="0.3">
      <c r="A57" s="80"/>
      <c r="B57" s="80"/>
      <c r="C57" s="80"/>
      <c r="D57" s="80"/>
      <c r="E57" s="80"/>
      <c r="F57" s="80"/>
      <c r="G57" s="81">
        <f t="shared" ref="G57:S57" si="11">+G5</f>
        <v>44179</v>
      </c>
      <c r="H57" s="81">
        <f t="shared" si="11"/>
        <v>44209</v>
      </c>
      <c r="I57" s="81">
        <f t="shared" si="11"/>
        <v>44239</v>
      </c>
      <c r="J57" s="81">
        <f t="shared" si="11"/>
        <v>44269</v>
      </c>
      <c r="K57" s="81">
        <f t="shared" si="11"/>
        <v>44299</v>
      </c>
      <c r="L57" s="81">
        <f t="shared" si="11"/>
        <v>44329</v>
      </c>
      <c r="M57" s="81">
        <f t="shared" si="11"/>
        <v>44359</v>
      </c>
      <c r="N57" s="81">
        <f t="shared" si="11"/>
        <v>44389</v>
      </c>
      <c r="O57" s="81">
        <f t="shared" si="11"/>
        <v>44419</v>
      </c>
      <c r="P57" s="81">
        <f t="shared" si="11"/>
        <v>44449</v>
      </c>
      <c r="Q57" s="81">
        <f t="shared" si="11"/>
        <v>44479</v>
      </c>
      <c r="R57" s="81">
        <f t="shared" si="11"/>
        <v>44509</v>
      </c>
      <c r="S57" s="81">
        <f t="shared" si="11"/>
        <v>44539</v>
      </c>
      <c r="T57" s="80" t="s">
        <v>409</v>
      </c>
      <c r="U57" s="82"/>
    </row>
    <row r="58" spans="1:26" x14ac:dyDescent="0.25">
      <c r="A58" s="82"/>
      <c r="B58" s="83" t="s">
        <v>410</v>
      </c>
      <c r="C58" s="84" t="s">
        <v>411</v>
      </c>
      <c r="D58" s="85">
        <f>'[1]Common Plant Allocation Factors'!E11</f>
        <v>0.40075371178398028</v>
      </c>
      <c r="E58" s="84"/>
      <c r="F58" s="84"/>
      <c r="G58" s="86">
        <f t="shared" ref="G58:S58" si="12">(G$26)*$D58</f>
        <v>4899332.2447081711</v>
      </c>
      <c r="H58" s="86">
        <f t="shared" si="12"/>
        <v>4903314.7868170068</v>
      </c>
      <c r="I58" s="86">
        <f t="shared" si="12"/>
        <v>4906612.4007570324</v>
      </c>
      <c r="J58" s="86">
        <f t="shared" si="12"/>
        <v>4907174.1492574513</v>
      </c>
      <c r="K58" s="86">
        <f t="shared" si="12"/>
        <v>4885392.8363662632</v>
      </c>
      <c r="L58" s="86">
        <f t="shared" si="12"/>
        <v>4886028.0951200342</v>
      </c>
      <c r="M58" s="86">
        <f t="shared" si="12"/>
        <v>4889891.1525097014</v>
      </c>
      <c r="N58" s="86">
        <f t="shared" si="12"/>
        <v>4896210.0286451811</v>
      </c>
      <c r="O58" s="86">
        <f t="shared" si="12"/>
        <v>4899987.1804691907</v>
      </c>
      <c r="P58" s="86">
        <f t="shared" si="12"/>
        <v>4887092.9578453004</v>
      </c>
      <c r="Q58" s="86">
        <f t="shared" si="12"/>
        <v>4891123.2657890441</v>
      </c>
      <c r="R58" s="86">
        <f t="shared" si="12"/>
        <v>4892925.7678188318</v>
      </c>
      <c r="S58" s="86">
        <f t="shared" si="12"/>
        <v>4885590.4840893773</v>
      </c>
      <c r="T58" s="87"/>
      <c r="U58" s="82"/>
    </row>
    <row r="59" spans="1:26" x14ac:dyDescent="0.25">
      <c r="A59" s="82"/>
      <c r="B59" s="88"/>
      <c r="C59" s="89"/>
      <c r="D59" s="90"/>
      <c r="E59" s="89" t="s">
        <v>381</v>
      </c>
      <c r="F59" s="89"/>
      <c r="G59" s="91">
        <f>G58</f>
        <v>4899332.2447081711</v>
      </c>
      <c r="H59" s="91">
        <f t="shared" ref="H59:S59" si="13">H58</f>
        <v>4903314.7868170068</v>
      </c>
      <c r="I59" s="91">
        <f t="shared" si="13"/>
        <v>4906612.4007570324</v>
      </c>
      <c r="J59" s="91">
        <f t="shared" si="13"/>
        <v>4907174.1492574513</v>
      </c>
      <c r="K59" s="91">
        <f t="shared" si="13"/>
        <v>4885392.8363662632</v>
      </c>
      <c r="L59" s="91">
        <f t="shared" si="13"/>
        <v>4886028.0951200342</v>
      </c>
      <c r="M59" s="91">
        <f t="shared" si="13"/>
        <v>4889891.1525097014</v>
      </c>
      <c r="N59" s="91">
        <f t="shared" si="13"/>
        <v>4896210.0286451811</v>
      </c>
      <c r="O59" s="91">
        <f t="shared" si="13"/>
        <v>4899987.1804691907</v>
      </c>
      <c r="P59" s="91">
        <f t="shared" si="13"/>
        <v>4887092.9578453004</v>
      </c>
      <c r="Q59" s="91">
        <f t="shared" si="13"/>
        <v>4891123.2657890441</v>
      </c>
      <c r="R59" s="91">
        <f t="shared" si="13"/>
        <v>4892925.7678188318</v>
      </c>
      <c r="S59" s="91">
        <f t="shared" si="13"/>
        <v>4885590.4840893773</v>
      </c>
      <c r="T59" s="92">
        <f>SUM(G59:S59)/13</f>
        <v>4894667.3346301988</v>
      </c>
      <c r="U59" s="82"/>
    </row>
    <row r="60" spans="1:26" x14ac:dyDescent="0.25">
      <c r="A60" s="82"/>
      <c r="B60" s="88"/>
      <c r="C60" s="89"/>
      <c r="D60" s="90"/>
      <c r="E60" s="89"/>
      <c r="F60" s="89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2"/>
      <c r="U60" s="82"/>
    </row>
    <row r="61" spans="1:26" x14ac:dyDescent="0.25">
      <c r="A61" s="82"/>
      <c r="B61" s="88"/>
      <c r="C61" s="89" t="s">
        <v>412</v>
      </c>
      <c r="D61" s="90">
        <f>D58</f>
        <v>0.40075371178398028</v>
      </c>
      <c r="E61" s="89"/>
      <c r="F61" s="89"/>
      <c r="G61" s="79">
        <f t="shared" ref="G61:S61" si="14">G$8*$D61</f>
        <v>0</v>
      </c>
      <c r="H61" s="79">
        <f t="shared" si="14"/>
        <v>0</v>
      </c>
      <c r="I61" s="79">
        <f t="shared" si="14"/>
        <v>0</v>
      </c>
      <c r="J61" s="79">
        <f t="shared" si="14"/>
        <v>0</v>
      </c>
      <c r="K61" s="79">
        <f t="shared" si="14"/>
        <v>1369.7761868776447</v>
      </c>
      <c r="L61" s="79">
        <f t="shared" si="14"/>
        <v>1369.7761868776447</v>
      </c>
      <c r="M61" s="79">
        <f t="shared" si="14"/>
        <v>0</v>
      </c>
      <c r="N61" s="79">
        <f t="shared" si="14"/>
        <v>0</v>
      </c>
      <c r="O61" s="79">
        <f t="shared" si="14"/>
        <v>0</v>
      </c>
      <c r="P61" s="79">
        <f t="shared" si="14"/>
        <v>546.62806287334911</v>
      </c>
      <c r="Q61" s="79">
        <f t="shared" si="14"/>
        <v>0</v>
      </c>
      <c r="R61" s="79">
        <f t="shared" si="14"/>
        <v>0</v>
      </c>
      <c r="S61" s="79">
        <f t="shared" si="14"/>
        <v>0</v>
      </c>
      <c r="T61" s="92"/>
      <c r="U61" s="82"/>
    </row>
    <row r="62" spans="1:26" x14ac:dyDescent="0.25">
      <c r="A62" s="82"/>
      <c r="B62" s="88"/>
      <c r="C62" s="89"/>
      <c r="D62" s="90"/>
      <c r="E62" s="89" t="s">
        <v>69</v>
      </c>
      <c r="F62" s="89"/>
      <c r="G62" s="91">
        <f>G61</f>
        <v>0</v>
      </c>
      <c r="H62" s="91">
        <f t="shared" ref="H62:S62" si="15">H61</f>
        <v>0</v>
      </c>
      <c r="I62" s="91">
        <f t="shared" si="15"/>
        <v>0</v>
      </c>
      <c r="J62" s="91">
        <f t="shared" si="15"/>
        <v>0</v>
      </c>
      <c r="K62" s="91">
        <f t="shared" si="15"/>
        <v>1369.7761868776447</v>
      </c>
      <c r="L62" s="91">
        <f t="shared" si="15"/>
        <v>1369.7761868776447</v>
      </c>
      <c r="M62" s="91">
        <f t="shared" si="15"/>
        <v>0</v>
      </c>
      <c r="N62" s="91">
        <f t="shared" si="15"/>
        <v>0</v>
      </c>
      <c r="O62" s="91">
        <f t="shared" si="15"/>
        <v>0</v>
      </c>
      <c r="P62" s="91">
        <f t="shared" si="15"/>
        <v>546.62806287334911</v>
      </c>
      <c r="Q62" s="91">
        <f t="shared" si="15"/>
        <v>0</v>
      </c>
      <c r="R62" s="91">
        <f t="shared" si="15"/>
        <v>0</v>
      </c>
      <c r="S62" s="91">
        <f t="shared" si="15"/>
        <v>0</v>
      </c>
      <c r="T62" s="92">
        <f>SUM(G62:S62)/13</f>
        <v>252.78311050989529</v>
      </c>
      <c r="U62" s="82"/>
    </row>
    <row r="63" spans="1:26" x14ac:dyDescent="0.25">
      <c r="A63" s="82"/>
      <c r="B63" s="88"/>
      <c r="C63" s="93"/>
      <c r="D63" s="90"/>
      <c r="E63" s="89"/>
      <c r="F63" s="89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2"/>
      <c r="U63" s="82"/>
    </row>
    <row r="64" spans="1:26" x14ac:dyDescent="0.25">
      <c r="A64" s="82"/>
      <c r="B64" s="88"/>
      <c r="C64" s="89" t="s">
        <v>413</v>
      </c>
      <c r="D64" s="90">
        <f>D58</f>
        <v>0.40075371178398028</v>
      </c>
      <c r="E64" s="89"/>
      <c r="F64" s="89"/>
      <c r="G64" s="79">
        <f t="shared" ref="G64:S64" si="16">(G$48)*$D64</f>
        <v>-241003.15121305178</v>
      </c>
      <c r="H64" s="79">
        <f t="shared" si="16"/>
        <v>-260331.71913939752</v>
      </c>
      <c r="I64" s="79">
        <f t="shared" si="16"/>
        <v>-279659.05675184808</v>
      </c>
      <c r="J64" s="79">
        <f t="shared" si="16"/>
        <v>-297538.68761062744</v>
      </c>
      <c r="K64" s="79">
        <f t="shared" si="16"/>
        <v>-294524.01781373244</v>
      </c>
      <c r="L64" s="79">
        <f t="shared" si="16"/>
        <v>-313877.15595014766</v>
      </c>
      <c r="M64" s="79">
        <f t="shared" si="16"/>
        <v>-333063.19581889745</v>
      </c>
      <c r="N64" s="79">
        <f t="shared" si="16"/>
        <v>-352232.48819003173</v>
      </c>
      <c r="O64" s="79">
        <f t="shared" si="16"/>
        <v>-371468.86673251871</v>
      </c>
      <c r="P64" s="79">
        <f t="shared" si="16"/>
        <v>-377882.17246510612</v>
      </c>
      <c r="Q64" s="79">
        <f t="shared" si="16"/>
        <v>-397220.9115206569</v>
      </c>
      <c r="R64" s="79">
        <f t="shared" si="16"/>
        <v>-416452.17243824434</v>
      </c>
      <c r="S64" s="79">
        <f t="shared" si="16"/>
        <v>-365241.0057725223</v>
      </c>
      <c r="T64" s="92"/>
      <c r="U64" s="82"/>
    </row>
    <row r="65" spans="1:21" x14ac:dyDescent="0.25">
      <c r="A65" s="82"/>
      <c r="B65" s="88"/>
      <c r="C65" s="89"/>
      <c r="D65" s="90"/>
      <c r="E65" s="89" t="s">
        <v>396</v>
      </c>
      <c r="F65" s="89"/>
      <c r="G65" s="91">
        <f>G64</f>
        <v>-241003.15121305178</v>
      </c>
      <c r="H65" s="91">
        <f t="shared" ref="H65:S65" si="17">H64</f>
        <v>-260331.71913939752</v>
      </c>
      <c r="I65" s="91">
        <f t="shared" si="17"/>
        <v>-279659.05675184808</v>
      </c>
      <c r="J65" s="91">
        <f t="shared" si="17"/>
        <v>-297538.68761062744</v>
      </c>
      <c r="K65" s="91">
        <f t="shared" si="17"/>
        <v>-294524.01781373244</v>
      </c>
      <c r="L65" s="91">
        <f t="shared" si="17"/>
        <v>-313877.15595014766</v>
      </c>
      <c r="M65" s="91">
        <f t="shared" si="17"/>
        <v>-333063.19581889745</v>
      </c>
      <c r="N65" s="91">
        <f t="shared" si="17"/>
        <v>-352232.48819003173</v>
      </c>
      <c r="O65" s="91">
        <f t="shared" si="17"/>
        <v>-371468.86673251871</v>
      </c>
      <c r="P65" s="91">
        <f t="shared" si="17"/>
        <v>-377882.17246510612</v>
      </c>
      <c r="Q65" s="91">
        <f t="shared" si="17"/>
        <v>-397220.9115206569</v>
      </c>
      <c r="R65" s="91">
        <f t="shared" si="17"/>
        <v>-416452.17243824434</v>
      </c>
      <c r="S65" s="91">
        <f t="shared" si="17"/>
        <v>-365241.0057725223</v>
      </c>
      <c r="T65" s="92">
        <f>SUM(G65:S65)/13</f>
        <v>-330807.2770320602</v>
      </c>
      <c r="U65" s="82"/>
    </row>
    <row r="66" spans="1:21" ht="15.75" thickBot="1" x14ac:dyDescent="0.3">
      <c r="A66" s="82"/>
      <c r="B66" s="94"/>
      <c r="C66" s="95"/>
      <c r="D66" s="96"/>
      <c r="E66" s="95"/>
      <c r="F66" s="95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2"/>
      <c r="U66" s="82"/>
    </row>
    <row r="67" spans="1:21" x14ac:dyDescent="0.25">
      <c r="A67" s="82"/>
      <c r="B67" s="83" t="s">
        <v>414</v>
      </c>
      <c r="C67" s="84" t="s">
        <v>411</v>
      </c>
      <c r="D67" s="85">
        <f>'[1]Common Plant Allocation Factors'!C11</f>
        <v>0.19493367655493263</v>
      </c>
      <c r="E67" s="84"/>
      <c r="F67" s="84"/>
      <c r="G67" s="86">
        <f t="shared" ref="G67:S67" si="18">(G$26)*$D67</f>
        <v>2383121.6506358795</v>
      </c>
      <c r="H67" s="86">
        <f t="shared" si="18"/>
        <v>2385058.8293880224</v>
      </c>
      <c r="I67" s="86">
        <f t="shared" si="18"/>
        <v>2386662.8469935646</v>
      </c>
      <c r="J67" s="86">
        <f t="shared" si="18"/>
        <v>2386936.0913760019</v>
      </c>
      <c r="K67" s="86">
        <f t="shared" si="18"/>
        <v>2376341.2764629428</v>
      </c>
      <c r="L67" s="86">
        <f t="shared" si="18"/>
        <v>2376650.2775296709</v>
      </c>
      <c r="M67" s="86">
        <f t="shared" si="18"/>
        <v>2378529.3368061483</v>
      </c>
      <c r="N67" s="86">
        <f t="shared" si="18"/>
        <v>2381602.9496525545</v>
      </c>
      <c r="O67" s="86">
        <f t="shared" si="18"/>
        <v>2383440.222946126</v>
      </c>
      <c r="P67" s="86">
        <f t="shared" si="18"/>
        <v>2377168.2455483284</v>
      </c>
      <c r="Q67" s="86">
        <f t="shared" si="18"/>
        <v>2379128.6584453797</v>
      </c>
      <c r="R67" s="86">
        <f t="shared" si="18"/>
        <v>2380005.4272371149</v>
      </c>
      <c r="S67" s="86">
        <f t="shared" si="18"/>
        <v>2376437.415802883</v>
      </c>
      <c r="T67" s="87"/>
      <c r="U67" s="82"/>
    </row>
    <row r="68" spans="1:21" x14ac:dyDescent="0.25">
      <c r="A68" s="82"/>
      <c r="B68" s="88"/>
      <c r="C68" s="89"/>
      <c r="D68" s="90"/>
      <c r="E68" s="89" t="s">
        <v>381</v>
      </c>
      <c r="F68" s="89"/>
      <c r="G68" s="91">
        <f>G67</f>
        <v>2383121.6506358795</v>
      </c>
      <c r="H68" s="91">
        <f t="shared" ref="H68:S68" si="19">H67</f>
        <v>2385058.8293880224</v>
      </c>
      <c r="I68" s="91">
        <f t="shared" si="19"/>
        <v>2386662.8469935646</v>
      </c>
      <c r="J68" s="91">
        <f t="shared" si="19"/>
        <v>2386936.0913760019</v>
      </c>
      <c r="K68" s="91">
        <f t="shared" si="19"/>
        <v>2376341.2764629428</v>
      </c>
      <c r="L68" s="91">
        <f t="shared" si="19"/>
        <v>2376650.2775296709</v>
      </c>
      <c r="M68" s="91">
        <f t="shared" si="19"/>
        <v>2378529.3368061483</v>
      </c>
      <c r="N68" s="91">
        <f t="shared" si="19"/>
        <v>2381602.9496525545</v>
      </c>
      <c r="O68" s="91">
        <f t="shared" si="19"/>
        <v>2383440.222946126</v>
      </c>
      <c r="P68" s="91">
        <f t="shared" si="19"/>
        <v>2377168.2455483284</v>
      </c>
      <c r="Q68" s="91">
        <f t="shared" si="19"/>
        <v>2379128.6584453797</v>
      </c>
      <c r="R68" s="91">
        <f t="shared" si="19"/>
        <v>2380005.4272371149</v>
      </c>
      <c r="S68" s="91">
        <f t="shared" si="19"/>
        <v>2376437.415802883</v>
      </c>
      <c r="T68" s="92">
        <f>SUM(G68:S68)/13</f>
        <v>2380852.5560634318</v>
      </c>
      <c r="U68" s="82"/>
    </row>
    <row r="69" spans="1:21" x14ac:dyDescent="0.25">
      <c r="A69" s="82"/>
      <c r="B69" s="88"/>
      <c r="C69" s="89"/>
      <c r="D69" s="90"/>
      <c r="E69" s="89"/>
      <c r="F69" s="89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2"/>
      <c r="U69" s="82"/>
    </row>
    <row r="70" spans="1:21" x14ac:dyDescent="0.25">
      <c r="A70" s="82"/>
      <c r="B70" s="88"/>
      <c r="C70" s="89" t="s">
        <v>412</v>
      </c>
      <c r="D70" s="90">
        <f>D67</f>
        <v>0.19493367655493263</v>
      </c>
      <c r="E70" s="89"/>
      <c r="F70" s="89"/>
      <c r="G70" s="79">
        <f t="shared" ref="G70:S70" si="20">G$8*$D70</f>
        <v>0</v>
      </c>
      <c r="H70" s="79">
        <f t="shared" si="20"/>
        <v>0</v>
      </c>
      <c r="I70" s="79">
        <f t="shared" si="20"/>
        <v>0</v>
      </c>
      <c r="J70" s="79">
        <f t="shared" si="20"/>
        <v>0</v>
      </c>
      <c r="K70" s="79">
        <f t="shared" si="20"/>
        <v>666.28330646475968</v>
      </c>
      <c r="L70" s="79">
        <f t="shared" si="20"/>
        <v>666.28330646475968</v>
      </c>
      <c r="M70" s="79">
        <f t="shared" si="20"/>
        <v>0</v>
      </c>
      <c r="N70" s="79">
        <f t="shared" si="20"/>
        <v>0</v>
      </c>
      <c r="O70" s="79">
        <f t="shared" si="20"/>
        <v>0</v>
      </c>
      <c r="P70" s="79">
        <f t="shared" si="20"/>
        <v>265.88953482092808</v>
      </c>
      <c r="Q70" s="79">
        <f t="shared" si="20"/>
        <v>0</v>
      </c>
      <c r="R70" s="79">
        <f t="shared" si="20"/>
        <v>0</v>
      </c>
      <c r="S70" s="79">
        <f t="shared" si="20"/>
        <v>0</v>
      </c>
      <c r="T70" s="92"/>
      <c r="U70" s="82"/>
    </row>
    <row r="71" spans="1:21" x14ac:dyDescent="0.25">
      <c r="A71" s="82"/>
      <c r="B71" s="88"/>
      <c r="C71" s="89"/>
      <c r="D71" s="90"/>
      <c r="E71" s="89" t="s">
        <v>69</v>
      </c>
      <c r="F71" s="89"/>
      <c r="G71" s="91">
        <f>G70</f>
        <v>0</v>
      </c>
      <c r="H71" s="91">
        <f t="shared" ref="H71:S71" si="21">H70</f>
        <v>0</v>
      </c>
      <c r="I71" s="91">
        <f t="shared" si="21"/>
        <v>0</v>
      </c>
      <c r="J71" s="91">
        <f t="shared" si="21"/>
        <v>0</v>
      </c>
      <c r="K71" s="91">
        <f t="shared" si="21"/>
        <v>666.28330646475968</v>
      </c>
      <c r="L71" s="91">
        <f t="shared" si="21"/>
        <v>666.28330646475968</v>
      </c>
      <c r="M71" s="91">
        <f t="shared" si="21"/>
        <v>0</v>
      </c>
      <c r="N71" s="91">
        <f t="shared" si="21"/>
        <v>0</v>
      </c>
      <c r="O71" s="91">
        <f t="shared" si="21"/>
        <v>0</v>
      </c>
      <c r="P71" s="91">
        <f t="shared" si="21"/>
        <v>265.88953482092808</v>
      </c>
      <c r="Q71" s="91">
        <f t="shared" si="21"/>
        <v>0</v>
      </c>
      <c r="R71" s="91">
        <f t="shared" si="21"/>
        <v>0</v>
      </c>
      <c r="S71" s="91">
        <f t="shared" si="21"/>
        <v>0</v>
      </c>
      <c r="T71" s="92">
        <f>SUM(G71:S71)/13</f>
        <v>122.95816521157288</v>
      </c>
      <c r="U71" s="82"/>
    </row>
    <row r="72" spans="1:21" x14ac:dyDescent="0.25">
      <c r="A72" s="82"/>
      <c r="B72" s="88"/>
      <c r="C72" s="89"/>
      <c r="D72" s="90"/>
      <c r="E72" s="89"/>
      <c r="F72" s="89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2"/>
      <c r="U72" s="82"/>
    </row>
    <row r="73" spans="1:21" x14ac:dyDescent="0.25">
      <c r="A73" s="82"/>
      <c r="B73" s="88"/>
      <c r="C73" s="93" t="s">
        <v>415</v>
      </c>
      <c r="D73" s="90">
        <f>+D67</f>
        <v>0.19493367655493263</v>
      </c>
      <c r="E73" s="89"/>
      <c r="F73" s="89"/>
      <c r="G73" s="79">
        <f>G$48*$D73</f>
        <v>-117228.18515679314</v>
      </c>
      <c r="H73" s="79">
        <f>H$48*$D73</f>
        <v>-126629.94164122289</v>
      </c>
      <c r="I73" s="79">
        <f t="shared" ref="I73:S73" si="22">I$48*$D73</f>
        <v>-136031.09967926561</v>
      </c>
      <c r="J73" s="79">
        <f t="shared" si="22"/>
        <v>-144728.06760810068</v>
      </c>
      <c r="K73" s="79">
        <f t="shared" si="22"/>
        <v>-143261.67902621618</v>
      </c>
      <c r="L73" s="79">
        <f t="shared" si="22"/>
        <v>-152675.3868943555</v>
      </c>
      <c r="M73" s="79">
        <f t="shared" si="22"/>
        <v>-162007.8152167185</v>
      </c>
      <c r="N73" s="79">
        <f t="shared" si="22"/>
        <v>-171332.09726073826</v>
      </c>
      <c r="O73" s="79">
        <f t="shared" si="22"/>
        <v>-180689.0112022133</v>
      </c>
      <c r="P73" s="79">
        <f t="shared" si="22"/>
        <v>-183808.55627082635</v>
      </c>
      <c r="Q73" s="79">
        <f t="shared" si="22"/>
        <v>-193215.26017196703</v>
      </c>
      <c r="R73" s="79">
        <f t="shared" si="22"/>
        <v>-202569.68481039247</v>
      </c>
      <c r="S73" s="79">
        <f t="shared" si="22"/>
        <v>-177659.66974308933</v>
      </c>
      <c r="T73" s="92"/>
      <c r="U73" s="82"/>
    </row>
    <row r="74" spans="1:21" x14ac:dyDescent="0.25">
      <c r="A74" s="82"/>
      <c r="B74" s="88"/>
      <c r="C74" s="89"/>
      <c r="D74" s="90"/>
      <c r="E74" s="89" t="s">
        <v>396</v>
      </c>
      <c r="F74" s="89"/>
      <c r="G74" s="91">
        <f>+G73</f>
        <v>-117228.18515679314</v>
      </c>
      <c r="H74" s="91">
        <f t="shared" ref="H74:S74" si="23">+H73</f>
        <v>-126629.94164122289</v>
      </c>
      <c r="I74" s="91">
        <f t="shared" si="23"/>
        <v>-136031.09967926561</v>
      </c>
      <c r="J74" s="91">
        <f t="shared" si="23"/>
        <v>-144728.06760810068</v>
      </c>
      <c r="K74" s="91">
        <f t="shared" si="23"/>
        <v>-143261.67902621618</v>
      </c>
      <c r="L74" s="91">
        <f t="shared" si="23"/>
        <v>-152675.3868943555</v>
      </c>
      <c r="M74" s="91">
        <f t="shared" si="23"/>
        <v>-162007.8152167185</v>
      </c>
      <c r="N74" s="91">
        <f t="shared" si="23"/>
        <v>-171332.09726073826</v>
      </c>
      <c r="O74" s="91">
        <f t="shared" si="23"/>
        <v>-180689.0112022133</v>
      </c>
      <c r="P74" s="91">
        <f t="shared" si="23"/>
        <v>-183808.55627082635</v>
      </c>
      <c r="Q74" s="91">
        <f t="shared" si="23"/>
        <v>-193215.26017196703</v>
      </c>
      <c r="R74" s="91">
        <f t="shared" si="23"/>
        <v>-202569.68481039247</v>
      </c>
      <c r="S74" s="91">
        <f t="shared" si="23"/>
        <v>-177659.66974308933</v>
      </c>
      <c r="T74" s="92">
        <f>SUM(G74:S74)/13</f>
        <v>-160910.49651399226</v>
      </c>
      <c r="U74" s="82"/>
    </row>
    <row r="75" spans="1:21" ht="15.75" thickBot="1" x14ac:dyDescent="0.3">
      <c r="A75" s="82"/>
      <c r="B75" s="94"/>
      <c r="C75" s="95"/>
      <c r="D75" s="96"/>
      <c r="E75" s="95"/>
      <c r="F75" s="95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2"/>
      <c r="U75" s="82"/>
    </row>
    <row r="76" spans="1:21" x14ac:dyDescent="0.25">
      <c r="A76" s="82"/>
      <c r="B76" s="83" t="s">
        <v>416</v>
      </c>
      <c r="C76" s="84" t="s">
        <v>411</v>
      </c>
      <c r="D76" s="85">
        <f>'[1]Common Plant Allocation Factors'!B11</f>
        <v>0.17538138419273502</v>
      </c>
      <c r="E76" s="84"/>
      <c r="F76" s="84"/>
      <c r="G76" s="86">
        <f t="shared" ref="G76:S76" si="24">(G$26)*$D76</f>
        <v>2144089.1136653628</v>
      </c>
      <c r="H76" s="86">
        <f t="shared" si="24"/>
        <v>2145831.9889703584</v>
      </c>
      <c r="I76" s="86">
        <f t="shared" si="24"/>
        <v>2147275.1199516295</v>
      </c>
      <c r="J76" s="86">
        <f t="shared" si="24"/>
        <v>2147520.957299294</v>
      </c>
      <c r="K76" s="86">
        <f t="shared" si="24"/>
        <v>2137988.8264866145</v>
      </c>
      <c r="L76" s="86">
        <f t="shared" si="24"/>
        <v>2138266.8340415815</v>
      </c>
      <c r="M76" s="86">
        <f t="shared" si="24"/>
        <v>2139957.4193868795</v>
      </c>
      <c r="N76" s="86">
        <f t="shared" si="24"/>
        <v>2142722.7418545107</v>
      </c>
      <c r="O76" s="86">
        <f t="shared" si="24"/>
        <v>2144375.7324462933</v>
      </c>
      <c r="P76" s="86">
        <f t="shared" si="24"/>
        <v>2138732.8486865889</v>
      </c>
      <c r="Q76" s="86">
        <f t="shared" si="24"/>
        <v>2140496.6276987665</v>
      </c>
      <c r="R76" s="86">
        <f t="shared" si="24"/>
        <v>2141285.4545809608</v>
      </c>
      <c r="S76" s="86">
        <f t="shared" si="24"/>
        <v>2138075.3228314845</v>
      </c>
      <c r="T76" s="87"/>
      <c r="U76" s="82"/>
    </row>
    <row r="77" spans="1:21" x14ac:dyDescent="0.25">
      <c r="A77" s="82"/>
      <c r="B77" s="88"/>
      <c r="C77" s="89"/>
      <c r="D77" s="90"/>
      <c r="E77" s="89" t="s">
        <v>381</v>
      </c>
      <c r="F77" s="89"/>
      <c r="G77" s="91">
        <f>G76</f>
        <v>2144089.1136653628</v>
      </c>
      <c r="H77" s="91">
        <f t="shared" ref="H77:S77" si="25">H76</f>
        <v>2145831.9889703584</v>
      </c>
      <c r="I77" s="91">
        <f t="shared" si="25"/>
        <v>2147275.1199516295</v>
      </c>
      <c r="J77" s="91">
        <f t="shared" si="25"/>
        <v>2147520.957299294</v>
      </c>
      <c r="K77" s="91">
        <f t="shared" si="25"/>
        <v>2137988.8264866145</v>
      </c>
      <c r="L77" s="91">
        <f t="shared" si="25"/>
        <v>2138266.8340415815</v>
      </c>
      <c r="M77" s="91">
        <f t="shared" si="25"/>
        <v>2139957.4193868795</v>
      </c>
      <c r="N77" s="91">
        <f t="shared" si="25"/>
        <v>2142722.7418545107</v>
      </c>
      <c r="O77" s="91">
        <f t="shared" si="25"/>
        <v>2144375.7324462933</v>
      </c>
      <c r="P77" s="91">
        <f t="shared" si="25"/>
        <v>2138732.8486865889</v>
      </c>
      <c r="Q77" s="91">
        <f t="shared" si="25"/>
        <v>2140496.6276987665</v>
      </c>
      <c r="R77" s="91">
        <f t="shared" si="25"/>
        <v>2141285.4545809608</v>
      </c>
      <c r="S77" s="91">
        <f t="shared" si="25"/>
        <v>2138075.3228314845</v>
      </c>
      <c r="T77" s="92">
        <f>SUM(G77:S77)/13</f>
        <v>2142047.6144538713</v>
      </c>
      <c r="U77" s="82"/>
    </row>
    <row r="78" spans="1:21" x14ac:dyDescent="0.25">
      <c r="A78" s="82"/>
      <c r="B78" s="88"/>
      <c r="C78" s="89"/>
      <c r="D78" s="90"/>
      <c r="E78" s="89"/>
      <c r="F78" s="89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2"/>
      <c r="U78" s="82"/>
    </row>
    <row r="79" spans="1:21" x14ac:dyDescent="0.25">
      <c r="A79" s="82"/>
      <c r="B79" s="88"/>
      <c r="C79" s="89" t="s">
        <v>412</v>
      </c>
      <c r="D79" s="90">
        <f>D76</f>
        <v>0.17538138419273502</v>
      </c>
      <c r="E79" s="89"/>
      <c r="F79" s="89"/>
      <c r="G79" s="79">
        <f>G$8*$D79</f>
        <v>0</v>
      </c>
      <c r="H79" s="79">
        <f t="shared" ref="H79:S79" si="26">H$8*$D79</f>
        <v>0</v>
      </c>
      <c r="I79" s="79">
        <f t="shared" si="26"/>
        <v>0</v>
      </c>
      <c r="J79" s="79">
        <f t="shared" si="26"/>
        <v>0</v>
      </c>
      <c r="K79" s="79">
        <f t="shared" si="26"/>
        <v>599.45357117076833</v>
      </c>
      <c r="L79" s="79">
        <f t="shared" si="26"/>
        <v>599.45357117076833</v>
      </c>
      <c r="M79" s="79">
        <f t="shared" si="26"/>
        <v>0</v>
      </c>
      <c r="N79" s="79">
        <f t="shared" si="26"/>
        <v>0</v>
      </c>
      <c r="O79" s="79">
        <f t="shared" si="26"/>
        <v>0</v>
      </c>
      <c r="P79" s="79">
        <f t="shared" si="26"/>
        <v>239.22020803889058</v>
      </c>
      <c r="Q79" s="79">
        <f t="shared" si="26"/>
        <v>0</v>
      </c>
      <c r="R79" s="79">
        <f t="shared" si="26"/>
        <v>0</v>
      </c>
      <c r="S79" s="79">
        <f t="shared" si="26"/>
        <v>0</v>
      </c>
      <c r="T79" s="92"/>
      <c r="U79" s="82"/>
    </row>
    <row r="80" spans="1:21" x14ac:dyDescent="0.25">
      <c r="A80" s="82"/>
      <c r="B80" s="88"/>
      <c r="C80" s="89"/>
      <c r="D80" s="90"/>
      <c r="E80" s="89" t="s">
        <v>69</v>
      </c>
      <c r="F80" s="89"/>
      <c r="G80" s="91">
        <f>G79</f>
        <v>0</v>
      </c>
      <c r="H80" s="91">
        <f t="shared" ref="H80:S80" si="27">H79</f>
        <v>0</v>
      </c>
      <c r="I80" s="91">
        <f t="shared" si="27"/>
        <v>0</v>
      </c>
      <c r="J80" s="91">
        <f t="shared" si="27"/>
        <v>0</v>
      </c>
      <c r="K80" s="91">
        <f t="shared" si="27"/>
        <v>599.45357117076833</v>
      </c>
      <c r="L80" s="91">
        <f t="shared" si="27"/>
        <v>599.45357117076833</v>
      </c>
      <c r="M80" s="91">
        <f t="shared" si="27"/>
        <v>0</v>
      </c>
      <c r="N80" s="91">
        <f t="shared" si="27"/>
        <v>0</v>
      </c>
      <c r="O80" s="91">
        <f t="shared" si="27"/>
        <v>0</v>
      </c>
      <c r="P80" s="91">
        <f t="shared" si="27"/>
        <v>239.22020803889058</v>
      </c>
      <c r="Q80" s="91">
        <f t="shared" si="27"/>
        <v>0</v>
      </c>
      <c r="R80" s="91">
        <f t="shared" si="27"/>
        <v>0</v>
      </c>
      <c r="S80" s="91">
        <f t="shared" si="27"/>
        <v>0</v>
      </c>
      <c r="T80" s="92">
        <f>SUM(G80:S80)/13</f>
        <v>110.62518079849441</v>
      </c>
      <c r="U80" s="82"/>
    </row>
    <row r="81" spans="1:21" x14ac:dyDescent="0.25">
      <c r="A81" s="82"/>
      <c r="B81" s="88"/>
      <c r="C81" s="93"/>
      <c r="D81" s="90"/>
      <c r="E81" s="89"/>
      <c r="F81" s="89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2"/>
      <c r="U81" s="82"/>
    </row>
    <row r="82" spans="1:21" x14ac:dyDescent="0.25">
      <c r="A82" s="82"/>
      <c r="B82" s="88"/>
      <c r="C82" s="89" t="s">
        <v>413</v>
      </c>
      <c r="D82" s="90">
        <f>D76</f>
        <v>0.17538138419273502</v>
      </c>
      <c r="E82" s="89"/>
      <c r="F82" s="89"/>
      <c r="G82" s="79">
        <f>(G$48)*$D82</f>
        <v>-105469.93081211843</v>
      </c>
      <c r="H82" s="79">
        <f t="shared" ref="H82:S82" si="28">(H$48)*$D82</f>
        <v>-113928.66967768151</v>
      </c>
      <c r="I82" s="79">
        <f t="shared" si="28"/>
        <v>-122386.87012239511</v>
      </c>
      <c r="J82" s="79">
        <f t="shared" si="28"/>
        <v>-130211.5123319678</v>
      </c>
      <c r="K82" s="79">
        <f t="shared" si="28"/>
        <v>-128892.20586937795</v>
      </c>
      <c r="L82" s="79">
        <f t="shared" si="28"/>
        <v>-137361.69736760587</v>
      </c>
      <c r="M82" s="79">
        <f t="shared" si="28"/>
        <v>-145758.06184388083</v>
      </c>
      <c r="N82" s="79">
        <f t="shared" si="28"/>
        <v>-154147.09713211033</v>
      </c>
      <c r="O82" s="79">
        <f t="shared" si="28"/>
        <v>-162565.49126405371</v>
      </c>
      <c r="P82" s="79">
        <f t="shared" si="28"/>
        <v>-165372.13884724234</v>
      </c>
      <c r="Q82" s="79">
        <f t="shared" si="28"/>
        <v>-173835.32889233623</v>
      </c>
      <c r="R82" s="79">
        <f t="shared" si="28"/>
        <v>-182251.48340400346</v>
      </c>
      <c r="S82" s="79">
        <f t="shared" si="28"/>
        <v>-159839.99966258646</v>
      </c>
      <c r="T82" s="92"/>
      <c r="U82" s="82"/>
    </row>
    <row r="83" spans="1:21" x14ac:dyDescent="0.25">
      <c r="A83" s="82"/>
      <c r="B83" s="88"/>
      <c r="C83" s="89"/>
      <c r="D83" s="90"/>
      <c r="E83" s="89" t="s">
        <v>396</v>
      </c>
      <c r="F83" s="89"/>
      <c r="G83" s="91">
        <f>G82</f>
        <v>-105469.93081211843</v>
      </c>
      <c r="H83" s="91">
        <f t="shared" ref="H83:S83" si="29">H82</f>
        <v>-113928.66967768151</v>
      </c>
      <c r="I83" s="91">
        <f t="shared" si="29"/>
        <v>-122386.87012239511</v>
      </c>
      <c r="J83" s="91">
        <f t="shared" si="29"/>
        <v>-130211.5123319678</v>
      </c>
      <c r="K83" s="91">
        <f t="shared" si="29"/>
        <v>-128892.20586937795</v>
      </c>
      <c r="L83" s="91">
        <f t="shared" si="29"/>
        <v>-137361.69736760587</v>
      </c>
      <c r="M83" s="91">
        <f t="shared" si="29"/>
        <v>-145758.06184388083</v>
      </c>
      <c r="N83" s="91">
        <f t="shared" si="29"/>
        <v>-154147.09713211033</v>
      </c>
      <c r="O83" s="91">
        <f t="shared" si="29"/>
        <v>-162565.49126405371</v>
      </c>
      <c r="P83" s="91">
        <f t="shared" si="29"/>
        <v>-165372.13884724234</v>
      </c>
      <c r="Q83" s="91">
        <f t="shared" si="29"/>
        <v>-173835.32889233623</v>
      </c>
      <c r="R83" s="91">
        <f t="shared" si="29"/>
        <v>-182251.48340400346</v>
      </c>
      <c r="S83" s="91">
        <f t="shared" si="29"/>
        <v>-159839.99966258646</v>
      </c>
      <c r="T83" s="92">
        <f>SUM(G83:S83)/13</f>
        <v>-144770.80670979692</v>
      </c>
      <c r="U83" s="82"/>
    </row>
    <row r="84" spans="1:21" ht="15.75" thickBot="1" x14ac:dyDescent="0.3">
      <c r="A84" s="82"/>
      <c r="B84" s="94"/>
      <c r="C84" s="95"/>
      <c r="D84" s="96"/>
      <c r="E84" s="95"/>
      <c r="F84" s="95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2"/>
      <c r="U84" s="82"/>
    </row>
    <row r="85" spans="1:21" x14ac:dyDescent="0.25">
      <c r="A85" s="82"/>
      <c r="B85" s="83" t="s">
        <v>417</v>
      </c>
      <c r="C85" s="84" t="s">
        <v>411</v>
      </c>
      <c r="D85" s="85">
        <f>'[1]Common Plant Allocation Factors'!D11</f>
        <v>-2.6963863219386323E-3</v>
      </c>
      <c r="E85" s="84"/>
      <c r="F85" s="84"/>
      <c r="G85" s="86">
        <f>(G$26)*$D85</f>
        <v>-32964.117518604311</v>
      </c>
      <c r="H85" s="86">
        <f t="shared" ref="H85:S85" si="30">(H$26)*$D85</f>
        <v>-32990.913208208804</v>
      </c>
      <c r="I85" s="86">
        <f t="shared" si="30"/>
        <v>-33013.10050395046</v>
      </c>
      <c r="J85" s="86">
        <f t="shared" si="30"/>
        <v>-33016.880109549507</v>
      </c>
      <c r="K85" s="86">
        <f t="shared" si="30"/>
        <v>-32870.329167096046</v>
      </c>
      <c r="L85" s="86">
        <f t="shared" si="30"/>
        <v>-32874.603370838129</v>
      </c>
      <c r="M85" s="86">
        <f t="shared" si="30"/>
        <v>-32900.595132860726</v>
      </c>
      <c r="N85" s="86">
        <f t="shared" si="30"/>
        <v>-32943.110350264171</v>
      </c>
      <c r="O85" s="86">
        <f t="shared" si="30"/>
        <v>-32968.524114914799</v>
      </c>
      <c r="P85" s="86">
        <f t="shared" si="30"/>
        <v>-32881.768073753468</v>
      </c>
      <c r="Q85" s="86">
        <f t="shared" si="30"/>
        <v>-32908.885145643668</v>
      </c>
      <c r="R85" s="86">
        <f t="shared" si="30"/>
        <v>-32921.012898114757</v>
      </c>
      <c r="S85" s="86">
        <f t="shared" si="30"/>
        <v>-32871.658997866165</v>
      </c>
      <c r="T85" s="87"/>
      <c r="U85" s="82"/>
    </row>
    <row r="86" spans="1:21" x14ac:dyDescent="0.25">
      <c r="A86" s="82"/>
      <c r="B86" s="88"/>
      <c r="C86" s="98" t="s">
        <v>418</v>
      </c>
      <c r="D86" s="90"/>
      <c r="E86" s="89" t="s">
        <v>381</v>
      </c>
      <c r="F86" s="89"/>
      <c r="G86" s="91">
        <f>G85</f>
        <v>-32964.117518604311</v>
      </c>
      <c r="H86" s="91">
        <f t="shared" ref="H86:S86" si="31">H85</f>
        <v>-32990.913208208804</v>
      </c>
      <c r="I86" s="91">
        <f t="shared" si="31"/>
        <v>-33013.10050395046</v>
      </c>
      <c r="J86" s="91">
        <f t="shared" si="31"/>
        <v>-33016.880109549507</v>
      </c>
      <c r="K86" s="91">
        <f t="shared" si="31"/>
        <v>-32870.329167096046</v>
      </c>
      <c r="L86" s="91">
        <f t="shared" si="31"/>
        <v>-32874.603370838129</v>
      </c>
      <c r="M86" s="91">
        <f t="shared" si="31"/>
        <v>-32900.595132860726</v>
      </c>
      <c r="N86" s="91">
        <f t="shared" si="31"/>
        <v>-32943.110350264171</v>
      </c>
      <c r="O86" s="91">
        <f t="shared" si="31"/>
        <v>-32968.524114914799</v>
      </c>
      <c r="P86" s="91">
        <f t="shared" si="31"/>
        <v>-32881.768073753468</v>
      </c>
      <c r="Q86" s="91">
        <f t="shared" si="31"/>
        <v>-32908.885145643668</v>
      </c>
      <c r="R86" s="91">
        <f t="shared" si="31"/>
        <v>-32921.012898114757</v>
      </c>
      <c r="S86" s="91">
        <f t="shared" si="31"/>
        <v>-32871.658997866165</v>
      </c>
      <c r="T86" s="92">
        <f>SUM(G86:S86)/13</f>
        <v>-32932.730660897309</v>
      </c>
      <c r="U86" s="82"/>
    </row>
    <row r="87" spans="1:21" x14ac:dyDescent="0.25">
      <c r="A87" s="82"/>
      <c r="B87" s="88"/>
      <c r="C87" s="89"/>
      <c r="D87" s="90"/>
      <c r="E87" s="89"/>
      <c r="F87" s="89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2"/>
      <c r="U87" s="82"/>
    </row>
    <row r="88" spans="1:21" x14ac:dyDescent="0.25">
      <c r="A88" s="82"/>
      <c r="B88" s="88"/>
      <c r="C88" s="89" t="s">
        <v>412</v>
      </c>
      <c r="D88" s="90">
        <f>D85</f>
        <v>-2.6963863219386323E-3</v>
      </c>
      <c r="E88" s="89"/>
      <c r="F88" s="89"/>
      <c r="G88" s="79">
        <f>G$8*$D88</f>
        <v>0</v>
      </c>
      <c r="H88" s="79">
        <f t="shared" ref="H88:S88" si="32">H$8*$D88</f>
        <v>0</v>
      </c>
      <c r="I88" s="79">
        <f t="shared" si="32"/>
        <v>0</v>
      </c>
      <c r="J88" s="79">
        <f t="shared" si="32"/>
        <v>0</v>
      </c>
      <c r="K88" s="79">
        <f t="shared" si="32"/>
        <v>-9.2162484483862457</v>
      </c>
      <c r="L88" s="79">
        <f t="shared" si="32"/>
        <v>-9.2162484483862457</v>
      </c>
      <c r="M88" s="79">
        <f t="shared" si="32"/>
        <v>0</v>
      </c>
      <c r="N88" s="79">
        <f t="shared" si="32"/>
        <v>0</v>
      </c>
      <c r="O88" s="79">
        <f t="shared" si="32"/>
        <v>0</v>
      </c>
      <c r="P88" s="79">
        <f t="shared" si="32"/>
        <v>-3.6778709431242946</v>
      </c>
      <c r="Q88" s="79">
        <f t="shared" si="32"/>
        <v>0</v>
      </c>
      <c r="R88" s="79">
        <f t="shared" si="32"/>
        <v>0</v>
      </c>
      <c r="S88" s="79">
        <f t="shared" si="32"/>
        <v>0</v>
      </c>
      <c r="T88" s="92"/>
      <c r="U88" s="82"/>
    </row>
    <row r="89" spans="1:21" x14ac:dyDescent="0.25">
      <c r="A89" s="82"/>
      <c r="B89" s="88"/>
      <c r="C89" s="89"/>
      <c r="D89" s="90"/>
      <c r="E89" s="89" t="s">
        <v>69</v>
      </c>
      <c r="F89" s="89"/>
      <c r="G89" s="91">
        <f>G88</f>
        <v>0</v>
      </c>
      <c r="H89" s="91">
        <f t="shared" ref="H89:S89" si="33">H88</f>
        <v>0</v>
      </c>
      <c r="I89" s="91">
        <f t="shared" si="33"/>
        <v>0</v>
      </c>
      <c r="J89" s="91">
        <f t="shared" si="33"/>
        <v>0</v>
      </c>
      <c r="K89" s="91">
        <f t="shared" si="33"/>
        <v>-9.2162484483862457</v>
      </c>
      <c r="L89" s="91">
        <f t="shared" si="33"/>
        <v>-9.2162484483862457</v>
      </c>
      <c r="M89" s="91">
        <f t="shared" si="33"/>
        <v>0</v>
      </c>
      <c r="N89" s="91">
        <f t="shared" si="33"/>
        <v>0</v>
      </c>
      <c r="O89" s="91">
        <f t="shared" si="33"/>
        <v>0</v>
      </c>
      <c r="P89" s="91">
        <f t="shared" si="33"/>
        <v>-3.6778709431242946</v>
      </c>
      <c r="Q89" s="91">
        <f t="shared" si="33"/>
        <v>0</v>
      </c>
      <c r="R89" s="91">
        <f t="shared" si="33"/>
        <v>0</v>
      </c>
      <c r="S89" s="91">
        <f t="shared" si="33"/>
        <v>0</v>
      </c>
      <c r="T89" s="92">
        <f>SUM(G89:S89)/13</f>
        <v>-1.7007975261459065</v>
      </c>
      <c r="U89" s="82"/>
    </row>
    <row r="90" spans="1:21" x14ac:dyDescent="0.25">
      <c r="A90" s="82"/>
      <c r="B90" s="88"/>
      <c r="C90" s="93"/>
      <c r="D90" s="90"/>
      <c r="E90" s="89"/>
      <c r="F90" s="89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2"/>
      <c r="U90" s="82"/>
    </row>
    <row r="91" spans="1:21" x14ac:dyDescent="0.25">
      <c r="A91" s="82"/>
      <c r="B91" s="88"/>
      <c r="C91" s="89" t="s">
        <v>413</v>
      </c>
      <c r="D91" s="90">
        <f>D85</f>
        <v>-2.6963863219386323E-3</v>
      </c>
      <c r="E91" s="89"/>
      <c r="F91" s="89"/>
      <c r="G91" s="79">
        <f>(G$48)*$D91</f>
        <v>1621.5385693676744</v>
      </c>
      <c r="H91" s="79">
        <f t="shared" ref="H91:S91" si="34">(H$48)*$D91</f>
        <v>1751.5867377233885</v>
      </c>
      <c r="I91" s="79">
        <f t="shared" si="34"/>
        <v>1881.6266281730943</v>
      </c>
      <c r="J91" s="79">
        <f t="shared" si="34"/>
        <v>2001.9259308902492</v>
      </c>
      <c r="K91" s="79">
        <f t="shared" si="34"/>
        <v>1981.6423647834658</v>
      </c>
      <c r="L91" s="79">
        <f t="shared" si="34"/>
        <v>2111.8558485845779</v>
      </c>
      <c r="M91" s="79">
        <f t="shared" si="34"/>
        <v>2240.9450471448949</v>
      </c>
      <c r="N91" s="79">
        <f t="shared" si="34"/>
        <v>2369.9215637208176</v>
      </c>
      <c r="O91" s="79">
        <f t="shared" si="34"/>
        <v>2499.349455367033</v>
      </c>
      <c r="P91" s="79">
        <f t="shared" si="34"/>
        <v>2542.5000222795129</v>
      </c>
      <c r="Q91" s="79">
        <f t="shared" si="34"/>
        <v>2672.6166249200778</v>
      </c>
      <c r="R91" s="79">
        <f t="shared" si="34"/>
        <v>2802.0100837129617</v>
      </c>
      <c r="S91" s="79">
        <f t="shared" si="34"/>
        <v>2457.4466142611677</v>
      </c>
      <c r="T91" s="92"/>
      <c r="U91" s="82"/>
    </row>
    <row r="92" spans="1:21" x14ac:dyDescent="0.25">
      <c r="A92" s="82"/>
      <c r="B92" s="88"/>
      <c r="C92" s="89"/>
      <c r="D92" s="90"/>
      <c r="E92" s="89" t="s">
        <v>396</v>
      </c>
      <c r="F92" s="89"/>
      <c r="G92" s="91">
        <f>G91</f>
        <v>1621.5385693676744</v>
      </c>
      <c r="H92" s="91">
        <f t="shared" ref="H92:S92" si="35">H91</f>
        <v>1751.5867377233885</v>
      </c>
      <c r="I92" s="91">
        <f t="shared" si="35"/>
        <v>1881.6266281730943</v>
      </c>
      <c r="J92" s="91">
        <f t="shared" si="35"/>
        <v>2001.9259308902492</v>
      </c>
      <c r="K92" s="91">
        <f t="shared" si="35"/>
        <v>1981.6423647834658</v>
      </c>
      <c r="L92" s="91">
        <f t="shared" si="35"/>
        <v>2111.8558485845779</v>
      </c>
      <c r="M92" s="91">
        <f t="shared" si="35"/>
        <v>2240.9450471448949</v>
      </c>
      <c r="N92" s="91">
        <f t="shared" si="35"/>
        <v>2369.9215637208176</v>
      </c>
      <c r="O92" s="91">
        <f t="shared" si="35"/>
        <v>2499.349455367033</v>
      </c>
      <c r="P92" s="91">
        <f t="shared" si="35"/>
        <v>2542.5000222795129</v>
      </c>
      <c r="Q92" s="91">
        <f t="shared" si="35"/>
        <v>2672.6166249200778</v>
      </c>
      <c r="R92" s="91">
        <f t="shared" si="35"/>
        <v>2802.0100837129617</v>
      </c>
      <c r="S92" s="91">
        <f t="shared" si="35"/>
        <v>2457.4466142611677</v>
      </c>
      <c r="T92" s="92">
        <f>SUM(G92:S92)/13</f>
        <v>2225.7665762253014</v>
      </c>
      <c r="U92" s="82"/>
    </row>
    <row r="93" spans="1:21" ht="15.75" thickBot="1" x14ac:dyDescent="0.3">
      <c r="A93" s="82"/>
      <c r="B93" s="94"/>
      <c r="C93" s="95"/>
      <c r="D93" s="96"/>
      <c r="E93" s="95"/>
      <c r="F93" s="95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2"/>
      <c r="U93" s="82"/>
    </row>
    <row r="94" spans="1:21" x14ac:dyDescent="0.25">
      <c r="A94" s="82"/>
      <c r="B94" s="83" t="s">
        <v>419</v>
      </c>
      <c r="C94" s="84" t="s">
        <v>411</v>
      </c>
      <c r="D94" s="85">
        <f>'[1]Common Plant Allocation Factors'!F11</f>
        <v>2.4706719004354946E-3</v>
      </c>
      <c r="E94" s="84"/>
      <c r="F94" s="84"/>
      <c r="G94" s="86">
        <f>(G$26)*$D94</f>
        <v>30204.692188659861</v>
      </c>
      <c r="H94" s="86">
        <f t="shared" ref="H94:S94" si="36">(H$26)*$D94</f>
        <v>30229.244811857789</v>
      </c>
      <c r="I94" s="86">
        <f t="shared" si="36"/>
        <v>30249.574809710677</v>
      </c>
      <c r="J94" s="86">
        <f t="shared" si="36"/>
        <v>30253.038024633672</v>
      </c>
      <c r="K94" s="86">
        <f t="shared" si="36"/>
        <v>30118.754857360451</v>
      </c>
      <c r="L94" s="86">
        <f t="shared" si="36"/>
        <v>30122.671267630147</v>
      </c>
      <c r="M94" s="86">
        <f t="shared" si="36"/>
        <v>30146.487260000951</v>
      </c>
      <c r="N94" s="86">
        <f t="shared" si="36"/>
        <v>30185.443529777633</v>
      </c>
      <c r="O94" s="86">
        <f t="shared" si="36"/>
        <v>30208.72990891986</v>
      </c>
      <c r="P94" s="86">
        <f t="shared" si="36"/>
        <v>30129.236213470384</v>
      </c>
      <c r="Q94" s="86">
        <f t="shared" si="36"/>
        <v>30154.083316052122</v>
      </c>
      <c r="R94" s="86">
        <f t="shared" si="36"/>
        <v>30165.19585471246</v>
      </c>
      <c r="S94" s="86">
        <f t="shared" si="36"/>
        <v>30119.973368035025</v>
      </c>
      <c r="T94" s="87"/>
      <c r="U94" s="82"/>
    </row>
    <row r="95" spans="1:21" x14ac:dyDescent="0.25">
      <c r="A95" s="82"/>
      <c r="B95" s="88"/>
      <c r="C95" s="89"/>
      <c r="D95" s="90"/>
      <c r="E95" s="89" t="s">
        <v>381</v>
      </c>
      <c r="F95" s="89"/>
      <c r="G95" s="91">
        <f>G94</f>
        <v>30204.692188659861</v>
      </c>
      <c r="H95" s="91">
        <f t="shared" ref="H95:S95" si="37">H94</f>
        <v>30229.244811857789</v>
      </c>
      <c r="I95" s="91">
        <f t="shared" si="37"/>
        <v>30249.574809710677</v>
      </c>
      <c r="J95" s="91">
        <f t="shared" si="37"/>
        <v>30253.038024633672</v>
      </c>
      <c r="K95" s="91">
        <f t="shared" si="37"/>
        <v>30118.754857360451</v>
      </c>
      <c r="L95" s="91">
        <f t="shared" si="37"/>
        <v>30122.671267630147</v>
      </c>
      <c r="M95" s="91">
        <f t="shared" si="37"/>
        <v>30146.487260000951</v>
      </c>
      <c r="N95" s="91">
        <f t="shared" si="37"/>
        <v>30185.443529777633</v>
      </c>
      <c r="O95" s="91">
        <f t="shared" si="37"/>
        <v>30208.72990891986</v>
      </c>
      <c r="P95" s="91">
        <f t="shared" si="37"/>
        <v>30129.236213470384</v>
      </c>
      <c r="Q95" s="91">
        <f t="shared" si="37"/>
        <v>30154.083316052122</v>
      </c>
      <c r="R95" s="91">
        <f t="shared" si="37"/>
        <v>30165.19585471246</v>
      </c>
      <c r="S95" s="91">
        <f t="shared" si="37"/>
        <v>30119.973368035025</v>
      </c>
      <c r="T95" s="92">
        <f>SUM(G95:S95)/13</f>
        <v>30175.932723909311</v>
      </c>
      <c r="U95" s="82"/>
    </row>
    <row r="96" spans="1:21" x14ac:dyDescent="0.25">
      <c r="A96" s="82"/>
      <c r="B96" s="88"/>
      <c r="C96" s="89"/>
      <c r="D96" s="90"/>
      <c r="E96" s="89"/>
      <c r="F96" s="89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2"/>
      <c r="U96" s="82"/>
    </row>
    <row r="97" spans="1:21" x14ac:dyDescent="0.25">
      <c r="A97" s="82"/>
      <c r="B97" s="88"/>
      <c r="C97" s="89" t="s">
        <v>412</v>
      </c>
      <c r="D97" s="90">
        <f>D94</f>
        <v>2.4706719004354946E-3</v>
      </c>
      <c r="E97" s="89"/>
      <c r="F97" s="89"/>
      <c r="G97" s="79">
        <f>G$8*$D97</f>
        <v>0</v>
      </c>
      <c r="H97" s="79">
        <f t="shared" ref="H97:S97" si="38">H$8*$D97</f>
        <v>0</v>
      </c>
      <c r="I97" s="79">
        <f t="shared" si="38"/>
        <v>0</v>
      </c>
      <c r="J97" s="79">
        <f t="shared" si="38"/>
        <v>0</v>
      </c>
      <c r="K97" s="79">
        <f t="shared" si="38"/>
        <v>8.4447565556885209</v>
      </c>
      <c r="L97" s="79">
        <f t="shared" si="38"/>
        <v>8.4447565556885209</v>
      </c>
      <c r="M97" s="79">
        <f t="shared" si="38"/>
        <v>0</v>
      </c>
      <c r="N97" s="79">
        <f t="shared" si="38"/>
        <v>0</v>
      </c>
      <c r="O97" s="79">
        <f t="shared" si="38"/>
        <v>0</v>
      </c>
      <c r="P97" s="79">
        <f t="shared" si="38"/>
        <v>3.3699964721940145</v>
      </c>
      <c r="Q97" s="79">
        <f t="shared" si="38"/>
        <v>0</v>
      </c>
      <c r="R97" s="79">
        <f t="shared" si="38"/>
        <v>0</v>
      </c>
      <c r="S97" s="79">
        <f t="shared" si="38"/>
        <v>0</v>
      </c>
      <c r="T97" s="92"/>
      <c r="U97" s="82"/>
    </row>
    <row r="98" spans="1:21" x14ac:dyDescent="0.25">
      <c r="A98" s="82"/>
      <c r="B98" s="88"/>
      <c r="C98" s="89"/>
      <c r="D98" s="90"/>
      <c r="E98" s="89" t="s">
        <v>69</v>
      </c>
      <c r="F98" s="89"/>
      <c r="G98" s="91">
        <f>G97</f>
        <v>0</v>
      </c>
      <c r="H98" s="91">
        <f t="shared" ref="H98:S98" si="39">H97</f>
        <v>0</v>
      </c>
      <c r="I98" s="91">
        <f t="shared" si="39"/>
        <v>0</v>
      </c>
      <c r="J98" s="91">
        <f t="shared" si="39"/>
        <v>0</v>
      </c>
      <c r="K98" s="91">
        <f t="shared" si="39"/>
        <v>8.4447565556885209</v>
      </c>
      <c r="L98" s="91">
        <f t="shared" si="39"/>
        <v>8.4447565556885209</v>
      </c>
      <c r="M98" s="91">
        <f t="shared" si="39"/>
        <v>0</v>
      </c>
      <c r="N98" s="91">
        <f t="shared" si="39"/>
        <v>0</v>
      </c>
      <c r="O98" s="91">
        <f t="shared" si="39"/>
        <v>0</v>
      </c>
      <c r="P98" s="91">
        <f t="shared" si="39"/>
        <v>3.3699964721940145</v>
      </c>
      <c r="Q98" s="91">
        <f t="shared" si="39"/>
        <v>0</v>
      </c>
      <c r="R98" s="91">
        <f t="shared" si="39"/>
        <v>0</v>
      </c>
      <c r="S98" s="91">
        <f t="shared" si="39"/>
        <v>0</v>
      </c>
      <c r="T98" s="92">
        <f>SUM(G98:S98)/13</f>
        <v>1.5584238141208504</v>
      </c>
      <c r="U98" s="82"/>
    </row>
    <row r="99" spans="1:21" x14ac:dyDescent="0.25">
      <c r="A99" s="82"/>
      <c r="B99" s="88"/>
      <c r="C99" s="93"/>
      <c r="D99" s="90"/>
      <c r="E99" s="89"/>
      <c r="F99" s="89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2"/>
      <c r="U99" s="82"/>
    </row>
    <row r="100" spans="1:21" x14ac:dyDescent="0.25">
      <c r="A100" s="82"/>
      <c r="B100" s="88"/>
      <c r="C100" s="89" t="s">
        <v>413</v>
      </c>
      <c r="D100" s="90">
        <f>D94</f>
        <v>2.4706719004354946E-3</v>
      </c>
      <c r="E100" s="89"/>
      <c r="F100" s="89"/>
      <c r="G100" s="79">
        <f>(G$48)*$D100</f>
        <v>-1485.7996223362632</v>
      </c>
      <c r="H100" s="79">
        <f t="shared" ref="H100:S100" si="40">(H$48)*$D100</f>
        <v>-1604.9614622570934</v>
      </c>
      <c r="I100" s="79">
        <f t="shared" si="40"/>
        <v>-1724.1157172151891</v>
      </c>
      <c r="J100" s="79">
        <f t="shared" si="40"/>
        <v>-1834.3447687598375</v>
      </c>
      <c r="K100" s="79">
        <f t="shared" si="40"/>
        <v>-1815.7591393888115</v>
      </c>
      <c r="L100" s="79">
        <f t="shared" si="40"/>
        <v>-1935.0724562038572</v>
      </c>
      <c r="M100" s="79">
        <f t="shared" si="40"/>
        <v>-2053.3556016632979</v>
      </c>
      <c r="N100" s="79">
        <f t="shared" si="40"/>
        <v>-2171.5354977440188</v>
      </c>
      <c r="O100" s="79">
        <f t="shared" si="40"/>
        <v>-2290.1289843008726</v>
      </c>
      <c r="P100" s="79">
        <f t="shared" si="40"/>
        <v>-2329.6674184974513</v>
      </c>
      <c r="Q100" s="79">
        <f t="shared" si="40"/>
        <v>-2448.8919640711147</v>
      </c>
      <c r="R100" s="79">
        <f t="shared" si="40"/>
        <v>-2567.4539001477997</v>
      </c>
      <c r="S100" s="79">
        <f t="shared" si="40"/>
        <v>-2251.7338288195019</v>
      </c>
      <c r="T100" s="92"/>
      <c r="U100" s="82"/>
    </row>
    <row r="101" spans="1:21" x14ac:dyDescent="0.25">
      <c r="A101" s="82"/>
      <c r="B101" s="88"/>
      <c r="C101" s="89"/>
      <c r="D101" s="90"/>
      <c r="E101" s="89" t="s">
        <v>396</v>
      </c>
      <c r="F101" s="89"/>
      <c r="G101" s="91">
        <f>G100</f>
        <v>-1485.7996223362632</v>
      </c>
      <c r="H101" s="91">
        <f t="shared" ref="H101:S101" si="41">H100</f>
        <v>-1604.9614622570934</v>
      </c>
      <c r="I101" s="91">
        <f t="shared" si="41"/>
        <v>-1724.1157172151891</v>
      </c>
      <c r="J101" s="91">
        <f t="shared" si="41"/>
        <v>-1834.3447687598375</v>
      </c>
      <c r="K101" s="91">
        <f t="shared" si="41"/>
        <v>-1815.7591393888115</v>
      </c>
      <c r="L101" s="91">
        <f t="shared" si="41"/>
        <v>-1935.0724562038572</v>
      </c>
      <c r="M101" s="91">
        <f t="shared" si="41"/>
        <v>-2053.3556016632979</v>
      </c>
      <c r="N101" s="91">
        <f t="shared" si="41"/>
        <v>-2171.5354977440188</v>
      </c>
      <c r="O101" s="91">
        <f t="shared" si="41"/>
        <v>-2290.1289843008726</v>
      </c>
      <c r="P101" s="91">
        <f t="shared" si="41"/>
        <v>-2329.6674184974513</v>
      </c>
      <c r="Q101" s="91">
        <f t="shared" si="41"/>
        <v>-2448.8919640711147</v>
      </c>
      <c r="R101" s="91">
        <f t="shared" si="41"/>
        <v>-2567.4539001477997</v>
      </c>
      <c r="S101" s="91">
        <f t="shared" si="41"/>
        <v>-2251.7338288195019</v>
      </c>
      <c r="T101" s="92">
        <f>SUM(G101:S101)/13</f>
        <v>-2039.4477201080854</v>
      </c>
      <c r="U101" s="82"/>
    </row>
    <row r="102" spans="1:21" ht="15.75" thickBot="1" x14ac:dyDescent="0.3">
      <c r="A102" s="82"/>
      <c r="B102" s="94"/>
      <c r="C102" s="95"/>
      <c r="D102" s="96"/>
      <c r="E102" s="95"/>
      <c r="F102" s="95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2"/>
      <c r="U102" s="82"/>
    </row>
    <row r="103" spans="1:21" x14ac:dyDescent="0.25">
      <c r="A103" s="82"/>
      <c r="B103" s="83" t="s">
        <v>420</v>
      </c>
      <c r="C103" s="84" t="s">
        <v>411</v>
      </c>
      <c r="D103" s="85">
        <f>'[1]Common Plant Allocation Factors'!G11</f>
        <v>0.22915694188985516</v>
      </c>
      <c r="E103" s="84"/>
      <c r="F103" s="84"/>
      <c r="G103" s="86">
        <f>(G$26)*$D103</f>
        <v>2801511.1563205323</v>
      </c>
      <c r="H103" s="86">
        <f t="shared" ref="H103:S103" si="42">(H$26)*$D103</f>
        <v>2803788.4332209653</v>
      </c>
      <c r="I103" s="86">
        <f t="shared" si="42"/>
        <v>2805674.0579920141</v>
      </c>
      <c r="J103" s="86">
        <f t="shared" si="42"/>
        <v>2805995.2741521695</v>
      </c>
      <c r="K103" s="86">
        <f t="shared" si="42"/>
        <v>2793540.3949939162</v>
      </c>
      <c r="L103" s="86">
        <f t="shared" si="42"/>
        <v>2793903.6454119226</v>
      </c>
      <c r="M103" s="86">
        <f t="shared" si="42"/>
        <v>2796112.5991701307</v>
      </c>
      <c r="N103" s="86">
        <f t="shared" si="42"/>
        <v>2799725.8266682401</v>
      </c>
      <c r="O103" s="86">
        <f t="shared" si="42"/>
        <v>2801885.6583443847</v>
      </c>
      <c r="P103" s="86">
        <f t="shared" si="42"/>
        <v>2794512.5497800647</v>
      </c>
      <c r="Q103" s="86">
        <f t="shared" si="42"/>
        <v>2796817.1398964017</v>
      </c>
      <c r="R103" s="86">
        <f t="shared" si="42"/>
        <v>2797847.8374064947</v>
      </c>
      <c r="S103" s="86">
        <f t="shared" si="42"/>
        <v>2793653.412906087</v>
      </c>
      <c r="T103" s="87"/>
      <c r="U103" s="82"/>
    </row>
    <row r="104" spans="1:21" x14ac:dyDescent="0.25">
      <c r="A104" s="82"/>
      <c r="B104" s="88"/>
      <c r="C104" s="89"/>
      <c r="D104" s="90"/>
      <c r="E104" s="89" t="s">
        <v>381</v>
      </c>
      <c r="F104" s="89"/>
      <c r="G104" s="91">
        <f>G103</f>
        <v>2801511.1563205323</v>
      </c>
      <c r="H104" s="91">
        <f t="shared" ref="H104:S104" si="43">H103</f>
        <v>2803788.4332209653</v>
      </c>
      <c r="I104" s="91">
        <f t="shared" si="43"/>
        <v>2805674.0579920141</v>
      </c>
      <c r="J104" s="91">
        <f t="shared" si="43"/>
        <v>2805995.2741521695</v>
      </c>
      <c r="K104" s="91">
        <f t="shared" si="43"/>
        <v>2793540.3949939162</v>
      </c>
      <c r="L104" s="91">
        <f t="shared" si="43"/>
        <v>2793903.6454119226</v>
      </c>
      <c r="M104" s="91">
        <f t="shared" si="43"/>
        <v>2796112.5991701307</v>
      </c>
      <c r="N104" s="91">
        <f t="shared" si="43"/>
        <v>2799725.8266682401</v>
      </c>
      <c r="O104" s="91">
        <f t="shared" si="43"/>
        <v>2801885.6583443847</v>
      </c>
      <c r="P104" s="91">
        <f t="shared" si="43"/>
        <v>2794512.5497800647</v>
      </c>
      <c r="Q104" s="91">
        <f t="shared" si="43"/>
        <v>2796817.1398964017</v>
      </c>
      <c r="R104" s="91">
        <f t="shared" si="43"/>
        <v>2797847.8374064947</v>
      </c>
      <c r="S104" s="91">
        <f t="shared" si="43"/>
        <v>2793653.412906087</v>
      </c>
      <c r="T104" s="92">
        <f>SUM(G104:S104)/13</f>
        <v>2798843.6912510246</v>
      </c>
      <c r="U104" s="82"/>
    </row>
    <row r="105" spans="1:21" x14ac:dyDescent="0.25">
      <c r="A105" s="82"/>
      <c r="B105" s="88"/>
      <c r="C105" s="89"/>
      <c r="D105" s="90"/>
      <c r="E105" s="89"/>
      <c r="F105" s="89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2"/>
      <c r="U105" s="82"/>
    </row>
    <row r="106" spans="1:21" x14ac:dyDescent="0.25">
      <c r="A106" s="82"/>
      <c r="B106" s="88"/>
      <c r="C106" s="89" t="s">
        <v>412</v>
      </c>
      <c r="D106" s="90">
        <f>D103</f>
        <v>0.22915694188985516</v>
      </c>
      <c r="E106" s="89"/>
      <c r="F106" s="89"/>
      <c r="G106" s="79">
        <f>G$8*$D106</f>
        <v>0</v>
      </c>
      <c r="H106" s="79">
        <f t="shared" ref="H106:S106" si="44">H$8*$D106</f>
        <v>0</v>
      </c>
      <c r="I106" s="79">
        <f t="shared" si="44"/>
        <v>0</v>
      </c>
      <c r="J106" s="79">
        <f t="shared" si="44"/>
        <v>0</v>
      </c>
      <c r="K106" s="79">
        <f t="shared" si="44"/>
        <v>783.25842737952496</v>
      </c>
      <c r="L106" s="79">
        <f t="shared" si="44"/>
        <v>783.25842737952496</v>
      </c>
      <c r="M106" s="79">
        <f t="shared" si="44"/>
        <v>0</v>
      </c>
      <c r="N106" s="79">
        <f t="shared" si="44"/>
        <v>0</v>
      </c>
      <c r="O106" s="79">
        <f t="shared" si="44"/>
        <v>0</v>
      </c>
      <c r="P106" s="79">
        <f t="shared" si="44"/>
        <v>312.57006873776243</v>
      </c>
      <c r="Q106" s="79">
        <f t="shared" si="44"/>
        <v>0</v>
      </c>
      <c r="R106" s="79">
        <f t="shared" si="44"/>
        <v>0</v>
      </c>
      <c r="S106" s="79">
        <f t="shared" si="44"/>
        <v>0</v>
      </c>
      <c r="T106" s="92"/>
      <c r="U106" s="82"/>
    </row>
    <row r="107" spans="1:21" x14ac:dyDescent="0.25">
      <c r="A107" s="82"/>
      <c r="B107" s="88"/>
      <c r="C107" s="89"/>
      <c r="D107" s="90"/>
      <c r="E107" s="89" t="s">
        <v>69</v>
      </c>
      <c r="F107" s="89"/>
      <c r="G107" s="91">
        <f>G106</f>
        <v>0</v>
      </c>
      <c r="H107" s="91">
        <f t="shared" ref="H107:S107" si="45">H106</f>
        <v>0</v>
      </c>
      <c r="I107" s="91">
        <f t="shared" si="45"/>
        <v>0</v>
      </c>
      <c r="J107" s="91">
        <f t="shared" si="45"/>
        <v>0</v>
      </c>
      <c r="K107" s="91">
        <f t="shared" si="45"/>
        <v>783.25842737952496</v>
      </c>
      <c r="L107" s="91">
        <f t="shared" si="45"/>
        <v>783.25842737952496</v>
      </c>
      <c r="M107" s="91">
        <f t="shared" si="45"/>
        <v>0</v>
      </c>
      <c r="N107" s="91">
        <f t="shared" si="45"/>
        <v>0</v>
      </c>
      <c r="O107" s="91">
        <f t="shared" si="45"/>
        <v>0</v>
      </c>
      <c r="P107" s="91">
        <f t="shared" si="45"/>
        <v>312.57006873776243</v>
      </c>
      <c r="Q107" s="91">
        <f t="shared" si="45"/>
        <v>0</v>
      </c>
      <c r="R107" s="91">
        <f t="shared" si="45"/>
        <v>0</v>
      </c>
      <c r="S107" s="91">
        <f t="shared" si="45"/>
        <v>0</v>
      </c>
      <c r="T107" s="92">
        <f>SUM(G107:S107)/13</f>
        <v>144.54514796129325</v>
      </c>
      <c r="U107" s="82"/>
    </row>
    <row r="108" spans="1:21" x14ac:dyDescent="0.25">
      <c r="A108" s="82"/>
      <c r="B108" s="88"/>
      <c r="C108" s="93"/>
      <c r="D108" s="90"/>
      <c r="E108" s="89"/>
      <c r="F108" s="89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2"/>
      <c r="U108" s="82"/>
    </row>
    <row r="109" spans="1:21" x14ac:dyDescent="0.25">
      <c r="A109" s="82"/>
      <c r="B109" s="88"/>
      <c r="C109" s="89" t="s">
        <v>413</v>
      </c>
      <c r="D109" s="90">
        <f>D103</f>
        <v>0.22915694188985516</v>
      </c>
      <c r="E109" s="89"/>
      <c r="F109" s="89"/>
      <c r="G109" s="79">
        <f>(G$48)*$D109</f>
        <v>-137809.1917650679</v>
      </c>
      <c r="H109" s="79">
        <f t="shared" ref="H109:S109" si="46">(H$48)*$D109</f>
        <v>-148861.55481716423</v>
      </c>
      <c r="I109" s="79">
        <f t="shared" si="46"/>
        <v>-159913.21435744895</v>
      </c>
      <c r="J109" s="79">
        <f t="shared" si="46"/>
        <v>-170137.05361143424</v>
      </c>
      <c r="K109" s="79">
        <f t="shared" si="46"/>
        <v>-168413.22051606781</v>
      </c>
      <c r="L109" s="79">
        <f t="shared" si="46"/>
        <v>-179479.6331802714</v>
      </c>
      <c r="M109" s="79">
        <f t="shared" si="46"/>
        <v>-190450.49656598465</v>
      </c>
      <c r="N109" s="79">
        <f t="shared" si="46"/>
        <v>-201411.78348309625</v>
      </c>
      <c r="O109" s="79">
        <f t="shared" si="46"/>
        <v>-212411.43127228026</v>
      </c>
      <c r="P109" s="79">
        <f t="shared" si="46"/>
        <v>-216078.65502060726</v>
      </c>
      <c r="Q109" s="79">
        <f t="shared" si="46"/>
        <v>-227136.83407588876</v>
      </c>
      <c r="R109" s="79">
        <f t="shared" si="46"/>
        <v>-238133.55553092482</v>
      </c>
      <c r="S109" s="79">
        <f t="shared" si="46"/>
        <v>-208850.24760724342</v>
      </c>
      <c r="T109" s="92"/>
      <c r="U109" s="82"/>
    </row>
    <row r="110" spans="1:21" x14ac:dyDescent="0.25">
      <c r="A110" s="82"/>
      <c r="B110" s="88"/>
      <c r="C110" s="89"/>
      <c r="D110" s="99"/>
      <c r="E110" s="89" t="s">
        <v>396</v>
      </c>
      <c r="F110" s="89"/>
      <c r="G110" s="91">
        <f>G109</f>
        <v>-137809.1917650679</v>
      </c>
      <c r="H110" s="91">
        <f t="shared" ref="H110:S110" si="47">H109</f>
        <v>-148861.55481716423</v>
      </c>
      <c r="I110" s="91">
        <f t="shared" si="47"/>
        <v>-159913.21435744895</v>
      </c>
      <c r="J110" s="91">
        <f t="shared" si="47"/>
        <v>-170137.05361143424</v>
      </c>
      <c r="K110" s="91">
        <f t="shared" si="47"/>
        <v>-168413.22051606781</v>
      </c>
      <c r="L110" s="91">
        <f t="shared" si="47"/>
        <v>-179479.6331802714</v>
      </c>
      <c r="M110" s="91">
        <f t="shared" si="47"/>
        <v>-190450.49656598465</v>
      </c>
      <c r="N110" s="91">
        <f t="shared" si="47"/>
        <v>-201411.78348309625</v>
      </c>
      <c r="O110" s="91">
        <f t="shared" si="47"/>
        <v>-212411.43127228026</v>
      </c>
      <c r="P110" s="91">
        <f t="shared" si="47"/>
        <v>-216078.65502060726</v>
      </c>
      <c r="Q110" s="91">
        <f t="shared" si="47"/>
        <v>-227136.83407588876</v>
      </c>
      <c r="R110" s="91">
        <f t="shared" si="47"/>
        <v>-238133.55553092482</v>
      </c>
      <c r="S110" s="91">
        <f t="shared" si="47"/>
        <v>-208850.24760724342</v>
      </c>
      <c r="T110" s="92">
        <f>SUM(G110:S110)/13</f>
        <v>-189160.52860026763</v>
      </c>
      <c r="U110" s="82"/>
    </row>
    <row r="111" spans="1:21" x14ac:dyDescent="0.25">
      <c r="A111" s="82"/>
      <c r="B111" s="88"/>
      <c r="C111" s="89"/>
      <c r="D111" s="100"/>
      <c r="E111" s="89"/>
      <c r="F111" s="89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2"/>
      <c r="U111" s="82"/>
    </row>
    <row r="112" spans="1:21" ht="15.75" thickBot="1" x14ac:dyDescent="0.3">
      <c r="A112" s="82"/>
      <c r="B112" s="94"/>
      <c r="C112" s="95"/>
      <c r="D112" s="101"/>
      <c r="E112" s="95"/>
      <c r="F112" s="95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102"/>
      <c r="U112" s="82"/>
    </row>
    <row r="113" spans="1:21" x14ac:dyDescent="0.25">
      <c r="A113" s="82"/>
      <c r="B113" s="82"/>
      <c r="C113" s="103"/>
      <c r="D113" s="103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</row>
    <row r="115" spans="1:21" x14ac:dyDescent="0.25">
      <c r="D115" s="131">
        <f>+D103+D94+D85+D76+D67+D58</f>
        <v>1</v>
      </c>
      <c r="E115" t="s">
        <v>463</v>
      </c>
      <c r="T115" s="105">
        <f>+T59+T68+T77+T86+T95+T104</f>
        <v>12213654.398461539</v>
      </c>
    </row>
    <row r="116" spans="1:21" x14ac:dyDescent="0.25">
      <c r="E116" t="s">
        <v>464</v>
      </c>
      <c r="T116" s="105">
        <f>+T62+T71+T80+T89+T98+T107</f>
        <v>630.76923076923072</v>
      </c>
    </row>
    <row r="117" spans="1:21" x14ac:dyDescent="0.25">
      <c r="E117" t="s">
        <v>465</v>
      </c>
      <c r="T117" s="105">
        <f>+T65+T74+T83+T92+T101+T110</f>
        <v>-825462.7899999998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17"/>
  <sheetViews>
    <sheetView topLeftCell="A4" zoomScale="80" zoomScaleNormal="80" workbookViewId="0">
      <pane xSplit="6" ySplit="2" topLeftCell="O60" activePane="bottomRight" state="frozen"/>
      <selection activeCell="L39" sqref="L39"/>
      <selection pane="topRight" activeCell="L39" sqref="L39"/>
      <selection pane="bottomLeft" activeCell="L39" sqref="L39"/>
      <selection pane="bottomRight" activeCell="D94" sqref="D94"/>
    </sheetView>
  </sheetViews>
  <sheetFormatPr defaultRowHeight="15" x14ac:dyDescent="0.25"/>
  <cols>
    <col min="1" max="1" width="3" customWidth="1"/>
    <col min="2" max="2" width="16.42578125" customWidth="1"/>
    <col min="3" max="3" width="47.42578125" bestFit="1" customWidth="1"/>
    <col min="4" max="4" width="15.85546875" style="13" customWidth="1"/>
    <col min="5" max="5" width="17.85546875" customWidth="1"/>
    <col min="6" max="6" width="4.42578125" customWidth="1"/>
    <col min="7" max="7" width="13" customWidth="1"/>
    <col min="8" max="8" width="12.140625" customWidth="1"/>
    <col min="9" max="9" width="12.7109375" customWidth="1"/>
    <col min="10" max="10" width="13.42578125" customWidth="1"/>
    <col min="11" max="11" width="11.28515625" customWidth="1"/>
    <col min="12" max="12" width="12.28515625" customWidth="1"/>
    <col min="13" max="13" width="13.7109375" customWidth="1"/>
    <col min="14" max="14" width="13.5703125" customWidth="1"/>
    <col min="15" max="15" width="11.42578125" customWidth="1"/>
    <col min="16" max="16" width="13.5703125" customWidth="1"/>
    <col min="17" max="17" width="12.7109375" customWidth="1"/>
    <col min="18" max="18" width="12.85546875" customWidth="1"/>
    <col min="19" max="19" width="14.140625" customWidth="1"/>
    <col min="20" max="20" width="11.85546875" customWidth="1"/>
    <col min="21" max="21" width="3.28515625" customWidth="1"/>
    <col min="24" max="24" width="17" bestFit="1" customWidth="1"/>
  </cols>
  <sheetData>
    <row r="1" spans="1:26" x14ac:dyDescent="0.25">
      <c r="A1" t="s">
        <v>373</v>
      </c>
    </row>
    <row r="2" spans="1:26" x14ac:dyDescent="0.25">
      <c r="A2" t="s">
        <v>374</v>
      </c>
    </row>
    <row r="5" spans="1:26" x14ac:dyDescent="0.25">
      <c r="B5" t="s">
        <v>375</v>
      </c>
      <c r="C5" t="s">
        <v>376</v>
      </c>
      <c r="D5" s="13" t="s">
        <v>377</v>
      </c>
      <c r="E5" t="s">
        <v>378</v>
      </c>
      <c r="G5" s="65">
        <v>44544</v>
      </c>
      <c r="H5" s="65">
        <v>44574</v>
      </c>
      <c r="I5" s="65">
        <f>H5+30</f>
        <v>44604</v>
      </c>
      <c r="J5" s="65">
        <f t="shared" ref="J5:S5" si="0">I5+30</f>
        <v>44634</v>
      </c>
      <c r="K5" s="65">
        <f t="shared" si="0"/>
        <v>44664</v>
      </c>
      <c r="L5" s="65">
        <f t="shared" si="0"/>
        <v>44694</v>
      </c>
      <c r="M5" s="65">
        <f t="shared" si="0"/>
        <v>44724</v>
      </c>
      <c r="N5" s="65">
        <f t="shared" si="0"/>
        <v>44754</v>
      </c>
      <c r="O5" s="65">
        <f t="shared" si="0"/>
        <v>44784</v>
      </c>
      <c r="P5" s="65">
        <f t="shared" si="0"/>
        <v>44814</v>
      </c>
      <c r="Q5" s="65">
        <f t="shared" si="0"/>
        <v>44844</v>
      </c>
      <c r="R5" s="65">
        <f t="shared" si="0"/>
        <v>44874</v>
      </c>
      <c r="S5" s="65">
        <f t="shared" si="0"/>
        <v>44904</v>
      </c>
      <c r="T5" s="66" t="s">
        <v>379</v>
      </c>
    </row>
    <row r="6" spans="1:26" x14ac:dyDescent="0.25">
      <c r="C6" s="67" t="s">
        <v>380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6"/>
    </row>
    <row r="7" spans="1:26" x14ac:dyDescent="0.25"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6"/>
    </row>
    <row r="8" spans="1:26" x14ac:dyDescent="0.25">
      <c r="B8" t="s">
        <v>381</v>
      </c>
      <c r="C8" t="s">
        <v>382</v>
      </c>
      <c r="D8" s="13" t="s">
        <v>71</v>
      </c>
      <c r="E8" t="s">
        <v>383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>
        <f>SUM(G8:S8)/13</f>
        <v>0</v>
      </c>
      <c r="U8" s="68"/>
      <c r="V8" s="68"/>
      <c r="W8" s="68"/>
      <c r="X8" s="68"/>
      <c r="Y8" s="68"/>
      <c r="Z8" s="68"/>
    </row>
    <row r="9" spans="1:26" x14ac:dyDescent="0.25">
      <c r="C9" s="69"/>
      <c r="D9" s="70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spans="1:26" x14ac:dyDescent="0.25">
      <c r="G10" s="71">
        <f t="shared" ref="G10:T10" si="1">SUM(G8:G9)</f>
        <v>0</v>
      </c>
      <c r="H10" s="71">
        <f t="shared" si="1"/>
        <v>0</v>
      </c>
      <c r="I10" s="71">
        <f t="shared" si="1"/>
        <v>0</v>
      </c>
      <c r="J10" s="71">
        <f t="shared" si="1"/>
        <v>0</v>
      </c>
      <c r="K10" s="71">
        <f t="shared" si="1"/>
        <v>0</v>
      </c>
      <c r="L10" s="71">
        <f t="shared" si="1"/>
        <v>0</v>
      </c>
      <c r="M10" s="71">
        <f t="shared" si="1"/>
        <v>0</v>
      </c>
      <c r="N10" s="71">
        <f t="shared" si="1"/>
        <v>0</v>
      </c>
      <c r="O10" s="71">
        <f t="shared" si="1"/>
        <v>0</v>
      </c>
      <c r="P10" s="71">
        <f t="shared" si="1"/>
        <v>0</v>
      </c>
      <c r="Q10" s="72">
        <f t="shared" si="1"/>
        <v>0</v>
      </c>
      <c r="R10" s="72">
        <f t="shared" si="1"/>
        <v>0</v>
      </c>
      <c r="S10" s="72">
        <f t="shared" si="1"/>
        <v>0</v>
      </c>
      <c r="T10" s="72">
        <f t="shared" si="1"/>
        <v>0</v>
      </c>
      <c r="U10" s="68"/>
      <c r="V10" s="68"/>
      <c r="W10" s="68"/>
      <c r="X10" s="68"/>
      <c r="Y10" s="68"/>
      <c r="Z10" s="68"/>
    </row>
    <row r="11" spans="1:26" x14ac:dyDescent="0.25"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73"/>
      <c r="R11" s="73"/>
      <c r="S11" s="73"/>
      <c r="T11" s="73"/>
      <c r="U11" s="68"/>
      <c r="V11" s="68"/>
      <c r="W11" s="68"/>
      <c r="X11" s="68"/>
      <c r="Y11" s="68"/>
      <c r="Z11" s="68"/>
    </row>
    <row r="12" spans="1:26" x14ac:dyDescent="0.25"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3"/>
      <c r="R12" s="73"/>
      <c r="S12" s="73"/>
      <c r="T12" s="73"/>
      <c r="U12" s="68"/>
      <c r="V12" s="68"/>
      <c r="W12" s="68"/>
      <c r="X12" s="68"/>
      <c r="Y12" s="68"/>
      <c r="Z12" s="68"/>
    </row>
    <row r="13" spans="1:26" x14ac:dyDescent="0.25">
      <c r="C13" s="67" t="s">
        <v>384</v>
      </c>
      <c r="D13" s="13">
        <v>10101010</v>
      </c>
      <c r="E13" t="s">
        <v>385</v>
      </c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73">
        <f t="shared" ref="T13:T25" si="2">SUM(G13:S13)/13</f>
        <v>0</v>
      </c>
      <c r="U13" s="68"/>
      <c r="V13" s="68"/>
      <c r="W13" s="68"/>
      <c r="X13" s="68"/>
      <c r="Y13" s="68"/>
      <c r="Z13" s="68"/>
    </row>
    <row r="14" spans="1:26" x14ac:dyDescent="0.25">
      <c r="C14" t="s">
        <v>386</v>
      </c>
      <c r="D14" s="13" t="s">
        <v>44</v>
      </c>
      <c r="E14" t="s">
        <v>385</v>
      </c>
      <c r="G14" s="68">
        <v>596857.97</v>
      </c>
      <c r="H14" s="68">
        <v>596857.97</v>
      </c>
      <c r="I14" s="68">
        <v>596857.97</v>
      </c>
      <c r="J14" s="68">
        <v>596857.97</v>
      </c>
      <c r="K14" s="68">
        <v>596857.97</v>
      </c>
      <c r="L14" s="68">
        <v>596857.97</v>
      </c>
      <c r="M14" s="68">
        <v>596857.97</v>
      </c>
      <c r="N14" s="68">
        <v>596857.97</v>
      </c>
      <c r="O14" s="68">
        <v>596857.97</v>
      </c>
      <c r="P14" s="68">
        <v>596857.97</v>
      </c>
      <c r="Q14" s="68">
        <v>596857.97</v>
      </c>
      <c r="R14" s="68">
        <v>596857.97</v>
      </c>
      <c r="S14" s="68">
        <v>596857.97</v>
      </c>
      <c r="T14" s="73">
        <f t="shared" si="2"/>
        <v>596857.96999999986</v>
      </c>
      <c r="U14" s="68"/>
      <c r="V14" s="68"/>
      <c r="W14" s="68"/>
      <c r="X14" s="68"/>
      <c r="Y14" s="68"/>
      <c r="Z14" s="68"/>
    </row>
    <row r="15" spans="1:26" x14ac:dyDescent="0.25">
      <c r="C15" t="s">
        <v>387</v>
      </c>
      <c r="D15" s="13" t="s">
        <v>46</v>
      </c>
      <c r="E15" t="s">
        <v>385</v>
      </c>
      <c r="G15" s="68">
        <v>7746101.1600000001</v>
      </c>
      <c r="H15" s="68">
        <v>7746101.1600000001</v>
      </c>
      <c r="I15" s="68">
        <f>7746101.16-35976.27</f>
        <v>7710124.8900000006</v>
      </c>
      <c r="J15" s="68">
        <f t="shared" ref="J15:S15" si="3">7746101.16-35976.27</f>
        <v>7710124.8900000006</v>
      </c>
      <c r="K15" s="68">
        <f t="shared" si="3"/>
        <v>7710124.8900000006</v>
      </c>
      <c r="L15" s="68">
        <f t="shared" si="3"/>
        <v>7710124.8900000006</v>
      </c>
      <c r="M15" s="68">
        <f t="shared" si="3"/>
        <v>7710124.8900000006</v>
      </c>
      <c r="N15" s="68">
        <f t="shared" si="3"/>
        <v>7710124.8900000006</v>
      </c>
      <c r="O15" s="68">
        <f t="shared" si="3"/>
        <v>7710124.8900000006</v>
      </c>
      <c r="P15" s="68">
        <f t="shared" si="3"/>
        <v>7710124.8900000006</v>
      </c>
      <c r="Q15" s="68">
        <f t="shared" si="3"/>
        <v>7710124.8900000006</v>
      </c>
      <c r="R15" s="68">
        <f t="shared" si="3"/>
        <v>7710124.8900000006</v>
      </c>
      <c r="S15" s="68">
        <f t="shared" si="3"/>
        <v>7710124.8900000006</v>
      </c>
      <c r="T15" s="73">
        <f t="shared" si="2"/>
        <v>7715659.7007692317</v>
      </c>
      <c r="U15" s="68"/>
      <c r="V15" s="68"/>
      <c r="W15" s="68"/>
      <c r="X15" s="68"/>
      <c r="Y15" s="68"/>
      <c r="Z15" s="68"/>
    </row>
    <row r="16" spans="1:26" x14ac:dyDescent="0.25">
      <c r="C16" t="s">
        <v>388</v>
      </c>
      <c r="D16" s="13" t="s">
        <v>48</v>
      </c>
      <c r="E16" t="s">
        <v>385</v>
      </c>
      <c r="G16" s="68">
        <v>742002.67</v>
      </c>
      <c r="H16" s="68">
        <v>742002.67</v>
      </c>
      <c r="I16" s="68">
        <f>742002.67-193448.15</f>
        <v>548554.52</v>
      </c>
      <c r="J16" s="68">
        <f t="shared" ref="J16:S16" si="4">742002.67-193448.15</f>
        <v>548554.52</v>
      </c>
      <c r="K16" s="68">
        <f t="shared" si="4"/>
        <v>548554.52</v>
      </c>
      <c r="L16" s="68">
        <f t="shared" si="4"/>
        <v>548554.52</v>
      </c>
      <c r="M16" s="68">
        <f t="shared" si="4"/>
        <v>548554.52</v>
      </c>
      <c r="N16" s="68">
        <f t="shared" si="4"/>
        <v>548554.52</v>
      </c>
      <c r="O16" s="68">
        <f t="shared" si="4"/>
        <v>548554.52</v>
      </c>
      <c r="P16" s="68">
        <f t="shared" si="4"/>
        <v>548554.52</v>
      </c>
      <c r="Q16" s="68">
        <f t="shared" si="4"/>
        <v>548554.52</v>
      </c>
      <c r="R16" s="68">
        <f t="shared" si="4"/>
        <v>548554.52</v>
      </c>
      <c r="S16" s="68">
        <f t="shared" si="4"/>
        <v>548554.52</v>
      </c>
      <c r="T16" s="73">
        <f t="shared" si="2"/>
        <v>578315.77384615364</v>
      </c>
      <c r="U16" s="68"/>
      <c r="V16" s="68"/>
      <c r="W16" s="68"/>
      <c r="X16" s="68"/>
      <c r="Y16" s="68"/>
      <c r="Z16" s="68"/>
    </row>
    <row r="17" spans="2:26" x14ac:dyDescent="0.25">
      <c r="C17" t="s">
        <v>382</v>
      </c>
      <c r="D17" s="13">
        <v>10103912</v>
      </c>
      <c r="E17" t="s">
        <v>385</v>
      </c>
      <c r="G17" s="68">
        <v>41832.54</v>
      </c>
      <c r="H17" s="68">
        <v>41832.54</v>
      </c>
      <c r="I17" s="68">
        <v>41832.54</v>
      </c>
      <c r="J17" s="68">
        <v>41832.54</v>
      </c>
      <c r="K17" s="68">
        <v>41832.54</v>
      </c>
      <c r="L17" s="68">
        <v>41832.54</v>
      </c>
      <c r="M17" s="68">
        <v>41832.54</v>
      </c>
      <c r="N17" s="68">
        <v>41832.54</v>
      </c>
      <c r="O17" s="68">
        <v>41832.54</v>
      </c>
      <c r="P17" s="68">
        <v>41832.54</v>
      </c>
      <c r="Q17" s="68">
        <v>41832.54</v>
      </c>
      <c r="R17" s="68">
        <v>41832.54</v>
      </c>
      <c r="S17" s="68">
        <v>41832.54</v>
      </c>
      <c r="T17" s="73">
        <f t="shared" si="2"/>
        <v>41832.539999999994</v>
      </c>
      <c r="U17" s="68"/>
      <c r="V17" s="68"/>
      <c r="W17" s="68"/>
      <c r="X17" s="68"/>
      <c r="Y17" s="68"/>
      <c r="Z17" s="68"/>
    </row>
    <row r="18" spans="2:26" x14ac:dyDescent="0.25">
      <c r="C18" t="s">
        <v>389</v>
      </c>
      <c r="D18" s="13" t="s">
        <v>52</v>
      </c>
      <c r="E18" t="s">
        <v>385</v>
      </c>
      <c r="G18" s="68">
        <v>432439.96</v>
      </c>
      <c r="H18" s="68">
        <v>432439.96</v>
      </c>
      <c r="I18" s="68">
        <f>432439.96-322298.3</f>
        <v>110141.66000000003</v>
      </c>
      <c r="J18" s="68">
        <f t="shared" ref="J18:S18" si="5">432439.96-322298.3</f>
        <v>110141.66000000003</v>
      </c>
      <c r="K18" s="68">
        <f t="shared" si="5"/>
        <v>110141.66000000003</v>
      </c>
      <c r="L18" s="68">
        <f t="shared" si="5"/>
        <v>110141.66000000003</v>
      </c>
      <c r="M18" s="68">
        <f t="shared" si="5"/>
        <v>110141.66000000003</v>
      </c>
      <c r="N18" s="68">
        <f t="shared" si="5"/>
        <v>110141.66000000003</v>
      </c>
      <c r="O18" s="68">
        <f t="shared" si="5"/>
        <v>110141.66000000003</v>
      </c>
      <c r="P18" s="68">
        <f t="shared" si="5"/>
        <v>110141.66000000003</v>
      </c>
      <c r="Q18" s="68">
        <f t="shared" si="5"/>
        <v>110141.66000000003</v>
      </c>
      <c r="R18" s="68">
        <f t="shared" si="5"/>
        <v>110141.66000000003</v>
      </c>
      <c r="S18" s="68">
        <f t="shared" si="5"/>
        <v>110141.66000000003</v>
      </c>
      <c r="T18" s="73">
        <f t="shared" si="2"/>
        <v>159726.01384615398</v>
      </c>
      <c r="U18" s="68"/>
      <c r="V18" s="68"/>
      <c r="W18" s="68"/>
      <c r="X18" s="68"/>
      <c r="Y18" s="68"/>
      <c r="Z18" s="68"/>
    </row>
    <row r="19" spans="2:26" x14ac:dyDescent="0.25">
      <c r="C19" t="s">
        <v>390</v>
      </c>
      <c r="D19" s="13" t="s">
        <v>54</v>
      </c>
      <c r="E19" t="s">
        <v>385</v>
      </c>
      <c r="G19" s="68">
        <v>936225.38</v>
      </c>
      <c r="H19" s="68">
        <v>936225.38</v>
      </c>
      <c r="I19" s="68">
        <v>936225.38</v>
      </c>
      <c r="J19" s="68">
        <v>936225.38</v>
      </c>
      <c r="K19" s="68">
        <v>936225.38</v>
      </c>
      <c r="L19" s="68">
        <v>936225.38</v>
      </c>
      <c r="M19" s="68">
        <v>936225.38</v>
      </c>
      <c r="N19" s="68">
        <v>936225.38</v>
      </c>
      <c r="O19" s="68">
        <v>936225.38</v>
      </c>
      <c r="P19" s="68">
        <v>936225.38</v>
      </c>
      <c r="Q19" s="68">
        <v>936225.38</v>
      </c>
      <c r="R19" s="68">
        <v>936225.38</v>
      </c>
      <c r="S19" s="68">
        <v>936225.38</v>
      </c>
      <c r="T19" s="73">
        <f t="shared" si="2"/>
        <v>936225.38000000024</v>
      </c>
      <c r="U19" s="68"/>
      <c r="V19" s="68"/>
      <c r="W19" s="68"/>
      <c r="X19" s="68"/>
      <c r="Y19" s="68"/>
      <c r="Z19" s="68"/>
    </row>
    <row r="20" spans="2:26" x14ac:dyDescent="0.25">
      <c r="C20" t="s">
        <v>391</v>
      </c>
      <c r="D20" s="13" t="s">
        <v>56</v>
      </c>
      <c r="E20" t="s">
        <v>385</v>
      </c>
      <c r="G20" s="68">
        <v>258116.52000000002</v>
      </c>
      <c r="H20" s="68">
        <v>258116.52000000002</v>
      </c>
      <c r="I20" s="68">
        <v>258116.52000000002</v>
      </c>
      <c r="J20" s="68">
        <v>258116.52000000002</v>
      </c>
      <c r="K20" s="68">
        <v>258116.52000000002</v>
      </c>
      <c r="L20" s="68">
        <v>258116.52000000002</v>
      </c>
      <c r="M20" s="68">
        <v>258116.52000000002</v>
      </c>
      <c r="N20" s="68">
        <v>258116.52000000002</v>
      </c>
      <c r="O20" s="68">
        <v>258116.52000000002</v>
      </c>
      <c r="P20" s="68">
        <v>258116.52000000002</v>
      </c>
      <c r="Q20" s="68">
        <v>258116.52000000002</v>
      </c>
      <c r="R20" s="68">
        <v>258116.52000000002</v>
      </c>
      <c r="S20" s="68">
        <v>258116.52000000002</v>
      </c>
      <c r="T20" s="73">
        <f t="shared" si="2"/>
        <v>258116.52000000002</v>
      </c>
      <c r="U20" s="68"/>
      <c r="V20" s="68"/>
      <c r="W20" s="68"/>
      <c r="X20" s="68"/>
      <c r="Y20" s="68"/>
      <c r="Z20" s="68"/>
    </row>
    <row r="21" spans="2:26" x14ac:dyDescent="0.25">
      <c r="C21" t="s">
        <v>392</v>
      </c>
      <c r="D21" s="13" t="s">
        <v>58</v>
      </c>
      <c r="E21" t="s">
        <v>385</v>
      </c>
      <c r="G21" s="68">
        <v>763765.58</v>
      </c>
      <c r="H21" s="68">
        <v>763765.58</v>
      </c>
      <c r="I21" s="68">
        <v>763765.58</v>
      </c>
      <c r="J21" s="68">
        <v>763765.58</v>
      </c>
      <c r="K21" s="68">
        <v>763765.58</v>
      </c>
      <c r="L21" s="68">
        <v>763765.58</v>
      </c>
      <c r="M21" s="68">
        <v>763765.58</v>
      </c>
      <c r="N21" s="68">
        <v>763765.58</v>
      </c>
      <c r="O21" s="68">
        <v>763765.58</v>
      </c>
      <c r="P21" s="68">
        <v>763765.58</v>
      </c>
      <c r="Q21" s="68">
        <v>763765.58</v>
      </c>
      <c r="R21" s="68">
        <v>763765.58</v>
      </c>
      <c r="S21" s="68">
        <v>763765.58</v>
      </c>
      <c r="T21" s="73">
        <f t="shared" si="2"/>
        <v>763765.58</v>
      </c>
      <c r="U21" s="68"/>
      <c r="V21" s="68"/>
      <c r="W21" s="68"/>
      <c r="X21" s="68"/>
      <c r="Y21" s="68"/>
      <c r="Z21" s="68"/>
    </row>
    <row r="22" spans="2:26" x14ac:dyDescent="0.25">
      <c r="C22" t="s">
        <v>59</v>
      </c>
      <c r="D22" s="13" t="s">
        <v>60</v>
      </c>
      <c r="E22" t="s">
        <v>385</v>
      </c>
      <c r="G22" s="68">
        <v>640740.72</v>
      </c>
      <c r="H22" s="68">
        <v>640740.72</v>
      </c>
      <c r="I22" s="68">
        <v>640740.72</v>
      </c>
      <c r="J22" s="68">
        <v>640740.72</v>
      </c>
      <c r="K22" s="68">
        <v>640740.72</v>
      </c>
      <c r="L22" s="68">
        <v>640740.72</v>
      </c>
      <c r="M22" s="68">
        <v>640740.72</v>
      </c>
      <c r="N22" s="68">
        <v>640740.72</v>
      </c>
      <c r="O22" s="68">
        <v>640740.72</v>
      </c>
      <c r="P22" s="68">
        <v>640740.72</v>
      </c>
      <c r="Q22" s="68">
        <v>640740.72</v>
      </c>
      <c r="R22" s="68">
        <v>640740.72</v>
      </c>
      <c r="S22" s="68">
        <v>640740.72</v>
      </c>
      <c r="T22" s="73">
        <f t="shared" si="2"/>
        <v>640740.71999999986</v>
      </c>
      <c r="U22" s="68"/>
      <c r="V22" s="68"/>
      <c r="W22" s="68"/>
      <c r="X22" s="68"/>
      <c r="Y22" s="68"/>
      <c r="Z22" s="68"/>
    </row>
    <row r="23" spans="2:26" x14ac:dyDescent="0.25">
      <c r="C23" t="s">
        <v>61</v>
      </c>
      <c r="D23" s="13" t="s">
        <v>62</v>
      </c>
      <c r="E23" t="s">
        <v>385</v>
      </c>
      <c r="G23" s="68">
        <v>32922.449999999997</v>
      </c>
      <c r="H23" s="68">
        <v>32922.449999999997</v>
      </c>
      <c r="I23" s="68">
        <v>32922.449999999997</v>
      </c>
      <c r="J23" s="68">
        <v>32922.449999999997</v>
      </c>
      <c r="K23" s="68">
        <v>32922.449999999997</v>
      </c>
      <c r="L23" s="68">
        <v>32922.449999999997</v>
      </c>
      <c r="M23" s="68">
        <v>32922.449999999997</v>
      </c>
      <c r="N23" s="68">
        <v>32922.449999999997</v>
      </c>
      <c r="O23" s="68">
        <v>32922.449999999997</v>
      </c>
      <c r="P23" s="68">
        <v>32922.449999999997</v>
      </c>
      <c r="Q23" s="68">
        <v>32922.449999999997</v>
      </c>
      <c r="R23" s="68">
        <v>32922.449999999997</v>
      </c>
      <c r="S23" s="68">
        <v>32922.449999999997</v>
      </c>
      <c r="T23" s="73">
        <f t="shared" si="2"/>
        <v>32922.450000000004</v>
      </c>
      <c r="U23" s="68"/>
      <c r="V23" s="68"/>
      <c r="W23" s="68"/>
      <c r="X23" s="68"/>
      <c r="Y23" s="68"/>
      <c r="Z23" s="68"/>
    </row>
    <row r="24" spans="2:26" x14ac:dyDescent="0.25">
      <c r="C24" t="s">
        <v>393</v>
      </c>
      <c r="D24" s="13" t="s">
        <v>64</v>
      </c>
      <c r="E24" t="s">
        <v>385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  <c r="S24" s="68">
        <v>0</v>
      </c>
      <c r="T24" s="74">
        <f t="shared" si="2"/>
        <v>0</v>
      </c>
      <c r="U24" s="68"/>
      <c r="V24" s="68"/>
      <c r="W24" s="68"/>
      <c r="X24" s="68"/>
      <c r="Y24" s="68"/>
      <c r="Z24" s="68"/>
    </row>
    <row r="25" spans="2:26" x14ac:dyDescent="0.25">
      <c r="C25" t="s">
        <v>394</v>
      </c>
      <c r="D25" s="13" t="s">
        <v>395</v>
      </c>
      <c r="E25" t="s">
        <v>385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>
        <v>0</v>
      </c>
      <c r="O25" s="68">
        <v>0</v>
      </c>
      <c r="P25" s="68">
        <v>0</v>
      </c>
      <c r="Q25" s="68">
        <v>0</v>
      </c>
      <c r="R25" s="68">
        <v>0</v>
      </c>
      <c r="S25" s="68">
        <v>0</v>
      </c>
      <c r="T25" s="75">
        <f t="shared" si="2"/>
        <v>0</v>
      </c>
      <c r="U25" s="68"/>
      <c r="V25" s="68"/>
      <c r="W25" s="68"/>
      <c r="X25" s="68"/>
      <c r="Y25" s="68"/>
      <c r="Z25" s="68"/>
    </row>
    <row r="26" spans="2:26" x14ac:dyDescent="0.25">
      <c r="G26" s="76">
        <f t="shared" ref="G26:T26" si="6">SUM(G13:G25)</f>
        <v>12191004.950000001</v>
      </c>
      <c r="H26" s="76">
        <f t="shared" si="6"/>
        <v>12191004.950000001</v>
      </c>
      <c r="I26" s="76">
        <f t="shared" si="6"/>
        <v>11639282.23</v>
      </c>
      <c r="J26" s="76">
        <f t="shared" si="6"/>
        <v>11639282.23</v>
      </c>
      <c r="K26" s="76">
        <f t="shared" si="6"/>
        <v>11639282.23</v>
      </c>
      <c r="L26" s="76">
        <f t="shared" si="6"/>
        <v>11639282.23</v>
      </c>
      <c r="M26" s="76">
        <f t="shared" si="6"/>
        <v>11639282.23</v>
      </c>
      <c r="N26" s="76">
        <f t="shared" si="6"/>
        <v>11639282.23</v>
      </c>
      <c r="O26" s="76">
        <f t="shared" si="6"/>
        <v>11639282.23</v>
      </c>
      <c r="P26" s="76">
        <f t="shared" si="6"/>
        <v>11639282.23</v>
      </c>
      <c r="Q26" s="76">
        <f t="shared" si="6"/>
        <v>11639282.23</v>
      </c>
      <c r="R26" s="76">
        <f t="shared" si="6"/>
        <v>11639282.23</v>
      </c>
      <c r="S26" s="76">
        <f t="shared" si="6"/>
        <v>11639282.23</v>
      </c>
      <c r="T26" s="76">
        <f t="shared" si="6"/>
        <v>11724162.648461537</v>
      </c>
      <c r="U26" s="68"/>
      <c r="V26" s="68"/>
      <c r="W26" s="68"/>
      <c r="X26" s="68"/>
      <c r="Y26" s="68"/>
      <c r="Z26" s="68"/>
    </row>
    <row r="27" spans="2:26" x14ac:dyDescent="0.25"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2:26" x14ac:dyDescent="0.25"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73"/>
      <c r="R28" s="73"/>
      <c r="S28" s="73"/>
      <c r="T28" s="73"/>
      <c r="U28" s="68"/>
      <c r="V28" s="68"/>
      <c r="W28" s="68"/>
      <c r="X28" s="68"/>
      <c r="Y28" s="68"/>
      <c r="Z28" s="68"/>
    </row>
    <row r="29" spans="2:26" x14ac:dyDescent="0.25">
      <c r="G29" s="77">
        <f>G26</f>
        <v>12191004.950000001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5">
        <f>SUM(G29:S29)/13</f>
        <v>937769.61153846164</v>
      </c>
      <c r="U29" s="68"/>
      <c r="V29" s="68"/>
      <c r="W29" s="68"/>
      <c r="X29" s="68"/>
      <c r="Y29" s="68"/>
      <c r="Z29" s="68"/>
    </row>
    <row r="30" spans="2:26" x14ac:dyDescent="0.25">
      <c r="G30" s="68">
        <f>G29-G26-G10</f>
        <v>0</v>
      </c>
      <c r="H30" s="68">
        <f t="shared" ref="H30:T30" si="7">H29-H26-H10</f>
        <v>-12191004.950000001</v>
      </c>
      <c r="I30" s="68">
        <f t="shared" si="7"/>
        <v>-11639282.23</v>
      </c>
      <c r="J30" s="68">
        <f t="shared" si="7"/>
        <v>-11639282.23</v>
      </c>
      <c r="K30" s="68">
        <f t="shared" si="7"/>
        <v>-11639282.23</v>
      </c>
      <c r="L30" s="68">
        <f t="shared" si="7"/>
        <v>-11639282.23</v>
      </c>
      <c r="M30" s="68">
        <f t="shared" si="7"/>
        <v>-11639282.23</v>
      </c>
      <c r="N30" s="68">
        <f t="shared" si="7"/>
        <v>-11639282.23</v>
      </c>
      <c r="O30" s="68">
        <f t="shared" si="7"/>
        <v>-11639282.23</v>
      </c>
      <c r="P30" s="68">
        <f t="shared" si="7"/>
        <v>-11639282.23</v>
      </c>
      <c r="Q30" s="68">
        <f t="shared" si="7"/>
        <v>-11639282.23</v>
      </c>
      <c r="R30" s="68">
        <f t="shared" si="7"/>
        <v>-11639282.23</v>
      </c>
      <c r="S30" s="68">
        <f t="shared" si="7"/>
        <v>-11639282.23</v>
      </c>
      <c r="T30" s="68">
        <f t="shared" si="7"/>
        <v>-10786393.036923075</v>
      </c>
      <c r="U30" s="68"/>
      <c r="V30" s="68"/>
      <c r="W30" s="68"/>
      <c r="X30" s="68"/>
      <c r="Y30" s="68"/>
      <c r="Z30" s="68"/>
    </row>
    <row r="31" spans="2:26" x14ac:dyDescent="0.25">
      <c r="B31" t="s">
        <v>396</v>
      </c>
      <c r="C31" s="67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3"/>
      <c r="U31" s="68"/>
      <c r="V31" s="68"/>
      <c r="W31" s="68"/>
      <c r="X31" s="68"/>
      <c r="Y31" s="68"/>
      <c r="Z31" s="68"/>
    </row>
    <row r="32" spans="2:26" x14ac:dyDescent="0.25"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73"/>
      <c r="R32" s="73"/>
      <c r="S32" s="73"/>
      <c r="T32" s="73"/>
      <c r="U32" s="68"/>
      <c r="V32" s="68"/>
      <c r="W32" s="68"/>
      <c r="X32" s="68"/>
      <c r="Y32" s="68"/>
      <c r="Z32" s="68"/>
    </row>
    <row r="33" spans="3:26" x14ac:dyDescent="0.25"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73"/>
      <c r="R33" s="73"/>
      <c r="S33" s="73"/>
      <c r="T33" s="73"/>
      <c r="U33" s="68"/>
      <c r="V33" s="68"/>
      <c r="W33" s="68"/>
      <c r="X33" s="68"/>
      <c r="Y33" s="68"/>
      <c r="Z33" s="68"/>
    </row>
    <row r="34" spans="3:26" x14ac:dyDescent="0.25">
      <c r="C34" s="67" t="s">
        <v>397</v>
      </c>
      <c r="D34" s="13">
        <v>10801080</v>
      </c>
      <c r="E34" t="s">
        <v>398</v>
      </c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73">
        <f t="shared" ref="T34" si="8">SUM(G34:S34)/13</f>
        <v>0</v>
      </c>
      <c r="U34" s="68"/>
      <c r="V34" s="68"/>
      <c r="W34" s="68"/>
      <c r="X34" s="68"/>
      <c r="Y34" s="68"/>
      <c r="Z34" s="68"/>
    </row>
    <row r="35" spans="3:26" x14ac:dyDescent="0.25">
      <c r="C35" t="s">
        <v>399</v>
      </c>
      <c r="D35" s="13" t="s">
        <v>76</v>
      </c>
      <c r="E35" t="s">
        <v>385</v>
      </c>
      <c r="G35" s="68">
        <f>'FC common plant 21'!S35</f>
        <v>-420142.72</v>
      </c>
      <c r="H35" s="68">
        <f>G35-'FC depreciation adjustment 22'!B4</f>
        <v>-434989.39882725693</v>
      </c>
      <c r="I35" s="68">
        <f>H35-'FC depreciation adjustment 22'!C4+35976.27</f>
        <v>-413859.80765451386</v>
      </c>
      <c r="J35" s="68">
        <f>I35-'FC depreciation adjustment 22'!D4</f>
        <v>-428616.06981510413</v>
      </c>
      <c r="K35" s="68">
        <f>J35-'FC depreciation adjustment 22'!E4</f>
        <v>-443372.3319756944</v>
      </c>
      <c r="L35" s="68">
        <f>K35-'FC depreciation adjustment 22'!F4</f>
        <v>-458128.59413628466</v>
      </c>
      <c r="M35" s="68">
        <f>L35-'FC depreciation adjustment 22'!G4</f>
        <v>-472884.85629687493</v>
      </c>
      <c r="N35" s="68">
        <f>M35-'FC depreciation adjustment 22'!H4</f>
        <v>-487641.1184574652</v>
      </c>
      <c r="O35" s="68">
        <f>N35-'FC depreciation adjustment 22'!I4</f>
        <v>-502397.38061805547</v>
      </c>
      <c r="P35" s="68">
        <f>O35-'FC depreciation adjustment 22'!J4</f>
        <v>-517153.64277864574</v>
      </c>
      <c r="Q35" s="68">
        <f>P35-'FC depreciation adjustment 22'!K4</f>
        <v>-531909.904939236</v>
      </c>
      <c r="R35" s="68">
        <f>Q35-'FC depreciation adjustment 22'!L4</f>
        <v>-546666.16709982627</v>
      </c>
      <c r="S35" s="68">
        <f>R35-'FC depreciation adjustment 22'!M4</f>
        <v>-561422.42926041654</v>
      </c>
      <c r="T35" s="73">
        <f t="shared" ref="T35:T44" si="9">SUM(G35:S35)/13</f>
        <v>-478398.80168149038</v>
      </c>
      <c r="U35" s="68"/>
      <c r="V35" s="68"/>
      <c r="W35" s="68"/>
      <c r="X35" s="68"/>
      <c r="Y35" s="68"/>
      <c r="Z35" s="68"/>
    </row>
    <row r="36" spans="3:26" x14ac:dyDescent="0.25">
      <c r="C36" t="s">
        <v>400</v>
      </c>
      <c r="D36" s="13" t="s">
        <v>77</v>
      </c>
      <c r="E36" t="s">
        <v>385</v>
      </c>
      <c r="G36" s="68">
        <f>'FC common plant 21'!S36</f>
        <v>-30015.37999999999</v>
      </c>
      <c r="H36" s="68">
        <f>G36-'FC depreciation adjustment 22'!B5</f>
        <v>-34945.659999999989</v>
      </c>
      <c r="I36" s="68">
        <f>H36-'FC depreciation adjustment 22'!C5+193448.15</f>
        <v>153572.21000000002</v>
      </c>
      <c r="J36" s="68">
        <f>I36-'FC depreciation adjustment 22'!D5</f>
        <v>151123.83833333335</v>
      </c>
      <c r="K36" s="68">
        <f>J36-'FC depreciation adjustment 22'!E5</f>
        <v>148675.46666666667</v>
      </c>
      <c r="L36" s="68">
        <f>K36-'FC depreciation adjustment 22'!F5</f>
        <v>146227.095</v>
      </c>
      <c r="M36" s="68">
        <f>L36-'FC depreciation adjustment 22'!G5</f>
        <v>143778.72333333333</v>
      </c>
      <c r="N36" s="68">
        <f>M36-'FC depreciation adjustment 22'!H5</f>
        <v>141330.35166666665</v>
      </c>
      <c r="O36" s="68">
        <f>N36-'FC depreciation adjustment 22'!I5</f>
        <v>138881.97999999998</v>
      </c>
      <c r="P36" s="68">
        <f>O36-'FC depreciation adjustment 22'!J5</f>
        <v>136433.60833333331</v>
      </c>
      <c r="Q36" s="68">
        <f>P36-'FC depreciation adjustment 22'!K5</f>
        <v>133985.23666666663</v>
      </c>
      <c r="R36" s="68">
        <f>Q36-'FC depreciation adjustment 22'!L5</f>
        <v>131536.86499999996</v>
      </c>
      <c r="S36" s="68">
        <f>R36-'FC depreciation adjustment 22'!M5</f>
        <v>129088.49333333329</v>
      </c>
      <c r="T36" s="73">
        <f t="shared" si="9"/>
        <v>114590.21756410255</v>
      </c>
      <c r="U36" s="68"/>
      <c r="V36" s="68"/>
      <c r="W36" s="68"/>
      <c r="X36" s="68"/>
      <c r="Y36" s="68"/>
      <c r="Z36" s="68"/>
    </row>
    <row r="37" spans="3:26" x14ac:dyDescent="0.25">
      <c r="C37" t="s">
        <v>401</v>
      </c>
      <c r="D37" s="13">
        <v>10803912</v>
      </c>
      <c r="E37" t="s">
        <v>383</v>
      </c>
      <c r="G37" s="68">
        <f>'FC common plant 21'!S37</f>
        <v>-100219.34</v>
      </c>
      <c r="H37" s="68">
        <f>G37-'FC depreciation adjustment 22'!B6</f>
        <v>-114847.76999999999</v>
      </c>
      <c r="I37" s="68">
        <f>H37-'FC depreciation adjustment 22'!C6</f>
        <v>-129476.19999999998</v>
      </c>
      <c r="J37" s="68">
        <f>I37-'FC depreciation adjustment 22'!D6</f>
        <v>-144104.62999999998</v>
      </c>
      <c r="K37" s="68">
        <f>J37-'FC depreciation adjustment 22'!E6</f>
        <v>-158733.05999999997</v>
      </c>
      <c r="L37" s="68">
        <f>K37-'FC depreciation adjustment 22'!F6</f>
        <v>-173361.48999999996</v>
      </c>
      <c r="M37" s="68">
        <f>L37-'FC depreciation adjustment 22'!G6</f>
        <v>-187989.91999999995</v>
      </c>
      <c r="N37" s="68">
        <f>M37-'FC depreciation adjustment 22'!H6</f>
        <v>-202618.34999999995</v>
      </c>
      <c r="O37" s="68">
        <f>N37-'FC depreciation adjustment 22'!I6</f>
        <v>-217246.77999999994</v>
      </c>
      <c r="P37" s="68">
        <f>O37-'FC depreciation adjustment 22'!J6</f>
        <v>-231875.20999999993</v>
      </c>
      <c r="Q37" s="68">
        <f>P37-'FC depreciation adjustment 22'!K6</f>
        <v>-246503.63999999993</v>
      </c>
      <c r="R37" s="68">
        <f>Q37-'FC depreciation adjustment 22'!L6</f>
        <v>-261132.06999999992</v>
      </c>
      <c r="S37" s="68">
        <f>R37-'FC depreciation adjustment 22'!M6</f>
        <v>-275760.49999999994</v>
      </c>
      <c r="T37" s="73">
        <f t="shared" si="9"/>
        <v>-187989.91999999995</v>
      </c>
      <c r="U37" s="68"/>
      <c r="V37" s="68"/>
      <c r="W37" s="68"/>
      <c r="X37" s="68"/>
      <c r="Y37" s="68"/>
      <c r="Z37" s="68"/>
    </row>
    <row r="38" spans="3:26" x14ac:dyDescent="0.25">
      <c r="C38" t="s">
        <v>402</v>
      </c>
      <c r="D38" s="13">
        <v>10803913</v>
      </c>
      <c r="E38" t="s">
        <v>385</v>
      </c>
      <c r="G38" s="68">
        <f>'FC common plant 21'!S38</f>
        <v>240146.58000000002</v>
      </c>
      <c r="H38" s="68">
        <f>G38-'FC depreciation adjustment 22'!B7</f>
        <v>240699.74000000002</v>
      </c>
      <c r="I38" s="68">
        <f>H38-'FC depreciation adjustment 22'!C7+322298.3</f>
        <v>563551.19999999995</v>
      </c>
      <c r="J38" s="68">
        <f>I38-'FC depreciation adjustment 22'!D7</f>
        <v>565977.45833333326</v>
      </c>
      <c r="K38" s="68">
        <f>J38-'FC depreciation adjustment 22'!E7</f>
        <v>568403.71666666656</v>
      </c>
      <c r="L38" s="68">
        <f>K38-'FC depreciation adjustment 22'!F7</f>
        <v>570829.97499999986</v>
      </c>
      <c r="M38" s="68">
        <f>L38-'FC depreciation adjustment 22'!G7</f>
        <v>573256.23333333316</v>
      </c>
      <c r="N38" s="68">
        <f>M38-'FC depreciation adjustment 22'!H7</f>
        <v>575682.49166666646</v>
      </c>
      <c r="O38" s="68">
        <f>N38-'FC depreciation adjustment 22'!I7</f>
        <v>578108.74999999977</v>
      </c>
      <c r="P38" s="68">
        <f>O38-'FC depreciation adjustment 22'!J7</f>
        <v>580535.00833333307</v>
      </c>
      <c r="Q38" s="68">
        <f>P38-'FC depreciation adjustment 22'!K7</f>
        <v>582961.26666666637</v>
      </c>
      <c r="R38" s="68">
        <f>Q38-'FC depreciation adjustment 22'!L7</f>
        <v>585387.52499999967</v>
      </c>
      <c r="S38" s="68">
        <f>R38-'FC depreciation adjustment 22'!M7</f>
        <v>587813.78333333298</v>
      </c>
      <c r="T38" s="73">
        <f t="shared" si="9"/>
        <v>524104.1329487178</v>
      </c>
      <c r="U38" s="68"/>
      <c r="V38" s="68"/>
      <c r="W38" s="68"/>
      <c r="X38" s="68"/>
      <c r="Y38" s="68"/>
      <c r="Z38" s="68"/>
    </row>
    <row r="39" spans="3:26" x14ac:dyDescent="0.25">
      <c r="C39" t="s">
        <v>403</v>
      </c>
      <c r="D39" s="13" t="s">
        <v>80</v>
      </c>
      <c r="E39" t="s">
        <v>385</v>
      </c>
      <c r="G39" s="68">
        <f>'FC common plant 21'!S39</f>
        <v>9031.5400000000009</v>
      </c>
      <c r="H39" s="68">
        <f>G39-'FC depreciation adjustment 22'!B8</f>
        <v>11236.386306714801</v>
      </c>
      <c r="I39" s="68">
        <f>H39-'FC depreciation adjustment 22'!C8</f>
        <v>13441.232613429602</v>
      </c>
      <c r="J39" s="68">
        <f>I39-'FC depreciation adjustment 22'!D8</f>
        <v>15646.078920144402</v>
      </c>
      <c r="K39" s="68">
        <f>J39-'FC depreciation adjustment 22'!E8</f>
        <v>17850.925226859203</v>
      </c>
      <c r="L39" s="68">
        <f>K39-'FC depreciation adjustment 22'!F8</f>
        <v>20055.771533574003</v>
      </c>
      <c r="M39" s="68">
        <f>L39-'FC depreciation adjustment 22'!G8</f>
        <v>22260.617840288804</v>
      </c>
      <c r="N39" s="68">
        <f>M39-'FC depreciation adjustment 22'!H8</f>
        <v>24465.464147003604</v>
      </c>
      <c r="O39" s="68">
        <f>N39-'FC depreciation adjustment 22'!I8</f>
        <v>26670.310453718404</v>
      </c>
      <c r="P39" s="68">
        <f>O39-'FC depreciation adjustment 22'!J8</f>
        <v>28875.156760433205</v>
      </c>
      <c r="Q39" s="68">
        <f>P39-'FC depreciation adjustment 22'!K8</f>
        <v>31080.003067148005</v>
      </c>
      <c r="R39" s="68">
        <f>Q39-'FC depreciation adjustment 22'!L8</f>
        <v>33284.849373862802</v>
      </c>
      <c r="S39" s="68">
        <f>R39-'FC depreciation adjustment 22'!M8</f>
        <v>35489.695680577599</v>
      </c>
      <c r="T39" s="73">
        <f t="shared" si="9"/>
        <v>22260.617840288804</v>
      </c>
      <c r="U39" s="68"/>
      <c r="V39" s="68"/>
      <c r="W39" s="68"/>
      <c r="X39" s="68"/>
      <c r="Y39" s="68"/>
      <c r="Z39" s="68"/>
    </row>
    <row r="40" spans="3:26" x14ac:dyDescent="0.25">
      <c r="C40" t="s">
        <v>404</v>
      </c>
      <c r="D40" s="13" t="s">
        <v>81</v>
      </c>
      <c r="E40" t="s">
        <v>385</v>
      </c>
      <c r="G40" s="68">
        <f>'FC common plant 21'!S40</f>
        <v>-155825.82999999999</v>
      </c>
      <c r="H40" s="68">
        <f>G40-'FC depreciation adjustment 22'!B9</f>
        <v>-159568.51990293068</v>
      </c>
      <c r="I40" s="68">
        <f>H40-'FC depreciation adjustment 22'!C9</f>
        <v>-163311.20980586138</v>
      </c>
      <c r="J40" s="68">
        <f>I40-'FC depreciation adjustment 22'!D9</f>
        <v>-167053.89970879207</v>
      </c>
      <c r="K40" s="68">
        <f>J40-'FC depreciation adjustment 22'!E9</f>
        <v>-170796.58961172277</v>
      </c>
      <c r="L40" s="68">
        <f>K40-'FC depreciation adjustment 22'!F9</f>
        <v>-174539.27951465346</v>
      </c>
      <c r="M40" s="68">
        <f>L40-'FC depreciation adjustment 22'!G9</f>
        <v>-178281.96941758416</v>
      </c>
      <c r="N40" s="68">
        <f>M40-'FC depreciation adjustment 22'!H9</f>
        <v>-182024.65932051485</v>
      </c>
      <c r="O40" s="68">
        <f>N40-'FC depreciation adjustment 22'!I9</f>
        <v>-185767.34922344555</v>
      </c>
      <c r="P40" s="68">
        <f>O40-'FC depreciation adjustment 22'!J9</f>
        <v>-189510.03912637624</v>
      </c>
      <c r="Q40" s="68">
        <f>P40-'FC depreciation adjustment 22'!K9</f>
        <v>-193252.72902930694</v>
      </c>
      <c r="R40" s="68">
        <f>Q40-'FC depreciation adjustment 22'!L9</f>
        <v>-196995.41893223763</v>
      </c>
      <c r="S40" s="68">
        <f>R40-'FC depreciation adjustment 22'!M9</f>
        <v>-200738.10883516833</v>
      </c>
      <c r="T40" s="73">
        <f t="shared" si="9"/>
        <v>-178281.96941758413</v>
      </c>
      <c r="U40" s="68"/>
      <c r="V40" s="68"/>
      <c r="W40" s="68"/>
      <c r="X40" s="68"/>
      <c r="Y40" s="68"/>
      <c r="Z40" s="68"/>
    </row>
    <row r="41" spans="3:26" x14ac:dyDescent="0.25">
      <c r="C41" t="s">
        <v>405</v>
      </c>
      <c r="D41" s="13" t="s">
        <v>82</v>
      </c>
      <c r="E41" t="s">
        <v>385</v>
      </c>
      <c r="G41" s="68">
        <f>'FC common plant 21'!S41</f>
        <v>-254232.94</v>
      </c>
      <c r="H41" s="68">
        <f>G41-'FC depreciation adjustment 22'!B10</f>
        <v>-259579.29993383662</v>
      </c>
      <c r="I41" s="68">
        <f>H41-'FC depreciation adjustment 22'!C10</f>
        <v>-264925.65986767324</v>
      </c>
      <c r="J41" s="68">
        <f>I41-'FC depreciation adjustment 22'!D10</f>
        <v>-270272.01980150986</v>
      </c>
      <c r="K41" s="68">
        <f>J41-'FC depreciation adjustment 22'!E10</f>
        <v>-275618.37973534648</v>
      </c>
      <c r="L41" s="68">
        <f>K41-'FC depreciation adjustment 22'!F10</f>
        <v>-280964.73966918309</v>
      </c>
      <c r="M41" s="68">
        <f>L41-'FC depreciation adjustment 22'!G10</f>
        <v>-286311.09960301971</v>
      </c>
      <c r="N41" s="68">
        <f>M41-'FC depreciation adjustment 22'!H10</f>
        <v>-291657.45953685633</v>
      </c>
      <c r="O41" s="68">
        <f>N41-'FC depreciation adjustment 22'!I10</f>
        <v>-297003.81947069295</v>
      </c>
      <c r="P41" s="68">
        <f>O41-'FC depreciation adjustment 22'!J10</f>
        <v>-302350.17940452957</v>
      </c>
      <c r="Q41" s="68">
        <f>P41-'FC depreciation adjustment 22'!K10</f>
        <v>-307696.53933836619</v>
      </c>
      <c r="R41" s="68">
        <f>Q41-'FC depreciation adjustment 22'!L10</f>
        <v>-313042.89927220281</v>
      </c>
      <c r="S41" s="68">
        <f>R41-'FC depreciation adjustment 22'!M10</f>
        <v>-318389.25920603942</v>
      </c>
      <c r="T41" s="73">
        <f t="shared" si="9"/>
        <v>-286311.09960301971</v>
      </c>
      <c r="U41" s="68"/>
      <c r="V41" s="68"/>
      <c r="W41" s="68"/>
      <c r="X41" s="68"/>
      <c r="Y41" s="68"/>
      <c r="Z41" s="68"/>
    </row>
    <row r="42" spans="3:26" x14ac:dyDescent="0.25">
      <c r="C42" t="s">
        <v>406</v>
      </c>
      <c r="D42" s="13" t="s">
        <v>83</v>
      </c>
      <c r="E42" t="s">
        <v>385</v>
      </c>
      <c r="G42" s="68">
        <f>'FC common plant 21'!S42</f>
        <v>-192055.3</v>
      </c>
      <c r="H42" s="68">
        <f>G42-'FC depreciation adjustment 22'!B11</f>
        <v>-198163.28123953217</v>
      </c>
      <c r="I42" s="68">
        <f>H42-'FC depreciation adjustment 22'!C11</f>
        <v>-204271.26247906435</v>
      </c>
      <c r="J42" s="68">
        <f>I42-'FC depreciation adjustment 22'!D11</f>
        <v>-210379.24371859652</v>
      </c>
      <c r="K42" s="68">
        <f>J42-'FC depreciation adjustment 22'!E11</f>
        <v>-216487.2249581287</v>
      </c>
      <c r="L42" s="68">
        <f>K42-'FC depreciation adjustment 22'!F11</f>
        <v>-222595.20619766088</v>
      </c>
      <c r="M42" s="68">
        <f>L42-'FC depreciation adjustment 22'!G11</f>
        <v>-228703.18743719306</v>
      </c>
      <c r="N42" s="68">
        <f>M42-'FC depreciation adjustment 22'!H11</f>
        <v>-234811.16867672524</v>
      </c>
      <c r="O42" s="68">
        <f>N42-'FC depreciation adjustment 22'!I11</f>
        <v>-240919.14991625742</v>
      </c>
      <c r="P42" s="68">
        <f>O42-'FC depreciation adjustment 22'!J11</f>
        <v>-247027.1311557896</v>
      </c>
      <c r="Q42" s="68">
        <f>P42-'FC depreciation adjustment 22'!K11</f>
        <v>-253135.11239532178</v>
      </c>
      <c r="R42" s="68">
        <f>Q42-'FC depreciation adjustment 22'!L11</f>
        <v>-259243.09363485395</v>
      </c>
      <c r="S42" s="68">
        <f>R42-'FC depreciation adjustment 22'!M11</f>
        <v>-265351.07487438613</v>
      </c>
      <c r="T42" s="73">
        <f t="shared" si="9"/>
        <v>-228703.18743719306</v>
      </c>
      <c r="U42" s="68"/>
      <c r="V42" s="68"/>
      <c r="W42" s="68"/>
      <c r="X42" s="68"/>
      <c r="Y42" s="68"/>
      <c r="Z42" s="68"/>
    </row>
    <row r="43" spans="3:26" x14ac:dyDescent="0.25">
      <c r="C43" t="s">
        <v>407</v>
      </c>
      <c r="D43" s="13" t="s">
        <v>84</v>
      </c>
      <c r="E43" t="s">
        <v>385</v>
      </c>
      <c r="G43" s="68">
        <f>'FC common plant 21'!S43</f>
        <v>-9977.82</v>
      </c>
      <c r="H43" s="68">
        <f>G43-'FC depreciation adjustment 22'!B12</f>
        <v>-10708.0299873227</v>
      </c>
      <c r="I43" s="68">
        <f>H43-'FC depreciation adjustment 22'!C12</f>
        <v>-11438.239974645399</v>
      </c>
      <c r="J43" s="68">
        <f>I43-'FC depreciation adjustment 22'!D12</f>
        <v>-12168.449961968099</v>
      </c>
      <c r="K43" s="68">
        <f>J43-'FC depreciation adjustment 22'!E12</f>
        <v>-12898.659949290799</v>
      </c>
      <c r="L43" s="68">
        <f>K43-'FC depreciation adjustment 22'!F12</f>
        <v>-13628.869936613499</v>
      </c>
      <c r="M43" s="68">
        <f>L43-'FC depreciation adjustment 22'!G12</f>
        <v>-14359.079923936199</v>
      </c>
      <c r="N43" s="68">
        <f>M43-'FC depreciation adjustment 22'!H12</f>
        <v>-15089.289911258898</v>
      </c>
      <c r="O43" s="68">
        <f>N43-'FC depreciation adjustment 22'!I12</f>
        <v>-15819.499898581598</v>
      </c>
      <c r="P43" s="68">
        <f>O43-'FC depreciation adjustment 22'!J12</f>
        <v>-16549.709885904296</v>
      </c>
      <c r="Q43" s="68">
        <f>P43-'FC depreciation adjustment 22'!K12</f>
        <v>-17279.919873226994</v>
      </c>
      <c r="R43" s="68">
        <f>Q43-'FC depreciation adjustment 22'!L12</f>
        <v>-18010.129860549692</v>
      </c>
      <c r="S43" s="68">
        <f>R43-'FC depreciation adjustment 22'!M12</f>
        <v>-18740.33984787239</v>
      </c>
      <c r="T43" s="73">
        <f t="shared" si="9"/>
        <v>-14359.079923936197</v>
      </c>
      <c r="U43" s="68"/>
      <c r="V43" s="68"/>
      <c r="W43" s="68"/>
      <c r="X43" s="68"/>
      <c r="Y43" s="68"/>
      <c r="Z43" s="68"/>
    </row>
    <row r="44" spans="3:26" x14ac:dyDescent="0.25">
      <c r="C44" t="s">
        <v>408</v>
      </c>
      <c r="D44" s="13" t="s">
        <v>85</v>
      </c>
      <c r="E44" t="s">
        <v>385</v>
      </c>
      <c r="G44" s="68">
        <f>'FC common plant 21'!S44</f>
        <v>0</v>
      </c>
      <c r="H44" s="68">
        <f>G44</f>
        <v>0</v>
      </c>
      <c r="I44" s="68">
        <f t="shared" ref="I44:S44" si="10">H44</f>
        <v>0</v>
      </c>
      <c r="J44" s="68">
        <f t="shared" si="10"/>
        <v>0</v>
      </c>
      <c r="K44" s="68">
        <f t="shared" si="10"/>
        <v>0</v>
      </c>
      <c r="L44" s="68">
        <f t="shared" si="10"/>
        <v>0</v>
      </c>
      <c r="M44" s="68">
        <f t="shared" si="10"/>
        <v>0</v>
      </c>
      <c r="N44" s="68">
        <f t="shared" si="10"/>
        <v>0</v>
      </c>
      <c r="O44" s="68">
        <f t="shared" si="10"/>
        <v>0</v>
      </c>
      <c r="P44" s="68">
        <f t="shared" si="10"/>
        <v>0</v>
      </c>
      <c r="Q44" s="68">
        <f t="shared" si="10"/>
        <v>0</v>
      </c>
      <c r="R44" s="68">
        <f t="shared" si="10"/>
        <v>0</v>
      </c>
      <c r="S44" s="68">
        <f t="shared" si="10"/>
        <v>0</v>
      </c>
      <c r="T44" s="73">
        <f t="shared" si="9"/>
        <v>0</v>
      </c>
      <c r="U44" s="68"/>
      <c r="V44" s="68"/>
      <c r="W44" s="68"/>
      <c r="X44" s="68"/>
      <c r="Y44" s="68"/>
      <c r="Z44" s="68"/>
    </row>
    <row r="45" spans="3:26" x14ac:dyDescent="0.25">
      <c r="C45" s="13" t="s">
        <v>86</v>
      </c>
      <c r="D45" s="13" t="s">
        <v>87</v>
      </c>
      <c r="E45" t="s">
        <v>385</v>
      </c>
      <c r="G45" s="68">
        <f>'FC common plant 21'!S45</f>
        <v>25334</v>
      </c>
      <c r="H45" s="68">
        <f>G45</f>
        <v>25334</v>
      </c>
      <c r="I45" s="68">
        <f t="shared" ref="I45:S45" si="11">H45</f>
        <v>25334</v>
      </c>
      <c r="J45" s="68">
        <f t="shared" si="11"/>
        <v>25334</v>
      </c>
      <c r="K45" s="68">
        <f t="shared" si="11"/>
        <v>25334</v>
      </c>
      <c r="L45" s="68">
        <f t="shared" si="11"/>
        <v>25334</v>
      </c>
      <c r="M45" s="68">
        <f t="shared" si="11"/>
        <v>25334</v>
      </c>
      <c r="N45" s="68">
        <f t="shared" si="11"/>
        <v>25334</v>
      </c>
      <c r="O45" s="68">
        <f t="shared" si="11"/>
        <v>25334</v>
      </c>
      <c r="P45" s="68">
        <f t="shared" si="11"/>
        <v>25334</v>
      </c>
      <c r="Q45" s="68">
        <f t="shared" si="11"/>
        <v>25334</v>
      </c>
      <c r="R45" s="68">
        <f t="shared" si="11"/>
        <v>25334</v>
      </c>
      <c r="S45" s="68">
        <f t="shared" si="11"/>
        <v>25334</v>
      </c>
      <c r="T45" s="73">
        <f t="shared" ref="T45:T47" si="12">SUM(G45:S45)/13</f>
        <v>25334</v>
      </c>
      <c r="U45" s="68"/>
      <c r="V45" s="68"/>
      <c r="W45" s="68"/>
      <c r="X45" s="68"/>
      <c r="Y45" s="68"/>
      <c r="Z45" s="68"/>
    </row>
    <row r="46" spans="3:26" x14ac:dyDescent="0.25">
      <c r="C46" s="13" t="s">
        <v>88</v>
      </c>
      <c r="D46" s="13" t="s">
        <v>89</v>
      </c>
      <c r="E46" t="s">
        <v>385</v>
      </c>
      <c r="G46" s="68">
        <f>'FC common plant 21'!S46</f>
        <v>22241</v>
      </c>
      <c r="H46" s="68">
        <f t="shared" ref="H46:S47" si="13">G46</f>
        <v>22241</v>
      </c>
      <c r="I46" s="68">
        <f t="shared" si="13"/>
        <v>22241</v>
      </c>
      <c r="J46" s="68">
        <f t="shared" si="13"/>
        <v>22241</v>
      </c>
      <c r="K46" s="68">
        <f t="shared" si="13"/>
        <v>22241</v>
      </c>
      <c r="L46" s="68">
        <f t="shared" si="13"/>
        <v>22241</v>
      </c>
      <c r="M46" s="68">
        <f t="shared" si="13"/>
        <v>22241</v>
      </c>
      <c r="N46" s="68">
        <f t="shared" si="13"/>
        <v>22241</v>
      </c>
      <c r="O46" s="68">
        <f t="shared" si="13"/>
        <v>22241</v>
      </c>
      <c r="P46" s="68">
        <f t="shared" si="13"/>
        <v>22241</v>
      </c>
      <c r="Q46" s="68">
        <f t="shared" si="13"/>
        <v>22241</v>
      </c>
      <c r="R46" s="68">
        <f t="shared" si="13"/>
        <v>22241</v>
      </c>
      <c r="S46" s="68">
        <f t="shared" si="13"/>
        <v>22241</v>
      </c>
      <c r="T46" s="73">
        <f t="shared" si="12"/>
        <v>22241</v>
      </c>
      <c r="U46" s="68"/>
      <c r="V46" s="68"/>
      <c r="W46" s="68"/>
      <c r="X46" s="68"/>
      <c r="Y46" s="68"/>
      <c r="Z46" s="68"/>
    </row>
    <row r="47" spans="3:26" x14ac:dyDescent="0.25">
      <c r="C47" s="13" t="s">
        <v>90</v>
      </c>
      <c r="D47" s="13" t="s">
        <v>91</v>
      </c>
      <c r="E47" t="s">
        <v>385</v>
      </c>
      <c r="G47" s="68">
        <f>'FC common plant 21'!S47</f>
        <v>-45669</v>
      </c>
      <c r="H47" s="68">
        <f t="shared" si="13"/>
        <v>-45669</v>
      </c>
      <c r="I47" s="68">
        <f t="shared" si="13"/>
        <v>-45669</v>
      </c>
      <c r="J47" s="68">
        <f t="shared" si="13"/>
        <v>-45669</v>
      </c>
      <c r="K47" s="68">
        <f t="shared" si="13"/>
        <v>-45669</v>
      </c>
      <c r="L47" s="68">
        <f t="shared" si="13"/>
        <v>-45669</v>
      </c>
      <c r="M47" s="68">
        <f t="shared" si="13"/>
        <v>-45669</v>
      </c>
      <c r="N47" s="68">
        <f t="shared" si="13"/>
        <v>-45669</v>
      </c>
      <c r="O47" s="68">
        <f t="shared" si="13"/>
        <v>-45669</v>
      </c>
      <c r="P47" s="68">
        <f t="shared" si="13"/>
        <v>-45669</v>
      </c>
      <c r="Q47" s="68">
        <f t="shared" si="13"/>
        <v>-45669</v>
      </c>
      <c r="R47" s="68">
        <f t="shared" si="13"/>
        <v>-45669</v>
      </c>
      <c r="S47" s="68">
        <f t="shared" si="13"/>
        <v>-45669</v>
      </c>
      <c r="T47" s="73">
        <f t="shared" si="12"/>
        <v>-45669</v>
      </c>
      <c r="U47" s="68"/>
      <c r="V47" s="68"/>
      <c r="W47" s="68"/>
      <c r="X47" s="68"/>
      <c r="Y47" s="68"/>
      <c r="Z47" s="68"/>
    </row>
    <row r="48" spans="3:26" x14ac:dyDescent="0.25">
      <c r="G48" s="71">
        <f t="shared" ref="G48:T48" si="14">SUM(G34:G47)</f>
        <v>-911385.20999999985</v>
      </c>
      <c r="H48" s="71">
        <f t="shared" si="14"/>
        <v>-958959.83358416439</v>
      </c>
      <c r="I48" s="71">
        <f t="shared" si="14"/>
        <v>-454811.73716832866</v>
      </c>
      <c r="J48" s="71">
        <f t="shared" si="14"/>
        <v>-497940.93741915969</v>
      </c>
      <c r="K48" s="71">
        <f t="shared" si="14"/>
        <v>-541070.13766999065</v>
      </c>
      <c r="L48" s="71">
        <f t="shared" si="14"/>
        <v>-584199.33792082174</v>
      </c>
      <c r="M48" s="71">
        <f t="shared" si="14"/>
        <v>-627328.5381716527</v>
      </c>
      <c r="N48" s="71">
        <f t="shared" si="14"/>
        <v>-670457.73842248367</v>
      </c>
      <c r="O48" s="71">
        <f t="shared" si="14"/>
        <v>-713586.93867331475</v>
      </c>
      <c r="P48" s="71">
        <f t="shared" si="14"/>
        <v>-756716.13892414584</v>
      </c>
      <c r="Q48" s="71">
        <f t="shared" si="14"/>
        <v>-799845.33917497692</v>
      </c>
      <c r="R48" s="71">
        <f t="shared" si="14"/>
        <v>-842974.53942580789</v>
      </c>
      <c r="S48" s="71">
        <f t="shared" si="14"/>
        <v>-886103.73967663909</v>
      </c>
      <c r="T48" s="71">
        <f t="shared" si="14"/>
        <v>-711183.08971011429</v>
      </c>
      <c r="U48" s="68"/>
      <c r="V48" s="68"/>
      <c r="W48" s="68"/>
      <c r="X48" s="68"/>
      <c r="Y48" s="68"/>
      <c r="Z48" s="68"/>
    </row>
    <row r="49" spans="1:26" x14ac:dyDescent="0.25">
      <c r="G49" s="76">
        <f t="shared" ref="G49:T49" si="15">G48+G31</f>
        <v>-911385.20999999985</v>
      </c>
      <c r="H49" s="76">
        <f t="shared" si="15"/>
        <v>-958959.83358416439</v>
      </c>
      <c r="I49" s="76">
        <f t="shared" si="15"/>
        <v>-454811.73716832866</v>
      </c>
      <c r="J49" s="76">
        <f t="shared" si="15"/>
        <v>-497940.93741915969</v>
      </c>
      <c r="K49" s="76">
        <f t="shared" si="15"/>
        <v>-541070.13766999065</v>
      </c>
      <c r="L49" s="76">
        <f t="shared" si="15"/>
        <v>-584199.33792082174</v>
      </c>
      <c r="M49" s="76">
        <f t="shared" si="15"/>
        <v>-627328.5381716527</v>
      </c>
      <c r="N49" s="76">
        <f t="shared" si="15"/>
        <v>-670457.73842248367</v>
      </c>
      <c r="O49" s="76">
        <f t="shared" si="15"/>
        <v>-713586.93867331475</v>
      </c>
      <c r="P49" s="76">
        <f t="shared" si="15"/>
        <v>-756716.13892414584</v>
      </c>
      <c r="Q49" s="76">
        <f t="shared" si="15"/>
        <v>-799845.33917497692</v>
      </c>
      <c r="R49" s="76">
        <f t="shared" si="15"/>
        <v>-842974.53942580789</v>
      </c>
      <c r="S49" s="76">
        <f t="shared" si="15"/>
        <v>-886103.73967663909</v>
      </c>
      <c r="T49" s="76">
        <f t="shared" si="15"/>
        <v>-711183.08971011429</v>
      </c>
      <c r="U49" s="68"/>
      <c r="V49" s="68"/>
      <c r="W49" s="68"/>
      <c r="X49" s="68"/>
      <c r="Y49" s="68"/>
      <c r="Z49" s="68"/>
    </row>
    <row r="50" spans="1:26" x14ac:dyDescent="0.25"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73"/>
      <c r="R50" s="73"/>
      <c r="S50" s="73"/>
      <c r="T50" s="68"/>
      <c r="U50" s="68"/>
      <c r="V50" s="68"/>
      <c r="W50" s="68"/>
      <c r="X50" s="68"/>
      <c r="Y50" s="68"/>
      <c r="Z50" s="68"/>
    </row>
    <row r="51" spans="1:26" x14ac:dyDescent="0.25">
      <c r="G51" s="79">
        <f>'[1]FC with allocations'!C53</f>
        <v>-601375</v>
      </c>
      <c r="H51" s="79">
        <f>'[1]FC with allocations'!D53</f>
        <v>-649606</v>
      </c>
      <c r="I51" s="79">
        <f>'[1]FC with allocations'!E53</f>
        <v>-697833</v>
      </c>
      <c r="J51" s="79">
        <f>'[1]FC with allocations'!F53</f>
        <v>-742448</v>
      </c>
      <c r="K51" s="79">
        <f>'[1]FC with allocations'!G53</f>
        <v>-734925</v>
      </c>
      <c r="L51" s="79">
        <f>'[1]FC with allocations'!H53</f>
        <v>-783218</v>
      </c>
      <c r="M51" s="79">
        <f>'[1]FC with allocations'!I53</f>
        <v>-831093</v>
      </c>
      <c r="N51" s="79">
        <f>'[1]FC with allocations'!J53</f>
        <v>-878925</v>
      </c>
      <c r="O51" s="79">
        <f>'[1]FC with allocations'!K53</f>
        <v>-926927</v>
      </c>
      <c r="P51" s="79">
        <f>'[1]FC with allocations'!L53</f>
        <v>-942929</v>
      </c>
      <c r="Q51" s="75">
        <f>'[1]FC with allocations'!M53</f>
        <v>-991185</v>
      </c>
      <c r="R51" s="75">
        <f>'[1]FC with allocations'!N53</f>
        <v>-1039173</v>
      </c>
      <c r="S51" s="75">
        <f>'[1]FC with allocations'!O53</f>
        <v>-911386</v>
      </c>
      <c r="T51" s="79">
        <f>('[1]FC with allocations'!P53)/13</f>
        <v>-825463.30769230775</v>
      </c>
      <c r="U51" s="68"/>
      <c r="V51" s="68"/>
      <c r="W51" s="68"/>
      <c r="X51" s="68"/>
      <c r="Y51" s="68"/>
      <c r="Z51" s="68"/>
    </row>
    <row r="52" spans="1:26" x14ac:dyDescent="0.25">
      <c r="G52" s="68">
        <f>G48-G51</f>
        <v>-310010.20999999985</v>
      </c>
      <c r="H52" s="68">
        <f t="shared" ref="H52:T52" si="16">H48-H51</f>
        <v>-309353.83358416439</v>
      </c>
      <c r="I52" s="68">
        <f t="shared" si="16"/>
        <v>243021.26283167134</v>
      </c>
      <c r="J52" s="68">
        <f t="shared" si="16"/>
        <v>244507.06258084031</v>
      </c>
      <c r="K52" s="68">
        <f t="shared" si="16"/>
        <v>193854.86233000935</v>
      </c>
      <c r="L52" s="68">
        <f t="shared" si="16"/>
        <v>199018.66207917826</v>
      </c>
      <c r="M52" s="68">
        <f t="shared" si="16"/>
        <v>203764.4618283473</v>
      </c>
      <c r="N52" s="68">
        <f t="shared" si="16"/>
        <v>208467.26157751633</v>
      </c>
      <c r="O52" s="68">
        <f t="shared" si="16"/>
        <v>213340.06132668525</v>
      </c>
      <c r="P52" s="68">
        <f t="shared" si="16"/>
        <v>186212.86107585416</v>
      </c>
      <c r="Q52" s="68">
        <f t="shared" si="16"/>
        <v>191339.66082502308</v>
      </c>
      <c r="R52" s="68">
        <f t="shared" si="16"/>
        <v>196198.46057419211</v>
      </c>
      <c r="S52" s="68">
        <f t="shared" si="16"/>
        <v>25282.260323360912</v>
      </c>
      <c r="T52" s="68">
        <f t="shared" si="16"/>
        <v>114280.21798219346</v>
      </c>
      <c r="U52" s="68"/>
      <c r="V52" s="68"/>
      <c r="W52" s="68"/>
      <c r="X52" s="68"/>
      <c r="Y52" s="68"/>
      <c r="Z52" s="68"/>
    </row>
    <row r="53" spans="1:26" x14ac:dyDescent="0.25">
      <c r="C53" s="13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73"/>
    </row>
    <row r="54" spans="1:26" x14ac:dyDescent="0.25">
      <c r="C54" s="13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73"/>
    </row>
    <row r="55" spans="1:26" x14ac:dyDescent="0.25">
      <c r="C55" s="13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73"/>
    </row>
    <row r="57" spans="1:26" ht="15.75" thickBot="1" x14ac:dyDescent="0.3">
      <c r="A57" s="80"/>
      <c r="B57" s="80"/>
      <c r="C57" s="80"/>
      <c r="D57" s="80"/>
      <c r="E57" s="80"/>
      <c r="F57" s="80"/>
      <c r="G57" s="81">
        <f t="shared" ref="G57:S57" si="17">+G5</f>
        <v>44544</v>
      </c>
      <c r="H57" s="81">
        <f t="shared" si="17"/>
        <v>44574</v>
      </c>
      <c r="I57" s="81">
        <f t="shared" si="17"/>
        <v>44604</v>
      </c>
      <c r="J57" s="81">
        <f t="shared" si="17"/>
        <v>44634</v>
      </c>
      <c r="K57" s="81">
        <f t="shared" si="17"/>
        <v>44664</v>
      </c>
      <c r="L57" s="81">
        <f t="shared" si="17"/>
        <v>44694</v>
      </c>
      <c r="M57" s="81">
        <f t="shared" si="17"/>
        <v>44724</v>
      </c>
      <c r="N57" s="81">
        <f t="shared" si="17"/>
        <v>44754</v>
      </c>
      <c r="O57" s="81">
        <f t="shared" si="17"/>
        <v>44784</v>
      </c>
      <c r="P57" s="81">
        <f t="shared" si="17"/>
        <v>44814</v>
      </c>
      <c r="Q57" s="81">
        <f t="shared" si="17"/>
        <v>44844</v>
      </c>
      <c r="R57" s="81">
        <f t="shared" si="17"/>
        <v>44874</v>
      </c>
      <c r="S57" s="81">
        <f t="shared" si="17"/>
        <v>44904</v>
      </c>
      <c r="T57" s="80" t="s">
        <v>409</v>
      </c>
      <c r="U57" s="82"/>
    </row>
    <row r="58" spans="1:26" x14ac:dyDescent="0.25">
      <c r="A58" s="82"/>
      <c r="B58" s="83" t="s">
        <v>410</v>
      </c>
      <c r="C58" s="84" t="s">
        <v>411</v>
      </c>
      <c r="D58" s="85">
        <f>'[1]Common Plant Allocation Factors'!E11</f>
        <v>0.40075371178398028</v>
      </c>
      <c r="E58" s="84"/>
      <c r="F58" s="84"/>
      <c r="G58" s="86">
        <f t="shared" ref="G58:S58" si="18">(G$26)*$D58</f>
        <v>4885590.4840893773</v>
      </c>
      <c r="H58" s="86">
        <f t="shared" si="18"/>
        <v>4885590.4840893773</v>
      </c>
      <c r="I58" s="86">
        <f t="shared" si="18"/>
        <v>4664485.5561738238</v>
      </c>
      <c r="J58" s="86">
        <f t="shared" si="18"/>
        <v>4664485.5561738238</v>
      </c>
      <c r="K58" s="86">
        <f t="shared" si="18"/>
        <v>4664485.5561738238</v>
      </c>
      <c r="L58" s="86">
        <f t="shared" si="18"/>
        <v>4664485.5561738238</v>
      </c>
      <c r="M58" s="86">
        <f t="shared" si="18"/>
        <v>4664485.5561738238</v>
      </c>
      <c r="N58" s="86">
        <f t="shared" si="18"/>
        <v>4664485.5561738238</v>
      </c>
      <c r="O58" s="86">
        <f t="shared" si="18"/>
        <v>4664485.5561738238</v>
      </c>
      <c r="P58" s="86">
        <f t="shared" si="18"/>
        <v>4664485.5561738238</v>
      </c>
      <c r="Q58" s="86">
        <f t="shared" si="18"/>
        <v>4664485.5561738238</v>
      </c>
      <c r="R58" s="86">
        <f t="shared" si="18"/>
        <v>4664485.5561738238</v>
      </c>
      <c r="S58" s="86">
        <f t="shared" si="18"/>
        <v>4664485.5561738238</v>
      </c>
      <c r="T58" s="87"/>
      <c r="U58" s="82"/>
    </row>
    <row r="59" spans="1:26" x14ac:dyDescent="0.25">
      <c r="A59" s="82"/>
      <c r="B59" s="88"/>
      <c r="C59" s="89"/>
      <c r="D59" s="90"/>
      <c r="E59" s="89" t="s">
        <v>381</v>
      </c>
      <c r="F59" s="89"/>
      <c r="G59" s="91">
        <f>G58</f>
        <v>4885590.4840893773</v>
      </c>
      <c r="H59" s="91">
        <f t="shared" ref="H59:S59" si="19">H58</f>
        <v>4885590.4840893773</v>
      </c>
      <c r="I59" s="91">
        <f t="shared" si="19"/>
        <v>4664485.5561738238</v>
      </c>
      <c r="J59" s="91">
        <f t="shared" si="19"/>
        <v>4664485.5561738238</v>
      </c>
      <c r="K59" s="91">
        <f t="shared" si="19"/>
        <v>4664485.5561738238</v>
      </c>
      <c r="L59" s="91">
        <f t="shared" si="19"/>
        <v>4664485.5561738238</v>
      </c>
      <c r="M59" s="91">
        <f t="shared" si="19"/>
        <v>4664485.5561738238</v>
      </c>
      <c r="N59" s="91">
        <f t="shared" si="19"/>
        <v>4664485.5561738238</v>
      </c>
      <c r="O59" s="91">
        <f t="shared" si="19"/>
        <v>4664485.5561738238</v>
      </c>
      <c r="P59" s="91">
        <f t="shared" si="19"/>
        <v>4664485.5561738238</v>
      </c>
      <c r="Q59" s="91">
        <f t="shared" si="19"/>
        <v>4664485.5561738238</v>
      </c>
      <c r="R59" s="91">
        <f t="shared" si="19"/>
        <v>4664485.5561738238</v>
      </c>
      <c r="S59" s="91">
        <f t="shared" si="19"/>
        <v>4664485.5561738238</v>
      </c>
      <c r="T59" s="92">
        <f>SUM(G59:S59)/13</f>
        <v>4698501.6989300633</v>
      </c>
      <c r="U59" s="82"/>
    </row>
    <row r="60" spans="1:26" x14ac:dyDescent="0.25">
      <c r="A60" s="82"/>
      <c r="B60" s="88"/>
      <c r="C60" s="89"/>
      <c r="D60" s="90"/>
      <c r="E60" s="89"/>
      <c r="F60" s="89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2"/>
      <c r="U60" s="82"/>
    </row>
    <row r="61" spans="1:26" x14ac:dyDescent="0.25">
      <c r="A61" s="82"/>
      <c r="B61" s="88"/>
      <c r="C61" s="89" t="s">
        <v>412</v>
      </c>
      <c r="D61" s="90">
        <f>D58</f>
        <v>0.40075371178398028</v>
      </c>
      <c r="E61" s="89"/>
      <c r="F61" s="89"/>
      <c r="G61" s="79">
        <f t="shared" ref="G61:S61" si="20">G$8*$D61</f>
        <v>0</v>
      </c>
      <c r="H61" s="79">
        <f t="shared" si="20"/>
        <v>0</v>
      </c>
      <c r="I61" s="79">
        <f t="shared" si="20"/>
        <v>0</v>
      </c>
      <c r="J61" s="79">
        <f t="shared" si="20"/>
        <v>0</v>
      </c>
      <c r="K61" s="79">
        <f t="shared" si="20"/>
        <v>0</v>
      </c>
      <c r="L61" s="79">
        <f t="shared" si="20"/>
        <v>0</v>
      </c>
      <c r="M61" s="79">
        <f t="shared" si="20"/>
        <v>0</v>
      </c>
      <c r="N61" s="79">
        <f t="shared" si="20"/>
        <v>0</v>
      </c>
      <c r="O61" s="79">
        <f t="shared" si="20"/>
        <v>0</v>
      </c>
      <c r="P61" s="79">
        <f t="shared" si="20"/>
        <v>0</v>
      </c>
      <c r="Q61" s="79">
        <f t="shared" si="20"/>
        <v>0</v>
      </c>
      <c r="R61" s="79">
        <f t="shared" si="20"/>
        <v>0</v>
      </c>
      <c r="S61" s="79">
        <f t="shared" si="20"/>
        <v>0</v>
      </c>
      <c r="T61" s="92"/>
      <c r="U61" s="82"/>
    </row>
    <row r="62" spans="1:26" x14ac:dyDescent="0.25">
      <c r="A62" s="82"/>
      <c r="B62" s="88"/>
      <c r="C62" s="89"/>
      <c r="D62" s="90"/>
      <c r="E62" s="89" t="s">
        <v>69</v>
      </c>
      <c r="F62" s="89"/>
      <c r="G62" s="91">
        <f>G61</f>
        <v>0</v>
      </c>
      <c r="H62" s="91">
        <f t="shared" ref="H62:S62" si="21">H61</f>
        <v>0</v>
      </c>
      <c r="I62" s="91">
        <f t="shared" si="21"/>
        <v>0</v>
      </c>
      <c r="J62" s="91">
        <f t="shared" si="21"/>
        <v>0</v>
      </c>
      <c r="K62" s="91">
        <f t="shared" si="21"/>
        <v>0</v>
      </c>
      <c r="L62" s="91">
        <f t="shared" si="21"/>
        <v>0</v>
      </c>
      <c r="M62" s="91">
        <f t="shared" si="21"/>
        <v>0</v>
      </c>
      <c r="N62" s="91">
        <f t="shared" si="21"/>
        <v>0</v>
      </c>
      <c r="O62" s="91">
        <f t="shared" si="21"/>
        <v>0</v>
      </c>
      <c r="P62" s="91">
        <f t="shared" si="21"/>
        <v>0</v>
      </c>
      <c r="Q62" s="91">
        <f t="shared" si="21"/>
        <v>0</v>
      </c>
      <c r="R62" s="91">
        <f t="shared" si="21"/>
        <v>0</v>
      </c>
      <c r="S62" s="91">
        <f t="shared" si="21"/>
        <v>0</v>
      </c>
      <c r="T62" s="92">
        <f>SUM(G62:S62)/13</f>
        <v>0</v>
      </c>
      <c r="U62" s="82"/>
    </row>
    <row r="63" spans="1:26" x14ac:dyDescent="0.25">
      <c r="A63" s="82"/>
      <c r="B63" s="88"/>
      <c r="C63" s="93"/>
      <c r="D63" s="90"/>
      <c r="E63" s="89"/>
      <c r="F63" s="89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2"/>
      <c r="U63" s="82"/>
    </row>
    <row r="64" spans="1:26" x14ac:dyDescent="0.25">
      <c r="A64" s="82"/>
      <c r="B64" s="88"/>
      <c r="C64" s="89" t="s">
        <v>413</v>
      </c>
      <c r="D64" s="90">
        <f>D58</f>
        <v>0.40075371178398028</v>
      </c>
      <c r="E64" s="89"/>
      <c r="F64" s="89"/>
      <c r="G64" s="79">
        <f t="shared" ref="G64:S64" si="22">(G$48)*$D64</f>
        <v>-365241.0057725223</v>
      </c>
      <c r="H64" s="79">
        <f t="shared" si="22"/>
        <v>-384306.71276060189</v>
      </c>
      <c r="I64" s="79">
        <f t="shared" si="22"/>
        <v>-182267.49183312777</v>
      </c>
      <c r="J64" s="79">
        <f t="shared" si="22"/>
        <v>-199551.67891992288</v>
      </c>
      <c r="K64" s="79">
        <f t="shared" si="22"/>
        <v>-216835.86600671796</v>
      </c>
      <c r="L64" s="79">
        <f t="shared" si="22"/>
        <v>-234120.0530935131</v>
      </c>
      <c r="M64" s="79">
        <f t="shared" si="22"/>
        <v>-251404.24018030817</v>
      </c>
      <c r="N64" s="79">
        <f t="shared" si="22"/>
        <v>-268688.42726710328</v>
      </c>
      <c r="O64" s="79">
        <f t="shared" si="22"/>
        <v>-285972.61435389839</v>
      </c>
      <c r="P64" s="79">
        <f t="shared" si="22"/>
        <v>-303256.8014406935</v>
      </c>
      <c r="Q64" s="79">
        <f t="shared" si="22"/>
        <v>-320540.98852748866</v>
      </c>
      <c r="R64" s="79">
        <f t="shared" si="22"/>
        <v>-337825.17561428371</v>
      </c>
      <c r="S64" s="79">
        <f t="shared" si="22"/>
        <v>-355109.36270107894</v>
      </c>
      <c r="T64" s="92"/>
      <c r="U64" s="82"/>
    </row>
    <row r="65" spans="1:21" x14ac:dyDescent="0.25">
      <c r="A65" s="82"/>
      <c r="B65" s="88"/>
      <c r="C65" s="89"/>
      <c r="D65" s="90"/>
      <c r="E65" s="89" t="s">
        <v>396</v>
      </c>
      <c r="F65" s="89"/>
      <c r="G65" s="91">
        <f>G64</f>
        <v>-365241.0057725223</v>
      </c>
      <c r="H65" s="91">
        <f t="shared" ref="H65:S65" si="23">H64</f>
        <v>-384306.71276060189</v>
      </c>
      <c r="I65" s="91">
        <f t="shared" si="23"/>
        <v>-182267.49183312777</v>
      </c>
      <c r="J65" s="91">
        <f t="shared" si="23"/>
        <v>-199551.67891992288</v>
      </c>
      <c r="K65" s="91">
        <f t="shared" si="23"/>
        <v>-216835.86600671796</v>
      </c>
      <c r="L65" s="91">
        <f t="shared" si="23"/>
        <v>-234120.0530935131</v>
      </c>
      <c r="M65" s="91">
        <f t="shared" si="23"/>
        <v>-251404.24018030817</v>
      </c>
      <c r="N65" s="91">
        <f t="shared" si="23"/>
        <v>-268688.42726710328</v>
      </c>
      <c r="O65" s="91">
        <f t="shared" si="23"/>
        <v>-285972.61435389839</v>
      </c>
      <c r="P65" s="91">
        <f t="shared" si="23"/>
        <v>-303256.8014406935</v>
      </c>
      <c r="Q65" s="91">
        <f t="shared" si="23"/>
        <v>-320540.98852748866</v>
      </c>
      <c r="R65" s="91">
        <f t="shared" si="23"/>
        <v>-337825.17561428371</v>
      </c>
      <c r="S65" s="91">
        <f t="shared" si="23"/>
        <v>-355109.36270107894</v>
      </c>
      <c r="T65" s="92">
        <f>SUM(G65:S65)/13</f>
        <v>-285009.26295932772</v>
      </c>
      <c r="U65" s="82"/>
    </row>
    <row r="66" spans="1:21" ht="15.75" thickBot="1" x14ac:dyDescent="0.3">
      <c r="A66" s="82"/>
      <c r="B66" s="94"/>
      <c r="C66" s="95"/>
      <c r="D66" s="96"/>
      <c r="E66" s="95"/>
      <c r="F66" s="95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2"/>
      <c r="U66" s="82"/>
    </row>
    <row r="67" spans="1:21" x14ac:dyDescent="0.25">
      <c r="A67" s="82"/>
      <c r="B67" s="83" t="s">
        <v>414</v>
      </c>
      <c r="C67" s="84" t="s">
        <v>411</v>
      </c>
      <c r="D67" s="85">
        <f>'[1]Common Plant Allocation Factors'!C11</f>
        <v>0.19493367655493263</v>
      </c>
      <c r="E67" s="84"/>
      <c r="F67" s="84"/>
      <c r="G67" s="86">
        <f t="shared" ref="G67:S67" si="24">(G$26)*$D67</f>
        <v>2376437.415802883</v>
      </c>
      <c r="H67" s="86">
        <f t="shared" si="24"/>
        <v>2376437.415802883</v>
      </c>
      <c r="I67" s="86">
        <f t="shared" si="24"/>
        <v>2268888.077554395</v>
      </c>
      <c r="J67" s="86">
        <f t="shared" si="24"/>
        <v>2268888.077554395</v>
      </c>
      <c r="K67" s="86">
        <f t="shared" si="24"/>
        <v>2268888.077554395</v>
      </c>
      <c r="L67" s="86">
        <f t="shared" si="24"/>
        <v>2268888.077554395</v>
      </c>
      <c r="M67" s="86">
        <f t="shared" si="24"/>
        <v>2268888.077554395</v>
      </c>
      <c r="N67" s="86">
        <f t="shared" si="24"/>
        <v>2268888.077554395</v>
      </c>
      <c r="O67" s="86">
        <f t="shared" si="24"/>
        <v>2268888.077554395</v>
      </c>
      <c r="P67" s="86">
        <f t="shared" si="24"/>
        <v>2268888.077554395</v>
      </c>
      <c r="Q67" s="86">
        <f t="shared" si="24"/>
        <v>2268888.077554395</v>
      </c>
      <c r="R67" s="86">
        <f t="shared" si="24"/>
        <v>2268888.077554395</v>
      </c>
      <c r="S67" s="86">
        <f t="shared" si="24"/>
        <v>2268888.077554395</v>
      </c>
      <c r="T67" s="87"/>
      <c r="U67" s="82"/>
    </row>
    <row r="68" spans="1:21" x14ac:dyDescent="0.25">
      <c r="A68" s="82"/>
      <c r="B68" s="88"/>
      <c r="C68" s="89"/>
      <c r="D68" s="90"/>
      <c r="E68" s="89" t="s">
        <v>381</v>
      </c>
      <c r="F68" s="89"/>
      <c r="G68" s="91">
        <f>G67</f>
        <v>2376437.415802883</v>
      </c>
      <c r="H68" s="91">
        <f t="shared" ref="H68:S68" si="25">H67</f>
        <v>2376437.415802883</v>
      </c>
      <c r="I68" s="91">
        <f t="shared" si="25"/>
        <v>2268888.077554395</v>
      </c>
      <c r="J68" s="91">
        <f t="shared" si="25"/>
        <v>2268888.077554395</v>
      </c>
      <c r="K68" s="91">
        <f t="shared" si="25"/>
        <v>2268888.077554395</v>
      </c>
      <c r="L68" s="91">
        <f t="shared" si="25"/>
        <v>2268888.077554395</v>
      </c>
      <c r="M68" s="91">
        <f t="shared" si="25"/>
        <v>2268888.077554395</v>
      </c>
      <c r="N68" s="91">
        <f t="shared" si="25"/>
        <v>2268888.077554395</v>
      </c>
      <c r="O68" s="91">
        <f t="shared" si="25"/>
        <v>2268888.077554395</v>
      </c>
      <c r="P68" s="91">
        <f t="shared" si="25"/>
        <v>2268888.077554395</v>
      </c>
      <c r="Q68" s="91">
        <f t="shared" si="25"/>
        <v>2268888.077554395</v>
      </c>
      <c r="R68" s="91">
        <f t="shared" si="25"/>
        <v>2268888.077554395</v>
      </c>
      <c r="S68" s="91">
        <f t="shared" si="25"/>
        <v>2268888.077554395</v>
      </c>
      <c r="T68" s="92">
        <f>SUM(G68:S68)/13</f>
        <v>2285434.1295926236</v>
      </c>
      <c r="U68" s="82"/>
    </row>
    <row r="69" spans="1:21" x14ac:dyDescent="0.25">
      <c r="A69" s="82"/>
      <c r="B69" s="88"/>
      <c r="C69" s="89"/>
      <c r="D69" s="90"/>
      <c r="E69" s="89"/>
      <c r="F69" s="89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2"/>
      <c r="U69" s="82"/>
    </row>
    <row r="70" spans="1:21" x14ac:dyDescent="0.25">
      <c r="A70" s="82"/>
      <c r="B70" s="88"/>
      <c r="C70" s="89" t="s">
        <v>412</v>
      </c>
      <c r="D70" s="90">
        <f>D67</f>
        <v>0.19493367655493263</v>
      </c>
      <c r="E70" s="89"/>
      <c r="F70" s="89"/>
      <c r="G70" s="79">
        <f t="shared" ref="G70:S70" si="26">G$8*$D70</f>
        <v>0</v>
      </c>
      <c r="H70" s="79">
        <f t="shared" si="26"/>
        <v>0</v>
      </c>
      <c r="I70" s="79">
        <f t="shared" si="26"/>
        <v>0</v>
      </c>
      <c r="J70" s="79">
        <f t="shared" si="26"/>
        <v>0</v>
      </c>
      <c r="K70" s="79">
        <f t="shared" si="26"/>
        <v>0</v>
      </c>
      <c r="L70" s="79">
        <f t="shared" si="26"/>
        <v>0</v>
      </c>
      <c r="M70" s="79">
        <f t="shared" si="26"/>
        <v>0</v>
      </c>
      <c r="N70" s="79">
        <f t="shared" si="26"/>
        <v>0</v>
      </c>
      <c r="O70" s="79">
        <f t="shared" si="26"/>
        <v>0</v>
      </c>
      <c r="P70" s="79">
        <f t="shared" si="26"/>
        <v>0</v>
      </c>
      <c r="Q70" s="79">
        <f t="shared" si="26"/>
        <v>0</v>
      </c>
      <c r="R70" s="79">
        <f t="shared" si="26"/>
        <v>0</v>
      </c>
      <c r="S70" s="79">
        <f t="shared" si="26"/>
        <v>0</v>
      </c>
      <c r="T70" s="92"/>
      <c r="U70" s="82"/>
    </row>
    <row r="71" spans="1:21" x14ac:dyDescent="0.25">
      <c r="A71" s="82"/>
      <c r="B71" s="88"/>
      <c r="C71" s="89"/>
      <c r="D71" s="90"/>
      <c r="E71" s="89" t="s">
        <v>69</v>
      </c>
      <c r="F71" s="89"/>
      <c r="G71" s="91">
        <f>G70</f>
        <v>0</v>
      </c>
      <c r="H71" s="91">
        <f t="shared" ref="H71:S71" si="27">H70</f>
        <v>0</v>
      </c>
      <c r="I71" s="91">
        <f t="shared" si="27"/>
        <v>0</v>
      </c>
      <c r="J71" s="91">
        <f t="shared" si="27"/>
        <v>0</v>
      </c>
      <c r="K71" s="91">
        <f t="shared" si="27"/>
        <v>0</v>
      </c>
      <c r="L71" s="91">
        <f t="shared" si="27"/>
        <v>0</v>
      </c>
      <c r="M71" s="91">
        <f t="shared" si="27"/>
        <v>0</v>
      </c>
      <c r="N71" s="91">
        <f t="shared" si="27"/>
        <v>0</v>
      </c>
      <c r="O71" s="91">
        <f t="shared" si="27"/>
        <v>0</v>
      </c>
      <c r="P71" s="91">
        <f t="shared" si="27"/>
        <v>0</v>
      </c>
      <c r="Q71" s="91">
        <f t="shared" si="27"/>
        <v>0</v>
      </c>
      <c r="R71" s="91">
        <f t="shared" si="27"/>
        <v>0</v>
      </c>
      <c r="S71" s="91">
        <f t="shared" si="27"/>
        <v>0</v>
      </c>
      <c r="T71" s="92">
        <f>SUM(G71:S71)/13</f>
        <v>0</v>
      </c>
      <c r="U71" s="82"/>
    </row>
    <row r="72" spans="1:21" x14ac:dyDescent="0.25">
      <c r="A72" s="82"/>
      <c r="B72" s="88"/>
      <c r="C72" s="89"/>
      <c r="D72" s="90"/>
      <c r="E72" s="89"/>
      <c r="F72" s="89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2"/>
      <c r="U72" s="82"/>
    </row>
    <row r="73" spans="1:21" x14ac:dyDescent="0.25">
      <c r="A73" s="82"/>
      <c r="B73" s="88"/>
      <c r="C73" s="93" t="s">
        <v>415</v>
      </c>
      <c r="D73" s="90">
        <f>+D67</f>
        <v>0.19493367655493263</v>
      </c>
      <c r="E73" s="89"/>
      <c r="F73" s="89"/>
      <c r="G73" s="79">
        <f>G$48*$D73</f>
        <v>-177659.66974308933</v>
      </c>
      <c r="H73" s="79">
        <f>H$48*$D73</f>
        <v>-186933.56602906753</v>
      </c>
      <c r="I73" s="79">
        <f t="shared" ref="I73:S73" si="28">I$48*$D73</f>
        <v>-88658.124066558012</v>
      </c>
      <c r="J73" s="79">
        <f t="shared" si="28"/>
        <v>-97065.457638326421</v>
      </c>
      <c r="K73" s="79">
        <f t="shared" si="28"/>
        <v>-105472.79121009483</v>
      </c>
      <c r="L73" s="79">
        <f t="shared" si="28"/>
        <v>-113880.12478186325</v>
      </c>
      <c r="M73" s="79">
        <f t="shared" si="28"/>
        <v>-122287.45835363165</v>
      </c>
      <c r="N73" s="79">
        <f t="shared" si="28"/>
        <v>-130694.79192540006</v>
      </c>
      <c r="O73" s="79">
        <f t="shared" si="28"/>
        <v>-139102.12549716848</v>
      </c>
      <c r="P73" s="79">
        <f t="shared" si="28"/>
        <v>-147509.45906893691</v>
      </c>
      <c r="Q73" s="79">
        <f t="shared" si="28"/>
        <v>-155916.79264070533</v>
      </c>
      <c r="R73" s="79">
        <f t="shared" si="28"/>
        <v>-164324.12621247373</v>
      </c>
      <c r="S73" s="79">
        <f t="shared" si="28"/>
        <v>-172731.45978424218</v>
      </c>
      <c r="T73" s="92"/>
      <c r="U73" s="82"/>
    </row>
    <row r="74" spans="1:21" x14ac:dyDescent="0.25">
      <c r="A74" s="82"/>
      <c r="B74" s="88"/>
      <c r="C74" s="89"/>
      <c r="D74" s="90"/>
      <c r="E74" s="89" t="s">
        <v>396</v>
      </c>
      <c r="F74" s="89"/>
      <c r="G74" s="91">
        <f>+G73</f>
        <v>-177659.66974308933</v>
      </c>
      <c r="H74" s="91">
        <f t="shared" ref="H74:S74" si="29">+H73</f>
        <v>-186933.56602906753</v>
      </c>
      <c r="I74" s="91">
        <f t="shared" si="29"/>
        <v>-88658.124066558012</v>
      </c>
      <c r="J74" s="91">
        <f t="shared" si="29"/>
        <v>-97065.457638326421</v>
      </c>
      <c r="K74" s="91">
        <f t="shared" si="29"/>
        <v>-105472.79121009483</v>
      </c>
      <c r="L74" s="91">
        <f t="shared" si="29"/>
        <v>-113880.12478186325</v>
      </c>
      <c r="M74" s="91">
        <f t="shared" si="29"/>
        <v>-122287.45835363165</v>
      </c>
      <c r="N74" s="91">
        <f t="shared" si="29"/>
        <v>-130694.79192540006</v>
      </c>
      <c r="O74" s="91">
        <f t="shared" si="29"/>
        <v>-139102.12549716848</v>
      </c>
      <c r="P74" s="91">
        <f t="shared" si="29"/>
        <v>-147509.45906893691</v>
      </c>
      <c r="Q74" s="91">
        <f t="shared" si="29"/>
        <v>-155916.79264070533</v>
      </c>
      <c r="R74" s="91">
        <f t="shared" si="29"/>
        <v>-164324.12621247373</v>
      </c>
      <c r="S74" s="91">
        <f t="shared" si="29"/>
        <v>-172731.45978424218</v>
      </c>
      <c r="T74" s="92">
        <f>SUM(G74:S74)/13</f>
        <v>-138633.53438088906</v>
      </c>
      <c r="U74" s="82"/>
    </row>
    <row r="75" spans="1:21" ht="15.75" thickBot="1" x14ac:dyDescent="0.3">
      <c r="A75" s="82"/>
      <c r="B75" s="94"/>
      <c r="C75" s="95"/>
      <c r="D75" s="96"/>
      <c r="E75" s="95"/>
      <c r="F75" s="95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2"/>
      <c r="U75" s="82"/>
    </row>
    <row r="76" spans="1:21" x14ac:dyDescent="0.25">
      <c r="A76" s="82"/>
      <c r="B76" s="83" t="s">
        <v>416</v>
      </c>
      <c r="C76" s="84" t="s">
        <v>411</v>
      </c>
      <c r="D76" s="85">
        <f>'[1]Common Plant Allocation Factors'!B11</f>
        <v>0.17538138419273502</v>
      </c>
      <c r="E76" s="84"/>
      <c r="F76" s="84"/>
      <c r="G76" s="86">
        <f t="shared" ref="G76:S76" si="30">(G$26)*$D76</f>
        <v>2138075.3228314845</v>
      </c>
      <c r="H76" s="86">
        <f t="shared" si="30"/>
        <v>2138075.3228314845</v>
      </c>
      <c r="I76" s="86">
        <f t="shared" si="30"/>
        <v>2041313.4285073038</v>
      </c>
      <c r="J76" s="86">
        <f t="shared" si="30"/>
        <v>2041313.4285073038</v>
      </c>
      <c r="K76" s="86">
        <f t="shared" si="30"/>
        <v>2041313.4285073038</v>
      </c>
      <c r="L76" s="86">
        <f t="shared" si="30"/>
        <v>2041313.4285073038</v>
      </c>
      <c r="M76" s="86">
        <f t="shared" si="30"/>
        <v>2041313.4285073038</v>
      </c>
      <c r="N76" s="86">
        <f t="shared" si="30"/>
        <v>2041313.4285073038</v>
      </c>
      <c r="O76" s="86">
        <f t="shared" si="30"/>
        <v>2041313.4285073038</v>
      </c>
      <c r="P76" s="86">
        <f t="shared" si="30"/>
        <v>2041313.4285073038</v>
      </c>
      <c r="Q76" s="86">
        <f t="shared" si="30"/>
        <v>2041313.4285073038</v>
      </c>
      <c r="R76" s="86">
        <f t="shared" si="30"/>
        <v>2041313.4285073038</v>
      </c>
      <c r="S76" s="86">
        <f t="shared" si="30"/>
        <v>2041313.4285073038</v>
      </c>
      <c r="T76" s="87"/>
      <c r="U76" s="82"/>
    </row>
    <row r="77" spans="1:21" x14ac:dyDescent="0.25">
      <c r="A77" s="82"/>
      <c r="B77" s="88"/>
      <c r="C77" s="89"/>
      <c r="D77" s="90"/>
      <c r="E77" s="89" t="s">
        <v>381</v>
      </c>
      <c r="F77" s="89"/>
      <c r="G77" s="91">
        <f>G76</f>
        <v>2138075.3228314845</v>
      </c>
      <c r="H77" s="91">
        <f t="shared" ref="H77:S77" si="31">H76</f>
        <v>2138075.3228314845</v>
      </c>
      <c r="I77" s="91">
        <f t="shared" si="31"/>
        <v>2041313.4285073038</v>
      </c>
      <c r="J77" s="91">
        <f t="shared" si="31"/>
        <v>2041313.4285073038</v>
      </c>
      <c r="K77" s="91">
        <f t="shared" si="31"/>
        <v>2041313.4285073038</v>
      </c>
      <c r="L77" s="91">
        <f t="shared" si="31"/>
        <v>2041313.4285073038</v>
      </c>
      <c r="M77" s="91">
        <f t="shared" si="31"/>
        <v>2041313.4285073038</v>
      </c>
      <c r="N77" s="91">
        <f t="shared" si="31"/>
        <v>2041313.4285073038</v>
      </c>
      <c r="O77" s="91">
        <f t="shared" si="31"/>
        <v>2041313.4285073038</v>
      </c>
      <c r="P77" s="91">
        <f t="shared" si="31"/>
        <v>2041313.4285073038</v>
      </c>
      <c r="Q77" s="91">
        <f t="shared" si="31"/>
        <v>2041313.4285073038</v>
      </c>
      <c r="R77" s="91">
        <f t="shared" si="31"/>
        <v>2041313.4285073038</v>
      </c>
      <c r="S77" s="91">
        <f t="shared" si="31"/>
        <v>2041313.4285073038</v>
      </c>
      <c r="T77" s="92">
        <f>SUM(G77:S77)/13</f>
        <v>2056199.8737879475</v>
      </c>
      <c r="U77" s="82"/>
    </row>
    <row r="78" spans="1:21" x14ac:dyDescent="0.25">
      <c r="A78" s="82"/>
      <c r="B78" s="88"/>
      <c r="C78" s="89"/>
      <c r="D78" s="90"/>
      <c r="E78" s="89"/>
      <c r="F78" s="89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2"/>
      <c r="U78" s="82"/>
    </row>
    <row r="79" spans="1:21" x14ac:dyDescent="0.25">
      <c r="A79" s="82"/>
      <c r="B79" s="88"/>
      <c r="C79" s="89" t="s">
        <v>412</v>
      </c>
      <c r="D79" s="90">
        <f>D76</f>
        <v>0.17538138419273502</v>
      </c>
      <c r="E79" s="89"/>
      <c r="F79" s="89"/>
      <c r="G79" s="79">
        <f>G$8*$D79</f>
        <v>0</v>
      </c>
      <c r="H79" s="79">
        <f t="shared" ref="H79:S79" si="32">H$8*$D79</f>
        <v>0</v>
      </c>
      <c r="I79" s="79">
        <f t="shared" si="32"/>
        <v>0</v>
      </c>
      <c r="J79" s="79">
        <f t="shared" si="32"/>
        <v>0</v>
      </c>
      <c r="K79" s="79">
        <f t="shared" si="32"/>
        <v>0</v>
      </c>
      <c r="L79" s="79">
        <f t="shared" si="32"/>
        <v>0</v>
      </c>
      <c r="M79" s="79">
        <f t="shared" si="32"/>
        <v>0</v>
      </c>
      <c r="N79" s="79">
        <f t="shared" si="32"/>
        <v>0</v>
      </c>
      <c r="O79" s="79">
        <f t="shared" si="32"/>
        <v>0</v>
      </c>
      <c r="P79" s="79">
        <f t="shared" si="32"/>
        <v>0</v>
      </c>
      <c r="Q79" s="79">
        <f t="shared" si="32"/>
        <v>0</v>
      </c>
      <c r="R79" s="79">
        <f t="shared" si="32"/>
        <v>0</v>
      </c>
      <c r="S79" s="79">
        <f t="shared" si="32"/>
        <v>0</v>
      </c>
      <c r="T79" s="92"/>
      <c r="U79" s="82"/>
    </row>
    <row r="80" spans="1:21" x14ac:dyDescent="0.25">
      <c r="A80" s="82"/>
      <c r="B80" s="88"/>
      <c r="C80" s="89"/>
      <c r="D80" s="90"/>
      <c r="E80" s="89" t="s">
        <v>69</v>
      </c>
      <c r="F80" s="89"/>
      <c r="G80" s="91">
        <f>G79</f>
        <v>0</v>
      </c>
      <c r="H80" s="91">
        <f t="shared" ref="H80:S80" si="33">H79</f>
        <v>0</v>
      </c>
      <c r="I80" s="91">
        <f t="shared" si="33"/>
        <v>0</v>
      </c>
      <c r="J80" s="91">
        <f t="shared" si="33"/>
        <v>0</v>
      </c>
      <c r="K80" s="91">
        <f t="shared" si="33"/>
        <v>0</v>
      </c>
      <c r="L80" s="91">
        <f t="shared" si="33"/>
        <v>0</v>
      </c>
      <c r="M80" s="91">
        <f t="shared" si="33"/>
        <v>0</v>
      </c>
      <c r="N80" s="91">
        <f t="shared" si="33"/>
        <v>0</v>
      </c>
      <c r="O80" s="91">
        <f t="shared" si="33"/>
        <v>0</v>
      </c>
      <c r="P80" s="91">
        <f t="shared" si="33"/>
        <v>0</v>
      </c>
      <c r="Q80" s="91">
        <f t="shared" si="33"/>
        <v>0</v>
      </c>
      <c r="R80" s="91">
        <f t="shared" si="33"/>
        <v>0</v>
      </c>
      <c r="S80" s="91">
        <f t="shared" si="33"/>
        <v>0</v>
      </c>
      <c r="T80" s="92">
        <f>SUM(G80:S80)/13</f>
        <v>0</v>
      </c>
      <c r="U80" s="82"/>
    </row>
    <row r="81" spans="1:21" x14ac:dyDescent="0.25">
      <c r="A81" s="82"/>
      <c r="B81" s="88"/>
      <c r="C81" s="93"/>
      <c r="D81" s="90"/>
      <c r="E81" s="89"/>
      <c r="F81" s="89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2"/>
      <c r="U81" s="82"/>
    </row>
    <row r="82" spans="1:21" x14ac:dyDescent="0.25">
      <c r="A82" s="82"/>
      <c r="B82" s="88"/>
      <c r="C82" s="89" t="s">
        <v>413</v>
      </c>
      <c r="D82" s="90">
        <f>D76</f>
        <v>0.17538138419273502</v>
      </c>
      <c r="E82" s="89"/>
      <c r="F82" s="89"/>
      <c r="G82" s="79">
        <f>(G$48)*$D82</f>
        <v>-159839.99966258646</v>
      </c>
      <c r="H82" s="79">
        <f t="shared" ref="H82:S82" si="34">(H$48)*$D82</f>
        <v>-168183.70299922558</v>
      </c>
      <c r="I82" s="79">
        <f t="shared" si="34"/>
        <v>-79765.512011683866</v>
      </c>
      <c r="J82" s="79">
        <f t="shared" si="34"/>
        <v>-87329.570850800272</v>
      </c>
      <c r="K82" s="79">
        <f t="shared" si="34"/>
        <v>-94893.629689916663</v>
      </c>
      <c r="L82" s="79">
        <f t="shared" si="34"/>
        <v>-102457.68852903307</v>
      </c>
      <c r="M82" s="79">
        <f t="shared" si="34"/>
        <v>-110021.74736814946</v>
      </c>
      <c r="N82" s="79">
        <f t="shared" si="34"/>
        <v>-117585.80620726585</v>
      </c>
      <c r="O82" s="79">
        <f t="shared" si="34"/>
        <v>-125149.86504638226</v>
      </c>
      <c r="P82" s="79">
        <f t="shared" si="34"/>
        <v>-132713.92388549866</v>
      </c>
      <c r="Q82" s="79">
        <f t="shared" si="34"/>
        <v>-140277.98272461508</v>
      </c>
      <c r="R82" s="79">
        <f t="shared" si="34"/>
        <v>-147842.04156373147</v>
      </c>
      <c r="S82" s="79">
        <f t="shared" si="34"/>
        <v>-155406.10040284789</v>
      </c>
      <c r="T82" s="92"/>
      <c r="U82" s="82"/>
    </row>
    <row r="83" spans="1:21" x14ac:dyDescent="0.25">
      <c r="A83" s="82"/>
      <c r="B83" s="88"/>
      <c r="C83" s="89"/>
      <c r="D83" s="90"/>
      <c r="E83" s="89" t="s">
        <v>396</v>
      </c>
      <c r="F83" s="89"/>
      <c r="G83" s="91">
        <f>G82</f>
        <v>-159839.99966258646</v>
      </c>
      <c r="H83" s="91">
        <f t="shared" ref="H83:S83" si="35">H82</f>
        <v>-168183.70299922558</v>
      </c>
      <c r="I83" s="91">
        <f t="shared" si="35"/>
        <v>-79765.512011683866</v>
      </c>
      <c r="J83" s="91">
        <f t="shared" si="35"/>
        <v>-87329.570850800272</v>
      </c>
      <c r="K83" s="91">
        <f t="shared" si="35"/>
        <v>-94893.629689916663</v>
      </c>
      <c r="L83" s="91">
        <f t="shared" si="35"/>
        <v>-102457.68852903307</v>
      </c>
      <c r="M83" s="91">
        <f t="shared" si="35"/>
        <v>-110021.74736814946</v>
      </c>
      <c r="N83" s="91">
        <f t="shared" si="35"/>
        <v>-117585.80620726585</v>
      </c>
      <c r="O83" s="91">
        <f t="shared" si="35"/>
        <v>-125149.86504638226</v>
      </c>
      <c r="P83" s="91">
        <f t="shared" si="35"/>
        <v>-132713.92388549866</v>
      </c>
      <c r="Q83" s="91">
        <f t="shared" si="35"/>
        <v>-140277.98272461508</v>
      </c>
      <c r="R83" s="91">
        <f t="shared" si="35"/>
        <v>-147842.04156373147</v>
      </c>
      <c r="S83" s="91">
        <f t="shared" si="35"/>
        <v>-155406.10040284789</v>
      </c>
      <c r="T83" s="92">
        <f>SUM(G83:S83)/13</f>
        <v>-124728.27468782588</v>
      </c>
      <c r="U83" s="82"/>
    </row>
    <row r="84" spans="1:21" ht="15.75" thickBot="1" x14ac:dyDescent="0.3">
      <c r="A84" s="82"/>
      <c r="B84" s="94"/>
      <c r="C84" s="95"/>
      <c r="D84" s="96"/>
      <c r="E84" s="95"/>
      <c r="F84" s="95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2"/>
      <c r="U84" s="82"/>
    </row>
    <row r="85" spans="1:21" x14ac:dyDescent="0.25">
      <c r="A85" s="82"/>
      <c r="B85" s="83" t="s">
        <v>417</v>
      </c>
      <c r="C85" s="84" t="s">
        <v>411</v>
      </c>
      <c r="D85" s="85">
        <f>'[1]Common Plant Allocation Factors'!D11</f>
        <v>-2.6963863219386323E-3</v>
      </c>
      <c r="E85" s="84"/>
      <c r="F85" s="84"/>
      <c r="G85" s="86">
        <f>(G$26)*$D85</f>
        <v>-32871.658997866165</v>
      </c>
      <c r="H85" s="86">
        <f t="shared" ref="H85:S85" si="36">(H$26)*$D85</f>
        <v>-32871.658997866165</v>
      </c>
      <c r="I85" s="86">
        <f t="shared" si="36"/>
        <v>-31384.001402155383</v>
      </c>
      <c r="J85" s="86">
        <f t="shared" si="36"/>
        <v>-31384.001402155383</v>
      </c>
      <c r="K85" s="86">
        <f t="shared" si="36"/>
        <v>-31384.001402155383</v>
      </c>
      <c r="L85" s="86">
        <f t="shared" si="36"/>
        <v>-31384.001402155383</v>
      </c>
      <c r="M85" s="86">
        <f t="shared" si="36"/>
        <v>-31384.001402155383</v>
      </c>
      <c r="N85" s="86">
        <f t="shared" si="36"/>
        <v>-31384.001402155383</v>
      </c>
      <c r="O85" s="86">
        <f t="shared" si="36"/>
        <v>-31384.001402155383</v>
      </c>
      <c r="P85" s="86">
        <f t="shared" si="36"/>
        <v>-31384.001402155383</v>
      </c>
      <c r="Q85" s="86">
        <f t="shared" si="36"/>
        <v>-31384.001402155383</v>
      </c>
      <c r="R85" s="86">
        <f t="shared" si="36"/>
        <v>-31384.001402155383</v>
      </c>
      <c r="S85" s="86">
        <f t="shared" si="36"/>
        <v>-31384.001402155383</v>
      </c>
      <c r="T85" s="87"/>
      <c r="U85" s="82"/>
    </row>
    <row r="86" spans="1:21" x14ac:dyDescent="0.25">
      <c r="A86" s="82"/>
      <c r="B86" s="88"/>
      <c r="C86" s="98" t="s">
        <v>418</v>
      </c>
      <c r="D86" s="90"/>
      <c r="E86" s="89" t="s">
        <v>381</v>
      </c>
      <c r="F86" s="89"/>
      <c r="G86" s="91">
        <f>G85</f>
        <v>-32871.658997866165</v>
      </c>
      <c r="H86" s="91">
        <f t="shared" ref="H86:S86" si="37">H85</f>
        <v>-32871.658997866165</v>
      </c>
      <c r="I86" s="91">
        <f t="shared" si="37"/>
        <v>-31384.001402155383</v>
      </c>
      <c r="J86" s="91">
        <f t="shared" si="37"/>
        <v>-31384.001402155383</v>
      </c>
      <c r="K86" s="91">
        <f t="shared" si="37"/>
        <v>-31384.001402155383</v>
      </c>
      <c r="L86" s="91">
        <f t="shared" si="37"/>
        <v>-31384.001402155383</v>
      </c>
      <c r="M86" s="91">
        <f t="shared" si="37"/>
        <v>-31384.001402155383</v>
      </c>
      <c r="N86" s="91">
        <f t="shared" si="37"/>
        <v>-31384.001402155383</v>
      </c>
      <c r="O86" s="91">
        <f t="shared" si="37"/>
        <v>-31384.001402155383</v>
      </c>
      <c r="P86" s="91">
        <f t="shared" si="37"/>
        <v>-31384.001402155383</v>
      </c>
      <c r="Q86" s="91">
        <f t="shared" si="37"/>
        <v>-31384.001402155383</v>
      </c>
      <c r="R86" s="91">
        <f t="shared" si="37"/>
        <v>-31384.001402155383</v>
      </c>
      <c r="S86" s="91">
        <f t="shared" si="37"/>
        <v>-31384.001402155383</v>
      </c>
      <c r="T86" s="92">
        <f>SUM(G86:S86)/13</f>
        <v>-31612.871801495501</v>
      </c>
      <c r="U86" s="82"/>
    </row>
    <row r="87" spans="1:21" x14ac:dyDescent="0.25">
      <c r="A87" s="82"/>
      <c r="B87" s="88"/>
      <c r="C87" s="89"/>
      <c r="D87" s="90"/>
      <c r="E87" s="89"/>
      <c r="F87" s="89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2"/>
      <c r="U87" s="82"/>
    </row>
    <row r="88" spans="1:21" x14ac:dyDescent="0.25">
      <c r="A88" s="82"/>
      <c r="B88" s="88"/>
      <c r="C88" s="89" t="s">
        <v>412</v>
      </c>
      <c r="D88" s="90">
        <f>D85</f>
        <v>-2.6963863219386323E-3</v>
      </c>
      <c r="E88" s="89"/>
      <c r="F88" s="89"/>
      <c r="G88" s="79">
        <f>G$8*$D88</f>
        <v>0</v>
      </c>
      <c r="H88" s="79">
        <f t="shared" ref="H88:S88" si="38">H$8*$D88</f>
        <v>0</v>
      </c>
      <c r="I88" s="79">
        <f t="shared" si="38"/>
        <v>0</v>
      </c>
      <c r="J88" s="79">
        <f t="shared" si="38"/>
        <v>0</v>
      </c>
      <c r="K88" s="79">
        <f t="shared" si="38"/>
        <v>0</v>
      </c>
      <c r="L88" s="79">
        <f t="shared" si="38"/>
        <v>0</v>
      </c>
      <c r="M88" s="79">
        <f t="shared" si="38"/>
        <v>0</v>
      </c>
      <c r="N88" s="79">
        <f t="shared" si="38"/>
        <v>0</v>
      </c>
      <c r="O88" s="79">
        <f t="shared" si="38"/>
        <v>0</v>
      </c>
      <c r="P88" s="79">
        <f t="shared" si="38"/>
        <v>0</v>
      </c>
      <c r="Q88" s="79">
        <f t="shared" si="38"/>
        <v>0</v>
      </c>
      <c r="R88" s="79">
        <f t="shared" si="38"/>
        <v>0</v>
      </c>
      <c r="S88" s="79">
        <f t="shared" si="38"/>
        <v>0</v>
      </c>
      <c r="T88" s="92"/>
      <c r="U88" s="82"/>
    </row>
    <row r="89" spans="1:21" x14ac:dyDescent="0.25">
      <c r="A89" s="82"/>
      <c r="B89" s="88"/>
      <c r="C89" s="89"/>
      <c r="D89" s="90"/>
      <c r="E89" s="89" t="s">
        <v>69</v>
      </c>
      <c r="F89" s="89"/>
      <c r="G89" s="91">
        <f>G88</f>
        <v>0</v>
      </c>
      <c r="H89" s="91">
        <f t="shared" ref="H89:S89" si="39">H88</f>
        <v>0</v>
      </c>
      <c r="I89" s="91">
        <f t="shared" si="39"/>
        <v>0</v>
      </c>
      <c r="J89" s="91">
        <f t="shared" si="39"/>
        <v>0</v>
      </c>
      <c r="K89" s="91">
        <f t="shared" si="39"/>
        <v>0</v>
      </c>
      <c r="L89" s="91">
        <f t="shared" si="39"/>
        <v>0</v>
      </c>
      <c r="M89" s="91">
        <f t="shared" si="39"/>
        <v>0</v>
      </c>
      <c r="N89" s="91">
        <f t="shared" si="39"/>
        <v>0</v>
      </c>
      <c r="O89" s="91">
        <f t="shared" si="39"/>
        <v>0</v>
      </c>
      <c r="P89" s="91">
        <f t="shared" si="39"/>
        <v>0</v>
      </c>
      <c r="Q89" s="91">
        <f t="shared" si="39"/>
        <v>0</v>
      </c>
      <c r="R89" s="91">
        <f t="shared" si="39"/>
        <v>0</v>
      </c>
      <c r="S89" s="91">
        <f t="shared" si="39"/>
        <v>0</v>
      </c>
      <c r="T89" s="92">
        <f>SUM(G89:S89)/13</f>
        <v>0</v>
      </c>
      <c r="U89" s="82"/>
    </row>
    <row r="90" spans="1:21" x14ac:dyDescent="0.25">
      <c r="A90" s="82"/>
      <c r="B90" s="88"/>
      <c r="C90" s="93"/>
      <c r="D90" s="90"/>
      <c r="E90" s="89"/>
      <c r="F90" s="89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2"/>
      <c r="U90" s="82"/>
    </row>
    <row r="91" spans="1:21" x14ac:dyDescent="0.25">
      <c r="A91" s="82"/>
      <c r="B91" s="88"/>
      <c r="C91" s="89" t="s">
        <v>413</v>
      </c>
      <c r="D91" s="90">
        <f>D85</f>
        <v>-2.6963863219386323E-3</v>
      </c>
      <c r="E91" s="89"/>
      <c r="F91" s="89"/>
      <c r="G91" s="79">
        <f>(G$48)*$D91</f>
        <v>2457.4466142611677</v>
      </c>
      <c r="H91" s="79">
        <f t="shared" ref="H91:S91" si="40">(H$48)*$D91</f>
        <v>2585.726178564888</v>
      </c>
      <c r="I91" s="79">
        <f t="shared" si="40"/>
        <v>1226.3481471578295</v>
      </c>
      <c r="J91" s="79">
        <f t="shared" si="40"/>
        <v>1342.6411327903227</v>
      </c>
      <c r="K91" s="79">
        <f t="shared" si="40"/>
        <v>1458.9341184228156</v>
      </c>
      <c r="L91" s="79">
        <f t="shared" si="40"/>
        <v>1575.2271040553087</v>
      </c>
      <c r="M91" s="79">
        <f t="shared" si="40"/>
        <v>1691.5200896878016</v>
      </c>
      <c r="N91" s="79">
        <f t="shared" si="40"/>
        <v>1807.8130753202943</v>
      </c>
      <c r="O91" s="79">
        <f t="shared" si="40"/>
        <v>1924.1060609527876</v>
      </c>
      <c r="P91" s="79">
        <f t="shared" si="40"/>
        <v>2040.3990465852808</v>
      </c>
      <c r="Q91" s="79">
        <f t="shared" si="40"/>
        <v>2156.6920322177739</v>
      </c>
      <c r="R91" s="79">
        <f t="shared" si="40"/>
        <v>2272.9850178502666</v>
      </c>
      <c r="S91" s="79">
        <f t="shared" si="40"/>
        <v>2389.2780034827601</v>
      </c>
      <c r="T91" s="92"/>
      <c r="U91" s="82"/>
    </row>
    <row r="92" spans="1:21" x14ac:dyDescent="0.25">
      <c r="A92" s="82"/>
      <c r="B92" s="88"/>
      <c r="C92" s="89"/>
      <c r="D92" s="90"/>
      <c r="E92" s="89" t="s">
        <v>396</v>
      </c>
      <c r="F92" s="89"/>
      <c r="G92" s="91">
        <f>G91</f>
        <v>2457.4466142611677</v>
      </c>
      <c r="H92" s="91">
        <f t="shared" ref="H92:S92" si="41">H91</f>
        <v>2585.726178564888</v>
      </c>
      <c r="I92" s="91">
        <f t="shared" si="41"/>
        <v>1226.3481471578295</v>
      </c>
      <c r="J92" s="91">
        <f t="shared" si="41"/>
        <v>1342.6411327903227</v>
      </c>
      <c r="K92" s="91">
        <f t="shared" si="41"/>
        <v>1458.9341184228156</v>
      </c>
      <c r="L92" s="91">
        <f t="shared" si="41"/>
        <v>1575.2271040553087</v>
      </c>
      <c r="M92" s="91">
        <f t="shared" si="41"/>
        <v>1691.5200896878016</v>
      </c>
      <c r="N92" s="91">
        <f t="shared" si="41"/>
        <v>1807.8130753202943</v>
      </c>
      <c r="O92" s="91">
        <f t="shared" si="41"/>
        <v>1924.1060609527876</v>
      </c>
      <c r="P92" s="91">
        <f t="shared" si="41"/>
        <v>2040.3990465852808</v>
      </c>
      <c r="Q92" s="91">
        <f t="shared" si="41"/>
        <v>2156.6920322177739</v>
      </c>
      <c r="R92" s="91">
        <f t="shared" si="41"/>
        <v>2272.9850178502666</v>
      </c>
      <c r="S92" s="91">
        <f t="shared" si="41"/>
        <v>2389.2780034827601</v>
      </c>
      <c r="T92" s="92">
        <f>SUM(G92:S92)/13</f>
        <v>1917.6243554884074</v>
      </c>
      <c r="U92" s="82"/>
    </row>
    <row r="93" spans="1:21" ht="15.75" thickBot="1" x14ac:dyDescent="0.3">
      <c r="A93" s="82"/>
      <c r="B93" s="94"/>
      <c r="C93" s="95"/>
      <c r="D93" s="96"/>
      <c r="E93" s="95"/>
      <c r="F93" s="95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2"/>
      <c r="U93" s="82"/>
    </row>
    <row r="94" spans="1:21" x14ac:dyDescent="0.25">
      <c r="A94" s="82"/>
      <c r="B94" s="83" t="s">
        <v>419</v>
      </c>
      <c r="C94" s="84" t="s">
        <v>411</v>
      </c>
      <c r="D94" s="85">
        <f>'[1]Common Plant Allocation Factors'!F11</f>
        <v>2.4706719004354946E-3</v>
      </c>
      <c r="E94" s="84"/>
      <c r="F94" s="84"/>
      <c r="G94" s="86">
        <f>(G$26)*$D94</f>
        <v>30119.973368035025</v>
      </c>
      <c r="H94" s="86">
        <f t="shared" ref="H94:S94" si="42">(H$26)*$D94</f>
        <v>30119.973368035025</v>
      </c>
      <c r="I94" s="86">
        <f t="shared" si="42"/>
        <v>28756.847546899182</v>
      </c>
      <c r="J94" s="86">
        <f t="shared" si="42"/>
        <v>28756.847546899182</v>
      </c>
      <c r="K94" s="86">
        <f t="shared" si="42"/>
        <v>28756.847546899182</v>
      </c>
      <c r="L94" s="86">
        <f t="shared" si="42"/>
        <v>28756.847546899182</v>
      </c>
      <c r="M94" s="86">
        <f t="shared" si="42"/>
        <v>28756.847546899182</v>
      </c>
      <c r="N94" s="86">
        <f t="shared" si="42"/>
        <v>28756.847546899182</v>
      </c>
      <c r="O94" s="86">
        <f t="shared" si="42"/>
        <v>28756.847546899182</v>
      </c>
      <c r="P94" s="86">
        <f t="shared" si="42"/>
        <v>28756.847546899182</v>
      </c>
      <c r="Q94" s="86">
        <f t="shared" si="42"/>
        <v>28756.847546899182</v>
      </c>
      <c r="R94" s="86">
        <f t="shared" si="42"/>
        <v>28756.847546899182</v>
      </c>
      <c r="S94" s="86">
        <f t="shared" si="42"/>
        <v>28756.847546899182</v>
      </c>
      <c r="T94" s="87"/>
      <c r="U94" s="82"/>
    </row>
    <row r="95" spans="1:21" x14ac:dyDescent="0.25">
      <c r="A95" s="82"/>
      <c r="B95" s="88"/>
      <c r="C95" s="89"/>
      <c r="D95" s="90"/>
      <c r="E95" s="89" t="s">
        <v>381</v>
      </c>
      <c r="F95" s="89"/>
      <c r="G95" s="91">
        <f>G94</f>
        <v>30119.973368035025</v>
      </c>
      <c r="H95" s="91">
        <f t="shared" ref="H95:S95" si="43">H94</f>
        <v>30119.973368035025</v>
      </c>
      <c r="I95" s="91">
        <f t="shared" si="43"/>
        <v>28756.847546899182</v>
      </c>
      <c r="J95" s="91">
        <f t="shared" si="43"/>
        <v>28756.847546899182</v>
      </c>
      <c r="K95" s="91">
        <f t="shared" si="43"/>
        <v>28756.847546899182</v>
      </c>
      <c r="L95" s="91">
        <f t="shared" si="43"/>
        <v>28756.847546899182</v>
      </c>
      <c r="M95" s="91">
        <f t="shared" si="43"/>
        <v>28756.847546899182</v>
      </c>
      <c r="N95" s="91">
        <f t="shared" si="43"/>
        <v>28756.847546899182</v>
      </c>
      <c r="O95" s="91">
        <f t="shared" si="43"/>
        <v>28756.847546899182</v>
      </c>
      <c r="P95" s="91">
        <f t="shared" si="43"/>
        <v>28756.847546899182</v>
      </c>
      <c r="Q95" s="91">
        <f t="shared" si="43"/>
        <v>28756.847546899182</v>
      </c>
      <c r="R95" s="91">
        <f t="shared" si="43"/>
        <v>28756.847546899182</v>
      </c>
      <c r="S95" s="91">
        <f t="shared" si="43"/>
        <v>28756.847546899182</v>
      </c>
      <c r="T95" s="92">
        <f>SUM(G95:S95)/13</f>
        <v>28966.559211689302</v>
      </c>
      <c r="U95" s="82"/>
    </row>
    <row r="96" spans="1:21" x14ac:dyDescent="0.25">
      <c r="A96" s="82"/>
      <c r="B96" s="88"/>
      <c r="C96" s="89"/>
      <c r="D96" s="90"/>
      <c r="E96" s="89"/>
      <c r="F96" s="89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2"/>
      <c r="U96" s="82"/>
    </row>
    <row r="97" spans="1:21" x14ac:dyDescent="0.25">
      <c r="A97" s="82"/>
      <c r="B97" s="88"/>
      <c r="C97" s="89" t="s">
        <v>412</v>
      </c>
      <c r="D97" s="90">
        <f>D94</f>
        <v>2.4706719004354946E-3</v>
      </c>
      <c r="E97" s="89"/>
      <c r="F97" s="89"/>
      <c r="G97" s="79">
        <f>G$8*$D97</f>
        <v>0</v>
      </c>
      <c r="H97" s="79">
        <f t="shared" ref="H97:S97" si="44">H$8*$D97</f>
        <v>0</v>
      </c>
      <c r="I97" s="79">
        <f t="shared" si="44"/>
        <v>0</v>
      </c>
      <c r="J97" s="79">
        <f t="shared" si="44"/>
        <v>0</v>
      </c>
      <c r="K97" s="79">
        <f t="shared" si="44"/>
        <v>0</v>
      </c>
      <c r="L97" s="79">
        <f t="shared" si="44"/>
        <v>0</v>
      </c>
      <c r="M97" s="79">
        <f t="shared" si="44"/>
        <v>0</v>
      </c>
      <c r="N97" s="79">
        <f t="shared" si="44"/>
        <v>0</v>
      </c>
      <c r="O97" s="79">
        <f t="shared" si="44"/>
        <v>0</v>
      </c>
      <c r="P97" s="79">
        <f t="shared" si="44"/>
        <v>0</v>
      </c>
      <c r="Q97" s="79">
        <f t="shared" si="44"/>
        <v>0</v>
      </c>
      <c r="R97" s="79">
        <f t="shared" si="44"/>
        <v>0</v>
      </c>
      <c r="S97" s="79">
        <f t="shared" si="44"/>
        <v>0</v>
      </c>
      <c r="T97" s="92"/>
      <c r="U97" s="82"/>
    </row>
    <row r="98" spans="1:21" x14ac:dyDescent="0.25">
      <c r="A98" s="82"/>
      <c r="B98" s="88"/>
      <c r="C98" s="89"/>
      <c r="D98" s="90"/>
      <c r="E98" s="89" t="s">
        <v>69</v>
      </c>
      <c r="F98" s="89"/>
      <c r="G98" s="91">
        <f>G97</f>
        <v>0</v>
      </c>
      <c r="H98" s="91">
        <f t="shared" ref="H98:S98" si="45">H97</f>
        <v>0</v>
      </c>
      <c r="I98" s="91">
        <f t="shared" si="45"/>
        <v>0</v>
      </c>
      <c r="J98" s="91">
        <f t="shared" si="45"/>
        <v>0</v>
      </c>
      <c r="K98" s="91">
        <f t="shared" si="45"/>
        <v>0</v>
      </c>
      <c r="L98" s="91">
        <f t="shared" si="45"/>
        <v>0</v>
      </c>
      <c r="M98" s="91">
        <f t="shared" si="45"/>
        <v>0</v>
      </c>
      <c r="N98" s="91">
        <f t="shared" si="45"/>
        <v>0</v>
      </c>
      <c r="O98" s="91">
        <f t="shared" si="45"/>
        <v>0</v>
      </c>
      <c r="P98" s="91">
        <f t="shared" si="45"/>
        <v>0</v>
      </c>
      <c r="Q98" s="91">
        <f t="shared" si="45"/>
        <v>0</v>
      </c>
      <c r="R98" s="91">
        <f t="shared" si="45"/>
        <v>0</v>
      </c>
      <c r="S98" s="91">
        <f t="shared" si="45"/>
        <v>0</v>
      </c>
      <c r="T98" s="92">
        <f>SUM(G98:S98)/13</f>
        <v>0</v>
      </c>
      <c r="U98" s="82"/>
    </row>
    <row r="99" spans="1:21" x14ac:dyDescent="0.25">
      <c r="A99" s="82"/>
      <c r="B99" s="88"/>
      <c r="C99" s="93"/>
      <c r="D99" s="90"/>
      <c r="E99" s="89"/>
      <c r="F99" s="89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2"/>
      <c r="U99" s="82"/>
    </row>
    <row r="100" spans="1:21" x14ac:dyDescent="0.25">
      <c r="A100" s="82"/>
      <c r="B100" s="88"/>
      <c r="C100" s="89" t="s">
        <v>413</v>
      </c>
      <c r="D100" s="90">
        <f>D94</f>
        <v>2.4706719004354946E-3</v>
      </c>
      <c r="E100" s="89"/>
      <c r="F100" s="89"/>
      <c r="G100" s="79">
        <f>(G$48)*$D100</f>
        <v>-2251.7338288195019</v>
      </c>
      <c r="H100" s="79">
        <f t="shared" ref="H100:S100" si="46">(H$48)*$D100</f>
        <v>-2369.275114482693</v>
      </c>
      <c r="I100" s="79">
        <f t="shared" si="46"/>
        <v>-1123.6905790100432</v>
      </c>
      <c r="J100" s="79">
        <f t="shared" si="46"/>
        <v>-1230.2486821580269</v>
      </c>
      <c r="K100" s="79">
        <f t="shared" si="46"/>
        <v>-1336.8067853060106</v>
      </c>
      <c r="L100" s="79">
        <f t="shared" si="46"/>
        <v>-1443.3648884539944</v>
      </c>
      <c r="M100" s="79">
        <f t="shared" si="46"/>
        <v>-1549.9229916019779</v>
      </c>
      <c r="N100" s="79">
        <f t="shared" si="46"/>
        <v>-1656.4810947499616</v>
      </c>
      <c r="O100" s="79">
        <f t="shared" si="46"/>
        <v>-1763.0391978979453</v>
      </c>
      <c r="P100" s="79">
        <f t="shared" si="46"/>
        <v>-1869.5973010459293</v>
      </c>
      <c r="Q100" s="79">
        <f t="shared" si="46"/>
        <v>-1976.155404193913</v>
      </c>
      <c r="R100" s="79">
        <f t="shared" si="46"/>
        <v>-2082.7135073418967</v>
      </c>
      <c r="S100" s="79">
        <f t="shared" si="46"/>
        <v>-2189.2716104898809</v>
      </c>
      <c r="T100" s="92"/>
      <c r="U100" s="82"/>
    </row>
    <row r="101" spans="1:21" x14ac:dyDescent="0.25">
      <c r="A101" s="82"/>
      <c r="B101" s="88"/>
      <c r="C101" s="89"/>
      <c r="D101" s="90"/>
      <c r="E101" s="89" t="s">
        <v>396</v>
      </c>
      <c r="F101" s="89"/>
      <c r="G101" s="91">
        <f>G100</f>
        <v>-2251.7338288195019</v>
      </c>
      <c r="H101" s="91">
        <f t="shared" ref="H101:S101" si="47">H100</f>
        <v>-2369.275114482693</v>
      </c>
      <c r="I101" s="91">
        <f t="shared" si="47"/>
        <v>-1123.6905790100432</v>
      </c>
      <c r="J101" s="91">
        <f t="shared" si="47"/>
        <v>-1230.2486821580269</v>
      </c>
      <c r="K101" s="91">
        <f t="shared" si="47"/>
        <v>-1336.8067853060106</v>
      </c>
      <c r="L101" s="91">
        <f t="shared" si="47"/>
        <v>-1443.3648884539944</v>
      </c>
      <c r="M101" s="91">
        <f t="shared" si="47"/>
        <v>-1549.9229916019779</v>
      </c>
      <c r="N101" s="91">
        <f t="shared" si="47"/>
        <v>-1656.4810947499616</v>
      </c>
      <c r="O101" s="91">
        <f t="shared" si="47"/>
        <v>-1763.0391978979453</v>
      </c>
      <c r="P101" s="91">
        <f t="shared" si="47"/>
        <v>-1869.5973010459293</v>
      </c>
      <c r="Q101" s="91">
        <f t="shared" si="47"/>
        <v>-1976.155404193913</v>
      </c>
      <c r="R101" s="91">
        <f t="shared" si="47"/>
        <v>-2082.7135073418967</v>
      </c>
      <c r="S101" s="91">
        <f t="shared" si="47"/>
        <v>-2189.2716104898809</v>
      </c>
      <c r="T101" s="92">
        <f>SUM(G101:S101)/13</f>
        <v>-1757.100075811675</v>
      </c>
      <c r="U101" s="82"/>
    </row>
    <row r="102" spans="1:21" ht="15.75" thickBot="1" x14ac:dyDescent="0.3">
      <c r="A102" s="82"/>
      <c r="B102" s="94"/>
      <c r="C102" s="95"/>
      <c r="D102" s="96"/>
      <c r="E102" s="95"/>
      <c r="F102" s="95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2"/>
      <c r="U102" s="82"/>
    </row>
    <row r="103" spans="1:21" x14ac:dyDescent="0.25">
      <c r="A103" s="82"/>
      <c r="B103" s="83" t="s">
        <v>420</v>
      </c>
      <c r="C103" s="84" t="s">
        <v>411</v>
      </c>
      <c r="D103" s="85">
        <f>'[1]Common Plant Allocation Factors'!G11</f>
        <v>0.22915694188985516</v>
      </c>
      <c r="E103" s="84"/>
      <c r="F103" s="84"/>
      <c r="G103" s="86">
        <f>(G$26)*$D103</f>
        <v>2793653.412906087</v>
      </c>
      <c r="H103" s="86">
        <f t="shared" ref="H103:S103" si="48">(H$26)*$D103</f>
        <v>2793653.412906087</v>
      </c>
      <c r="I103" s="86">
        <f t="shared" si="48"/>
        <v>2667222.3216197342</v>
      </c>
      <c r="J103" s="86">
        <f t="shared" si="48"/>
        <v>2667222.3216197342</v>
      </c>
      <c r="K103" s="86">
        <f t="shared" si="48"/>
        <v>2667222.3216197342</v>
      </c>
      <c r="L103" s="86">
        <f t="shared" si="48"/>
        <v>2667222.3216197342</v>
      </c>
      <c r="M103" s="86">
        <f t="shared" si="48"/>
        <v>2667222.3216197342</v>
      </c>
      <c r="N103" s="86">
        <f t="shared" si="48"/>
        <v>2667222.3216197342</v>
      </c>
      <c r="O103" s="86">
        <f t="shared" si="48"/>
        <v>2667222.3216197342</v>
      </c>
      <c r="P103" s="86">
        <f t="shared" si="48"/>
        <v>2667222.3216197342</v>
      </c>
      <c r="Q103" s="86">
        <f t="shared" si="48"/>
        <v>2667222.3216197342</v>
      </c>
      <c r="R103" s="86">
        <f t="shared" si="48"/>
        <v>2667222.3216197342</v>
      </c>
      <c r="S103" s="86">
        <f t="shared" si="48"/>
        <v>2667222.3216197342</v>
      </c>
      <c r="T103" s="87"/>
      <c r="U103" s="82"/>
    </row>
    <row r="104" spans="1:21" x14ac:dyDescent="0.25">
      <c r="A104" s="82"/>
      <c r="B104" s="88"/>
      <c r="C104" s="89"/>
      <c r="D104" s="90"/>
      <c r="E104" s="89" t="s">
        <v>381</v>
      </c>
      <c r="F104" s="89"/>
      <c r="G104" s="91">
        <f>G103</f>
        <v>2793653.412906087</v>
      </c>
      <c r="H104" s="91">
        <f t="shared" ref="H104:S104" si="49">H103</f>
        <v>2793653.412906087</v>
      </c>
      <c r="I104" s="91">
        <f t="shared" si="49"/>
        <v>2667222.3216197342</v>
      </c>
      <c r="J104" s="91">
        <f t="shared" si="49"/>
        <v>2667222.3216197342</v>
      </c>
      <c r="K104" s="91">
        <f t="shared" si="49"/>
        <v>2667222.3216197342</v>
      </c>
      <c r="L104" s="91">
        <f t="shared" si="49"/>
        <v>2667222.3216197342</v>
      </c>
      <c r="M104" s="91">
        <f t="shared" si="49"/>
        <v>2667222.3216197342</v>
      </c>
      <c r="N104" s="91">
        <f t="shared" si="49"/>
        <v>2667222.3216197342</v>
      </c>
      <c r="O104" s="91">
        <f t="shared" si="49"/>
        <v>2667222.3216197342</v>
      </c>
      <c r="P104" s="91">
        <f t="shared" si="49"/>
        <v>2667222.3216197342</v>
      </c>
      <c r="Q104" s="91">
        <f t="shared" si="49"/>
        <v>2667222.3216197342</v>
      </c>
      <c r="R104" s="91">
        <f t="shared" si="49"/>
        <v>2667222.3216197342</v>
      </c>
      <c r="S104" s="91">
        <f t="shared" si="49"/>
        <v>2667222.3216197342</v>
      </c>
      <c r="T104" s="92">
        <f>SUM(G104:S104)/13</f>
        <v>2686673.2587407115</v>
      </c>
      <c r="U104" s="82"/>
    </row>
    <row r="105" spans="1:21" x14ac:dyDescent="0.25">
      <c r="A105" s="82"/>
      <c r="B105" s="88"/>
      <c r="C105" s="89"/>
      <c r="D105" s="90"/>
      <c r="E105" s="89"/>
      <c r="F105" s="89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2"/>
      <c r="U105" s="82"/>
    </row>
    <row r="106" spans="1:21" x14ac:dyDescent="0.25">
      <c r="A106" s="82"/>
      <c r="B106" s="88"/>
      <c r="C106" s="89" t="s">
        <v>412</v>
      </c>
      <c r="D106" s="90">
        <f>D103</f>
        <v>0.22915694188985516</v>
      </c>
      <c r="E106" s="89"/>
      <c r="F106" s="89"/>
      <c r="G106" s="79">
        <f>G$8*$D106</f>
        <v>0</v>
      </c>
      <c r="H106" s="79">
        <f t="shared" ref="H106:S106" si="50">H$8*$D106</f>
        <v>0</v>
      </c>
      <c r="I106" s="79">
        <f t="shared" si="50"/>
        <v>0</v>
      </c>
      <c r="J106" s="79">
        <f t="shared" si="50"/>
        <v>0</v>
      </c>
      <c r="K106" s="79">
        <f t="shared" si="50"/>
        <v>0</v>
      </c>
      <c r="L106" s="79">
        <f t="shared" si="50"/>
        <v>0</v>
      </c>
      <c r="M106" s="79">
        <f t="shared" si="50"/>
        <v>0</v>
      </c>
      <c r="N106" s="79">
        <f t="shared" si="50"/>
        <v>0</v>
      </c>
      <c r="O106" s="79">
        <f t="shared" si="50"/>
        <v>0</v>
      </c>
      <c r="P106" s="79">
        <f t="shared" si="50"/>
        <v>0</v>
      </c>
      <c r="Q106" s="79">
        <f t="shared" si="50"/>
        <v>0</v>
      </c>
      <c r="R106" s="79">
        <f t="shared" si="50"/>
        <v>0</v>
      </c>
      <c r="S106" s="79">
        <f t="shared" si="50"/>
        <v>0</v>
      </c>
      <c r="T106" s="92"/>
      <c r="U106" s="82"/>
    </row>
    <row r="107" spans="1:21" x14ac:dyDescent="0.25">
      <c r="A107" s="82"/>
      <c r="B107" s="88"/>
      <c r="C107" s="89"/>
      <c r="D107" s="90"/>
      <c r="E107" s="89" t="s">
        <v>69</v>
      </c>
      <c r="F107" s="89"/>
      <c r="G107" s="91">
        <f>G106</f>
        <v>0</v>
      </c>
      <c r="H107" s="91">
        <f t="shared" ref="H107:S107" si="51">H106</f>
        <v>0</v>
      </c>
      <c r="I107" s="91">
        <f t="shared" si="51"/>
        <v>0</v>
      </c>
      <c r="J107" s="91">
        <f t="shared" si="51"/>
        <v>0</v>
      </c>
      <c r="K107" s="91">
        <f t="shared" si="51"/>
        <v>0</v>
      </c>
      <c r="L107" s="91">
        <f t="shared" si="51"/>
        <v>0</v>
      </c>
      <c r="M107" s="91">
        <f t="shared" si="51"/>
        <v>0</v>
      </c>
      <c r="N107" s="91">
        <f t="shared" si="51"/>
        <v>0</v>
      </c>
      <c r="O107" s="91">
        <f t="shared" si="51"/>
        <v>0</v>
      </c>
      <c r="P107" s="91">
        <f t="shared" si="51"/>
        <v>0</v>
      </c>
      <c r="Q107" s="91">
        <f t="shared" si="51"/>
        <v>0</v>
      </c>
      <c r="R107" s="91">
        <f t="shared" si="51"/>
        <v>0</v>
      </c>
      <c r="S107" s="91">
        <f t="shared" si="51"/>
        <v>0</v>
      </c>
      <c r="T107" s="92">
        <f>SUM(G107:S107)/13</f>
        <v>0</v>
      </c>
      <c r="U107" s="82"/>
    </row>
    <row r="108" spans="1:21" x14ac:dyDescent="0.25">
      <c r="A108" s="82"/>
      <c r="B108" s="88"/>
      <c r="C108" s="93"/>
      <c r="D108" s="90"/>
      <c r="E108" s="89"/>
      <c r="F108" s="89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2"/>
      <c r="U108" s="82"/>
    </row>
    <row r="109" spans="1:21" x14ac:dyDescent="0.25">
      <c r="A109" s="82"/>
      <c r="B109" s="88"/>
      <c r="C109" s="89" t="s">
        <v>413</v>
      </c>
      <c r="D109" s="90">
        <f>D103</f>
        <v>0.22915694188985516</v>
      </c>
      <c r="E109" s="89"/>
      <c r="F109" s="89"/>
      <c r="G109" s="79">
        <f>(G$48)*$D109</f>
        <v>-208850.24760724342</v>
      </c>
      <c r="H109" s="79">
        <f t="shared" ref="H109:S109" si="52">(H$48)*$D109</f>
        <v>-219752.30285935153</v>
      </c>
      <c r="I109" s="79">
        <f t="shared" si="52"/>
        <v>-104223.26682510677</v>
      </c>
      <c r="J109" s="79">
        <f t="shared" si="52"/>
        <v>-114106.62246074238</v>
      </c>
      <c r="K109" s="79">
        <f t="shared" si="52"/>
        <v>-123989.97809637798</v>
      </c>
      <c r="L109" s="79">
        <f t="shared" si="52"/>
        <v>-133873.33373201362</v>
      </c>
      <c r="M109" s="79">
        <f t="shared" si="52"/>
        <v>-143756.6893676492</v>
      </c>
      <c r="N109" s="79">
        <f t="shared" si="52"/>
        <v>-153640.04500328482</v>
      </c>
      <c r="O109" s="79">
        <f t="shared" si="52"/>
        <v>-163523.40063892043</v>
      </c>
      <c r="P109" s="79">
        <f t="shared" si="52"/>
        <v>-173406.75627455604</v>
      </c>
      <c r="Q109" s="79">
        <f t="shared" si="52"/>
        <v>-183290.11191019168</v>
      </c>
      <c r="R109" s="79">
        <f t="shared" si="52"/>
        <v>-193173.46754582727</v>
      </c>
      <c r="S109" s="79">
        <f t="shared" si="52"/>
        <v>-203056.82318146294</v>
      </c>
      <c r="T109" s="92"/>
      <c r="U109" s="82"/>
    </row>
    <row r="110" spans="1:21" x14ac:dyDescent="0.25">
      <c r="A110" s="82"/>
      <c r="B110" s="88"/>
      <c r="C110" s="89"/>
      <c r="D110" s="99"/>
      <c r="E110" s="89" t="s">
        <v>396</v>
      </c>
      <c r="F110" s="89"/>
      <c r="G110" s="91">
        <f>G109</f>
        <v>-208850.24760724342</v>
      </c>
      <c r="H110" s="91">
        <f t="shared" ref="H110:S110" si="53">H109</f>
        <v>-219752.30285935153</v>
      </c>
      <c r="I110" s="91">
        <f t="shared" si="53"/>
        <v>-104223.26682510677</v>
      </c>
      <c r="J110" s="91">
        <f t="shared" si="53"/>
        <v>-114106.62246074238</v>
      </c>
      <c r="K110" s="91">
        <f t="shared" si="53"/>
        <v>-123989.97809637798</v>
      </c>
      <c r="L110" s="91">
        <f t="shared" si="53"/>
        <v>-133873.33373201362</v>
      </c>
      <c r="M110" s="91">
        <f t="shared" si="53"/>
        <v>-143756.6893676492</v>
      </c>
      <c r="N110" s="91">
        <f t="shared" si="53"/>
        <v>-153640.04500328482</v>
      </c>
      <c r="O110" s="91">
        <f t="shared" si="53"/>
        <v>-163523.40063892043</v>
      </c>
      <c r="P110" s="91">
        <f t="shared" si="53"/>
        <v>-173406.75627455604</v>
      </c>
      <c r="Q110" s="91">
        <f t="shared" si="53"/>
        <v>-183290.11191019168</v>
      </c>
      <c r="R110" s="91">
        <f t="shared" si="53"/>
        <v>-193173.46754582727</v>
      </c>
      <c r="S110" s="91">
        <f t="shared" si="53"/>
        <v>-203056.82318146294</v>
      </c>
      <c r="T110" s="92">
        <f>SUM(G110:S110)/13</f>
        <v>-162972.5419617483</v>
      </c>
      <c r="U110" s="82"/>
    </row>
    <row r="111" spans="1:21" x14ac:dyDescent="0.25">
      <c r="A111" s="82"/>
      <c r="B111" s="88"/>
      <c r="C111" s="89"/>
      <c r="D111" s="100"/>
      <c r="E111" s="89"/>
      <c r="F111" s="89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2"/>
      <c r="U111" s="82"/>
    </row>
    <row r="112" spans="1:21" ht="15.75" thickBot="1" x14ac:dyDescent="0.3">
      <c r="A112" s="82"/>
      <c r="B112" s="94"/>
      <c r="C112" s="95"/>
      <c r="D112" s="101"/>
      <c r="E112" s="95"/>
      <c r="F112" s="95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102"/>
      <c r="U112" s="82"/>
    </row>
    <row r="113" spans="1:21" x14ac:dyDescent="0.25">
      <c r="A113" s="82"/>
      <c r="B113" s="82"/>
      <c r="C113" s="103"/>
      <c r="D113" s="103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</row>
    <row r="115" spans="1:21" x14ac:dyDescent="0.25">
      <c r="D115" s="131">
        <f>+D103+D94+D85+D76+D67+D58</f>
        <v>1</v>
      </c>
      <c r="E115" t="s">
        <v>463</v>
      </c>
      <c r="T115" s="105">
        <f>+T59+T68+T77+T86+T95+T104</f>
        <v>11724162.648461541</v>
      </c>
    </row>
    <row r="116" spans="1:21" x14ac:dyDescent="0.25">
      <c r="E116" t="s">
        <v>464</v>
      </c>
      <c r="T116" s="105">
        <f>+T62+T71+T80+T89+T98+T107</f>
        <v>0</v>
      </c>
    </row>
    <row r="117" spans="1:21" x14ac:dyDescent="0.25">
      <c r="E117" t="s">
        <v>465</v>
      </c>
      <c r="T117" s="105">
        <f>+T65+T74+T83+T92+T101+T110</f>
        <v>-711183.08971011429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7"/>
  <sheetViews>
    <sheetView topLeftCell="H33" zoomScale="80" zoomScaleNormal="80" workbookViewId="0">
      <selection activeCell="L39" sqref="L39"/>
    </sheetView>
  </sheetViews>
  <sheetFormatPr defaultRowHeight="15" x14ac:dyDescent="0.25"/>
  <cols>
    <col min="1" max="1" width="3" customWidth="1"/>
    <col min="2" max="2" width="16.42578125" customWidth="1"/>
    <col min="3" max="3" width="47.42578125" bestFit="1" customWidth="1"/>
    <col min="4" max="4" width="15.85546875" style="13" customWidth="1"/>
    <col min="5" max="5" width="17.85546875" customWidth="1"/>
    <col min="6" max="6" width="4.42578125" customWidth="1"/>
    <col min="7" max="7" width="13" customWidth="1"/>
    <col min="8" max="8" width="12.140625" customWidth="1"/>
    <col min="9" max="9" width="12.7109375" customWidth="1"/>
    <col min="10" max="10" width="13.42578125" customWidth="1"/>
    <col min="11" max="11" width="11.28515625" customWidth="1"/>
    <col min="12" max="12" width="12.28515625" customWidth="1"/>
    <col min="13" max="13" width="13.7109375" customWidth="1"/>
    <col min="14" max="14" width="13.5703125" customWidth="1"/>
    <col min="15" max="15" width="11.42578125" customWidth="1"/>
    <col min="16" max="16" width="13.5703125" customWidth="1"/>
    <col min="17" max="17" width="12.7109375" customWidth="1"/>
    <col min="18" max="18" width="12.85546875" customWidth="1"/>
    <col min="19" max="19" width="14.140625" customWidth="1"/>
    <col min="20" max="20" width="11.85546875" customWidth="1"/>
    <col min="21" max="21" width="3.28515625" customWidth="1"/>
    <col min="24" max="24" width="17" bestFit="1" customWidth="1"/>
  </cols>
  <sheetData>
    <row r="1" spans="1:26" x14ac:dyDescent="0.25">
      <c r="A1" t="s">
        <v>373</v>
      </c>
    </row>
    <row r="2" spans="1:26" x14ac:dyDescent="0.25">
      <c r="A2" t="s">
        <v>374</v>
      </c>
    </row>
    <row r="5" spans="1:26" x14ac:dyDescent="0.25">
      <c r="B5" t="s">
        <v>375</v>
      </c>
      <c r="C5" t="s">
        <v>376</v>
      </c>
      <c r="D5" s="13" t="s">
        <v>377</v>
      </c>
      <c r="E5" t="s">
        <v>378</v>
      </c>
      <c r="G5" s="65">
        <v>44909</v>
      </c>
      <c r="H5" s="65">
        <v>44939</v>
      </c>
      <c r="I5" s="65">
        <v>44969</v>
      </c>
      <c r="J5" s="65">
        <v>44999</v>
      </c>
      <c r="K5" s="65">
        <v>45029</v>
      </c>
      <c r="L5" s="65">
        <v>45059</v>
      </c>
      <c r="M5" s="65">
        <v>45089</v>
      </c>
      <c r="N5" s="65">
        <v>45119</v>
      </c>
      <c r="O5" s="65">
        <v>45149</v>
      </c>
      <c r="P5" s="65">
        <v>45179</v>
      </c>
      <c r="Q5" s="65">
        <v>45209</v>
      </c>
      <c r="R5" s="65">
        <v>45239</v>
      </c>
      <c r="S5" s="65">
        <v>45269</v>
      </c>
      <c r="T5" s="66" t="s">
        <v>379</v>
      </c>
    </row>
    <row r="6" spans="1:26" x14ac:dyDescent="0.25">
      <c r="C6" s="67" t="s">
        <v>380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6"/>
    </row>
    <row r="7" spans="1:26" x14ac:dyDescent="0.25"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6"/>
    </row>
    <row r="8" spans="1:26" x14ac:dyDescent="0.25">
      <c r="B8" t="s">
        <v>381</v>
      </c>
      <c r="C8" t="s">
        <v>382</v>
      </c>
      <c r="D8" s="13" t="s">
        <v>71</v>
      </c>
      <c r="E8" t="s">
        <v>383</v>
      </c>
      <c r="G8" s="68">
        <f>'[1]FC with allocations'!C35</f>
        <v>0</v>
      </c>
      <c r="H8" s="68">
        <f>'[1]FC with allocations'!D35</f>
        <v>0</v>
      </c>
      <c r="I8" s="68">
        <f>'[1]FC with allocations'!E35</f>
        <v>0</v>
      </c>
      <c r="J8" s="68">
        <f>'[1]FC with allocations'!F35</f>
        <v>0</v>
      </c>
      <c r="K8" s="68">
        <f>'[1]FC with allocations'!G35</f>
        <v>3418</v>
      </c>
      <c r="L8" s="68">
        <f>'[1]FC with allocations'!H35</f>
        <v>3418</v>
      </c>
      <c r="M8" s="68">
        <f>'[1]FC with allocations'!I35</f>
        <v>0</v>
      </c>
      <c r="N8" s="68">
        <f>'[1]FC with allocations'!J35</f>
        <v>0</v>
      </c>
      <c r="O8" s="68">
        <f>'[1]FC with allocations'!K35</f>
        <v>0</v>
      </c>
      <c r="P8" s="68">
        <f>'[1]FC with allocations'!L35</f>
        <v>1364</v>
      </c>
      <c r="Q8" s="68">
        <f>'[1]FC with allocations'!M35</f>
        <v>0</v>
      </c>
      <c r="R8" s="68">
        <f>'[1]FC with allocations'!N35</f>
        <v>0</v>
      </c>
      <c r="S8" s="68">
        <f>'[1]FC with allocations'!O35</f>
        <v>0</v>
      </c>
      <c r="T8" s="68">
        <f>SUM(G8:S8)/13</f>
        <v>630.76923076923072</v>
      </c>
      <c r="U8" s="68"/>
      <c r="V8" s="68"/>
      <c r="W8" s="68"/>
      <c r="X8" s="68"/>
      <c r="Y8" s="68"/>
      <c r="Z8" s="68"/>
    </row>
    <row r="9" spans="1:26" x14ac:dyDescent="0.25">
      <c r="C9" s="69"/>
      <c r="D9" s="70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spans="1:26" x14ac:dyDescent="0.25">
      <c r="G10" s="71">
        <f t="shared" ref="G10:T10" si="0">SUM(G8:G9)</f>
        <v>0</v>
      </c>
      <c r="H10" s="71">
        <f t="shared" si="0"/>
        <v>0</v>
      </c>
      <c r="I10" s="71">
        <f t="shared" si="0"/>
        <v>0</v>
      </c>
      <c r="J10" s="71">
        <f t="shared" si="0"/>
        <v>0</v>
      </c>
      <c r="K10" s="71">
        <f t="shared" si="0"/>
        <v>3418</v>
      </c>
      <c r="L10" s="71">
        <f t="shared" si="0"/>
        <v>3418</v>
      </c>
      <c r="M10" s="71">
        <f t="shared" si="0"/>
        <v>0</v>
      </c>
      <c r="N10" s="71">
        <f t="shared" si="0"/>
        <v>0</v>
      </c>
      <c r="O10" s="71">
        <f t="shared" si="0"/>
        <v>0</v>
      </c>
      <c r="P10" s="71">
        <f t="shared" si="0"/>
        <v>1364</v>
      </c>
      <c r="Q10" s="72">
        <f t="shared" si="0"/>
        <v>0</v>
      </c>
      <c r="R10" s="72">
        <f t="shared" si="0"/>
        <v>0</v>
      </c>
      <c r="S10" s="72">
        <f t="shared" si="0"/>
        <v>0</v>
      </c>
      <c r="T10" s="72">
        <f t="shared" si="0"/>
        <v>630.76923076923072</v>
      </c>
      <c r="U10" s="68"/>
      <c r="V10" s="68"/>
      <c r="W10" s="68"/>
      <c r="X10" s="68"/>
      <c r="Y10" s="68"/>
      <c r="Z10" s="68"/>
    </row>
    <row r="11" spans="1:26" x14ac:dyDescent="0.25"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73"/>
      <c r="R11" s="73"/>
      <c r="S11" s="73"/>
      <c r="T11" s="73"/>
      <c r="U11" s="68"/>
      <c r="V11" s="68"/>
      <c r="W11" s="68"/>
      <c r="X11" s="68"/>
      <c r="Y11" s="68"/>
      <c r="Z11" s="68"/>
    </row>
    <row r="12" spans="1:26" x14ac:dyDescent="0.25"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3"/>
      <c r="R12" s="73"/>
      <c r="S12" s="73"/>
      <c r="T12" s="73"/>
      <c r="U12" s="68"/>
      <c r="V12" s="68"/>
      <c r="W12" s="68"/>
      <c r="X12" s="68"/>
      <c r="Y12" s="68"/>
      <c r="Z12" s="68"/>
    </row>
    <row r="13" spans="1:26" x14ac:dyDescent="0.25">
      <c r="C13" s="67" t="s">
        <v>384</v>
      </c>
      <c r="D13" s="13">
        <v>10101010</v>
      </c>
      <c r="E13" t="s">
        <v>385</v>
      </c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73">
        <f t="shared" ref="T13:T25" si="1">SUM(G13:S13)/13</f>
        <v>0</v>
      </c>
      <c r="U13" s="68"/>
      <c r="V13" s="68"/>
      <c r="W13" s="68"/>
      <c r="X13" s="68"/>
      <c r="Y13" s="68"/>
      <c r="Z13" s="68"/>
    </row>
    <row r="14" spans="1:26" x14ac:dyDescent="0.25">
      <c r="C14" t="s">
        <v>386</v>
      </c>
      <c r="D14" s="13" t="s">
        <v>44</v>
      </c>
      <c r="E14" t="s">
        <v>385</v>
      </c>
      <c r="G14" s="68">
        <f>'FC Common pl 22'!S14</f>
        <v>596857.97</v>
      </c>
      <c r="H14" s="68">
        <f>G14</f>
        <v>596857.97</v>
      </c>
      <c r="I14" s="68">
        <f t="shared" ref="I14:S14" si="2">H14</f>
        <v>596857.97</v>
      </c>
      <c r="J14" s="68">
        <f t="shared" si="2"/>
        <v>596857.97</v>
      </c>
      <c r="K14" s="68">
        <f t="shared" si="2"/>
        <v>596857.97</v>
      </c>
      <c r="L14" s="68">
        <f t="shared" si="2"/>
        <v>596857.97</v>
      </c>
      <c r="M14" s="68">
        <f t="shared" si="2"/>
        <v>596857.97</v>
      </c>
      <c r="N14" s="68">
        <f t="shared" si="2"/>
        <v>596857.97</v>
      </c>
      <c r="O14" s="68">
        <f t="shared" si="2"/>
        <v>596857.97</v>
      </c>
      <c r="P14" s="68">
        <f t="shared" si="2"/>
        <v>596857.97</v>
      </c>
      <c r="Q14" s="68">
        <f t="shared" si="2"/>
        <v>596857.97</v>
      </c>
      <c r="R14" s="68">
        <f t="shared" si="2"/>
        <v>596857.97</v>
      </c>
      <c r="S14" s="68">
        <f t="shared" si="2"/>
        <v>596857.97</v>
      </c>
      <c r="T14" s="73">
        <f t="shared" si="1"/>
        <v>596857.96999999986</v>
      </c>
      <c r="U14" s="68"/>
      <c r="V14" s="68"/>
      <c r="W14" s="68"/>
      <c r="X14" s="68"/>
      <c r="Y14" s="68"/>
      <c r="Z14" s="68"/>
    </row>
    <row r="15" spans="1:26" x14ac:dyDescent="0.25">
      <c r="C15" t="s">
        <v>387</v>
      </c>
      <c r="D15" s="13" t="s">
        <v>46</v>
      </c>
      <c r="E15" t="s">
        <v>385</v>
      </c>
      <c r="G15" s="68">
        <f>'FC Common pl 22'!S15</f>
        <v>7710124.8900000006</v>
      </c>
      <c r="H15" s="68">
        <f t="shared" ref="H15:S23" si="3">G15</f>
        <v>7710124.8900000006</v>
      </c>
      <c r="I15" s="68">
        <f t="shared" si="3"/>
        <v>7710124.8900000006</v>
      </c>
      <c r="J15" s="68">
        <f t="shared" si="3"/>
        <v>7710124.8900000006</v>
      </c>
      <c r="K15" s="68">
        <f t="shared" si="3"/>
        <v>7710124.8900000006</v>
      </c>
      <c r="L15" s="68">
        <f t="shared" si="3"/>
        <v>7710124.8900000006</v>
      </c>
      <c r="M15" s="68">
        <f t="shared" si="3"/>
        <v>7710124.8900000006</v>
      </c>
      <c r="N15" s="68">
        <f t="shared" si="3"/>
        <v>7710124.8900000006</v>
      </c>
      <c r="O15" s="68">
        <f t="shared" si="3"/>
        <v>7710124.8900000006</v>
      </c>
      <c r="P15" s="68">
        <f t="shared" si="3"/>
        <v>7710124.8900000006</v>
      </c>
      <c r="Q15" s="68">
        <f t="shared" si="3"/>
        <v>7710124.8900000006</v>
      </c>
      <c r="R15" s="68">
        <f t="shared" si="3"/>
        <v>7710124.8900000006</v>
      </c>
      <c r="S15" s="68">
        <f t="shared" si="3"/>
        <v>7710124.8900000006</v>
      </c>
      <c r="T15" s="73">
        <f t="shared" si="1"/>
        <v>7710124.8900000006</v>
      </c>
      <c r="U15" s="68"/>
      <c r="V15" s="68"/>
      <c r="W15" s="68"/>
      <c r="X15" s="68"/>
      <c r="Y15" s="68"/>
      <c r="Z15" s="68"/>
    </row>
    <row r="16" spans="1:26" x14ac:dyDescent="0.25">
      <c r="C16" t="s">
        <v>388</v>
      </c>
      <c r="D16" s="13" t="s">
        <v>48</v>
      </c>
      <c r="E16" t="s">
        <v>385</v>
      </c>
      <c r="G16" s="68">
        <f>'FC Common pl 22'!S16</f>
        <v>548554.52</v>
      </c>
      <c r="H16" s="68">
        <f t="shared" si="3"/>
        <v>548554.52</v>
      </c>
      <c r="I16" s="68">
        <f t="shared" si="3"/>
        <v>548554.52</v>
      </c>
      <c r="J16" s="68">
        <f t="shared" si="3"/>
        <v>548554.52</v>
      </c>
      <c r="K16" s="68">
        <f t="shared" si="3"/>
        <v>548554.52</v>
      </c>
      <c r="L16" s="68">
        <f t="shared" si="3"/>
        <v>548554.52</v>
      </c>
      <c r="M16" s="68">
        <f t="shared" si="3"/>
        <v>548554.52</v>
      </c>
      <c r="N16" s="68">
        <f t="shared" si="3"/>
        <v>548554.52</v>
      </c>
      <c r="O16" s="68">
        <f t="shared" si="3"/>
        <v>548554.52</v>
      </c>
      <c r="P16" s="68">
        <f t="shared" si="3"/>
        <v>548554.52</v>
      </c>
      <c r="Q16" s="68">
        <f t="shared" si="3"/>
        <v>548554.52</v>
      </c>
      <c r="R16" s="68">
        <f t="shared" si="3"/>
        <v>548554.52</v>
      </c>
      <c r="S16" s="68">
        <f t="shared" si="3"/>
        <v>548554.52</v>
      </c>
      <c r="T16" s="73">
        <f t="shared" si="1"/>
        <v>548554.51999999979</v>
      </c>
      <c r="U16" s="68"/>
      <c r="V16" s="68"/>
      <c r="W16" s="68"/>
      <c r="X16" s="68"/>
      <c r="Y16" s="68"/>
      <c r="Z16" s="68"/>
    </row>
    <row r="17" spans="2:26" x14ac:dyDescent="0.25">
      <c r="C17" t="s">
        <v>382</v>
      </c>
      <c r="D17" s="13">
        <v>10103912</v>
      </c>
      <c r="E17" t="s">
        <v>385</v>
      </c>
      <c r="G17" s="68">
        <f>'FC Common pl 22'!S17</f>
        <v>41832.54</v>
      </c>
      <c r="H17" s="68">
        <f t="shared" si="3"/>
        <v>41832.54</v>
      </c>
      <c r="I17" s="68">
        <f t="shared" si="3"/>
        <v>41832.54</v>
      </c>
      <c r="J17" s="68">
        <f t="shared" si="3"/>
        <v>41832.54</v>
      </c>
      <c r="K17" s="68">
        <f t="shared" si="3"/>
        <v>41832.54</v>
      </c>
      <c r="L17" s="68">
        <f t="shared" si="3"/>
        <v>41832.54</v>
      </c>
      <c r="M17" s="68">
        <f t="shared" si="3"/>
        <v>41832.54</v>
      </c>
      <c r="N17" s="68">
        <f t="shared" si="3"/>
        <v>41832.54</v>
      </c>
      <c r="O17" s="68">
        <f t="shared" si="3"/>
        <v>41832.54</v>
      </c>
      <c r="P17" s="68">
        <f t="shared" si="3"/>
        <v>41832.54</v>
      </c>
      <c r="Q17" s="68">
        <f t="shared" si="3"/>
        <v>41832.54</v>
      </c>
      <c r="R17" s="68">
        <f t="shared" si="3"/>
        <v>41832.54</v>
      </c>
      <c r="S17" s="68">
        <f t="shared" si="3"/>
        <v>41832.54</v>
      </c>
      <c r="T17" s="73">
        <f t="shared" si="1"/>
        <v>41832.539999999994</v>
      </c>
      <c r="U17" s="68"/>
      <c r="V17" s="68"/>
      <c r="W17" s="68"/>
      <c r="X17" s="68"/>
      <c r="Y17" s="68"/>
      <c r="Z17" s="68"/>
    </row>
    <row r="18" spans="2:26" x14ac:dyDescent="0.25">
      <c r="C18" t="s">
        <v>389</v>
      </c>
      <c r="D18" s="13" t="s">
        <v>52</v>
      </c>
      <c r="E18" t="s">
        <v>385</v>
      </c>
      <c r="G18" s="68">
        <f>'FC Common pl 22'!S18</f>
        <v>110141.66000000003</v>
      </c>
      <c r="H18" s="68">
        <f t="shared" si="3"/>
        <v>110141.66000000003</v>
      </c>
      <c r="I18" s="68">
        <f t="shared" si="3"/>
        <v>110141.66000000003</v>
      </c>
      <c r="J18" s="68">
        <f t="shared" si="3"/>
        <v>110141.66000000003</v>
      </c>
      <c r="K18" s="68">
        <f t="shared" si="3"/>
        <v>110141.66000000003</v>
      </c>
      <c r="L18" s="68">
        <f t="shared" si="3"/>
        <v>110141.66000000003</v>
      </c>
      <c r="M18" s="68">
        <f t="shared" si="3"/>
        <v>110141.66000000003</v>
      </c>
      <c r="N18" s="68">
        <f t="shared" si="3"/>
        <v>110141.66000000003</v>
      </c>
      <c r="O18" s="68">
        <f t="shared" si="3"/>
        <v>110141.66000000003</v>
      </c>
      <c r="P18" s="68">
        <f t="shared" si="3"/>
        <v>110141.66000000003</v>
      </c>
      <c r="Q18" s="68">
        <f t="shared" si="3"/>
        <v>110141.66000000003</v>
      </c>
      <c r="R18" s="68">
        <f t="shared" si="3"/>
        <v>110141.66000000003</v>
      </c>
      <c r="S18" s="68">
        <f t="shared" si="3"/>
        <v>110141.66000000003</v>
      </c>
      <c r="T18" s="73">
        <f t="shared" si="1"/>
        <v>110141.66000000005</v>
      </c>
      <c r="U18" s="68"/>
      <c r="V18" s="68"/>
      <c r="W18" s="68"/>
      <c r="X18" s="68"/>
      <c r="Y18" s="68"/>
      <c r="Z18" s="68"/>
    </row>
    <row r="19" spans="2:26" x14ac:dyDescent="0.25">
      <c r="C19" t="s">
        <v>390</v>
      </c>
      <c r="D19" s="13" t="s">
        <v>54</v>
      </c>
      <c r="E19" t="s">
        <v>385</v>
      </c>
      <c r="G19" s="68">
        <f>'FC Common pl 22'!S19</f>
        <v>936225.38</v>
      </c>
      <c r="H19" s="68">
        <f t="shared" si="3"/>
        <v>936225.38</v>
      </c>
      <c r="I19" s="68">
        <f t="shared" si="3"/>
        <v>936225.38</v>
      </c>
      <c r="J19" s="68">
        <f t="shared" si="3"/>
        <v>936225.38</v>
      </c>
      <c r="K19" s="68">
        <f t="shared" si="3"/>
        <v>936225.38</v>
      </c>
      <c r="L19" s="68">
        <f t="shared" si="3"/>
        <v>936225.38</v>
      </c>
      <c r="M19" s="68">
        <f t="shared" si="3"/>
        <v>936225.38</v>
      </c>
      <c r="N19" s="68">
        <f t="shared" si="3"/>
        <v>936225.38</v>
      </c>
      <c r="O19" s="68">
        <f t="shared" si="3"/>
        <v>936225.38</v>
      </c>
      <c r="P19" s="68">
        <f t="shared" si="3"/>
        <v>936225.38</v>
      </c>
      <c r="Q19" s="68">
        <f t="shared" si="3"/>
        <v>936225.38</v>
      </c>
      <c r="R19" s="68">
        <f t="shared" si="3"/>
        <v>936225.38</v>
      </c>
      <c r="S19" s="68">
        <f t="shared" si="3"/>
        <v>936225.38</v>
      </c>
      <c r="T19" s="73">
        <f t="shared" si="1"/>
        <v>936225.38000000024</v>
      </c>
      <c r="U19" s="68"/>
      <c r="V19" s="68"/>
      <c r="W19" s="68"/>
      <c r="X19" s="68"/>
      <c r="Y19" s="68"/>
      <c r="Z19" s="68"/>
    </row>
    <row r="20" spans="2:26" x14ac:dyDescent="0.25">
      <c r="C20" t="s">
        <v>391</v>
      </c>
      <c r="D20" s="13" t="s">
        <v>56</v>
      </c>
      <c r="E20" t="s">
        <v>385</v>
      </c>
      <c r="G20" s="68">
        <f>'FC Common pl 22'!S20</f>
        <v>258116.52000000002</v>
      </c>
      <c r="H20" s="68">
        <f t="shared" si="3"/>
        <v>258116.52000000002</v>
      </c>
      <c r="I20" s="68">
        <f t="shared" si="3"/>
        <v>258116.52000000002</v>
      </c>
      <c r="J20" s="68">
        <f t="shared" si="3"/>
        <v>258116.52000000002</v>
      </c>
      <c r="K20" s="68">
        <f t="shared" si="3"/>
        <v>258116.52000000002</v>
      </c>
      <c r="L20" s="68">
        <f t="shared" si="3"/>
        <v>258116.52000000002</v>
      </c>
      <c r="M20" s="68">
        <f t="shared" si="3"/>
        <v>258116.52000000002</v>
      </c>
      <c r="N20" s="68">
        <f t="shared" si="3"/>
        <v>258116.52000000002</v>
      </c>
      <c r="O20" s="68">
        <f t="shared" si="3"/>
        <v>258116.52000000002</v>
      </c>
      <c r="P20" s="68">
        <f t="shared" si="3"/>
        <v>258116.52000000002</v>
      </c>
      <c r="Q20" s="68">
        <f t="shared" si="3"/>
        <v>258116.52000000002</v>
      </c>
      <c r="R20" s="68">
        <f t="shared" si="3"/>
        <v>258116.52000000002</v>
      </c>
      <c r="S20" s="68">
        <f t="shared" si="3"/>
        <v>258116.52000000002</v>
      </c>
      <c r="T20" s="73">
        <f t="shared" si="1"/>
        <v>258116.52000000002</v>
      </c>
      <c r="U20" s="68"/>
      <c r="V20" s="68"/>
      <c r="W20" s="68"/>
      <c r="X20" s="68"/>
      <c r="Y20" s="68"/>
      <c r="Z20" s="68"/>
    </row>
    <row r="21" spans="2:26" x14ac:dyDescent="0.25">
      <c r="C21" t="s">
        <v>392</v>
      </c>
      <c r="D21" s="13" t="s">
        <v>58</v>
      </c>
      <c r="E21" t="s">
        <v>385</v>
      </c>
      <c r="G21" s="68">
        <f>'FC Common pl 22'!S21</f>
        <v>763765.58</v>
      </c>
      <c r="H21" s="68">
        <f t="shared" si="3"/>
        <v>763765.58</v>
      </c>
      <c r="I21" s="68">
        <f t="shared" si="3"/>
        <v>763765.58</v>
      </c>
      <c r="J21" s="68">
        <f t="shared" si="3"/>
        <v>763765.58</v>
      </c>
      <c r="K21" s="68">
        <f t="shared" si="3"/>
        <v>763765.58</v>
      </c>
      <c r="L21" s="68">
        <f t="shared" si="3"/>
        <v>763765.58</v>
      </c>
      <c r="M21" s="68">
        <f t="shared" si="3"/>
        <v>763765.58</v>
      </c>
      <c r="N21" s="68">
        <f t="shared" si="3"/>
        <v>763765.58</v>
      </c>
      <c r="O21" s="68">
        <f t="shared" si="3"/>
        <v>763765.58</v>
      </c>
      <c r="P21" s="68">
        <f t="shared" si="3"/>
        <v>763765.58</v>
      </c>
      <c r="Q21" s="68">
        <f t="shared" si="3"/>
        <v>763765.58</v>
      </c>
      <c r="R21" s="68">
        <f t="shared" si="3"/>
        <v>763765.58</v>
      </c>
      <c r="S21" s="68">
        <f t="shared" si="3"/>
        <v>763765.58</v>
      </c>
      <c r="T21" s="73">
        <f t="shared" si="1"/>
        <v>763765.58</v>
      </c>
      <c r="U21" s="68"/>
      <c r="V21" s="68"/>
      <c r="W21" s="68"/>
      <c r="X21" s="68"/>
      <c r="Y21" s="68"/>
      <c r="Z21" s="68"/>
    </row>
    <row r="22" spans="2:26" x14ac:dyDescent="0.25">
      <c r="C22" t="s">
        <v>59</v>
      </c>
      <c r="D22" s="13" t="s">
        <v>60</v>
      </c>
      <c r="E22" t="s">
        <v>385</v>
      </c>
      <c r="G22" s="68">
        <f>'FC Common pl 22'!S22</f>
        <v>640740.72</v>
      </c>
      <c r="H22" s="68">
        <f t="shared" si="3"/>
        <v>640740.72</v>
      </c>
      <c r="I22" s="68">
        <f t="shared" si="3"/>
        <v>640740.72</v>
      </c>
      <c r="J22" s="68">
        <f t="shared" si="3"/>
        <v>640740.72</v>
      </c>
      <c r="K22" s="68">
        <f t="shared" si="3"/>
        <v>640740.72</v>
      </c>
      <c r="L22" s="68">
        <f t="shared" si="3"/>
        <v>640740.72</v>
      </c>
      <c r="M22" s="68">
        <f t="shared" si="3"/>
        <v>640740.72</v>
      </c>
      <c r="N22" s="68">
        <f t="shared" si="3"/>
        <v>640740.72</v>
      </c>
      <c r="O22" s="68">
        <f t="shared" si="3"/>
        <v>640740.72</v>
      </c>
      <c r="P22" s="68">
        <f t="shared" si="3"/>
        <v>640740.72</v>
      </c>
      <c r="Q22" s="68">
        <f t="shared" si="3"/>
        <v>640740.72</v>
      </c>
      <c r="R22" s="68">
        <f t="shared" si="3"/>
        <v>640740.72</v>
      </c>
      <c r="S22" s="68">
        <f t="shared" si="3"/>
        <v>640740.72</v>
      </c>
      <c r="T22" s="73">
        <f t="shared" si="1"/>
        <v>640740.71999999986</v>
      </c>
      <c r="U22" s="68"/>
      <c r="V22" s="68"/>
      <c r="W22" s="68"/>
      <c r="X22" s="68"/>
      <c r="Y22" s="68"/>
      <c r="Z22" s="68"/>
    </row>
    <row r="23" spans="2:26" x14ac:dyDescent="0.25">
      <c r="C23" t="s">
        <v>61</v>
      </c>
      <c r="D23" s="13" t="s">
        <v>62</v>
      </c>
      <c r="E23" t="s">
        <v>385</v>
      </c>
      <c r="G23" s="68">
        <f>'FC Common pl 22'!S23</f>
        <v>32922.449999999997</v>
      </c>
      <c r="H23" s="68">
        <f t="shared" si="3"/>
        <v>32922.449999999997</v>
      </c>
      <c r="I23" s="68">
        <f t="shared" si="3"/>
        <v>32922.449999999997</v>
      </c>
      <c r="J23" s="68">
        <f t="shared" si="3"/>
        <v>32922.449999999997</v>
      </c>
      <c r="K23" s="68">
        <f t="shared" si="3"/>
        <v>32922.449999999997</v>
      </c>
      <c r="L23" s="68">
        <f t="shared" si="3"/>
        <v>32922.449999999997</v>
      </c>
      <c r="M23" s="68">
        <f t="shared" si="3"/>
        <v>32922.449999999997</v>
      </c>
      <c r="N23" s="68">
        <f t="shared" si="3"/>
        <v>32922.449999999997</v>
      </c>
      <c r="O23" s="68">
        <f t="shared" si="3"/>
        <v>32922.449999999997</v>
      </c>
      <c r="P23" s="68">
        <f t="shared" si="3"/>
        <v>32922.449999999997</v>
      </c>
      <c r="Q23" s="68">
        <f t="shared" si="3"/>
        <v>32922.449999999997</v>
      </c>
      <c r="R23" s="68">
        <f t="shared" si="3"/>
        <v>32922.449999999997</v>
      </c>
      <c r="S23" s="68">
        <f t="shared" si="3"/>
        <v>32922.449999999997</v>
      </c>
      <c r="T23" s="73">
        <f t="shared" si="1"/>
        <v>32922.450000000004</v>
      </c>
      <c r="U23" s="68"/>
      <c r="V23" s="68"/>
      <c r="W23" s="68"/>
      <c r="X23" s="68"/>
      <c r="Y23" s="68"/>
      <c r="Z23" s="68"/>
    </row>
    <row r="24" spans="2:26" x14ac:dyDescent="0.25">
      <c r="C24" t="s">
        <v>393</v>
      </c>
      <c r="D24" s="13" t="s">
        <v>64</v>
      </c>
      <c r="E24" t="s">
        <v>385</v>
      </c>
      <c r="G24" s="68">
        <f>'FC Common pl 22'!S24</f>
        <v>0</v>
      </c>
      <c r="H24" s="68"/>
      <c r="I24" s="68"/>
      <c r="J24" s="68"/>
      <c r="K24" s="68"/>
      <c r="L24" s="68">
        <f>'[1]FC with allocations'!H27</f>
        <v>0</v>
      </c>
      <c r="M24" s="68">
        <f>'[1]FC with allocations'!I27</f>
        <v>0</v>
      </c>
      <c r="N24" s="68">
        <f>'[1]FC with allocations'!J27</f>
        <v>0</v>
      </c>
      <c r="O24" s="68">
        <f>'[1]FC with allocations'!K27</f>
        <v>0</v>
      </c>
      <c r="P24" s="68">
        <f>'[1]FC with allocations'!L27</f>
        <v>0</v>
      </c>
      <c r="Q24" s="68">
        <f>'[1]FC with allocations'!M27</f>
        <v>0</v>
      </c>
      <c r="R24" s="68">
        <f>'[1]FC with allocations'!N27</f>
        <v>0</v>
      </c>
      <c r="S24" s="68">
        <f>'[1]FC with allocations'!O27</f>
        <v>0</v>
      </c>
      <c r="T24" s="74">
        <f t="shared" si="1"/>
        <v>0</v>
      </c>
      <c r="U24" s="68"/>
      <c r="V24" s="68"/>
      <c r="W24" s="68"/>
      <c r="X24" s="68"/>
      <c r="Y24" s="68"/>
      <c r="Z24" s="68"/>
    </row>
    <row r="25" spans="2:26" x14ac:dyDescent="0.25">
      <c r="C25" t="s">
        <v>394</v>
      </c>
      <c r="D25" s="13" t="s">
        <v>395</v>
      </c>
      <c r="E25" t="s">
        <v>385</v>
      </c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75">
        <f t="shared" si="1"/>
        <v>0</v>
      </c>
      <c r="U25" s="68"/>
      <c r="V25" s="68"/>
      <c r="W25" s="68"/>
      <c r="X25" s="68"/>
      <c r="Y25" s="68"/>
      <c r="Z25" s="68"/>
    </row>
    <row r="26" spans="2:26" x14ac:dyDescent="0.25">
      <c r="G26" s="76">
        <f t="shared" ref="G26:T26" si="4">SUM(G13:G25)</f>
        <v>11639282.23</v>
      </c>
      <c r="H26" s="76">
        <f t="shared" si="4"/>
        <v>11639282.23</v>
      </c>
      <c r="I26" s="76">
        <f t="shared" si="4"/>
        <v>11639282.23</v>
      </c>
      <c r="J26" s="76">
        <f t="shared" si="4"/>
        <v>11639282.23</v>
      </c>
      <c r="K26" s="76">
        <f t="shared" si="4"/>
        <v>11639282.23</v>
      </c>
      <c r="L26" s="76">
        <f t="shared" si="4"/>
        <v>11639282.23</v>
      </c>
      <c r="M26" s="76">
        <f t="shared" si="4"/>
        <v>11639282.23</v>
      </c>
      <c r="N26" s="76">
        <f t="shared" si="4"/>
        <v>11639282.23</v>
      </c>
      <c r="O26" s="76">
        <f t="shared" si="4"/>
        <v>11639282.23</v>
      </c>
      <c r="P26" s="76">
        <f t="shared" si="4"/>
        <v>11639282.23</v>
      </c>
      <c r="Q26" s="76">
        <f t="shared" si="4"/>
        <v>11639282.23</v>
      </c>
      <c r="R26" s="76">
        <f t="shared" si="4"/>
        <v>11639282.23</v>
      </c>
      <c r="S26" s="76">
        <f t="shared" si="4"/>
        <v>11639282.23</v>
      </c>
      <c r="T26" s="76">
        <f t="shared" si="4"/>
        <v>11639282.23</v>
      </c>
      <c r="U26" s="68"/>
      <c r="V26" s="68"/>
      <c r="W26" s="68"/>
      <c r="X26" s="68"/>
      <c r="Y26" s="68"/>
      <c r="Z26" s="68"/>
    </row>
    <row r="27" spans="2:26" x14ac:dyDescent="0.25"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2:26" x14ac:dyDescent="0.25"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73"/>
      <c r="R28" s="73"/>
      <c r="S28" s="73"/>
      <c r="T28" s="73"/>
      <c r="U28" s="68"/>
      <c r="V28" s="68"/>
      <c r="W28" s="68"/>
      <c r="X28" s="68"/>
      <c r="Y28" s="68"/>
      <c r="Z28" s="68"/>
    </row>
    <row r="29" spans="2:26" x14ac:dyDescent="0.25">
      <c r="G29" s="77">
        <f>'[1]FC with allocations'!C30+'[1]FC with allocations'!C35</f>
        <v>12225295</v>
      </c>
      <c r="H29" s="77">
        <f>'[1]FC with allocations'!D30+'[1]FC with allocations'!D35</f>
        <v>12235232</v>
      </c>
      <c r="I29" s="77">
        <f>'[1]FC with allocations'!E30+'[1]FC with allocations'!E35</f>
        <v>12243461</v>
      </c>
      <c r="J29" s="77">
        <f>'[1]FC with allocations'!F30+'[1]FC with allocations'!F35</f>
        <v>12244863</v>
      </c>
      <c r="K29" s="77">
        <f>'[1]FC with allocations'!G30+'[1]FC with allocations'!G35</f>
        <v>12193930</v>
      </c>
      <c r="L29" s="77">
        <f>'[1]FC with allocations'!H30+'[1]FC with allocations'!H35</f>
        <v>12195515</v>
      </c>
      <c r="M29" s="77">
        <f>'[1]FC with allocations'!I30+'[1]FC with allocations'!I35</f>
        <v>12201736</v>
      </c>
      <c r="N29" s="77">
        <f>'[1]FC with allocations'!J30+'[1]FC with allocations'!J35</f>
        <v>12217504</v>
      </c>
      <c r="O29" s="77">
        <f>'[1]FC with allocations'!K30+'[1]FC with allocations'!K35</f>
        <v>12226929</v>
      </c>
      <c r="P29" s="77">
        <f>'[1]FC with allocations'!L30+'[1]FC with allocations'!L35</f>
        <v>12196118</v>
      </c>
      <c r="Q29" s="77">
        <f>'[1]FC with allocations'!M30+'[1]FC with allocations'!M35</f>
        <v>12204811</v>
      </c>
      <c r="R29" s="77">
        <f>'[1]FC with allocations'!N30+'[1]FC with allocations'!N35</f>
        <v>12209309</v>
      </c>
      <c r="S29" s="77">
        <f>'[1]FC with allocations'!O30+'[1]FC with allocations'!O35</f>
        <v>12191005</v>
      </c>
      <c r="T29" s="75">
        <f>SUM(G29:S29)/13</f>
        <v>12214285.23076923</v>
      </c>
      <c r="U29" s="68"/>
      <c r="V29" s="68"/>
      <c r="W29" s="68"/>
      <c r="X29" s="68"/>
      <c r="Y29" s="68"/>
      <c r="Z29" s="68"/>
    </row>
    <row r="30" spans="2:26" x14ac:dyDescent="0.25">
      <c r="G30" s="68">
        <f>G29-G26-G10</f>
        <v>586012.76999999955</v>
      </c>
      <c r="H30" s="68">
        <f t="shared" ref="H30:T30" si="5">H29-H26-H10</f>
        <v>595949.76999999955</v>
      </c>
      <c r="I30" s="68">
        <f t="shared" si="5"/>
        <v>604178.76999999955</v>
      </c>
      <c r="J30" s="68">
        <f t="shared" si="5"/>
        <v>605580.76999999955</v>
      </c>
      <c r="K30" s="68">
        <f t="shared" si="5"/>
        <v>551229.76999999955</v>
      </c>
      <c r="L30" s="68">
        <f t="shared" si="5"/>
        <v>552814.76999999955</v>
      </c>
      <c r="M30" s="68">
        <f t="shared" si="5"/>
        <v>562453.76999999955</v>
      </c>
      <c r="N30" s="68">
        <f t="shared" si="5"/>
        <v>578221.76999999955</v>
      </c>
      <c r="O30" s="68">
        <f t="shared" si="5"/>
        <v>587646.76999999955</v>
      </c>
      <c r="P30" s="68">
        <f t="shared" si="5"/>
        <v>555471.76999999955</v>
      </c>
      <c r="Q30" s="68">
        <f t="shared" si="5"/>
        <v>565528.76999999955</v>
      </c>
      <c r="R30" s="68">
        <f t="shared" si="5"/>
        <v>570026.76999999955</v>
      </c>
      <c r="S30" s="68">
        <f t="shared" si="5"/>
        <v>551722.76999999955</v>
      </c>
      <c r="T30" s="68">
        <f t="shared" si="5"/>
        <v>574372.23153846036</v>
      </c>
      <c r="U30" s="68"/>
      <c r="V30" s="68"/>
      <c r="W30" s="68"/>
      <c r="X30" s="68"/>
      <c r="Y30" s="68"/>
      <c r="Z30" s="68"/>
    </row>
    <row r="31" spans="2:26" x14ac:dyDescent="0.25">
      <c r="B31" t="s">
        <v>396</v>
      </c>
      <c r="C31" s="67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3"/>
      <c r="U31" s="68"/>
      <c r="V31" s="68"/>
      <c r="W31" s="68"/>
      <c r="X31" s="68"/>
      <c r="Y31" s="68"/>
      <c r="Z31" s="68"/>
    </row>
    <row r="32" spans="2:26" x14ac:dyDescent="0.25"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73"/>
      <c r="R32" s="73"/>
      <c r="S32" s="73"/>
      <c r="T32" s="73"/>
      <c r="U32" s="68"/>
      <c r="V32" s="68"/>
      <c r="W32" s="68"/>
      <c r="X32" s="68"/>
      <c r="Y32" s="68"/>
      <c r="Z32" s="68"/>
    </row>
    <row r="33" spans="3:26" x14ac:dyDescent="0.25"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73"/>
      <c r="R33" s="73"/>
      <c r="S33" s="73"/>
      <c r="T33" s="73"/>
      <c r="U33" s="68"/>
      <c r="V33" s="68"/>
      <c r="W33" s="68"/>
      <c r="X33" s="68"/>
      <c r="Y33" s="68"/>
      <c r="Z33" s="68"/>
    </row>
    <row r="34" spans="3:26" x14ac:dyDescent="0.25">
      <c r="C34" s="67" t="s">
        <v>397</v>
      </c>
      <c r="D34" s="13">
        <v>10801080</v>
      </c>
      <c r="E34" t="s">
        <v>398</v>
      </c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73">
        <f t="shared" ref="T34" si="6">SUM(G34:S34)/13</f>
        <v>0</v>
      </c>
      <c r="U34" s="68"/>
      <c r="V34" s="68"/>
      <c r="W34" s="68"/>
      <c r="X34" s="68"/>
      <c r="Y34" s="68"/>
      <c r="Z34" s="68"/>
    </row>
    <row r="35" spans="3:26" x14ac:dyDescent="0.25">
      <c r="C35" t="s">
        <v>399</v>
      </c>
      <c r="D35" s="13" t="s">
        <v>76</v>
      </c>
      <c r="E35" t="s">
        <v>385</v>
      </c>
      <c r="G35" s="68">
        <f>'FC Common pl 22'!S35</f>
        <v>-561422.42926041654</v>
      </c>
      <c r="H35" s="68">
        <f>G35-'FC depreciation adjustment 23'!B4</f>
        <v>-561550.27142100676</v>
      </c>
      <c r="I35" s="68">
        <f>H35-'FC depreciation adjustment 23'!C4</f>
        <v>-561678.11358159699</v>
      </c>
      <c r="J35" s="68">
        <f>I35-'FC depreciation adjustment 23'!D4</f>
        <v>-561805.95574218722</v>
      </c>
      <c r="K35" s="68">
        <f>J35-'FC depreciation adjustment 23'!E4</f>
        <v>-561933.79790277744</v>
      </c>
      <c r="L35" s="68">
        <f>K35-'FC depreciation adjustment 23'!F4</f>
        <v>-562061.64006336767</v>
      </c>
      <c r="M35" s="68">
        <f>L35-'FC depreciation adjustment 23'!G4</f>
        <v>-562189.48222395789</v>
      </c>
      <c r="N35" s="68">
        <f>M35-'FC depreciation adjustment 23'!H4</f>
        <v>-562317.32438454812</v>
      </c>
      <c r="O35" s="68">
        <f>N35-'FC depreciation adjustment 23'!I4</f>
        <v>-562445.16654513835</v>
      </c>
      <c r="P35" s="68">
        <f>O35-'FC depreciation adjustment 23'!J4</f>
        <v>-562573.00870572857</v>
      </c>
      <c r="Q35" s="68">
        <f>P35-'FC depreciation adjustment 23'!K4</f>
        <v>-562700.8508663188</v>
      </c>
      <c r="R35" s="68">
        <f>Q35-'FC depreciation adjustment 23'!L4</f>
        <v>-562828.69302690902</v>
      </c>
      <c r="S35" s="68">
        <f>R35-'FC depreciation adjustment 23'!M4</f>
        <v>-562956.53518749925</v>
      </c>
      <c r="T35" s="73">
        <f t="shared" ref="T35:T44" si="7">SUM(G35:S35)/13</f>
        <v>-562189.48222395789</v>
      </c>
      <c r="U35" s="68"/>
      <c r="V35" s="68"/>
      <c r="W35" s="68"/>
      <c r="X35" s="68"/>
      <c r="Y35" s="68"/>
      <c r="Z35" s="68"/>
    </row>
    <row r="36" spans="3:26" x14ac:dyDescent="0.25">
      <c r="C36" t="s">
        <v>400</v>
      </c>
      <c r="D36" s="13" t="s">
        <v>77</v>
      </c>
      <c r="E36" t="s">
        <v>385</v>
      </c>
      <c r="G36" s="68">
        <f>'FC Common pl 22'!S36</f>
        <v>129088.49333333329</v>
      </c>
      <c r="H36" s="68">
        <f>G36-'FC depreciation adjustment 23'!B5</f>
        <v>126640.12166666662</v>
      </c>
      <c r="I36" s="68">
        <f>H36-'FC depreciation adjustment 23'!C5</f>
        <v>124191.74999999994</v>
      </c>
      <c r="J36" s="68">
        <f>I36-'FC depreciation adjustment 23'!D5</f>
        <v>121743.37833333327</v>
      </c>
      <c r="K36" s="68">
        <f>J36-'FC depreciation adjustment 23'!E5</f>
        <v>119295.0066666666</v>
      </c>
      <c r="L36" s="68">
        <f>K36-'FC depreciation adjustment 23'!F5</f>
        <v>116846.63499999992</v>
      </c>
      <c r="M36" s="68">
        <f>L36-'FC depreciation adjustment 23'!G5</f>
        <v>114398.26333333325</v>
      </c>
      <c r="N36" s="68">
        <f>M36-'FC depreciation adjustment 23'!H5</f>
        <v>111949.89166666658</v>
      </c>
      <c r="O36" s="68">
        <f>N36-'FC depreciation adjustment 23'!I5</f>
        <v>109501.5199999999</v>
      </c>
      <c r="P36" s="68">
        <f>O36-'FC depreciation adjustment 23'!J5</f>
        <v>107053.14833333323</v>
      </c>
      <c r="Q36" s="68">
        <f>P36-'FC depreciation adjustment 23'!K5</f>
        <v>104604.77666666656</v>
      </c>
      <c r="R36" s="68">
        <f>Q36-'FC depreciation adjustment 23'!L5</f>
        <v>102156.40499999988</v>
      </c>
      <c r="S36" s="68">
        <f>R36-'FC depreciation adjustment 23'!M5</f>
        <v>99708.033333333209</v>
      </c>
      <c r="T36" s="73">
        <f t="shared" si="7"/>
        <v>114398.26333333326</v>
      </c>
      <c r="U36" s="68"/>
      <c r="V36" s="68"/>
      <c r="W36" s="68"/>
      <c r="X36" s="68"/>
      <c r="Y36" s="68"/>
      <c r="Z36" s="68"/>
    </row>
    <row r="37" spans="3:26" x14ac:dyDescent="0.25">
      <c r="C37" t="s">
        <v>401</v>
      </c>
      <c r="D37" s="13">
        <v>10803912</v>
      </c>
      <c r="E37" t="s">
        <v>383</v>
      </c>
      <c r="G37" s="68">
        <f>'FC Common pl 22'!S37</f>
        <v>-275760.49999999994</v>
      </c>
      <c r="H37" s="68">
        <f>G37-'FC depreciation adjustment 23'!B6</f>
        <v>-292743.92999999993</v>
      </c>
      <c r="I37" s="68">
        <f>H37-'FC depreciation adjustment 23'!C6</f>
        <v>-309727.35999999993</v>
      </c>
      <c r="J37" s="68">
        <f>I37-'FC depreciation adjustment 23'!D6</f>
        <v>-326710.78999999992</v>
      </c>
      <c r="K37" s="68">
        <f>J37-'FC depreciation adjustment 23'!E6</f>
        <v>-343694.21999999991</v>
      </c>
      <c r="L37" s="68">
        <f>K37-'FC depreciation adjustment 23'!F6</f>
        <v>-360677.64999999991</v>
      </c>
      <c r="M37" s="68">
        <f>L37-'FC depreciation adjustment 23'!G6</f>
        <v>-377661.0799999999</v>
      </c>
      <c r="N37" s="68">
        <f>M37-'FC depreciation adjustment 23'!H6</f>
        <v>-394644.50999999989</v>
      </c>
      <c r="O37" s="68">
        <f>N37-'FC depreciation adjustment 23'!I6</f>
        <v>-411627.93999999989</v>
      </c>
      <c r="P37" s="68">
        <f>O37-'FC depreciation adjustment 23'!J6</f>
        <v>-428611.36999999988</v>
      </c>
      <c r="Q37" s="68">
        <f>P37-'FC depreciation adjustment 23'!K6</f>
        <v>-445594.79999999987</v>
      </c>
      <c r="R37" s="68">
        <f>Q37-'FC depreciation adjustment 23'!L6</f>
        <v>-462578.22999999986</v>
      </c>
      <c r="S37" s="68">
        <f>R37-'FC depreciation adjustment 23'!M6</f>
        <v>-479561.65999999986</v>
      </c>
      <c r="T37" s="73">
        <f t="shared" si="7"/>
        <v>-377661.07999999984</v>
      </c>
      <c r="U37" s="68"/>
      <c r="V37" s="68"/>
      <c r="W37" s="68"/>
      <c r="X37" s="68"/>
      <c r="Y37" s="68"/>
      <c r="Z37" s="68"/>
    </row>
    <row r="38" spans="3:26" x14ac:dyDescent="0.25">
      <c r="C38" t="s">
        <v>402</v>
      </c>
      <c r="D38" s="13">
        <v>10803913</v>
      </c>
      <c r="E38" t="s">
        <v>385</v>
      </c>
      <c r="G38" s="68">
        <f>'FC Common pl 22'!S38</f>
        <v>587813.78333333298</v>
      </c>
      <c r="H38" s="68">
        <f>G38-'FC depreciation adjustment 23'!B7</f>
        <v>590753.62166666635</v>
      </c>
      <c r="I38" s="68">
        <f>H38-'FC depreciation adjustment 23'!C7</f>
        <v>593693.45999999973</v>
      </c>
      <c r="J38" s="68">
        <f>I38-'FC depreciation adjustment 23'!D7</f>
        <v>596633.29833333311</v>
      </c>
      <c r="K38" s="68">
        <f>J38-'FC depreciation adjustment 23'!E7</f>
        <v>599573.13666666648</v>
      </c>
      <c r="L38" s="68">
        <f>K38-'FC depreciation adjustment 23'!F7</f>
        <v>602512.97499999986</v>
      </c>
      <c r="M38" s="68">
        <f>L38-'FC depreciation adjustment 23'!G7</f>
        <v>605452.81333333324</v>
      </c>
      <c r="N38" s="68">
        <f>M38-'FC depreciation adjustment 23'!H7</f>
        <v>608392.65166666661</v>
      </c>
      <c r="O38" s="68">
        <f>N38-'FC depreciation adjustment 23'!I7</f>
        <v>611332.49</v>
      </c>
      <c r="P38" s="68">
        <f>O38-'FC depreciation adjustment 23'!J7</f>
        <v>614272.32833333337</v>
      </c>
      <c r="Q38" s="68">
        <f>P38-'FC depreciation adjustment 23'!K7</f>
        <v>617212.16666666674</v>
      </c>
      <c r="R38" s="68">
        <f>Q38-'FC depreciation adjustment 23'!L7</f>
        <v>620152.00500000012</v>
      </c>
      <c r="S38" s="68">
        <f>R38-'FC depreciation adjustment 23'!M7</f>
        <v>623091.8433333335</v>
      </c>
      <c r="T38" s="73">
        <f t="shared" si="7"/>
        <v>605452.81333333324</v>
      </c>
      <c r="U38" s="68"/>
      <c r="V38" s="68"/>
      <c r="W38" s="68"/>
      <c r="X38" s="68"/>
      <c r="Y38" s="68"/>
      <c r="Z38" s="68"/>
    </row>
    <row r="39" spans="3:26" x14ac:dyDescent="0.25">
      <c r="C39" t="s">
        <v>403</v>
      </c>
      <c r="D39" s="13" t="s">
        <v>80</v>
      </c>
      <c r="E39" t="s">
        <v>385</v>
      </c>
      <c r="G39" s="68">
        <f>'FC Common pl 22'!S39</f>
        <v>35489.695680577599</v>
      </c>
      <c r="H39" s="68">
        <f>G39-'FC depreciation adjustment 23'!B8</f>
        <v>34490.541987292396</v>
      </c>
      <c r="I39" s="68">
        <f>H39-'FC depreciation adjustment 23'!C8</f>
        <v>33491.388294007193</v>
      </c>
      <c r="J39" s="68">
        <f>I39-'FC depreciation adjustment 23'!D8</f>
        <v>32492.234600721993</v>
      </c>
      <c r="K39" s="68">
        <f>J39-'FC depreciation adjustment 23'!E8</f>
        <v>31493.080907436793</v>
      </c>
      <c r="L39" s="68">
        <f>K39-'FC depreciation adjustment 23'!F8</f>
        <v>30493.927214151594</v>
      </c>
      <c r="M39" s="68">
        <f>L39-'FC depreciation adjustment 23'!G8</f>
        <v>29494.773520866394</v>
      </c>
      <c r="N39" s="68">
        <f>M39-'FC depreciation adjustment 23'!H8</f>
        <v>28495.619827581195</v>
      </c>
      <c r="O39" s="68">
        <f>N39-'FC depreciation adjustment 23'!I8</f>
        <v>27496.466134295995</v>
      </c>
      <c r="P39" s="68">
        <f>O39-'FC depreciation adjustment 23'!J8</f>
        <v>26497.312441010796</v>
      </c>
      <c r="Q39" s="68">
        <f>P39-'FC depreciation adjustment 23'!K8</f>
        <v>25498.158747725596</v>
      </c>
      <c r="R39" s="68">
        <f>Q39-'FC depreciation adjustment 23'!L8</f>
        <v>24499.005054440397</v>
      </c>
      <c r="S39" s="68">
        <f>R39-'FC depreciation adjustment 23'!M8</f>
        <v>23499.851361155197</v>
      </c>
      <c r="T39" s="73">
        <f t="shared" si="7"/>
        <v>29494.773520866394</v>
      </c>
      <c r="U39" s="68"/>
      <c r="V39" s="68"/>
      <c r="W39" s="68"/>
      <c r="X39" s="68"/>
      <c r="Y39" s="68"/>
      <c r="Z39" s="68"/>
    </row>
    <row r="40" spans="3:26" x14ac:dyDescent="0.25">
      <c r="C40" t="s">
        <v>404</v>
      </c>
      <c r="D40" s="13" t="s">
        <v>81</v>
      </c>
      <c r="E40" t="s">
        <v>385</v>
      </c>
      <c r="G40" s="68">
        <f>'FC Common pl 22'!S40</f>
        <v>-200738.10883516833</v>
      </c>
      <c r="H40" s="68">
        <f>G40-'FC depreciation adjustment 23'!B9</f>
        <v>-204480.79873809902</v>
      </c>
      <c r="I40" s="68">
        <f>H40-'FC depreciation adjustment 23'!C9</f>
        <v>-208223.48864102972</v>
      </c>
      <c r="J40" s="68">
        <f>I40-'FC depreciation adjustment 23'!D9</f>
        <v>-211966.17854396041</v>
      </c>
      <c r="K40" s="68">
        <f>J40-'FC depreciation adjustment 23'!E9</f>
        <v>-215708.86844689111</v>
      </c>
      <c r="L40" s="68">
        <f>K40-'FC depreciation adjustment 23'!F9</f>
        <v>-219451.5583498218</v>
      </c>
      <c r="M40" s="68">
        <f>L40-'FC depreciation adjustment 23'!G9</f>
        <v>-223194.2482527525</v>
      </c>
      <c r="N40" s="68">
        <f>M40-'FC depreciation adjustment 23'!H9</f>
        <v>-226936.93815568319</v>
      </c>
      <c r="O40" s="68">
        <f>N40-'FC depreciation adjustment 23'!I9</f>
        <v>-230679.62805861389</v>
      </c>
      <c r="P40" s="68">
        <f>O40-'FC depreciation adjustment 23'!J9</f>
        <v>-234422.31796154458</v>
      </c>
      <c r="Q40" s="68">
        <f>P40-'FC depreciation adjustment 23'!K9</f>
        <v>-238165.00786447528</v>
      </c>
      <c r="R40" s="68">
        <f>Q40-'FC depreciation adjustment 23'!L9</f>
        <v>-241907.69776740597</v>
      </c>
      <c r="S40" s="68">
        <f>R40-'FC depreciation adjustment 23'!M9</f>
        <v>-245650.38767033667</v>
      </c>
      <c r="T40" s="73">
        <f t="shared" si="7"/>
        <v>-223194.2482527525</v>
      </c>
      <c r="U40" s="68"/>
      <c r="V40" s="68"/>
      <c r="W40" s="68"/>
      <c r="X40" s="68"/>
      <c r="Y40" s="68"/>
      <c r="Z40" s="68"/>
    </row>
    <row r="41" spans="3:26" x14ac:dyDescent="0.25">
      <c r="C41" t="s">
        <v>405</v>
      </c>
      <c r="D41" s="13" t="s">
        <v>82</v>
      </c>
      <c r="E41" t="s">
        <v>385</v>
      </c>
      <c r="G41" s="68">
        <f>'FC Common pl 22'!S41</f>
        <v>-318389.25920603942</v>
      </c>
      <c r="H41" s="68">
        <f>G41-'FC depreciation adjustment 23'!B10</f>
        <v>-323735.61913987604</v>
      </c>
      <c r="I41" s="68">
        <f>H41-'FC depreciation adjustment 23'!C10</f>
        <v>-329081.97907371266</v>
      </c>
      <c r="J41" s="68">
        <f>I41-'FC depreciation adjustment 23'!D10</f>
        <v>-334428.33900754928</v>
      </c>
      <c r="K41" s="68">
        <f>J41-'FC depreciation adjustment 23'!E10</f>
        <v>-339774.6989413859</v>
      </c>
      <c r="L41" s="68">
        <f>K41-'FC depreciation adjustment 23'!F10</f>
        <v>-345121.05887522252</v>
      </c>
      <c r="M41" s="68">
        <f>L41-'FC depreciation adjustment 23'!G10</f>
        <v>-350467.41880905913</v>
      </c>
      <c r="N41" s="68">
        <f>M41-'FC depreciation adjustment 23'!H10</f>
        <v>-355813.77874289575</v>
      </c>
      <c r="O41" s="68">
        <f>N41-'FC depreciation adjustment 23'!I10</f>
        <v>-361160.13867673237</v>
      </c>
      <c r="P41" s="68">
        <f>O41-'FC depreciation adjustment 23'!J10</f>
        <v>-366506.49861056899</v>
      </c>
      <c r="Q41" s="68">
        <f>P41-'FC depreciation adjustment 23'!K10</f>
        <v>-371852.85854440561</v>
      </c>
      <c r="R41" s="68">
        <f>Q41-'FC depreciation adjustment 23'!L10</f>
        <v>-377199.21847824223</v>
      </c>
      <c r="S41" s="68">
        <f>R41-'FC depreciation adjustment 23'!M10</f>
        <v>-382545.57841207884</v>
      </c>
      <c r="T41" s="73">
        <f t="shared" si="7"/>
        <v>-350467.41880905913</v>
      </c>
      <c r="U41" s="68"/>
      <c r="V41" s="68"/>
      <c r="W41" s="68"/>
      <c r="X41" s="68"/>
      <c r="Y41" s="68"/>
      <c r="Z41" s="68"/>
    </row>
    <row r="42" spans="3:26" x14ac:dyDescent="0.25">
      <c r="C42" t="s">
        <v>406</v>
      </c>
      <c r="D42" s="13" t="s">
        <v>83</v>
      </c>
      <c r="E42" t="s">
        <v>385</v>
      </c>
      <c r="G42" s="68">
        <f>'FC Common pl 22'!S42</f>
        <v>-265351.07487438613</v>
      </c>
      <c r="H42" s="68">
        <f>G42-'FC depreciation adjustment 23'!B11</f>
        <v>-269458.38611391833</v>
      </c>
      <c r="I42" s="68">
        <f>H42-'FC depreciation adjustment 23'!C11</f>
        <v>-273565.69735345052</v>
      </c>
      <c r="J42" s="68">
        <f>I42-'FC depreciation adjustment 23'!D11</f>
        <v>-277673.00859298272</v>
      </c>
      <c r="K42" s="68">
        <f>J42-'FC depreciation adjustment 23'!E11</f>
        <v>-281780.31983251491</v>
      </c>
      <c r="L42" s="68">
        <f>K42-'FC depreciation adjustment 23'!F11</f>
        <v>-285887.63107204711</v>
      </c>
      <c r="M42" s="68">
        <f>L42-'FC depreciation adjustment 23'!G11</f>
        <v>-289994.9423115793</v>
      </c>
      <c r="N42" s="68">
        <f>M42-'FC depreciation adjustment 23'!H11</f>
        <v>-294102.2535511115</v>
      </c>
      <c r="O42" s="68">
        <f>N42-'FC depreciation adjustment 23'!I11</f>
        <v>-298209.56479064369</v>
      </c>
      <c r="P42" s="68">
        <f>O42-'FC depreciation adjustment 23'!J11</f>
        <v>-302316.87603017589</v>
      </c>
      <c r="Q42" s="68">
        <f>P42-'FC depreciation adjustment 23'!K11</f>
        <v>-306424.18726970808</v>
      </c>
      <c r="R42" s="68">
        <f>Q42-'FC depreciation adjustment 23'!L11</f>
        <v>-310531.49850924028</v>
      </c>
      <c r="S42" s="68">
        <f>R42-'FC depreciation adjustment 23'!M11</f>
        <v>-314638.80974877247</v>
      </c>
      <c r="T42" s="73">
        <f t="shared" si="7"/>
        <v>-289994.9423115793</v>
      </c>
      <c r="U42" s="68"/>
      <c r="V42" s="68"/>
      <c r="W42" s="68"/>
      <c r="X42" s="68"/>
      <c r="Y42" s="68"/>
      <c r="Z42" s="68"/>
    </row>
    <row r="43" spans="3:26" x14ac:dyDescent="0.25">
      <c r="C43" t="s">
        <v>407</v>
      </c>
      <c r="D43" s="13" t="s">
        <v>84</v>
      </c>
      <c r="E43" t="s">
        <v>385</v>
      </c>
      <c r="G43" s="68">
        <f>'FC Common pl 22'!S43</f>
        <v>-18740.33984787239</v>
      </c>
      <c r="H43" s="68">
        <f>G43-'FC depreciation adjustment 23'!B12</f>
        <v>-18901.71983519509</v>
      </c>
      <c r="I43" s="68">
        <f>H43-'FC depreciation adjustment 23'!C12</f>
        <v>-19063.09982251779</v>
      </c>
      <c r="J43" s="68">
        <f>I43-'FC depreciation adjustment 23'!D12</f>
        <v>-19224.47980984049</v>
      </c>
      <c r="K43" s="68">
        <f>J43-'FC depreciation adjustment 23'!E12</f>
        <v>-19385.85979716319</v>
      </c>
      <c r="L43" s="68">
        <f>K43-'FC depreciation adjustment 23'!F12</f>
        <v>-19547.23978448589</v>
      </c>
      <c r="M43" s="68">
        <f>L43-'FC depreciation adjustment 23'!G12</f>
        <v>-19708.61977180859</v>
      </c>
      <c r="N43" s="68">
        <f>M43-'FC depreciation adjustment 23'!H12</f>
        <v>-19869.999759131289</v>
      </c>
      <c r="O43" s="68">
        <f>N43-'FC depreciation adjustment 23'!I12</f>
        <v>-20031.379746453989</v>
      </c>
      <c r="P43" s="68">
        <f>O43-'FC depreciation adjustment 23'!J12</f>
        <v>-20192.759733776689</v>
      </c>
      <c r="Q43" s="68">
        <f>P43-'FC depreciation adjustment 23'!K12</f>
        <v>-20354.139721099389</v>
      </c>
      <c r="R43" s="68">
        <f>Q43-'FC depreciation adjustment 23'!L12</f>
        <v>-20515.519708422089</v>
      </c>
      <c r="S43" s="68">
        <f>R43-'FC depreciation adjustment 23'!M12</f>
        <v>-20676.899695744789</v>
      </c>
      <c r="T43" s="73">
        <f t="shared" si="7"/>
        <v>-19708.61977180859</v>
      </c>
      <c r="U43" s="68"/>
      <c r="V43" s="68"/>
      <c r="W43" s="68"/>
      <c r="X43" s="68"/>
      <c r="Y43" s="68"/>
      <c r="Z43" s="68"/>
    </row>
    <row r="44" spans="3:26" x14ac:dyDescent="0.25">
      <c r="C44" t="s">
        <v>408</v>
      </c>
      <c r="D44" s="13" t="s">
        <v>85</v>
      </c>
      <c r="E44" t="s">
        <v>385</v>
      </c>
      <c r="G44" s="68">
        <f>'FC Common pl 22'!S44</f>
        <v>0</v>
      </c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73">
        <f t="shared" si="7"/>
        <v>0</v>
      </c>
      <c r="U44" s="68"/>
      <c r="V44" s="68"/>
      <c r="W44" s="68"/>
      <c r="X44" s="68"/>
      <c r="Y44" s="68"/>
      <c r="Z44" s="68"/>
    </row>
    <row r="45" spans="3:26" x14ac:dyDescent="0.25">
      <c r="C45" s="13" t="s">
        <v>86</v>
      </c>
      <c r="D45" s="13" t="s">
        <v>87</v>
      </c>
      <c r="E45" t="s">
        <v>385</v>
      </c>
      <c r="G45" s="68">
        <f>'FC Common pl 22'!S45</f>
        <v>25334</v>
      </c>
      <c r="H45" s="68">
        <f>G45</f>
        <v>25334</v>
      </c>
      <c r="I45" s="68">
        <f t="shared" ref="I45:S45" si="8">H45</f>
        <v>25334</v>
      </c>
      <c r="J45" s="68">
        <f t="shared" si="8"/>
        <v>25334</v>
      </c>
      <c r="K45" s="68">
        <f t="shared" si="8"/>
        <v>25334</v>
      </c>
      <c r="L45" s="68">
        <f t="shared" si="8"/>
        <v>25334</v>
      </c>
      <c r="M45" s="68">
        <f t="shared" si="8"/>
        <v>25334</v>
      </c>
      <c r="N45" s="68">
        <f t="shared" si="8"/>
        <v>25334</v>
      </c>
      <c r="O45" s="68">
        <f t="shared" si="8"/>
        <v>25334</v>
      </c>
      <c r="P45" s="68">
        <f t="shared" si="8"/>
        <v>25334</v>
      </c>
      <c r="Q45" s="68">
        <f t="shared" si="8"/>
        <v>25334</v>
      </c>
      <c r="R45" s="68">
        <f t="shared" si="8"/>
        <v>25334</v>
      </c>
      <c r="S45" s="68">
        <f t="shared" si="8"/>
        <v>25334</v>
      </c>
      <c r="T45" s="73">
        <f t="shared" ref="T45:T47" si="9">SUM(G45:S45)/13</f>
        <v>25334</v>
      </c>
      <c r="U45" s="68"/>
      <c r="V45" s="68"/>
      <c r="W45" s="68"/>
      <c r="X45" s="68"/>
      <c r="Y45" s="68"/>
      <c r="Z45" s="68"/>
    </row>
    <row r="46" spans="3:26" x14ac:dyDescent="0.25">
      <c r="C46" s="13" t="s">
        <v>88</v>
      </c>
      <c r="D46" s="13" t="s">
        <v>89</v>
      </c>
      <c r="E46" t="s">
        <v>385</v>
      </c>
      <c r="G46" s="68">
        <f>'FC Common pl 22'!S46</f>
        <v>22241</v>
      </c>
      <c r="H46" s="68">
        <f t="shared" ref="H46:S47" si="10">G46</f>
        <v>22241</v>
      </c>
      <c r="I46" s="68">
        <f t="shared" si="10"/>
        <v>22241</v>
      </c>
      <c r="J46" s="68">
        <f t="shared" si="10"/>
        <v>22241</v>
      </c>
      <c r="K46" s="68">
        <f t="shared" si="10"/>
        <v>22241</v>
      </c>
      <c r="L46" s="68">
        <f t="shared" si="10"/>
        <v>22241</v>
      </c>
      <c r="M46" s="68">
        <f t="shared" si="10"/>
        <v>22241</v>
      </c>
      <c r="N46" s="68">
        <f t="shared" si="10"/>
        <v>22241</v>
      </c>
      <c r="O46" s="68">
        <f t="shared" si="10"/>
        <v>22241</v>
      </c>
      <c r="P46" s="68">
        <f t="shared" si="10"/>
        <v>22241</v>
      </c>
      <c r="Q46" s="68">
        <f t="shared" si="10"/>
        <v>22241</v>
      </c>
      <c r="R46" s="68">
        <f t="shared" si="10"/>
        <v>22241</v>
      </c>
      <c r="S46" s="68">
        <f t="shared" si="10"/>
        <v>22241</v>
      </c>
      <c r="T46" s="73">
        <f t="shared" si="9"/>
        <v>22241</v>
      </c>
      <c r="U46" s="68"/>
      <c r="V46" s="68"/>
      <c r="W46" s="68"/>
      <c r="X46" s="68"/>
      <c r="Y46" s="68"/>
      <c r="Z46" s="68"/>
    </row>
    <row r="47" spans="3:26" x14ac:dyDescent="0.25">
      <c r="C47" s="13" t="s">
        <v>90</v>
      </c>
      <c r="D47" s="13" t="s">
        <v>91</v>
      </c>
      <c r="E47" t="s">
        <v>385</v>
      </c>
      <c r="G47" s="68">
        <f>'FC Common pl 22'!S47</f>
        <v>-45669</v>
      </c>
      <c r="H47" s="68">
        <f t="shared" si="10"/>
        <v>-45669</v>
      </c>
      <c r="I47" s="68">
        <f t="shared" si="10"/>
        <v>-45669</v>
      </c>
      <c r="J47" s="68">
        <f t="shared" si="10"/>
        <v>-45669</v>
      </c>
      <c r="K47" s="68">
        <f t="shared" si="10"/>
        <v>-45669</v>
      </c>
      <c r="L47" s="68">
        <f t="shared" si="10"/>
        <v>-45669</v>
      </c>
      <c r="M47" s="68">
        <f t="shared" si="10"/>
        <v>-45669</v>
      </c>
      <c r="N47" s="68">
        <f t="shared" si="10"/>
        <v>-45669</v>
      </c>
      <c r="O47" s="68">
        <f t="shared" si="10"/>
        <v>-45669</v>
      </c>
      <c r="P47" s="68">
        <f t="shared" si="10"/>
        <v>-45669</v>
      </c>
      <c r="Q47" s="68">
        <f t="shared" si="10"/>
        <v>-45669</v>
      </c>
      <c r="R47" s="68">
        <f t="shared" si="10"/>
        <v>-45669</v>
      </c>
      <c r="S47" s="68">
        <f t="shared" si="10"/>
        <v>-45669</v>
      </c>
      <c r="T47" s="73">
        <f t="shared" si="9"/>
        <v>-45669</v>
      </c>
      <c r="U47" s="68"/>
      <c r="V47" s="68"/>
      <c r="W47" s="68"/>
      <c r="X47" s="68"/>
      <c r="Y47" s="68"/>
      <c r="Z47" s="68"/>
    </row>
    <row r="48" spans="3:26" x14ac:dyDescent="0.25">
      <c r="G48" s="71">
        <f t="shared" ref="G48:T48" si="11">SUM(G34:G47)</f>
        <v>-886103.73967663909</v>
      </c>
      <c r="H48" s="71">
        <f t="shared" si="11"/>
        <v>-917080.43992746982</v>
      </c>
      <c r="I48" s="71">
        <f t="shared" si="11"/>
        <v>-948057.14017830079</v>
      </c>
      <c r="J48" s="71">
        <f t="shared" si="11"/>
        <v>-979033.84042913164</v>
      </c>
      <c r="K48" s="71">
        <f t="shared" si="11"/>
        <v>-1010010.5406799626</v>
      </c>
      <c r="L48" s="71">
        <f t="shared" si="11"/>
        <v>-1040987.2409307936</v>
      </c>
      <c r="M48" s="71">
        <f t="shared" si="11"/>
        <v>-1071963.9411816245</v>
      </c>
      <c r="N48" s="71">
        <f t="shared" si="11"/>
        <v>-1102940.6414324555</v>
      </c>
      <c r="O48" s="71">
        <f t="shared" si="11"/>
        <v>-1133917.3416832865</v>
      </c>
      <c r="P48" s="71">
        <f t="shared" si="11"/>
        <v>-1164894.0419341174</v>
      </c>
      <c r="Q48" s="71">
        <f t="shared" si="11"/>
        <v>-1195870.7421849482</v>
      </c>
      <c r="R48" s="71">
        <f t="shared" si="11"/>
        <v>-1226847.4424357789</v>
      </c>
      <c r="S48" s="71">
        <f t="shared" si="11"/>
        <v>-1257824.1426866099</v>
      </c>
      <c r="T48" s="71">
        <f t="shared" si="11"/>
        <v>-1071963.9411816243</v>
      </c>
      <c r="U48" s="68"/>
      <c r="V48" s="68"/>
      <c r="W48" s="68"/>
      <c r="X48" s="68"/>
      <c r="Y48" s="68"/>
      <c r="Z48" s="68"/>
    </row>
    <row r="49" spans="1:26" x14ac:dyDescent="0.25">
      <c r="G49" s="76">
        <f t="shared" ref="G49:T49" si="12">G48+G31</f>
        <v>-886103.73967663909</v>
      </c>
      <c r="H49" s="76">
        <f t="shared" si="12"/>
        <v>-917080.43992746982</v>
      </c>
      <c r="I49" s="76">
        <f t="shared" si="12"/>
        <v>-948057.14017830079</v>
      </c>
      <c r="J49" s="76">
        <f t="shared" si="12"/>
        <v>-979033.84042913164</v>
      </c>
      <c r="K49" s="76">
        <f t="shared" si="12"/>
        <v>-1010010.5406799626</v>
      </c>
      <c r="L49" s="76">
        <f t="shared" si="12"/>
        <v>-1040987.2409307936</v>
      </c>
      <c r="M49" s="76">
        <f t="shared" si="12"/>
        <v>-1071963.9411816245</v>
      </c>
      <c r="N49" s="76">
        <f t="shared" si="12"/>
        <v>-1102940.6414324555</v>
      </c>
      <c r="O49" s="76">
        <f t="shared" si="12"/>
        <v>-1133917.3416832865</v>
      </c>
      <c r="P49" s="76">
        <f t="shared" si="12"/>
        <v>-1164894.0419341174</v>
      </c>
      <c r="Q49" s="76">
        <f t="shared" si="12"/>
        <v>-1195870.7421849482</v>
      </c>
      <c r="R49" s="76">
        <f t="shared" si="12"/>
        <v>-1226847.4424357789</v>
      </c>
      <c r="S49" s="76">
        <f t="shared" si="12"/>
        <v>-1257824.1426866099</v>
      </c>
      <c r="T49" s="76">
        <f t="shared" si="12"/>
        <v>-1071963.9411816243</v>
      </c>
      <c r="U49" s="68"/>
      <c r="V49" s="68"/>
      <c r="W49" s="68"/>
      <c r="X49" s="68"/>
      <c r="Y49" s="68"/>
      <c r="Z49" s="68"/>
    </row>
    <row r="50" spans="1:26" x14ac:dyDescent="0.25"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73"/>
      <c r="R50" s="73"/>
      <c r="S50" s="73"/>
      <c r="T50" s="68"/>
      <c r="U50" s="68"/>
      <c r="V50" s="68"/>
      <c r="W50" s="68"/>
      <c r="X50" s="68"/>
      <c r="Y50" s="68"/>
      <c r="Z50" s="68"/>
    </row>
    <row r="51" spans="1:26" x14ac:dyDescent="0.25">
      <c r="G51" s="79">
        <f>'[1]FC with allocations'!C53</f>
        <v>-601375</v>
      </c>
      <c r="H51" s="79">
        <f>'[1]FC with allocations'!D53</f>
        <v>-649606</v>
      </c>
      <c r="I51" s="79">
        <f>'[1]FC with allocations'!E53</f>
        <v>-697833</v>
      </c>
      <c r="J51" s="79">
        <f>'[1]FC with allocations'!F53</f>
        <v>-742448</v>
      </c>
      <c r="K51" s="79">
        <f>'[1]FC with allocations'!G53</f>
        <v>-734925</v>
      </c>
      <c r="L51" s="79">
        <f>'[1]FC with allocations'!H53</f>
        <v>-783218</v>
      </c>
      <c r="M51" s="79">
        <f>'[1]FC with allocations'!I53</f>
        <v>-831093</v>
      </c>
      <c r="N51" s="79">
        <f>'[1]FC with allocations'!J53</f>
        <v>-878925</v>
      </c>
      <c r="O51" s="79">
        <f>'[1]FC with allocations'!K53</f>
        <v>-926927</v>
      </c>
      <c r="P51" s="79">
        <f>'[1]FC with allocations'!L53</f>
        <v>-942929</v>
      </c>
      <c r="Q51" s="75">
        <f>'[1]FC with allocations'!M53</f>
        <v>-991185</v>
      </c>
      <c r="R51" s="75">
        <f>'[1]FC with allocations'!N53</f>
        <v>-1039173</v>
      </c>
      <c r="S51" s="75">
        <f>'[1]FC with allocations'!O53</f>
        <v>-911386</v>
      </c>
      <c r="T51" s="79">
        <f>('[1]FC with allocations'!P53)/13</f>
        <v>-825463.30769230775</v>
      </c>
      <c r="U51" s="68"/>
      <c r="V51" s="68"/>
      <c r="W51" s="68"/>
      <c r="X51" s="68"/>
      <c r="Y51" s="68"/>
      <c r="Z51" s="68"/>
    </row>
    <row r="52" spans="1:26" x14ac:dyDescent="0.25">
      <c r="G52" s="68">
        <f>G48-G51</f>
        <v>-284728.73967663909</v>
      </c>
      <c r="H52" s="68">
        <f t="shared" ref="H52:T52" si="13">H48-H51</f>
        <v>-267474.43992746982</v>
      </c>
      <c r="I52" s="68">
        <f t="shared" si="13"/>
        <v>-250224.14017830079</v>
      </c>
      <c r="J52" s="68">
        <f t="shared" si="13"/>
        <v>-236585.84042913164</v>
      </c>
      <c r="K52" s="68">
        <f t="shared" si="13"/>
        <v>-275085.54067996261</v>
      </c>
      <c r="L52" s="68">
        <f t="shared" si="13"/>
        <v>-257769.24093079357</v>
      </c>
      <c r="M52" s="68">
        <f t="shared" si="13"/>
        <v>-240870.94118162454</v>
      </c>
      <c r="N52" s="68">
        <f t="shared" si="13"/>
        <v>-224015.64143245551</v>
      </c>
      <c r="O52" s="68">
        <f t="shared" si="13"/>
        <v>-206990.34168328648</v>
      </c>
      <c r="P52" s="68">
        <f t="shared" si="13"/>
        <v>-221965.04193411744</v>
      </c>
      <c r="Q52" s="68">
        <f t="shared" si="13"/>
        <v>-204685.74218494818</v>
      </c>
      <c r="R52" s="68">
        <f t="shared" si="13"/>
        <v>-187674.44243577891</v>
      </c>
      <c r="S52" s="68">
        <f t="shared" si="13"/>
        <v>-346438.14268660988</v>
      </c>
      <c r="T52" s="68">
        <f t="shared" si="13"/>
        <v>-246500.63348931656</v>
      </c>
      <c r="U52" s="68"/>
      <c r="V52" s="68"/>
      <c r="W52" s="68"/>
      <c r="X52" s="68"/>
      <c r="Y52" s="68"/>
      <c r="Z52" s="68"/>
    </row>
    <row r="53" spans="1:26" x14ac:dyDescent="0.25">
      <c r="C53" s="13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73"/>
    </row>
    <row r="54" spans="1:26" x14ac:dyDescent="0.25">
      <c r="C54" s="13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73"/>
    </row>
    <row r="55" spans="1:26" x14ac:dyDescent="0.25">
      <c r="C55" s="13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73"/>
    </row>
    <row r="57" spans="1:26" ht="15.75" thickBot="1" x14ac:dyDescent="0.3">
      <c r="A57" s="80"/>
      <c r="B57" s="80"/>
      <c r="C57" s="80"/>
      <c r="D57" s="80"/>
      <c r="E57" s="80"/>
      <c r="F57" s="80"/>
      <c r="G57" s="81">
        <f t="shared" ref="G57:S57" si="14">+G5</f>
        <v>44909</v>
      </c>
      <c r="H57" s="81">
        <f t="shared" si="14"/>
        <v>44939</v>
      </c>
      <c r="I57" s="81">
        <f t="shared" si="14"/>
        <v>44969</v>
      </c>
      <c r="J57" s="81">
        <f t="shared" si="14"/>
        <v>44999</v>
      </c>
      <c r="K57" s="81">
        <f t="shared" si="14"/>
        <v>45029</v>
      </c>
      <c r="L57" s="81">
        <f t="shared" si="14"/>
        <v>45059</v>
      </c>
      <c r="M57" s="81">
        <f t="shared" si="14"/>
        <v>45089</v>
      </c>
      <c r="N57" s="81">
        <f t="shared" si="14"/>
        <v>45119</v>
      </c>
      <c r="O57" s="81">
        <f t="shared" si="14"/>
        <v>45149</v>
      </c>
      <c r="P57" s="81">
        <f t="shared" si="14"/>
        <v>45179</v>
      </c>
      <c r="Q57" s="81">
        <f t="shared" si="14"/>
        <v>45209</v>
      </c>
      <c r="R57" s="81">
        <f t="shared" si="14"/>
        <v>45239</v>
      </c>
      <c r="S57" s="81">
        <f t="shared" si="14"/>
        <v>45269</v>
      </c>
      <c r="T57" s="80" t="s">
        <v>409</v>
      </c>
      <c r="U57" s="82"/>
    </row>
    <row r="58" spans="1:26" x14ac:dyDescent="0.25">
      <c r="A58" s="82"/>
      <c r="B58" s="83" t="s">
        <v>410</v>
      </c>
      <c r="C58" s="84" t="s">
        <v>411</v>
      </c>
      <c r="D58" s="85">
        <f>'Allocation Factors 23'!E11</f>
        <v>0.19878321516673181</v>
      </c>
      <c r="E58" s="84"/>
      <c r="F58" s="84"/>
      <c r="G58" s="86">
        <f t="shared" ref="G58:S58" si="15">(G$26)*$D58</f>
        <v>2313693.9439124083</v>
      </c>
      <c r="H58" s="86">
        <f t="shared" si="15"/>
        <v>2313693.9439124083</v>
      </c>
      <c r="I58" s="86">
        <f t="shared" si="15"/>
        <v>2313693.9439124083</v>
      </c>
      <c r="J58" s="86">
        <f t="shared" si="15"/>
        <v>2313693.9439124083</v>
      </c>
      <c r="K58" s="86">
        <f t="shared" si="15"/>
        <v>2313693.9439124083</v>
      </c>
      <c r="L58" s="86">
        <f t="shared" si="15"/>
        <v>2313693.9439124083</v>
      </c>
      <c r="M58" s="86">
        <f t="shared" si="15"/>
        <v>2313693.9439124083</v>
      </c>
      <c r="N58" s="86">
        <f t="shared" si="15"/>
        <v>2313693.9439124083</v>
      </c>
      <c r="O58" s="86">
        <f t="shared" si="15"/>
        <v>2313693.9439124083</v>
      </c>
      <c r="P58" s="86">
        <f t="shared" si="15"/>
        <v>2313693.9439124083</v>
      </c>
      <c r="Q58" s="86">
        <f t="shared" si="15"/>
        <v>2313693.9439124083</v>
      </c>
      <c r="R58" s="86">
        <f t="shared" si="15"/>
        <v>2313693.9439124083</v>
      </c>
      <c r="S58" s="86">
        <f t="shared" si="15"/>
        <v>2313693.9439124083</v>
      </c>
      <c r="T58" s="87"/>
      <c r="U58" s="82"/>
    </row>
    <row r="59" spans="1:26" x14ac:dyDescent="0.25">
      <c r="A59" s="82"/>
      <c r="B59" s="88"/>
      <c r="C59" s="89"/>
      <c r="D59" s="90"/>
      <c r="E59" s="89" t="s">
        <v>381</v>
      </c>
      <c r="F59" s="89"/>
      <c r="G59" s="91">
        <f>G58</f>
        <v>2313693.9439124083</v>
      </c>
      <c r="H59" s="91">
        <f t="shared" ref="H59:S59" si="16">H58</f>
        <v>2313693.9439124083</v>
      </c>
      <c r="I59" s="91">
        <f t="shared" si="16"/>
        <v>2313693.9439124083</v>
      </c>
      <c r="J59" s="91">
        <f t="shared" si="16"/>
        <v>2313693.9439124083</v>
      </c>
      <c r="K59" s="91">
        <f t="shared" si="16"/>
        <v>2313693.9439124083</v>
      </c>
      <c r="L59" s="91">
        <f t="shared" si="16"/>
        <v>2313693.9439124083</v>
      </c>
      <c r="M59" s="91">
        <f t="shared" si="16"/>
        <v>2313693.9439124083</v>
      </c>
      <c r="N59" s="91">
        <f t="shared" si="16"/>
        <v>2313693.9439124083</v>
      </c>
      <c r="O59" s="91">
        <f t="shared" si="16"/>
        <v>2313693.9439124083</v>
      </c>
      <c r="P59" s="91">
        <f t="shared" si="16"/>
        <v>2313693.9439124083</v>
      </c>
      <c r="Q59" s="91">
        <f t="shared" si="16"/>
        <v>2313693.9439124083</v>
      </c>
      <c r="R59" s="91">
        <f t="shared" si="16"/>
        <v>2313693.9439124083</v>
      </c>
      <c r="S59" s="91">
        <f t="shared" si="16"/>
        <v>2313693.9439124083</v>
      </c>
      <c r="T59" s="92">
        <f>SUM(G59:S59)/13</f>
        <v>2313693.9439124088</v>
      </c>
      <c r="U59" s="82"/>
    </row>
    <row r="60" spans="1:26" x14ac:dyDescent="0.25">
      <c r="A60" s="82"/>
      <c r="B60" s="88"/>
      <c r="C60" s="89"/>
      <c r="D60" s="90"/>
      <c r="E60" s="89"/>
      <c r="F60" s="89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2"/>
      <c r="U60" s="82"/>
    </row>
    <row r="61" spans="1:26" x14ac:dyDescent="0.25">
      <c r="A61" s="82"/>
      <c r="B61" s="88"/>
      <c r="C61" s="89" t="s">
        <v>412</v>
      </c>
      <c r="D61" s="90">
        <f>D58</f>
        <v>0.19878321516673181</v>
      </c>
      <c r="E61" s="89"/>
      <c r="F61" s="89"/>
      <c r="G61" s="79">
        <f t="shared" ref="G61:S61" si="17">G$8*$D61</f>
        <v>0</v>
      </c>
      <c r="H61" s="79">
        <f t="shared" si="17"/>
        <v>0</v>
      </c>
      <c r="I61" s="79">
        <f t="shared" si="17"/>
        <v>0</v>
      </c>
      <c r="J61" s="79">
        <f t="shared" si="17"/>
        <v>0</v>
      </c>
      <c r="K61" s="79">
        <f t="shared" si="17"/>
        <v>679.44102943988935</v>
      </c>
      <c r="L61" s="79">
        <f t="shared" si="17"/>
        <v>679.44102943988935</v>
      </c>
      <c r="M61" s="79">
        <f t="shared" si="17"/>
        <v>0</v>
      </c>
      <c r="N61" s="79">
        <f t="shared" si="17"/>
        <v>0</v>
      </c>
      <c r="O61" s="79">
        <f t="shared" si="17"/>
        <v>0</v>
      </c>
      <c r="P61" s="79">
        <f t="shared" si="17"/>
        <v>271.14030548742221</v>
      </c>
      <c r="Q61" s="79">
        <f t="shared" si="17"/>
        <v>0</v>
      </c>
      <c r="R61" s="79">
        <f t="shared" si="17"/>
        <v>0</v>
      </c>
      <c r="S61" s="79">
        <f t="shared" si="17"/>
        <v>0</v>
      </c>
      <c r="T61" s="92"/>
      <c r="U61" s="82"/>
    </row>
    <row r="62" spans="1:26" x14ac:dyDescent="0.25">
      <c r="A62" s="82"/>
      <c r="B62" s="88"/>
      <c r="C62" s="89"/>
      <c r="D62" s="90"/>
      <c r="E62" s="89" t="s">
        <v>69</v>
      </c>
      <c r="F62" s="89"/>
      <c r="G62" s="91">
        <f>G61</f>
        <v>0</v>
      </c>
      <c r="H62" s="91">
        <f t="shared" ref="H62:S62" si="18">H61</f>
        <v>0</v>
      </c>
      <c r="I62" s="91">
        <f t="shared" si="18"/>
        <v>0</v>
      </c>
      <c r="J62" s="91">
        <f t="shared" si="18"/>
        <v>0</v>
      </c>
      <c r="K62" s="91">
        <f t="shared" si="18"/>
        <v>679.44102943988935</v>
      </c>
      <c r="L62" s="91">
        <f t="shared" si="18"/>
        <v>679.44102943988935</v>
      </c>
      <c r="M62" s="91">
        <f t="shared" si="18"/>
        <v>0</v>
      </c>
      <c r="N62" s="91">
        <f t="shared" si="18"/>
        <v>0</v>
      </c>
      <c r="O62" s="91">
        <f t="shared" si="18"/>
        <v>0</v>
      </c>
      <c r="P62" s="91">
        <f t="shared" si="18"/>
        <v>271.14030548742221</v>
      </c>
      <c r="Q62" s="91">
        <f t="shared" si="18"/>
        <v>0</v>
      </c>
      <c r="R62" s="91">
        <f t="shared" si="18"/>
        <v>0</v>
      </c>
      <c r="S62" s="91">
        <f t="shared" si="18"/>
        <v>0</v>
      </c>
      <c r="T62" s="92">
        <f>SUM(G62:S62)/13</f>
        <v>125.38633572055392</v>
      </c>
      <c r="U62" s="82"/>
    </row>
    <row r="63" spans="1:26" x14ac:dyDescent="0.25">
      <c r="A63" s="82"/>
      <c r="B63" s="88"/>
      <c r="C63" s="93"/>
      <c r="D63" s="90"/>
      <c r="E63" s="89"/>
      <c r="F63" s="89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2"/>
      <c r="U63" s="82"/>
    </row>
    <row r="64" spans="1:26" x14ac:dyDescent="0.25">
      <c r="A64" s="82"/>
      <c r="B64" s="88"/>
      <c r="C64" s="89" t="s">
        <v>413</v>
      </c>
      <c r="D64" s="90">
        <f>D58</f>
        <v>0.19878321516673181</v>
      </c>
      <c r="E64" s="89"/>
      <c r="F64" s="89"/>
      <c r="G64" s="79">
        <f t="shared" ref="G64:S64" si="19">(G$48)*$D64</f>
        <v>-176142.55034418707</v>
      </c>
      <c r="H64" s="79">
        <f t="shared" si="19"/>
        <v>-182300.19841530331</v>
      </c>
      <c r="I64" s="79">
        <f t="shared" si="19"/>
        <v>-188457.84648641958</v>
      </c>
      <c r="J64" s="79">
        <f t="shared" si="19"/>
        <v>-194615.49455753586</v>
      </c>
      <c r="K64" s="79">
        <f t="shared" si="19"/>
        <v>-200773.14262865213</v>
      </c>
      <c r="L64" s="79">
        <f t="shared" si="19"/>
        <v>-206930.79069976843</v>
      </c>
      <c r="M64" s="79">
        <f t="shared" si="19"/>
        <v>-213088.43877088471</v>
      </c>
      <c r="N64" s="79">
        <f t="shared" si="19"/>
        <v>-219246.08684200101</v>
      </c>
      <c r="O64" s="79">
        <f t="shared" si="19"/>
        <v>-225403.73491311728</v>
      </c>
      <c r="P64" s="79">
        <f t="shared" si="19"/>
        <v>-231561.38298423358</v>
      </c>
      <c r="Q64" s="79">
        <f t="shared" si="19"/>
        <v>-237719.03105534983</v>
      </c>
      <c r="R64" s="79">
        <f t="shared" si="19"/>
        <v>-243876.67912646604</v>
      </c>
      <c r="S64" s="79">
        <f t="shared" si="19"/>
        <v>-250034.32719758234</v>
      </c>
      <c r="T64" s="92"/>
      <c r="U64" s="82"/>
    </row>
    <row r="65" spans="1:21" x14ac:dyDescent="0.25">
      <c r="A65" s="82"/>
      <c r="B65" s="88"/>
      <c r="C65" s="89"/>
      <c r="D65" s="90"/>
      <c r="E65" s="89" t="s">
        <v>396</v>
      </c>
      <c r="F65" s="89"/>
      <c r="G65" s="91">
        <f>G64</f>
        <v>-176142.55034418707</v>
      </c>
      <c r="H65" s="91">
        <f t="shared" ref="H65:S65" si="20">H64</f>
        <v>-182300.19841530331</v>
      </c>
      <c r="I65" s="91">
        <f t="shared" si="20"/>
        <v>-188457.84648641958</v>
      </c>
      <c r="J65" s="91">
        <f t="shared" si="20"/>
        <v>-194615.49455753586</v>
      </c>
      <c r="K65" s="91">
        <f t="shared" si="20"/>
        <v>-200773.14262865213</v>
      </c>
      <c r="L65" s="91">
        <f t="shared" si="20"/>
        <v>-206930.79069976843</v>
      </c>
      <c r="M65" s="91">
        <f t="shared" si="20"/>
        <v>-213088.43877088471</v>
      </c>
      <c r="N65" s="91">
        <f t="shared" si="20"/>
        <v>-219246.08684200101</v>
      </c>
      <c r="O65" s="91">
        <f t="shared" si="20"/>
        <v>-225403.73491311728</v>
      </c>
      <c r="P65" s="91">
        <f t="shared" si="20"/>
        <v>-231561.38298423358</v>
      </c>
      <c r="Q65" s="91">
        <f t="shared" si="20"/>
        <v>-237719.03105534983</v>
      </c>
      <c r="R65" s="91">
        <f t="shared" si="20"/>
        <v>-243876.67912646604</v>
      </c>
      <c r="S65" s="91">
        <f t="shared" si="20"/>
        <v>-250034.32719758234</v>
      </c>
      <c r="T65" s="92">
        <f>SUM(G65:S65)/13</f>
        <v>-213088.43877088471</v>
      </c>
      <c r="U65" s="82"/>
    </row>
    <row r="66" spans="1:21" ht="15.75" thickBot="1" x14ac:dyDescent="0.3">
      <c r="A66" s="82"/>
      <c r="B66" s="94"/>
      <c r="C66" s="95"/>
      <c r="D66" s="96"/>
      <c r="E66" s="95"/>
      <c r="F66" s="95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2"/>
      <c r="U66" s="82"/>
    </row>
    <row r="67" spans="1:21" x14ac:dyDescent="0.25">
      <c r="A67" s="82"/>
      <c r="B67" s="83" t="s">
        <v>414</v>
      </c>
      <c r="C67" s="84" t="s">
        <v>411</v>
      </c>
      <c r="D67" s="85">
        <f>'Allocation Factors 23'!C11</f>
        <v>8.9244411496124013E-2</v>
      </c>
      <c r="E67" s="84"/>
      <c r="F67" s="84"/>
      <c r="G67" s="86">
        <f t="shared" ref="G67:S67" si="21">(G$26)*$D67</f>
        <v>1038740.892853644</v>
      </c>
      <c r="H67" s="86">
        <f t="shared" si="21"/>
        <v>1038740.892853644</v>
      </c>
      <c r="I67" s="86">
        <f t="shared" si="21"/>
        <v>1038740.892853644</v>
      </c>
      <c r="J67" s="86">
        <f t="shared" si="21"/>
        <v>1038740.892853644</v>
      </c>
      <c r="K67" s="86">
        <f t="shared" si="21"/>
        <v>1038740.892853644</v>
      </c>
      <c r="L67" s="86">
        <f t="shared" si="21"/>
        <v>1038740.892853644</v>
      </c>
      <c r="M67" s="86">
        <f t="shared" si="21"/>
        <v>1038740.892853644</v>
      </c>
      <c r="N67" s="86">
        <f t="shared" si="21"/>
        <v>1038740.892853644</v>
      </c>
      <c r="O67" s="86">
        <f t="shared" si="21"/>
        <v>1038740.892853644</v>
      </c>
      <c r="P67" s="86">
        <f t="shared" si="21"/>
        <v>1038740.892853644</v>
      </c>
      <c r="Q67" s="86">
        <f t="shared" si="21"/>
        <v>1038740.892853644</v>
      </c>
      <c r="R67" s="86">
        <f t="shared" si="21"/>
        <v>1038740.892853644</v>
      </c>
      <c r="S67" s="86">
        <f t="shared" si="21"/>
        <v>1038740.892853644</v>
      </c>
      <c r="T67" s="87"/>
      <c r="U67" s="82"/>
    </row>
    <row r="68" spans="1:21" x14ac:dyDescent="0.25">
      <c r="A68" s="82"/>
      <c r="B68" s="88"/>
      <c r="C68" s="89"/>
      <c r="D68" s="90"/>
      <c r="E68" s="89" t="s">
        <v>381</v>
      </c>
      <c r="F68" s="89"/>
      <c r="G68" s="91">
        <f>G67</f>
        <v>1038740.892853644</v>
      </c>
      <c r="H68" s="91">
        <f t="shared" ref="H68:S68" si="22">H67</f>
        <v>1038740.892853644</v>
      </c>
      <c r="I68" s="91">
        <f t="shared" si="22"/>
        <v>1038740.892853644</v>
      </c>
      <c r="J68" s="91">
        <f t="shared" si="22"/>
        <v>1038740.892853644</v>
      </c>
      <c r="K68" s="91">
        <f t="shared" si="22"/>
        <v>1038740.892853644</v>
      </c>
      <c r="L68" s="91">
        <f t="shared" si="22"/>
        <v>1038740.892853644</v>
      </c>
      <c r="M68" s="91">
        <f t="shared" si="22"/>
        <v>1038740.892853644</v>
      </c>
      <c r="N68" s="91">
        <f t="shared" si="22"/>
        <v>1038740.892853644</v>
      </c>
      <c r="O68" s="91">
        <f t="shared" si="22"/>
        <v>1038740.892853644</v>
      </c>
      <c r="P68" s="91">
        <f t="shared" si="22"/>
        <v>1038740.892853644</v>
      </c>
      <c r="Q68" s="91">
        <f t="shared" si="22"/>
        <v>1038740.892853644</v>
      </c>
      <c r="R68" s="91">
        <f t="shared" si="22"/>
        <v>1038740.892853644</v>
      </c>
      <c r="S68" s="91">
        <f t="shared" si="22"/>
        <v>1038740.892853644</v>
      </c>
      <c r="T68" s="92">
        <f>SUM(G68:S68)/13</f>
        <v>1038740.8928536439</v>
      </c>
      <c r="U68" s="82"/>
    </row>
    <row r="69" spans="1:21" x14ac:dyDescent="0.25">
      <c r="A69" s="82"/>
      <c r="B69" s="88"/>
      <c r="C69" s="89"/>
      <c r="D69" s="90"/>
      <c r="E69" s="89"/>
      <c r="F69" s="89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2"/>
      <c r="U69" s="82"/>
    </row>
    <row r="70" spans="1:21" x14ac:dyDescent="0.25">
      <c r="A70" s="82"/>
      <c r="B70" s="88"/>
      <c r="C70" s="89" t="s">
        <v>412</v>
      </c>
      <c r="D70" s="90">
        <f>D67</f>
        <v>8.9244411496124013E-2</v>
      </c>
      <c r="E70" s="89"/>
      <c r="F70" s="89"/>
      <c r="G70" s="79">
        <f t="shared" ref="G70:S70" si="23">G$8*$D70</f>
        <v>0</v>
      </c>
      <c r="H70" s="79">
        <f t="shared" si="23"/>
        <v>0</v>
      </c>
      <c r="I70" s="79">
        <f t="shared" si="23"/>
        <v>0</v>
      </c>
      <c r="J70" s="79">
        <f t="shared" si="23"/>
        <v>0</v>
      </c>
      <c r="K70" s="79">
        <f t="shared" si="23"/>
        <v>305.03739849375188</v>
      </c>
      <c r="L70" s="79">
        <f t="shared" si="23"/>
        <v>305.03739849375188</v>
      </c>
      <c r="M70" s="79">
        <f t="shared" si="23"/>
        <v>0</v>
      </c>
      <c r="N70" s="79">
        <f t="shared" si="23"/>
        <v>0</v>
      </c>
      <c r="O70" s="79">
        <f t="shared" si="23"/>
        <v>0</v>
      </c>
      <c r="P70" s="79">
        <f t="shared" si="23"/>
        <v>121.72937728071315</v>
      </c>
      <c r="Q70" s="79">
        <f t="shared" si="23"/>
        <v>0</v>
      </c>
      <c r="R70" s="79">
        <f t="shared" si="23"/>
        <v>0</v>
      </c>
      <c r="S70" s="79">
        <f t="shared" si="23"/>
        <v>0</v>
      </c>
      <c r="T70" s="92"/>
      <c r="U70" s="82"/>
    </row>
    <row r="71" spans="1:21" x14ac:dyDescent="0.25">
      <c r="A71" s="82"/>
      <c r="B71" s="88"/>
      <c r="C71" s="89"/>
      <c r="D71" s="90"/>
      <c r="E71" s="89" t="s">
        <v>69</v>
      </c>
      <c r="F71" s="89"/>
      <c r="G71" s="91">
        <f>G70</f>
        <v>0</v>
      </c>
      <c r="H71" s="91">
        <f t="shared" ref="H71:S71" si="24">H70</f>
        <v>0</v>
      </c>
      <c r="I71" s="91">
        <f t="shared" si="24"/>
        <v>0</v>
      </c>
      <c r="J71" s="91">
        <f t="shared" si="24"/>
        <v>0</v>
      </c>
      <c r="K71" s="91">
        <f t="shared" si="24"/>
        <v>305.03739849375188</v>
      </c>
      <c r="L71" s="91">
        <f t="shared" si="24"/>
        <v>305.03739849375188</v>
      </c>
      <c r="M71" s="91">
        <f t="shared" si="24"/>
        <v>0</v>
      </c>
      <c r="N71" s="91">
        <f t="shared" si="24"/>
        <v>0</v>
      </c>
      <c r="O71" s="91">
        <f t="shared" si="24"/>
        <v>0</v>
      </c>
      <c r="P71" s="91">
        <f t="shared" si="24"/>
        <v>121.72937728071315</v>
      </c>
      <c r="Q71" s="91">
        <f t="shared" si="24"/>
        <v>0</v>
      </c>
      <c r="R71" s="91">
        <f t="shared" si="24"/>
        <v>0</v>
      </c>
      <c r="S71" s="91">
        <f t="shared" si="24"/>
        <v>0</v>
      </c>
      <c r="T71" s="92">
        <f>SUM(G71:S71)/13</f>
        <v>56.292628789862839</v>
      </c>
      <c r="U71" s="82"/>
    </row>
    <row r="72" spans="1:21" x14ac:dyDescent="0.25">
      <c r="A72" s="82"/>
      <c r="B72" s="88"/>
      <c r="C72" s="89"/>
      <c r="D72" s="90"/>
      <c r="E72" s="89"/>
      <c r="F72" s="89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2"/>
      <c r="U72" s="82"/>
    </row>
    <row r="73" spans="1:21" x14ac:dyDescent="0.25">
      <c r="A73" s="82"/>
      <c r="B73" s="88"/>
      <c r="C73" s="93" t="s">
        <v>415</v>
      </c>
      <c r="D73" s="90">
        <f>+D67</f>
        <v>8.9244411496124013E-2</v>
      </c>
      <c r="E73" s="89"/>
      <c r="F73" s="89"/>
      <c r="G73" s="79">
        <f>G$48*$D73</f>
        <v>-79079.806771956326</v>
      </c>
      <c r="H73" s="79">
        <f>H$48*$D73</f>
        <v>-81844.304155933554</v>
      </c>
      <c r="I73" s="79">
        <f t="shared" ref="I73:S73" si="25">I$48*$D73</f>
        <v>-84608.801539910797</v>
      </c>
      <c r="J73" s="79">
        <f t="shared" si="25"/>
        <v>-87373.29892388804</v>
      </c>
      <c r="K73" s="79">
        <f t="shared" si="25"/>
        <v>-90137.796307865283</v>
      </c>
      <c r="L73" s="79">
        <f t="shared" si="25"/>
        <v>-92902.293691842526</v>
      </c>
      <c r="M73" s="79">
        <f t="shared" si="25"/>
        <v>-95666.791075819783</v>
      </c>
      <c r="N73" s="79">
        <f t="shared" si="25"/>
        <v>-98431.288459797026</v>
      </c>
      <c r="O73" s="79">
        <f t="shared" si="25"/>
        <v>-101195.78584377427</v>
      </c>
      <c r="P73" s="79">
        <f t="shared" si="25"/>
        <v>-103960.28322775151</v>
      </c>
      <c r="Q73" s="79">
        <f t="shared" si="25"/>
        <v>-106724.78061172874</v>
      </c>
      <c r="R73" s="79">
        <f t="shared" si="25"/>
        <v>-109489.27799570597</v>
      </c>
      <c r="S73" s="79">
        <f t="shared" si="25"/>
        <v>-112253.77537968321</v>
      </c>
      <c r="T73" s="92"/>
      <c r="U73" s="82"/>
    </row>
    <row r="74" spans="1:21" x14ac:dyDescent="0.25">
      <c r="A74" s="82"/>
      <c r="B74" s="88"/>
      <c r="C74" s="89"/>
      <c r="D74" s="90"/>
      <c r="E74" s="89" t="s">
        <v>396</v>
      </c>
      <c r="F74" s="89"/>
      <c r="G74" s="91">
        <f>+G73</f>
        <v>-79079.806771956326</v>
      </c>
      <c r="H74" s="91">
        <f t="shared" ref="H74:S74" si="26">+H73</f>
        <v>-81844.304155933554</v>
      </c>
      <c r="I74" s="91">
        <f t="shared" si="26"/>
        <v>-84608.801539910797</v>
      </c>
      <c r="J74" s="91">
        <f t="shared" si="26"/>
        <v>-87373.29892388804</v>
      </c>
      <c r="K74" s="91">
        <f t="shared" si="26"/>
        <v>-90137.796307865283</v>
      </c>
      <c r="L74" s="91">
        <f t="shared" si="26"/>
        <v>-92902.293691842526</v>
      </c>
      <c r="M74" s="91">
        <f t="shared" si="26"/>
        <v>-95666.791075819783</v>
      </c>
      <c r="N74" s="91">
        <f t="shared" si="26"/>
        <v>-98431.288459797026</v>
      </c>
      <c r="O74" s="91">
        <f t="shared" si="26"/>
        <v>-101195.78584377427</v>
      </c>
      <c r="P74" s="91">
        <f t="shared" si="26"/>
        <v>-103960.28322775151</v>
      </c>
      <c r="Q74" s="91">
        <f t="shared" si="26"/>
        <v>-106724.78061172874</v>
      </c>
      <c r="R74" s="91">
        <f t="shared" si="26"/>
        <v>-109489.27799570597</v>
      </c>
      <c r="S74" s="91">
        <f t="shared" si="26"/>
        <v>-112253.77537968321</v>
      </c>
      <c r="T74" s="92">
        <f>SUM(G74:S74)/13</f>
        <v>-95666.791075819783</v>
      </c>
      <c r="U74" s="82"/>
    </row>
    <row r="75" spans="1:21" ht="15.75" thickBot="1" x14ac:dyDescent="0.3">
      <c r="A75" s="82"/>
      <c r="B75" s="94"/>
      <c r="C75" s="95"/>
      <c r="D75" s="96"/>
      <c r="E75" s="95"/>
      <c r="F75" s="95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2"/>
      <c r="U75" s="82"/>
    </row>
    <row r="76" spans="1:21" x14ac:dyDescent="0.25">
      <c r="A76" s="82"/>
      <c r="B76" s="83" t="s">
        <v>416</v>
      </c>
      <c r="C76" s="84" t="s">
        <v>411</v>
      </c>
      <c r="D76" s="85">
        <f>'Allocation Factors 23'!B11</f>
        <v>8.535118756709327E-2</v>
      </c>
      <c r="E76" s="84"/>
      <c r="F76" s="84"/>
      <c r="G76" s="86">
        <f t="shared" ref="G76:S76" si="27">(G$26)*$D76</f>
        <v>993426.56075906567</v>
      </c>
      <c r="H76" s="86">
        <f t="shared" si="27"/>
        <v>993426.56075906567</v>
      </c>
      <c r="I76" s="86">
        <f t="shared" si="27"/>
        <v>993426.56075906567</v>
      </c>
      <c r="J76" s="86">
        <f t="shared" si="27"/>
        <v>993426.56075906567</v>
      </c>
      <c r="K76" s="86">
        <f t="shared" si="27"/>
        <v>993426.56075906567</v>
      </c>
      <c r="L76" s="86">
        <f t="shared" si="27"/>
        <v>993426.56075906567</v>
      </c>
      <c r="M76" s="86">
        <f t="shared" si="27"/>
        <v>993426.56075906567</v>
      </c>
      <c r="N76" s="86">
        <f t="shared" si="27"/>
        <v>993426.56075906567</v>
      </c>
      <c r="O76" s="86">
        <f t="shared" si="27"/>
        <v>993426.56075906567</v>
      </c>
      <c r="P76" s="86">
        <f t="shared" si="27"/>
        <v>993426.56075906567</v>
      </c>
      <c r="Q76" s="86">
        <f t="shared" si="27"/>
        <v>993426.56075906567</v>
      </c>
      <c r="R76" s="86">
        <f t="shared" si="27"/>
        <v>993426.56075906567</v>
      </c>
      <c r="S76" s="86">
        <f t="shared" si="27"/>
        <v>993426.56075906567</v>
      </c>
      <c r="T76" s="87"/>
      <c r="U76" s="82"/>
    </row>
    <row r="77" spans="1:21" x14ac:dyDescent="0.25">
      <c r="A77" s="82"/>
      <c r="B77" s="88"/>
      <c r="C77" s="89"/>
      <c r="D77" s="90"/>
      <c r="E77" s="89" t="s">
        <v>381</v>
      </c>
      <c r="F77" s="89"/>
      <c r="G77" s="91">
        <f>G76</f>
        <v>993426.56075906567</v>
      </c>
      <c r="H77" s="91">
        <f t="shared" ref="H77:S77" si="28">H76</f>
        <v>993426.56075906567</v>
      </c>
      <c r="I77" s="91">
        <f t="shared" si="28"/>
        <v>993426.56075906567</v>
      </c>
      <c r="J77" s="91">
        <f t="shared" si="28"/>
        <v>993426.56075906567</v>
      </c>
      <c r="K77" s="91">
        <f t="shared" si="28"/>
        <v>993426.56075906567</v>
      </c>
      <c r="L77" s="91">
        <f t="shared" si="28"/>
        <v>993426.56075906567</v>
      </c>
      <c r="M77" s="91">
        <f t="shared" si="28"/>
        <v>993426.56075906567</v>
      </c>
      <c r="N77" s="91">
        <f t="shared" si="28"/>
        <v>993426.56075906567</v>
      </c>
      <c r="O77" s="91">
        <f t="shared" si="28"/>
        <v>993426.56075906567</v>
      </c>
      <c r="P77" s="91">
        <f t="shared" si="28"/>
        <v>993426.56075906567</v>
      </c>
      <c r="Q77" s="91">
        <f t="shared" si="28"/>
        <v>993426.56075906567</v>
      </c>
      <c r="R77" s="91">
        <f t="shared" si="28"/>
        <v>993426.56075906567</v>
      </c>
      <c r="S77" s="91">
        <f t="shared" si="28"/>
        <v>993426.56075906567</v>
      </c>
      <c r="T77" s="92">
        <f>SUM(G77:S77)/13</f>
        <v>993426.56075906567</v>
      </c>
      <c r="U77" s="82"/>
    </row>
    <row r="78" spans="1:21" x14ac:dyDescent="0.25">
      <c r="A78" s="82"/>
      <c r="B78" s="88"/>
      <c r="C78" s="89"/>
      <c r="D78" s="90"/>
      <c r="E78" s="89"/>
      <c r="F78" s="89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2"/>
      <c r="U78" s="82"/>
    </row>
    <row r="79" spans="1:21" x14ac:dyDescent="0.25">
      <c r="A79" s="82"/>
      <c r="B79" s="88"/>
      <c r="C79" s="89" t="s">
        <v>412</v>
      </c>
      <c r="D79" s="90">
        <f>D76</f>
        <v>8.535118756709327E-2</v>
      </c>
      <c r="E79" s="89"/>
      <c r="F79" s="89"/>
      <c r="G79" s="79">
        <f>G$8*$D79</f>
        <v>0</v>
      </c>
      <c r="H79" s="79">
        <f t="shared" ref="H79:S79" si="29">H$8*$D79</f>
        <v>0</v>
      </c>
      <c r="I79" s="79">
        <f t="shared" si="29"/>
        <v>0</v>
      </c>
      <c r="J79" s="79">
        <f t="shared" si="29"/>
        <v>0</v>
      </c>
      <c r="K79" s="79">
        <f t="shared" si="29"/>
        <v>291.7303591043248</v>
      </c>
      <c r="L79" s="79">
        <f t="shared" si="29"/>
        <v>291.7303591043248</v>
      </c>
      <c r="M79" s="79">
        <f t="shared" si="29"/>
        <v>0</v>
      </c>
      <c r="N79" s="79">
        <f t="shared" si="29"/>
        <v>0</v>
      </c>
      <c r="O79" s="79">
        <f t="shared" si="29"/>
        <v>0</v>
      </c>
      <c r="P79" s="79">
        <f t="shared" si="29"/>
        <v>116.41901984151522</v>
      </c>
      <c r="Q79" s="79">
        <f t="shared" si="29"/>
        <v>0</v>
      </c>
      <c r="R79" s="79">
        <f t="shared" si="29"/>
        <v>0</v>
      </c>
      <c r="S79" s="79">
        <f t="shared" si="29"/>
        <v>0</v>
      </c>
      <c r="T79" s="92"/>
      <c r="U79" s="82"/>
    </row>
    <row r="80" spans="1:21" x14ac:dyDescent="0.25">
      <c r="A80" s="82"/>
      <c r="B80" s="88"/>
      <c r="C80" s="89"/>
      <c r="D80" s="90"/>
      <c r="E80" s="89" t="s">
        <v>69</v>
      </c>
      <c r="F80" s="89"/>
      <c r="G80" s="91">
        <f>G79</f>
        <v>0</v>
      </c>
      <c r="H80" s="91">
        <f t="shared" ref="H80:S80" si="30">H79</f>
        <v>0</v>
      </c>
      <c r="I80" s="91">
        <f t="shared" si="30"/>
        <v>0</v>
      </c>
      <c r="J80" s="91">
        <f t="shared" si="30"/>
        <v>0</v>
      </c>
      <c r="K80" s="91">
        <f t="shared" si="30"/>
        <v>291.7303591043248</v>
      </c>
      <c r="L80" s="91">
        <f t="shared" si="30"/>
        <v>291.7303591043248</v>
      </c>
      <c r="M80" s="91">
        <f t="shared" si="30"/>
        <v>0</v>
      </c>
      <c r="N80" s="91">
        <f t="shared" si="30"/>
        <v>0</v>
      </c>
      <c r="O80" s="91">
        <f t="shared" si="30"/>
        <v>0</v>
      </c>
      <c r="P80" s="91">
        <f t="shared" si="30"/>
        <v>116.41901984151522</v>
      </c>
      <c r="Q80" s="91">
        <f t="shared" si="30"/>
        <v>0</v>
      </c>
      <c r="R80" s="91">
        <f t="shared" si="30"/>
        <v>0</v>
      </c>
      <c r="S80" s="91">
        <f t="shared" si="30"/>
        <v>0</v>
      </c>
      <c r="T80" s="92">
        <f>SUM(G80:S80)/13</f>
        <v>53.836902926935757</v>
      </c>
      <c r="U80" s="82"/>
    </row>
    <row r="81" spans="1:21" x14ac:dyDescent="0.25">
      <c r="A81" s="82"/>
      <c r="B81" s="88"/>
      <c r="C81" s="93"/>
      <c r="D81" s="90"/>
      <c r="E81" s="89"/>
      <c r="F81" s="89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2"/>
      <c r="U81" s="82"/>
    </row>
    <row r="82" spans="1:21" x14ac:dyDescent="0.25">
      <c r="A82" s="82"/>
      <c r="B82" s="88"/>
      <c r="C82" s="89" t="s">
        <v>413</v>
      </c>
      <c r="D82" s="90">
        <f>D76</f>
        <v>8.535118756709327E-2</v>
      </c>
      <c r="E82" s="89"/>
      <c r="F82" s="89"/>
      <c r="G82" s="79">
        <f>(G$48)*$D82</f>
        <v>-75630.006489043604</v>
      </c>
      <c r="H82" s="79">
        <f t="shared" ref="H82:S82" si="31">(H$48)*$D82</f>
        <v>-78273.904642361886</v>
      </c>
      <c r="I82" s="79">
        <f t="shared" si="31"/>
        <v>-80917.802795680182</v>
      </c>
      <c r="J82" s="79">
        <f t="shared" si="31"/>
        <v>-83561.700948998478</v>
      </c>
      <c r="K82" s="79">
        <f t="shared" si="31"/>
        <v>-86205.599102316773</v>
      </c>
      <c r="L82" s="79">
        <f t="shared" si="31"/>
        <v>-88849.497255635069</v>
      </c>
      <c r="M82" s="79">
        <f t="shared" si="31"/>
        <v>-91493.39540895338</v>
      </c>
      <c r="N82" s="79">
        <f t="shared" si="31"/>
        <v>-94137.293562271676</v>
      </c>
      <c r="O82" s="79">
        <f t="shared" si="31"/>
        <v>-96781.191715589972</v>
      </c>
      <c r="P82" s="79">
        <f t="shared" si="31"/>
        <v>-99425.089868908268</v>
      </c>
      <c r="Q82" s="79">
        <f t="shared" si="31"/>
        <v>-102068.98802222655</v>
      </c>
      <c r="R82" s="79">
        <f t="shared" si="31"/>
        <v>-104712.88617554483</v>
      </c>
      <c r="S82" s="79">
        <f t="shared" si="31"/>
        <v>-107356.78432886313</v>
      </c>
      <c r="T82" s="92"/>
      <c r="U82" s="82"/>
    </row>
    <row r="83" spans="1:21" x14ac:dyDescent="0.25">
      <c r="A83" s="82"/>
      <c r="B83" s="88"/>
      <c r="C83" s="89"/>
      <c r="D83" s="90"/>
      <c r="E83" s="89" t="s">
        <v>396</v>
      </c>
      <c r="F83" s="89"/>
      <c r="G83" s="91">
        <f>G82</f>
        <v>-75630.006489043604</v>
      </c>
      <c r="H83" s="91">
        <f t="shared" ref="H83:S83" si="32">H82</f>
        <v>-78273.904642361886</v>
      </c>
      <c r="I83" s="91">
        <f t="shared" si="32"/>
        <v>-80917.802795680182</v>
      </c>
      <c r="J83" s="91">
        <f t="shared" si="32"/>
        <v>-83561.700948998478</v>
      </c>
      <c r="K83" s="91">
        <f t="shared" si="32"/>
        <v>-86205.599102316773</v>
      </c>
      <c r="L83" s="91">
        <f t="shared" si="32"/>
        <v>-88849.497255635069</v>
      </c>
      <c r="M83" s="91">
        <f t="shared" si="32"/>
        <v>-91493.39540895338</v>
      </c>
      <c r="N83" s="91">
        <f t="shared" si="32"/>
        <v>-94137.293562271676</v>
      </c>
      <c r="O83" s="91">
        <f t="shared" si="32"/>
        <v>-96781.191715589972</v>
      </c>
      <c r="P83" s="91">
        <f t="shared" si="32"/>
        <v>-99425.089868908268</v>
      </c>
      <c r="Q83" s="91">
        <f t="shared" si="32"/>
        <v>-102068.98802222655</v>
      </c>
      <c r="R83" s="91">
        <f t="shared" si="32"/>
        <v>-104712.88617554483</v>
      </c>
      <c r="S83" s="91">
        <f t="shared" si="32"/>
        <v>-107356.78432886313</v>
      </c>
      <c r="T83" s="92">
        <f>SUM(G83:S83)/13</f>
        <v>-91493.39540895338</v>
      </c>
      <c r="U83" s="82"/>
    </row>
    <row r="84" spans="1:21" ht="15.75" thickBot="1" x14ac:dyDescent="0.3">
      <c r="A84" s="82"/>
      <c r="B84" s="94"/>
      <c r="C84" s="95"/>
      <c r="D84" s="96"/>
      <c r="E84" s="95"/>
      <c r="F84" s="95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2"/>
      <c r="U84" s="82"/>
    </row>
    <row r="85" spans="1:21" x14ac:dyDescent="0.25">
      <c r="A85" s="82"/>
      <c r="B85" s="83" t="s">
        <v>417</v>
      </c>
      <c r="C85" s="84" t="s">
        <v>411</v>
      </c>
      <c r="D85" s="85">
        <f>'Allocation Factors 23'!D11</f>
        <v>1.8279787732201304E-3</v>
      </c>
      <c r="E85" s="84"/>
      <c r="F85" s="84"/>
      <c r="G85" s="86">
        <f>(G$26)*$D85</f>
        <v>21276.360851958263</v>
      </c>
      <c r="H85" s="86">
        <f t="shared" ref="H85:S85" si="33">(H$26)*$D85</f>
        <v>21276.360851958263</v>
      </c>
      <c r="I85" s="86">
        <f t="shared" si="33"/>
        <v>21276.360851958263</v>
      </c>
      <c r="J85" s="86">
        <f t="shared" si="33"/>
        <v>21276.360851958263</v>
      </c>
      <c r="K85" s="86">
        <f t="shared" si="33"/>
        <v>21276.360851958263</v>
      </c>
      <c r="L85" s="86">
        <f t="shared" si="33"/>
        <v>21276.360851958263</v>
      </c>
      <c r="M85" s="86">
        <f t="shared" si="33"/>
        <v>21276.360851958263</v>
      </c>
      <c r="N85" s="86">
        <f t="shared" si="33"/>
        <v>21276.360851958263</v>
      </c>
      <c r="O85" s="86">
        <f t="shared" si="33"/>
        <v>21276.360851958263</v>
      </c>
      <c r="P85" s="86">
        <f t="shared" si="33"/>
        <v>21276.360851958263</v>
      </c>
      <c r="Q85" s="86">
        <f t="shared" si="33"/>
        <v>21276.360851958263</v>
      </c>
      <c r="R85" s="86">
        <f t="shared" si="33"/>
        <v>21276.360851958263</v>
      </c>
      <c r="S85" s="86">
        <f t="shared" si="33"/>
        <v>21276.360851958263</v>
      </c>
      <c r="T85" s="87"/>
      <c r="U85" s="82"/>
    </row>
    <row r="86" spans="1:21" x14ac:dyDescent="0.25">
      <c r="A86" s="82"/>
      <c r="B86" s="88"/>
      <c r="C86" s="98" t="s">
        <v>418</v>
      </c>
      <c r="D86" s="90"/>
      <c r="E86" s="89" t="s">
        <v>381</v>
      </c>
      <c r="F86" s="89"/>
      <c r="G86" s="91">
        <f>G85</f>
        <v>21276.360851958263</v>
      </c>
      <c r="H86" s="91">
        <f t="shared" ref="H86:S86" si="34">H85</f>
        <v>21276.360851958263</v>
      </c>
      <c r="I86" s="91">
        <f t="shared" si="34"/>
        <v>21276.360851958263</v>
      </c>
      <c r="J86" s="91">
        <f t="shared" si="34"/>
        <v>21276.360851958263</v>
      </c>
      <c r="K86" s="91">
        <f t="shared" si="34"/>
        <v>21276.360851958263</v>
      </c>
      <c r="L86" s="91">
        <f t="shared" si="34"/>
        <v>21276.360851958263</v>
      </c>
      <c r="M86" s="91">
        <f t="shared" si="34"/>
        <v>21276.360851958263</v>
      </c>
      <c r="N86" s="91">
        <f t="shared" si="34"/>
        <v>21276.360851958263</v>
      </c>
      <c r="O86" s="91">
        <f t="shared" si="34"/>
        <v>21276.360851958263</v>
      </c>
      <c r="P86" s="91">
        <f t="shared" si="34"/>
        <v>21276.360851958263</v>
      </c>
      <c r="Q86" s="91">
        <f t="shared" si="34"/>
        <v>21276.360851958263</v>
      </c>
      <c r="R86" s="91">
        <f t="shared" si="34"/>
        <v>21276.360851958263</v>
      </c>
      <c r="S86" s="91">
        <f t="shared" si="34"/>
        <v>21276.360851958263</v>
      </c>
      <c r="T86" s="92">
        <f>SUM(G86:S86)/13</f>
        <v>21276.36085195827</v>
      </c>
      <c r="U86" s="82"/>
    </row>
    <row r="87" spans="1:21" x14ac:dyDescent="0.25">
      <c r="A87" s="82"/>
      <c r="B87" s="88"/>
      <c r="C87" s="89"/>
      <c r="D87" s="90"/>
      <c r="E87" s="89"/>
      <c r="F87" s="89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2"/>
      <c r="U87" s="82"/>
    </row>
    <row r="88" spans="1:21" x14ac:dyDescent="0.25">
      <c r="A88" s="82"/>
      <c r="B88" s="88"/>
      <c r="C88" s="89" t="s">
        <v>412</v>
      </c>
      <c r="D88" s="90">
        <f>D85</f>
        <v>1.8279787732201304E-3</v>
      </c>
      <c r="E88" s="89"/>
      <c r="F88" s="89"/>
      <c r="G88" s="79">
        <f>G$8*$D88</f>
        <v>0</v>
      </c>
      <c r="H88" s="79">
        <f t="shared" ref="H88:S88" si="35">H$8*$D88</f>
        <v>0</v>
      </c>
      <c r="I88" s="79">
        <f t="shared" si="35"/>
        <v>0</v>
      </c>
      <c r="J88" s="79">
        <f t="shared" si="35"/>
        <v>0</v>
      </c>
      <c r="K88" s="79">
        <f t="shared" si="35"/>
        <v>6.2480314468664053</v>
      </c>
      <c r="L88" s="79">
        <f t="shared" si="35"/>
        <v>6.2480314468664053</v>
      </c>
      <c r="M88" s="79">
        <f t="shared" si="35"/>
        <v>0</v>
      </c>
      <c r="N88" s="79">
        <f t="shared" si="35"/>
        <v>0</v>
      </c>
      <c r="O88" s="79">
        <f t="shared" si="35"/>
        <v>0</v>
      </c>
      <c r="P88" s="79">
        <f t="shared" si="35"/>
        <v>2.4933630466722576</v>
      </c>
      <c r="Q88" s="79">
        <f t="shared" si="35"/>
        <v>0</v>
      </c>
      <c r="R88" s="79">
        <f t="shared" si="35"/>
        <v>0</v>
      </c>
      <c r="S88" s="79">
        <f t="shared" si="35"/>
        <v>0</v>
      </c>
      <c r="T88" s="92"/>
      <c r="U88" s="82"/>
    </row>
    <row r="89" spans="1:21" x14ac:dyDescent="0.25">
      <c r="A89" s="82"/>
      <c r="B89" s="88"/>
      <c r="C89" s="89"/>
      <c r="D89" s="90"/>
      <c r="E89" s="89" t="s">
        <v>69</v>
      </c>
      <c r="F89" s="89"/>
      <c r="G89" s="91">
        <f>G88</f>
        <v>0</v>
      </c>
      <c r="H89" s="91">
        <f t="shared" ref="H89:S89" si="36">H88</f>
        <v>0</v>
      </c>
      <c r="I89" s="91">
        <f t="shared" si="36"/>
        <v>0</v>
      </c>
      <c r="J89" s="91">
        <f t="shared" si="36"/>
        <v>0</v>
      </c>
      <c r="K89" s="91">
        <f t="shared" si="36"/>
        <v>6.2480314468664053</v>
      </c>
      <c r="L89" s="91">
        <f t="shared" si="36"/>
        <v>6.2480314468664053</v>
      </c>
      <c r="M89" s="91">
        <f t="shared" si="36"/>
        <v>0</v>
      </c>
      <c r="N89" s="91">
        <f t="shared" si="36"/>
        <v>0</v>
      </c>
      <c r="O89" s="91">
        <f t="shared" si="36"/>
        <v>0</v>
      </c>
      <c r="P89" s="91">
        <f t="shared" si="36"/>
        <v>2.4933630466722576</v>
      </c>
      <c r="Q89" s="91">
        <f t="shared" si="36"/>
        <v>0</v>
      </c>
      <c r="R89" s="91">
        <f t="shared" si="36"/>
        <v>0</v>
      </c>
      <c r="S89" s="91">
        <f t="shared" si="36"/>
        <v>0</v>
      </c>
      <c r="T89" s="92">
        <f>SUM(G89:S89)/13</f>
        <v>1.1530327646465437</v>
      </c>
      <c r="U89" s="82"/>
    </row>
    <row r="90" spans="1:21" x14ac:dyDescent="0.25">
      <c r="A90" s="82"/>
      <c r="B90" s="88"/>
      <c r="C90" s="93"/>
      <c r="D90" s="90"/>
      <c r="E90" s="89"/>
      <c r="F90" s="89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2"/>
      <c r="U90" s="82"/>
    </row>
    <row r="91" spans="1:21" x14ac:dyDescent="0.25">
      <c r="A91" s="82"/>
      <c r="B91" s="88"/>
      <c r="C91" s="89" t="s">
        <v>413</v>
      </c>
      <c r="D91" s="90">
        <f>D85</f>
        <v>1.8279787732201304E-3</v>
      </c>
      <c r="E91" s="89"/>
      <c r="F91" s="89"/>
      <c r="G91" s="79">
        <f>(G$48)*$D91</f>
        <v>-1619.7788269998725</v>
      </c>
      <c r="H91" s="79">
        <f t="shared" ref="H91:S91" si="37">(H$48)*$D91</f>
        <v>-1676.4035775227937</v>
      </c>
      <c r="I91" s="79">
        <f t="shared" si="37"/>
        <v>-1733.0283280457154</v>
      </c>
      <c r="J91" s="79">
        <f t="shared" si="37"/>
        <v>-1789.6530785686368</v>
      </c>
      <c r="K91" s="79">
        <f t="shared" si="37"/>
        <v>-1846.2778290915587</v>
      </c>
      <c r="L91" s="79">
        <f t="shared" si="37"/>
        <v>-1902.9025796144804</v>
      </c>
      <c r="M91" s="79">
        <f t="shared" si="37"/>
        <v>-1959.527330137402</v>
      </c>
      <c r="N91" s="79">
        <f t="shared" si="37"/>
        <v>-2016.1520806603237</v>
      </c>
      <c r="O91" s="79">
        <f t="shared" si="37"/>
        <v>-2072.7768311832456</v>
      </c>
      <c r="P91" s="79">
        <f t="shared" si="37"/>
        <v>-2129.4015817061672</v>
      </c>
      <c r="Q91" s="79">
        <f t="shared" si="37"/>
        <v>-2186.0263322290884</v>
      </c>
      <c r="R91" s="79">
        <f t="shared" si="37"/>
        <v>-2242.6510827520096</v>
      </c>
      <c r="S91" s="79">
        <f t="shared" si="37"/>
        <v>-2299.2758332749313</v>
      </c>
      <c r="T91" s="92"/>
      <c r="U91" s="82"/>
    </row>
    <row r="92" spans="1:21" x14ac:dyDescent="0.25">
      <c r="A92" s="82"/>
      <c r="B92" s="88"/>
      <c r="C92" s="89"/>
      <c r="D92" s="90"/>
      <c r="E92" s="89" t="s">
        <v>396</v>
      </c>
      <c r="F92" s="89"/>
      <c r="G92" s="91">
        <f>G91</f>
        <v>-1619.7788269998725</v>
      </c>
      <c r="H92" s="91">
        <f t="shared" ref="H92:S92" si="38">H91</f>
        <v>-1676.4035775227937</v>
      </c>
      <c r="I92" s="91">
        <f t="shared" si="38"/>
        <v>-1733.0283280457154</v>
      </c>
      <c r="J92" s="91">
        <f t="shared" si="38"/>
        <v>-1789.6530785686368</v>
      </c>
      <c r="K92" s="91">
        <f t="shared" si="38"/>
        <v>-1846.2778290915587</v>
      </c>
      <c r="L92" s="91">
        <f t="shared" si="38"/>
        <v>-1902.9025796144804</v>
      </c>
      <c r="M92" s="91">
        <f t="shared" si="38"/>
        <v>-1959.527330137402</v>
      </c>
      <c r="N92" s="91">
        <f t="shared" si="38"/>
        <v>-2016.1520806603237</v>
      </c>
      <c r="O92" s="91">
        <f t="shared" si="38"/>
        <v>-2072.7768311832456</v>
      </c>
      <c r="P92" s="91">
        <f t="shared" si="38"/>
        <v>-2129.4015817061672</v>
      </c>
      <c r="Q92" s="91">
        <f t="shared" si="38"/>
        <v>-2186.0263322290884</v>
      </c>
      <c r="R92" s="91">
        <f t="shared" si="38"/>
        <v>-2242.6510827520096</v>
      </c>
      <c r="S92" s="91">
        <f t="shared" si="38"/>
        <v>-2299.2758332749313</v>
      </c>
      <c r="T92" s="92">
        <f>SUM(G92:S92)/13</f>
        <v>-1959.527330137402</v>
      </c>
      <c r="U92" s="82"/>
    </row>
    <row r="93" spans="1:21" ht="15.75" thickBot="1" x14ac:dyDescent="0.3">
      <c r="A93" s="82"/>
      <c r="B93" s="94"/>
      <c r="C93" s="95"/>
      <c r="D93" s="96"/>
      <c r="E93" s="95"/>
      <c r="F93" s="95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2"/>
      <c r="U93" s="82"/>
    </row>
    <row r="94" spans="1:21" x14ac:dyDescent="0.25">
      <c r="A94" s="82"/>
      <c r="B94" s="83" t="s">
        <v>419</v>
      </c>
      <c r="C94" s="84" t="s">
        <v>411</v>
      </c>
      <c r="D94" s="85">
        <f>'Allocation Factors 23'!F11</f>
        <v>1.0336046913033991E-3</v>
      </c>
      <c r="E94" s="84"/>
      <c r="F94" s="84"/>
      <c r="G94" s="86">
        <f>(G$26)*$D94</f>
        <v>12030.416716332289</v>
      </c>
      <c r="H94" s="86">
        <f t="shared" ref="H94:S94" si="39">(H$26)*$D94</f>
        <v>12030.416716332289</v>
      </c>
      <c r="I94" s="86">
        <f t="shared" si="39"/>
        <v>12030.416716332289</v>
      </c>
      <c r="J94" s="86">
        <f t="shared" si="39"/>
        <v>12030.416716332289</v>
      </c>
      <c r="K94" s="86">
        <f t="shared" si="39"/>
        <v>12030.416716332289</v>
      </c>
      <c r="L94" s="86">
        <f t="shared" si="39"/>
        <v>12030.416716332289</v>
      </c>
      <c r="M94" s="86">
        <f t="shared" si="39"/>
        <v>12030.416716332289</v>
      </c>
      <c r="N94" s="86">
        <f t="shared" si="39"/>
        <v>12030.416716332289</v>
      </c>
      <c r="O94" s="86">
        <f t="shared" si="39"/>
        <v>12030.416716332289</v>
      </c>
      <c r="P94" s="86">
        <f t="shared" si="39"/>
        <v>12030.416716332289</v>
      </c>
      <c r="Q94" s="86">
        <f t="shared" si="39"/>
        <v>12030.416716332289</v>
      </c>
      <c r="R94" s="86">
        <f t="shared" si="39"/>
        <v>12030.416716332289</v>
      </c>
      <c r="S94" s="86">
        <f t="shared" si="39"/>
        <v>12030.416716332289</v>
      </c>
      <c r="T94" s="87"/>
      <c r="U94" s="82"/>
    </row>
    <row r="95" spans="1:21" x14ac:dyDescent="0.25">
      <c r="A95" s="82"/>
      <c r="B95" s="88"/>
      <c r="C95" s="89"/>
      <c r="D95" s="90"/>
      <c r="E95" s="89" t="s">
        <v>381</v>
      </c>
      <c r="F95" s="89"/>
      <c r="G95" s="91">
        <f>G94</f>
        <v>12030.416716332289</v>
      </c>
      <c r="H95" s="91">
        <f t="shared" ref="H95:S95" si="40">H94</f>
        <v>12030.416716332289</v>
      </c>
      <c r="I95" s="91">
        <f t="shared" si="40"/>
        <v>12030.416716332289</v>
      </c>
      <c r="J95" s="91">
        <f t="shared" si="40"/>
        <v>12030.416716332289</v>
      </c>
      <c r="K95" s="91">
        <f t="shared" si="40"/>
        <v>12030.416716332289</v>
      </c>
      <c r="L95" s="91">
        <f t="shared" si="40"/>
        <v>12030.416716332289</v>
      </c>
      <c r="M95" s="91">
        <f t="shared" si="40"/>
        <v>12030.416716332289</v>
      </c>
      <c r="N95" s="91">
        <f t="shared" si="40"/>
        <v>12030.416716332289</v>
      </c>
      <c r="O95" s="91">
        <f t="shared" si="40"/>
        <v>12030.416716332289</v>
      </c>
      <c r="P95" s="91">
        <f t="shared" si="40"/>
        <v>12030.416716332289</v>
      </c>
      <c r="Q95" s="91">
        <f t="shared" si="40"/>
        <v>12030.416716332289</v>
      </c>
      <c r="R95" s="91">
        <f t="shared" si="40"/>
        <v>12030.416716332289</v>
      </c>
      <c r="S95" s="91">
        <f t="shared" si="40"/>
        <v>12030.416716332289</v>
      </c>
      <c r="T95" s="92">
        <f>SUM(G95:S95)/13</f>
        <v>12030.416716332287</v>
      </c>
      <c r="U95" s="82"/>
    </row>
    <row r="96" spans="1:21" x14ac:dyDescent="0.25">
      <c r="A96" s="82"/>
      <c r="B96" s="88"/>
      <c r="C96" s="89"/>
      <c r="D96" s="90"/>
      <c r="E96" s="89"/>
      <c r="F96" s="89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2"/>
      <c r="U96" s="82"/>
    </row>
    <row r="97" spans="1:21" x14ac:dyDescent="0.25">
      <c r="A97" s="82"/>
      <c r="B97" s="88"/>
      <c r="C97" s="89" t="s">
        <v>412</v>
      </c>
      <c r="D97" s="90">
        <f>D94</f>
        <v>1.0336046913033991E-3</v>
      </c>
      <c r="E97" s="89"/>
      <c r="F97" s="89"/>
      <c r="G97" s="79">
        <f>G$8*$D97</f>
        <v>0</v>
      </c>
      <c r="H97" s="79">
        <f t="shared" ref="H97:S97" si="41">H$8*$D97</f>
        <v>0</v>
      </c>
      <c r="I97" s="79">
        <f t="shared" si="41"/>
        <v>0</v>
      </c>
      <c r="J97" s="79">
        <f t="shared" si="41"/>
        <v>0</v>
      </c>
      <c r="K97" s="79">
        <f t="shared" si="41"/>
        <v>3.5328608348750183</v>
      </c>
      <c r="L97" s="79">
        <f t="shared" si="41"/>
        <v>3.5328608348750183</v>
      </c>
      <c r="M97" s="79">
        <f t="shared" si="41"/>
        <v>0</v>
      </c>
      <c r="N97" s="79">
        <f t="shared" si="41"/>
        <v>0</v>
      </c>
      <c r="O97" s="79">
        <f t="shared" si="41"/>
        <v>0</v>
      </c>
      <c r="P97" s="79">
        <f t="shared" si="41"/>
        <v>1.4098367989378364</v>
      </c>
      <c r="Q97" s="79">
        <f t="shared" si="41"/>
        <v>0</v>
      </c>
      <c r="R97" s="79">
        <f t="shared" si="41"/>
        <v>0</v>
      </c>
      <c r="S97" s="79">
        <f t="shared" si="41"/>
        <v>0</v>
      </c>
      <c r="T97" s="92"/>
      <c r="U97" s="82"/>
    </row>
    <row r="98" spans="1:21" x14ac:dyDescent="0.25">
      <c r="A98" s="82"/>
      <c r="B98" s="88"/>
      <c r="C98" s="89"/>
      <c r="D98" s="90"/>
      <c r="E98" s="89" t="s">
        <v>69</v>
      </c>
      <c r="F98" s="89"/>
      <c r="G98" s="91">
        <f>G97</f>
        <v>0</v>
      </c>
      <c r="H98" s="91">
        <f t="shared" ref="H98:S98" si="42">H97</f>
        <v>0</v>
      </c>
      <c r="I98" s="91">
        <f t="shared" si="42"/>
        <v>0</v>
      </c>
      <c r="J98" s="91">
        <f t="shared" si="42"/>
        <v>0</v>
      </c>
      <c r="K98" s="91">
        <f t="shared" si="42"/>
        <v>3.5328608348750183</v>
      </c>
      <c r="L98" s="91">
        <f t="shared" si="42"/>
        <v>3.5328608348750183</v>
      </c>
      <c r="M98" s="91">
        <f t="shared" si="42"/>
        <v>0</v>
      </c>
      <c r="N98" s="91">
        <f t="shared" si="42"/>
        <v>0</v>
      </c>
      <c r="O98" s="91">
        <f t="shared" si="42"/>
        <v>0</v>
      </c>
      <c r="P98" s="91">
        <f t="shared" si="42"/>
        <v>1.4098367989378364</v>
      </c>
      <c r="Q98" s="91">
        <f t="shared" si="42"/>
        <v>0</v>
      </c>
      <c r="R98" s="91">
        <f t="shared" si="42"/>
        <v>0</v>
      </c>
      <c r="S98" s="91">
        <f t="shared" si="42"/>
        <v>0</v>
      </c>
      <c r="T98" s="92">
        <f>SUM(G98:S98)/13</f>
        <v>0.65196603605291337</v>
      </c>
      <c r="U98" s="82"/>
    </row>
    <row r="99" spans="1:21" x14ac:dyDescent="0.25">
      <c r="A99" s="82"/>
      <c r="B99" s="88"/>
      <c r="C99" s="93"/>
      <c r="D99" s="90"/>
      <c r="E99" s="89"/>
      <c r="F99" s="89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2"/>
      <c r="U99" s="82"/>
    </row>
    <row r="100" spans="1:21" x14ac:dyDescent="0.25">
      <c r="A100" s="82"/>
      <c r="B100" s="88"/>
      <c r="C100" s="89" t="s">
        <v>413</v>
      </c>
      <c r="D100" s="90">
        <f>D94</f>
        <v>1.0336046913033991E-3</v>
      </c>
      <c r="E100" s="89"/>
      <c r="F100" s="89"/>
      <c r="G100" s="79">
        <f>(G$48)*$D100</f>
        <v>-915.88098231126003</v>
      </c>
      <c r="H100" s="79">
        <f t="shared" ref="H100:S100" si="43">(H$48)*$D100</f>
        <v>-947.89864501161787</v>
      </c>
      <c r="I100" s="79">
        <f t="shared" si="43"/>
        <v>-979.91630771197595</v>
      </c>
      <c r="J100" s="79">
        <f t="shared" si="43"/>
        <v>-1011.9339704123339</v>
      </c>
      <c r="K100" s="79">
        <f t="shared" si="43"/>
        <v>-1043.951633112692</v>
      </c>
      <c r="L100" s="79">
        <f t="shared" si="43"/>
        <v>-1075.9692958130499</v>
      </c>
      <c r="M100" s="79">
        <f t="shared" si="43"/>
        <v>-1107.9869585134081</v>
      </c>
      <c r="N100" s="79">
        <f t="shared" si="43"/>
        <v>-1140.0046212137661</v>
      </c>
      <c r="O100" s="79">
        <f t="shared" si="43"/>
        <v>-1172.0222839141243</v>
      </c>
      <c r="P100" s="79">
        <f t="shared" si="43"/>
        <v>-1204.0399466144822</v>
      </c>
      <c r="Q100" s="79">
        <f t="shared" si="43"/>
        <v>-1236.0576093148402</v>
      </c>
      <c r="R100" s="79">
        <f t="shared" si="43"/>
        <v>-1268.0752720151979</v>
      </c>
      <c r="S100" s="79">
        <f t="shared" si="43"/>
        <v>-1300.0929347155561</v>
      </c>
      <c r="T100" s="92"/>
      <c r="U100" s="82"/>
    </row>
    <row r="101" spans="1:21" x14ac:dyDescent="0.25">
      <c r="A101" s="82"/>
      <c r="B101" s="88"/>
      <c r="C101" s="89"/>
      <c r="D101" s="90"/>
      <c r="E101" s="89" t="s">
        <v>396</v>
      </c>
      <c r="F101" s="89"/>
      <c r="G101" s="91">
        <f>G100</f>
        <v>-915.88098231126003</v>
      </c>
      <c r="H101" s="91">
        <f t="shared" ref="H101:S101" si="44">H100</f>
        <v>-947.89864501161787</v>
      </c>
      <c r="I101" s="91">
        <f t="shared" si="44"/>
        <v>-979.91630771197595</v>
      </c>
      <c r="J101" s="91">
        <f t="shared" si="44"/>
        <v>-1011.9339704123339</v>
      </c>
      <c r="K101" s="91">
        <f t="shared" si="44"/>
        <v>-1043.951633112692</v>
      </c>
      <c r="L101" s="91">
        <f t="shared" si="44"/>
        <v>-1075.9692958130499</v>
      </c>
      <c r="M101" s="91">
        <f t="shared" si="44"/>
        <v>-1107.9869585134081</v>
      </c>
      <c r="N101" s="91">
        <f t="shared" si="44"/>
        <v>-1140.0046212137661</v>
      </c>
      <c r="O101" s="91">
        <f t="shared" si="44"/>
        <v>-1172.0222839141243</v>
      </c>
      <c r="P101" s="91">
        <f t="shared" si="44"/>
        <v>-1204.0399466144822</v>
      </c>
      <c r="Q101" s="91">
        <f t="shared" si="44"/>
        <v>-1236.0576093148402</v>
      </c>
      <c r="R101" s="91">
        <f t="shared" si="44"/>
        <v>-1268.0752720151979</v>
      </c>
      <c r="S101" s="91">
        <f t="shared" si="44"/>
        <v>-1300.0929347155561</v>
      </c>
      <c r="T101" s="92">
        <f>SUM(G101:S101)/13</f>
        <v>-1107.9869585134081</v>
      </c>
      <c r="U101" s="82"/>
    </row>
    <row r="102" spans="1:21" ht="15.75" thickBot="1" x14ac:dyDescent="0.3">
      <c r="A102" s="82"/>
      <c r="B102" s="94"/>
      <c r="C102" s="95"/>
      <c r="D102" s="96"/>
      <c r="E102" s="95"/>
      <c r="F102" s="95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2"/>
      <c r="U102" s="82"/>
    </row>
    <row r="103" spans="1:21" x14ac:dyDescent="0.25">
      <c r="A103" s="82"/>
      <c r="B103" s="83" t="s">
        <v>420</v>
      </c>
      <c r="C103" s="84" t="s">
        <v>411</v>
      </c>
      <c r="D103" s="85">
        <f>'Allocation Factors 23'!G11</f>
        <v>0.62375960230552752</v>
      </c>
      <c r="E103" s="84"/>
      <c r="F103" s="84"/>
      <c r="G103" s="86">
        <f>(G$26)*$D103</f>
        <v>7260114.0549065936</v>
      </c>
      <c r="H103" s="86">
        <f t="shared" ref="H103:S103" si="45">(H$26)*$D103</f>
        <v>7260114.0549065936</v>
      </c>
      <c r="I103" s="86">
        <f t="shared" si="45"/>
        <v>7260114.0549065936</v>
      </c>
      <c r="J103" s="86">
        <f t="shared" si="45"/>
        <v>7260114.0549065936</v>
      </c>
      <c r="K103" s="86">
        <f t="shared" si="45"/>
        <v>7260114.0549065936</v>
      </c>
      <c r="L103" s="86">
        <f t="shared" si="45"/>
        <v>7260114.0549065936</v>
      </c>
      <c r="M103" s="86">
        <f t="shared" si="45"/>
        <v>7260114.0549065936</v>
      </c>
      <c r="N103" s="86">
        <f t="shared" si="45"/>
        <v>7260114.0549065936</v>
      </c>
      <c r="O103" s="86">
        <f t="shared" si="45"/>
        <v>7260114.0549065936</v>
      </c>
      <c r="P103" s="86">
        <f t="shared" si="45"/>
        <v>7260114.0549065936</v>
      </c>
      <c r="Q103" s="86">
        <f t="shared" si="45"/>
        <v>7260114.0549065936</v>
      </c>
      <c r="R103" s="86">
        <f t="shared" si="45"/>
        <v>7260114.0549065936</v>
      </c>
      <c r="S103" s="86">
        <f t="shared" si="45"/>
        <v>7260114.0549065936</v>
      </c>
      <c r="T103" s="87"/>
      <c r="U103" s="82"/>
    </row>
    <row r="104" spans="1:21" x14ac:dyDescent="0.25">
      <c r="A104" s="82"/>
      <c r="B104" s="88"/>
      <c r="C104" s="89"/>
      <c r="D104" s="90"/>
      <c r="E104" s="89" t="s">
        <v>381</v>
      </c>
      <c r="F104" s="89"/>
      <c r="G104" s="91">
        <f>G103</f>
        <v>7260114.0549065936</v>
      </c>
      <c r="H104" s="91">
        <f t="shared" ref="H104:S104" si="46">H103</f>
        <v>7260114.0549065936</v>
      </c>
      <c r="I104" s="91">
        <f t="shared" si="46"/>
        <v>7260114.0549065936</v>
      </c>
      <c r="J104" s="91">
        <f t="shared" si="46"/>
        <v>7260114.0549065936</v>
      </c>
      <c r="K104" s="91">
        <f t="shared" si="46"/>
        <v>7260114.0549065936</v>
      </c>
      <c r="L104" s="91">
        <f t="shared" si="46"/>
        <v>7260114.0549065936</v>
      </c>
      <c r="M104" s="91">
        <f t="shared" si="46"/>
        <v>7260114.0549065936</v>
      </c>
      <c r="N104" s="91">
        <f t="shared" si="46"/>
        <v>7260114.0549065936</v>
      </c>
      <c r="O104" s="91">
        <f t="shared" si="46"/>
        <v>7260114.0549065936</v>
      </c>
      <c r="P104" s="91">
        <f t="shared" si="46"/>
        <v>7260114.0549065936</v>
      </c>
      <c r="Q104" s="91">
        <f t="shared" si="46"/>
        <v>7260114.0549065936</v>
      </c>
      <c r="R104" s="91">
        <f t="shared" si="46"/>
        <v>7260114.0549065936</v>
      </c>
      <c r="S104" s="91">
        <f t="shared" si="46"/>
        <v>7260114.0549065936</v>
      </c>
      <c r="T104" s="92">
        <f>SUM(G104:S104)/13</f>
        <v>7260114.0549065927</v>
      </c>
      <c r="U104" s="82"/>
    </row>
    <row r="105" spans="1:21" x14ac:dyDescent="0.25">
      <c r="A105" s="82"/>
      <c r="B105" s="88"/>
      <c r="C105" s="89"/>
      <c r="D105" s="90"/>
      <c r="E105" s="89"/>
      <c r="F105" s="89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2"/>
      <c r="U105" s="82"/>
    </row>
    <row r="106" spans="1:21" x14ac:dyDescent="0.25">
      <c r="A106" s="82"/>
      <c r="B106" s="88"/>
      <c r="C106" s="89" t="s">
        <v>412</v>
      </c>
      <c r="D106" s="90">
        <f>D103</f>
        <v>0.62375960230552752</v>
      </c>
      <c r="E106" s="89"/>
      <c r="F106" s="89"/>
      <c r="G106" s="79">
        <f>G$8*$D106</f>
        <v>0</v>
      </c>
      <c r="H106" s="79">
        <f t="shared" ref="H106:S106" si="47">H$8*$D106</f>
        <v>0</v>
      </c>
      <c r="I106" s="79">
        <f t="shared" si="47"/>
        <v>0</v>
      </c>
      <c r="J106" s="79">
        <f t="shared" si="47"/>
        <v>0</v>
      </c>
      <c r="K106" s="79">
        <f t="shared" si="47"/>
        <v>2132.0103206802933</v>
      </c>
      <c r="L106" s="79">
        <f t="shared" si="47"/>
        <v>2132.0103206802933</v>
      </c>
      <c r="M106" s="79">
        <f t="shared" si="47"/>
        <v>0</v>
      </c>
      <c r="N106" s="79">
        <f t="shared" si="47"/>
        <v>0</v>
      </c>
      <c r="O106" s="79">
        <f t="shared" si="47"/>
        <v>0</v>
      </c>
      <c r="P106" s="79">
        <f t="shared" si="47"/>
        <v>850.80809754473955</v>
      </c>
      <c r="Q106" s="79">
        <f t="shared" si="47"/>
        <v>0</v>
      </c>
      <c r="R106" s="79">
        <f t="shared" si="47"/>
        <v>0</v>
      </c>
      <c r="S106" s="79">
        <f t="shared" si="47"/>
        <v>0</v>
      </c>
      <c r="T106" s="92"/>
      <c r="U106" s="82"/>
    </row>
    <row r="107" spans="1:21" x14ac:dyDescent="0.25">
      <c r="A107" s="82"/>
      <c r="B107" s="88"/>
      <c r="C107" s="89"/>
      <c r="D107" s="90"/>
      <c r="E107" s="89" t="s">
        <v>69</v>
      </c>
      <c r="F107" s="89"/>
      <c r="G107" s="91">
        <f>G106</f>
        <v>0</v>
      </c>
      <c r="H107" s="91">
        <f t="shared" ref="H107:S107" si="48">H106</f>
        <v>0</v>
      </c>
      <c r="I107" s="91">
        <f t="shared" si="48"/>
        <v>0</v>
      </c>
      <c r="J107" s="91">
        <f t="shared" si="48"/>
        <v>0</v>
      </c>
      <c r="K107" s="91">
        <f t="shared" si="48"/>
        <v>2132.0103206802933</v>
      </c>
      <c r="L107" s="91">
        <f t="shared" si="48"/>
        <v>2132.0103206802933</v>
      </c>
      <c r="M107" s="91">
        <f t="shared" si="48"/>
        <v>0</v>
      </c>
      <c r="N107" s="91">
        <f t="shared" si="48"/>
        <v>0</v>
      </c>
      <c r="O107" s="91">
        <f t="shared" si="48"/>
        <v>0</v>
      </c>
      <c r="P107" s="91">
        <f t="shared" si="48"/>
        <v>850.80809754473955</v>
      </c>
      <c r="Q107" s="91">
        <f t="shared" si="48"/>
        <v>0</v>
      </c>
      <c r="R107" s="91">
        <f t="shared" si="48"/>
        <v>0</v>
      </c>
      <c r="S107" s="91">
        <f t="shared" si="48"/>
        <v>0</v>
      </c>
      <c r="T107" s="92">
        <f>SUM(G107:S107)/13</f>
        <v>393.44836453117892</v>
      </c>
      <c r="U107" s="82"/>
    </row>
    <row r="108" spans="1:21" x14ac:dyDescent="0.25">
      <c r="A108" s="82"/>
      <c r="B108" s="88"/>
      <c r="C108" s="93"/>
      <c r="D108" s="90"/>
      <c r="E108" s="89"/>
      <c r="F108" s="89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2"/>
      <c r="U108" s="82"/>
    </row>
    <row r="109" spans="1:21" x14ac:dyDescent="0.25">
      <c r="A109" s="82"/>
      <c r="B109" s="88"/>
      <c r="C109" s="89" t="s">
        <v>413</v>
      </c>
      <c r="D109" s="90">
        <f>D103</f>
        <v>0.62375960230552752</v>
      </c>
      <c r="E109" s="89"/>
      <c r="F109" s="89"/>
      <c r="G109" s="79">
        <f>(G$48)*$D109</f>
        <v>-552715.71626214113</v>
      </c>
      <c r="H109" s="79">
        <f t="shared" ref="H109:S109" si="49">(H$48)*$D109</f>
        <v>-572037.73049133678</v>
      </c>
      <c r="I109" s="79">
        <f t="shared" si="49"/>
        <v>-591359.74472053268</v>
      </c>
      <c r="J109" s="79">
        <f t="shared" si="49"/>
        <v>-610681.75894972845</v>
      </c>
      <c r="K109" s="79">
        <f t="shared" si="49"/>
        <v>-630003.77317892434</v>
      </c>
      <c r="L109" s="79">
        <f t="shared" si="49"/>
        <v>-649325.78740812012</v>
      </c>
      <c r="M109" s="79">
        <f t="shared" si="49"/>
        <v>-668647.80163731601</v>
      </c>
      <c r="N109" s="79">
        <f t="shared" si="49"/>
        <v>-687969.8158665119</v>
      </c>
      <c r="O109" s="79">
        <f t="shared" si="49"/>
        <v>-707291.83009570779</v>
      </c>
      <c r="P109" s="79">
        <f t="shared" si="49"/>
        <v>-726613.84432490356</v>
      </c>
      <c r="Q109" s="79">
        <f t="shared" si="49"/>
        <v>-745935.85855409934</v>
      </c>
      <c r="R109" s="79">
        <f t="shared" si="49"/>
        <v>-765257.872783295</v>
      </c>
      <c r="S109" s="79">
        <f t="shared" si="49"/>
        <v>-784579.88701249089</v>
      </c>
      <c r="T109" s="92"/>
      <c r="U109" s="82"/>
    </row>
    <row r="110" spans="1:21" x14ac:dyDescent="0.25">
      <c r="A110" s="82"/>
      <c r="B110" s="88"/>
      <c r="C110" s="89"/>
      <c r="D110" s="99"/>
      <c r="E110" s="89" t="s">
        <v>396</v>
      </c>
      <c r="F110" s="89"/>
      <c r="G110" s="91">
        <f>G109</f>
        <v>-552715.71626214113</v>
      </c>
      <c r="H110" s="91">
        <f t="shared" ref="H110:S110" si="50">H109</f>
        <v>-572037.73049133678</v>
      </c>
      <c r="I110" s="91">
        <f t="shared" si="50"/>
        <v>-591359.74472053268</v>
      </c>
      <c r="J110" s="91">
        <f t="shared" si="50"/>
        <v>-610681.75894972845</v>
      </c>
      <c r="K110" s="91">
        <f t="shared" si="50"/>
        <v>-630003.77317892434</v>
      </c>
      <c r="L110" s="91">
        <f t="shared" si="50"/>
        <v>-649325.78740812012</v>
      </c>
      <c r="M110" s="91">
        <f t="shared" si="50"/>
        <v>-668647.80163731601</v>
      </c>
      <c r="N110" s="91">
        <f t="shared" si="50"/>
        <v>-687969.8158665119</v>
      </c>
      <c r="O110" s="91">
        <f t="shared" si="50"/>
        <v>-707291.83009570779</v>
      </c>
      <c r="P110" s="91">
        <f t="shared" si="50"/>
        <v>-726613.84432490356</v>
      </c>
      <c r="Q110" s="91">
        <f t="shared" si="50"/>
        <v>-745935.85855409934</v>
      </c>
      <c r="R110" s="91">
        <f t="shared" si="50"/>
        <v>-765257.872783295</v>
      </c>
      <c r="S110" s="91">
        <f t="shared" si="50"/>
        <v>-784579.88701249089</v>
      </c>
      <c r="T110" s="92">
        <f>SUM(G110:S110)/13</f>
        <v>-668647.80163731601</v>
      </c>
      <c r="U110" s="82"/>
    </row>
    <row r="111" spans="1:21" x14ac:dyDescent="0.25">
      <c r="A111" s="82"/>
      <c r="B111" s="88"/>
      <c r="C111" s="89"/>
      <c r="D111" s="100"/>
      <c r="E111" s="89"/>
      <c r="F111" s="89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2"/>
      <c r="U111" s="82"/>
    </row>
    <row r="112" spans="1:21" ht="15.75" thickBot="1" x14ac:dyDescent="0.3">
      <c r="A112" s="82"/>
      <c r="B112" s="94"/>
      <c r="C112" s="95"/>
      <c r="D112" s="101"/>
      <c r="E112" s="95"/>
      <c r="F112" s="95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102"/>
      <c r="U112" s="82"/>
    </row>
    <row r="113" spans="1:21" x14ac:dyDescent="0.25">
      <c r="A113" s="82"/>
      <c r="B113" s="82"/>
      <c r="C113" s="103"/>
      <c r="D113" s="103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</row>
    <row r="115" spans="1:21" x14ac:dyDescent="0.25">
      <c r="D115" s="131">
        <f>+D103+D94+D85+D76+D67+D58</f>
        <v>1.0000000000000002</v>
      </c>
      <c r="E115" t="s">
        <v>463</v>
      </c>
      <c r="T115" s="105">
        <f>+T59+T68+T77+T86+T95+T104</f>
        <v>11639282.230000002</v>
      </c>
    </row>
    <row r="116" spans="1:21" x14ac:dyDescent="0.25">
      <c r="E116" t="s">
        <v>464</v>
      </c>
      <c r="T116" s="105">
        <f>+T62+T71+T80+T89+T98+T107</f>
        <v>630.76923076923094</v>
      </c>
    </row>
    <row r="117" spans="1:21" x14ac:dyDescent="0.25">
      <c r="E117" t="s">
        <v>465</v>
      </c>
      <c r="T117" s="105">
        <f>+T65+T74+T83+T92+T101+T110</f>
        <v>-1071963.9411816248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zoomScale="80" zoomScaleNormal="80" workbookViewId="0">
      <selection activeCell="B15" sqref="B15"/>
    </sheetView>
  </sheetViews>
  <sheetFormatPr defaultRowHeight="15" x14ac:dyDescent="0.25"/>
  <cols>
    <col min="1" max="1" width="25.140625" bestFit="1" customWidth="1"/>
    <col min="2" max="10" width="16.42578125" bestFit="1" customWidth="1"/>
    <col min="11" max="13" width="17.5703125" bestFit="1" customWidth="1"/>
    <col min="14" max="14" width="13.42578125" customWidth="1"/>
    <col min="16" max="16" width="8.42578125" bestFit="1" customWidth="1"/>
    <col min="17" max="19" width="11.5703125" bestFit="1" customWidth="1"/>
    <col min="20" max="20" width="10.28515625" bestFit="1" customWidth="1"/>
    <col min="21" max="21" width="9.5703125" bestFit="1" customWidth="1"/>
    <col min="22" max="22" width="11.5703125" bestFit="1" customWidth="1"/>
    <col min="23" max="23" width="14.140625" bestFit="1" customWidth="1"/>
  </cols>
  <sheetData>
    <row r="1" spans="1:23" x14ac:dyDescent="0.25">
      <c r="A1" s="109" t="s">
        <v>448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P1" s="4" t="s">
        <v>1</v>
      </c>
      <c r="Q1" s="4" t="s">
        <v>3</v>
      </c>
      <c r="R1" s="4"/>
      <c r="S1" s="4"/>
      <c r="T1" s="4"/>
      <c r="U1" s="4"/>
      <c r="V1" s="4"/>
    </row>
    <row r="2" spans="1:23" x14ac:dyDescent="0.25">
      <c r="A2" s="109" t="s">
        <v>449</v>
      </c>
      <c r="B2" s="109" t="s">
        <v>421</v>
      </c>
      <c r="C2" s="109" t="s">
        <v>422</v>
      </c>
      <c r="D2" s="109" t="s">
        <v>423</v>
      </c>
      <c r="E2" s="109" t="s">
        <v>424</v>
      </c>
      <c r="F2" s="109" t="s">
        <v>425</v>
      </c>
      <c r="G2" s="109" t="s">
        <v>426</v>
      </c>
      <c r="H2" s="109" t="s">
        <v>427</v>
      </c>
      <c r="I2" s="109" t="s">
        <v>428</v>
      </c>
      <c r="J2" s="109" t="s">
        <v>429</v>
      </c>
      <c r="K2" s="109" t="s">
        <v>430</v>
      </c>
      <c r="L2" s="109" t="s">
        <v>431</v>
      </c>
      <c r="M2" s="109" t="s">
        <v>432</v>
      </c>
      <c r="N2" s="109" t="s">
        <v>32</v>
      </c>
      <c r="P2" s="4" t="s">
        <v>5</v>
      </c>
      <c r="Q2" s="4" t="s">
        <v>6</v>
      </c>
      <c r="R2" s="4" t="s">
        <v>7</v>
      </c>
      <c r="S2" s="4" t="s">
        <v>8</v>
      </c>
      <c r="T2" s="4" t="s">
        <v>9</v>
      </c>
      <c r="U2" s="4" t="s">
        <v>10</v>
      </c>
      <c r="V2" s="4" t="s">
        <v>11</v>
      </c>
    </row>
    <row r="3" spans="1:23" x14ac:dyDescent="0.25">
      <c r="A3" t="s">
        <v>433</v>
      </c>
      <c r="B3" s="68">
        <v>0</v>
      </c>
      <c r="C3" s="68">
        <v>0</v>
      </c>
      <c r="D3" s="68">
        <v>0</v>
      </c>
      <c r="E3" s="68">
        <v>0</v>
      </c>
      <c r="F3" s="68">
        <v>0</v>
      </c>
      <c r="G3" s="68">
        <v>0</v>
      </c>
      <c r="H3" s="68">
        <v>0</v>
      </c>
      <c r="I3" s="68">
        <v>0</v>
      </c>
      <c r="J3" s="68">
        <v>0</v>
      </c>
      <c r="K3" s="68">
        <v>0</v>
      </c>
      <c r="L3" s="68">
        <v>0</v>
      </c>
      <c r="M3" s="68">
        <v>0</v>
      </c>
      <c r="P3" s="4"/>
      <c r="Q3" s="104">
        <f>'[1]Common Plant Allocation Factors'!C11</f>
        <v>0.19493367655493263</v>
      </c>
      <c r="R3" s="104">
        <f>'[1]Common Plant Allocation Factors'!E11</f>
        <v>0.40075371178398028</v>
      </c>
      <c r="S3" s="104">
        <f>'[1]Common Plant Allocation Factors'!B11</f>
        <v>0.17538138419273502</v>
      </c>
      <c r="T3" s="104">
        <f>'[1]Common Plant Allocation Factors'!D11</f>
        <v>-2.6963863219386323E-3</v>
      </c>
      <c r="U3" s="104">
        <f>'[1]Common Plant Allocation Factors'!F11</f>
        <v>2.4706719004354946E-3</v>
      </c>
      <c r="V3" s="104">
        <f>'[1]Common Plant Allocation Factors'!G11</f>
        <v>0.22915694188985516</v>
      </c>
    </row>
    <row r="4" spans="1:23" x14ac:dyDescent="0.25">
      <c r="A4" t="s">
        <v>434</v>
      </c>
      <c r="B4" s="68">
        <v>14853.909015741698</v>
      </c>
      <c r="C4" s="68">
        <v>14857.434159242304</v>
      </c>
      <c r="D4" s="68">
        <v>14873.133298491517</v>
      </c>
      <c r="E4" s="68">
        <v>14882.942173315587</v>
      </c>
      <c r="F4" s="68">
        <v>14885.796742249993</v>
      </c>
      <c r="G4" s="68">
        <v>14888.836002183914</v>
      </c>
      <c r="H4" s="68">
        <v>14846.683240367905</v>
      </c>
      <c r="I4" s="68">
        <v>14846.681869731474</v>
      </c>
      <c r="J4" s="68">
        <v>14846.671209095204</v>
      </c>
      <c r="K4" s="68">
        <v>14846.693027427096</v>
      </c>
      <c r="L4" s="68">
        <v>14846.685922482886</v>
      </c>
      <c r="M4" s="68">
        <v>14846.678827256948</v>
      </c>
      <c r="N4" s="105">
        <f t="shared" ref="N4:N12" si="0">SUM(B4:M4)</f>
        <v>178322.14548758653</v>
      </c>
      <c r="Q4" s="106">
        <f>$N4*Q$3</f>
        <v>34760.991431058828</v>
      </c>
      <c r="R4" s="106">
        <f t="shared" ref="R4:V17" si="1">$N4*R$3</f>
        <v>71463.261697433249</v>
      </c>
      <c r="S4" s="106">
        <f t="shared" si="1"/>
        <v>31274.384707831203</v>
      </c>
      <c r="T4" s="106">
        <f t="shared" si="1"/>
        <v>-480.82539399147913</v>
      </c>
      <c r="U4" s="106">
        <f t="shared" si="1"/>
        <v>440.57551408155018</v>
      </c>
      <c r="V4" s="106">
        <f t="shared" si="1"/>
        <v>40863.757531173163</v>
      </c>
    </row>
    <row r="5" spans="1:23" x14ac:dyDescent="0.25">
      <c r="A5" t="s">
        <v>435</v>
      </c>
      <c r="B5" s="68">
        <v>19024.758303042501</v>
      </c>
      <c r="C5" s="68">
        <v>19024.758630290009</v>
      </c>
      <c r="D5" s="68">
        <v>19024.761461259801</v>
      </c>
      <c r="E5" s="68">
        <v>19024.758849127797</v>
      </c>
      <c r="F5" s="68">
        <v>19024.760859443308</v>
      </c>
      <c r="G5" s="68">
        <v>19024.760534821817</v>
      </c>
      <c r="H5" s="68">
        <v>19045.099379537674</v>
      </c>
      <c r="I5" s="68">
        <v>19045.098298120793</v>
      </c>
      <c r="J5" s="68">
        <v>19045.100169903191</v>
      </c>
      <c r="K5" s="68">
        <v>19045.101006578996</v>
      </c>
      <c r="L5" s="68">
        <v>19045.102364918417</v>
      </c>
      <c r="M5" s="68">
        <v>4930.2800000000016</v>
      </c>
      <c r="N5" s="105">
        <f t="shared" si="0"/>
        <v>214304.33985704434</v>
      </c>
      <c r="Q5" s="106">
        <f t="shared" ref="Q5:Q17" si="2">$N5*Q$3</f>
        <v>41775.132870011439</v>
      </c>
      <c r="R5" s="106">
        <f t="shared" si="1"/>
        <v>85883.259649126107</v>
      </c>
      <c r="S5" s="106">
        <f t="shared" si="1"/>
        <v>37584.991762638747</v>
      </c>
      <c r="T5" s="106">
        <f t="shared" si="1"/>
        <v>-577.84729072262246</v>
      </c>
      <c r="U5" s="106">
        <f t="shared" si="1"/>
        <v>529.47571062617783</v>
      </c>
      <c r="V5" s="106">
        <f t="shared" si="1"/>
        <v>49109.327155364481</v>
      </c>
    </row>
    <row r="6" spans="1:23" x14ac:dyDescent="0.25">
      <c r="A6" t="s">
        <v>436</v>
      </c>
      <c r="B6" s="68">
        <v>-1056.2809134480042</v>
      </c>
      <c r="C6" s="68">
        <v>-1056.2798595461977</v>
      </c>
      <c r="D6" s="68">
        <v>-1056.2777025962987</v>
      </c>
      <c r="E6" s="68">
        <v>-1086.97</v>
      </c>
      <c r="F6" s="68">
        <v>-1552.2598675000136</v>
      </c>
      <c r="G6" s="68">
        <v>-1552.2603098461882</v>
      </c>
      <c r="H6" s="68">
        <v>-1552.2596890944897</v>
      </c>
      <c r="I6" s="68">
        <v>-1552.2599444564203</v>
      </c>
      <c r="J6" s="68">
        <v>-1552.26</v>
      </c>
      <c r="K6" s="68">
        <v>-1820.3801783530025</v>
      </c>
      <c r="L6" s="68">
        <v>-1820.3799226395895</v>
      </c>
      <c r="M6" s="68">
        <v>14628.43</v>
      </c>
      <c r="N6" s="105">
        <f t="shared" si="0"/>
        <v>-1029.4383874802043</v>
      </c>
      <c r="Q6" s="106">
        <f t="shared" si="2"/>
        <v>-200.67220965829753</v>
      </c>
      <c r="R6" s="106">
        <f t="shared" si="1"/>
        <v>-412.55125483560721</v>
      </c>
      <c r="S6" s="106">
        <f t="shared" si="1"/>
        <v>-180.54432933741532</v>
      </c>
      <c r="T6" s="106">
        <f t="shared" si="1"/>
        <v>2.7757635872801845</v>
      </c>
      <c r="U6" s="106">
        <f t="shared" si="1"/>
        <v>-2.5434044971769674</v>
      </c>
      <c r="V6" s="106">
        <f t="shared" si="1"/>
        <v>-235.90295273898738</v>
      </c>
    </row>
    <row r="7" spans="1:23" x14ac:dyDescent="0.25">
      <c r="A7" t="s">
        <v>437</v>
      </c>
      <c r="B7" s="68">
        <v>2315.4093649745096</v>
      </c>
      <c r="C7" s="68">
        <v>2315.4094105915988</v>
      </c>
      <c r="D7" s="68">
        <v>2315.4105493018897</v>
      </c>
      <c r="E7" s="68">
        <v>2315.409862262904</v>
      </c>
      <c r="F7" s="68">
        <v>2315.4098213877041</v>
      </c>
      <c r="G7" s="68">
        <v>2315.4097005175049</v>
      </c>
      <c r="H7" s="68">
        <v>2315.4112595866964</v>
      </c>
      <c r="I7" s="68">
        <v>2315.4087431732</v>
      </c>
      <c r="J7" s="68">
        <v>2315.4096918466962</v>
      </c>
      <c r="K7" s="68">
        <v>2315.4108611893971</v>
      </c>
      <c r="L7" s="68">
        <v>2315.4118900111089</v>
      </c>
      <c r="M7" s="68">
        <v>-553.16</v>
      </c>
      <c r="N7" s="105">
        <f t="shared" si="0"/>
        <v>24916.351154843211</v>
      </c>
      <c r="Q7" s="106">
        <f t="shared" si="2"/>
        <v>4857.0359369473281</v>
      </c>
      <c r="R7" s="106">
        <f t="shared" si="1"/>
        <v>9985.3202094164808</v>
      </c>
      <c r="S7" s="106">
        <f t="shared" si="1"/>
        <v>4369.8641545686542</v>
      </c>
      <c r="T7" s="106">
        <f t="shared" si="1"/>
        <v>-67.184108446539071</v>
      </c>
      <c r="U7" s="106">
        <f t="shared" si="1"/>
        <v>61.560128659654609</v>
      </c>
      <c r="V7" s="106">
        <f t="shared" si="1"/>
        <v>5709.7548336976315</v>
      </c>
    </row>
    <row r="8" spans="1:23" x14ac:dyDescent="0.25">
      <c r="A8" t="s">
        <v>438</v>
      </c>
      <c r="B8" s="68">
        <v>-2838.4642669274999</v>
      </c>
      <c r="C8" s="68">
        <v>-2771.0778334811989</v>
      </c>
      <c r="D8" s="68">
        <v>-2771.0805860851019</v>
      </c>
      <c r="E8" s="68">
        <v>-2771.0772643316004</v>
      </c>
      <c r="F8" s="68">
        <v>-2771.0822673449984</v>
      </c>
      <c r="G8" s="68">
        <v>-2771.0813186814012</v>
      </c>
      <c r="H8" s="68">
        <v>-2536.077771917599</v>
      </c>
      <c r="I8" s="68">
        <v>-2404.6699999999996</v>
      </c>
      <c r="J8" s="68">
        <v>-2326.1359904007004</v>
      </c>
      <c r="K8" s="68">
        <v>-2326.1464629609</v>
      </c>
      <c r="L8" s="68">
        <v>-2242.3296627418999</v>
      </c>
      <c r="M8" s="68">
        <v>-2204.8463067148004</v>
      </c>
      <c r="N8" s="105">
        <f t="shared" si="0"/>
        <v>-30734.069731587701</v>
      </c>
      <c r="Q8" s="106">
        <f t="shared" si="2"/>
        <v>-5991.1052082740616</v>
      </c>
      <c r="R8" s="106">
        <f t="shared" si="1"/>
        <v>-12316.79252316145</v>
      </c>
      <c r="S8" s="106">
        <f t="shared" si="1"/>
        <v>-5390.1836914018913</v>
      </c>
      <c r="T8" s="106">
        <f t="shared" si="1"/>
        <v>82.870925241761213</v>
      </c>
      <c r="U8" s="106">
        <f t="shared" si="1"/>
        <v>-75.933802471858797</v>
      </c>
      <c r="V8" s="106">
        <f t="shared" si="1"/>
        <v>-7042.9254315201988</v>
      </c>
    </row>
    <row r="9" spans="1:23" x14ac:dyDescent="0.25">
      <c r="A9" t="s">
        <v>439</v>
      </c>
      <c r="B9" s="68">
        <v>3742.6909858890986</v>
      </c>
      <c r="C9" s="68">
        <v>3742.688795209699</v>
      </c>
      <c r="D9" s="68">
        <v>3742.6898061436996</v>
      </c>
      <c r="E9" s="68">
        <v>3742.6908286273979</v>
      </c>
      <c r="F9" s="68">
        <v>3742.6900142965042</v>
      </c>
      <c r="G9" s="68">
        <v>3742.6896902463004</v>
      </c>
      <c r="H9" s="68">
        <v>3742.6896630022084</v>
      </c>
      <c r="I9" s="68">
        <v>3742.6894003760976</v>
      </c>
      <c r="J9" s="68">
        <v>3742.6903317460924</v>
      </c>
      <c r="K9" s="68">
        <v>3742.6898457245934</v>
      </c>
      <c r="L9" s="68">
        <v>3742.6907079048019</v>
      </c>
      <c r="M9" s="68">
        <v>3742.6899029307069</v>
      </c>
      <c r="N9" s="105">
        <f t="shared" si="0"/>
        <v>44912.279972097203</v>
      </c>
      <c r="Q9" s="106">
        <f t="shared" si="2"/>
        <v>8754.9158574253743</v>
      </c>
      <c r="R9" s="106">
        <f t="shared" si="1"/>
        <v>17998.762903499271</v>
      </c>
      <c r="S9" s="106">
        <f t="shared" si="1"/>
        <v>7876.7778287580586</v>
      </c>
      <c r="T9" s="106">
        <f t="shared" si="1"/>
        <v>-121.10085740384127</v>
      </c>
      <c r="U9" s="106">
        <f t="shared" si="1"/>
        <v>110.9635081115524</v>
      </c>
      <c r="V9" s="106">
        <f t="shared" si="1"/>
        <v>10291.960731706784</v>
      </c>
    </row>
    <row r="10" spans="1:23" x14ac:dyDescent="0.25">
      <c r="A10" t="s">
        <v>440</v>
      </c>
      <c r="B10" s="68">
        <v>5346.3588581648019</v>
      </c>
      <c r="C10" s="68">
        <v>5346.3601008507967</v>
      </c>
      <c r="D10" s="68">
        <v>5346.3588470421128</v>
      </c>
      <c r="E10" s="68">
        <v>5346.3613465749004</v>
      </c>
      <c r="F10" s="68">
        <v>5346.3594933343911</v>
      </c>
      <c r="G10" s="68">
        <v>5346.3625800436976</v>
      </c>
      <c r="H10" s="68">
        <v>5346.3578262717965</v>
      </c>
      <c r="I10" s="68">
        <v>5346.3591840157942</v>
      </c>
      <c r="J10" s="68">
        <v>5346.3615068891095</v>
      </c>
      <c r="K10" s="68">
        <v>5346.3594094121991</v>
      </c>
      <c r="L10" s="68">
        <v>5346.3612632256009</v>
      </c>
      <c r="M10" s="68">
        <v>5346.3599338366139</v>
      </c>
      <c r="N10" s="105">
        <f t="shared" si="0"/>
        <v>64156.320349661815</v>
      </c>
      <c r="Q10" s="106">
        <f t="shared" si="2"/>
        <v>12506.227399995618</v>
      </c>
      <c r="R10" s="106">
        <f t="shared" si="1"/>
        <v>25710.88351452908</v>
      </c>
      <c r="S10" s="106">
        <f t="shared" si="1"/>
        <v>11251.824267636222</v>
      </c>
      <c r="T10" s="106">
        <f t="shared" si="1"/>
        <v>-172.99022465674125</v>
      </c>
      <c r="U10" s="106">
        <f t="shared" si="1"/>
        <v>158.50921792324735</v>
      </c>
      <c r="V10" s="106">
        <f t="shared" si="1"/>
        <v>14701.866174234385</v>
      </c>
    </row>
    <row r="11" spans="1:23" x14ac:dyDescent="0.25">
      <c r="A11" t="s">
        <v>441</v>
      </c>
      <c r="B11" s="68">
        <v>6107.9779723874126</v>
      </c>
      <c r="C11" s="68">
        <v>6107.9784209926966</v>
      </c>
      <c r="D11" s="68">
        <v>6107.9797836177004</v>
      </c>
      <c r="E11" s="68">
        <v>6107.9834378479973</v>
      </c>
      <c r="F11" s="68">
        <v>6107.9790196794938</v>
      </c>
      <c r="G11" s="68">
        <v>6107.977642689415</v>
      </c>
      <c r="H11" s="68">
        <v>6107.9838557750936</v>
      </c>
      <c r="I11" s="68">
        <v>6107.9768729396992</v>
      </c>
      <c r="J11" s="68">
        <v>6107.9818622040939</v>
      </c>
      <c r="K11" s="68">
        <v>6107.977754429211</v>
      </c>
      <c r="L11" s="68">
        <v>6107.9811266408014</v>
      </c>
      <c r="M11" s="68">
        <v>6107.9812395321887</v>
      </c>
      <c r="N11" s="105">
        <f t="shared" si="0"/>
        <v>73295.758988735804</v>
      </c>
      <c r="Q11" s="106">
        <f t="shared" si="2"/>
        <v>14287.811775558521</v>
      </c>
      <c r="R11" s="106">
        <f t="shared" si="1"/>
        <v>29373.54747275991</v>
      </c>
      <c r="S11" s="106">
        <f t="shared" si="1"/>
        <v>12854.711666901585</v>
      </c>
      <c r="T11" s="106">
        <f t="shared" si="1"/>
        <v>-197.63368199333777</v>
      </c>
      <c r="U11" s="106">
        <f t="shared" si="1"/>
        <v>181.08977215456187</v>
      </c>
      <c r="V11" s="106">
        <f t="shared" si="1"/>
        <v>16796.231983354559</v>
      </c>
    </row>
    <row r="12" spans="1:23" x14ac:dyDescent="0.25">
      <c r="A12" t="s">
        <v>442</v>
      </c>
      <c r="B12" s="68">
        <v>730.2099628679</v>
      </c>
      <c r="C12" s="68">
        <v>730.20984562659999</v>
      </c>
      <c r="D12" s="68">
        <v>730.20999698320009</v>
      </c>
      <c r="E12" s="68">
        <v>730.21021849520025</v>
      </c>
      <c r="F12" s="68">
        <v>730.20996280539987</v>
      </c>
      <c r="G12" s="68">
        <v>730.20997142360034</v>
      </c>
      <c r="H12" s="68">
        <v>730.21008266739989</v>
      </c>
      <c r="I12" s="68">
        <v>730.2099445938004</v>
      </c>
      <c r="J12" s="68">
        <v>730.21002480309983</v>
      </c>
      <c r="K12" s="68">
        <v>730.21000625499971</v>
      </c>
      <c r="L12" s="68">
        <v>730.20999174270014</v>
      </c>
      <c r="M12" s="68">
        <v>730.20998732269959</v>
      </c>
      <c r="N12" s="105">
        <f t="shared" si="0"/>
        <v>8762.519995586601</v>
      </c>
      <c r="Q12" s="106">
        <f t="shared" si="2"/>
        <v>1708.1102386258081</v>
      </c>
      <c r="R12" s="106">
        <f t="shared" si="1"/>
        <v>3511.6124128126767</v>
      </c>
      <c r="S12" s="106">
        <f t="shared" si="1"/>
        <v>1536.7828858424964</v>
      </c>
      <c r="T12" s="106">
        <f t="shared" si="1"/>
        <v>-23.627139061813477</v>
      </c>
      <c r="U12" s="106">
        <f t="shared" si="1"/>
        <v>21.649311930099969</v>
      </c>
      <c r="V12" s="106">
        <f t="shared" si="1"/>
        <v>2007.9922854373326</v>
      </c>
    </row>
    <row r="13" spans="1:23" x14ac:dyDescent="0.25">
      <c r="A13" t="s">
        <v>443</v>
      </c>
      <c r="B13" s="71">
        <v>48226.569282692421</v>
      </c>
      <c r="C13" s="71">
        <v>48297.481669776316</v>
      </c>
      <c r="D13" s="71">
        <v>48313.185454158513</v>
      </c>
      <c r="E13" s="71">
        <v>48292.309451920177</v>
      </c>
      <c r="F13" s="71">
        <v>47829.863778351792</v>
      </c>
      <c r="G13" s="71">
        <v>47832.904493398666</v>
      </c>
      <c r="H13" s="71">
        <v>48046.097846196673</v>
      </c>
      <c r="I13" s="71">
        <v>48177.494368494437</v>
      </c>
      <c r="J13" s="71">
        <v>48256.028806086782</v>
      </c>
      <c r="K13" s="71">
        <v>47987.915269702593</v>
      </c>
      <c r="L13" s="71">
        <v>48071.733681544814</v>
      </c>
      <c r="M13" s="71">
        <v>47574.623584164343</v>
      </c>
      <c r="N13" s="110">
        <f>SUM(B13:M13)</f>
        <v>576906.20768648759</v>
      </c>
      <c r="Q13" s="107">
        <f t="shared" si="2"/>
        <v>112458.44809169056</v>
      </c>
      <c r="R13" s="107">
        <f t="shared" si="1"/>
        <v>231197.30408157973</v>
      </c>
      <c r="S13" s="107">
        <f t="shared" si="1"/>
        <v>101178.60925343767</v>
      </c>
      <c r="T13" s="107">
        <f t="shared" si="1"/>
        <v>-1555.5620074473329</v>
      </c>
      <c r="U13" s="107">
        <f t="shared" si="1"/>
        <v>1425.3459565178084</v>
      </c>
      <c r="V13" s="107">
        <f t="shared" si="1"/>
        <v>132202.06231070915</v>
      </c>
      <c r="W13" s="67" t="s">
        <v>444</v>
      </c>
    </row>
    <row r="14" spans="1:23" x14ac:dyDescent="0.25">
      <c r="Q14" s="106">
        <f t="shared" si="2"/>
        <v>0</v>
      </c>
      <c r="R14" s="106">
        <f t="shared" si="1"/>
        <v>0</v>
      </c>
      <c r="S14" s="106">
        <f t="shared" si="1"/>
        <v>0</v>
      </c>
      <c r="T14" s="106">
        <f t="shared" si="1"/>
        <v>0</v>
      </c>
      <c r="U14" s="106">
        <f t="shared" si="1"/>
        <v>0</v>
      </c>
      <c r="V14" s="106">
        <f t="shared" si="1"/>
        <v>0</v>
      </c>
    </row>
    <row r="15" spans="1:23" x14ac:dyDescent="0.25">
      <c r="A15" s="67" t="s">
        <v>445</v>
      </c>
      <c r="B15" s="105">
        <f>-B9-B10</f>
        <v>-9089.0498440539013</v>
      </c>
      <c r="C15" s="105">
        <f t="shared" ref="C15:N15" si="3">-C9-C10</f>
        <v>-9089.0488960604962</v>
      </c>
      <c r="D15" s="105">
        <f t="shared" si="3"/>
        <v>-9089.0486531858114</v>
      </c>
      <c r="E15" s="105">
        <f t="shared" si="3"/>
        <v>-9089.0521752022978</v>
      </c>
      <c r="F15" s="105">
        <f t="shared" si="3"/>
        <v>-9089.0495076308944</v>
      </c>
      <c r="G15" s="105">
        <f t="shared" si="3"/>
        <v>-9089.052270289998</v>
      </c>
      <c r="H15" s="105">
        <f t="shared" si="3"/>
        <v>-9089.0474892740058</v>
      </c>
      <c r="I15" s="105">
        <f t="shared" si="3"/>
        <v>-9089.0485843918923</v>
      </c>
      <c r="J15" s="105">
        <f t="shared" si="3"/>
        <v>-9089.0518386352014</v>
      </c>
      <c r="K15" s="105">
        <f t="shared" si="3"/>
        <v>-9089.0492551367934</v>
      </c>
      <c r="L15" s="105">
        <f t="shared" si="3"/>
        <v>-9089.0519711304023</v>
      </c>
      <c r="M15" s="105">
        <f t="shared" si="3"/>
        <v>-9089.0498367673208</v>
      </c>
      <c r="N15" s="105">
        <f t="shared" si="3"/>
        <v>-109068.60032175902</v>
      </c>
      <c r="Q15" s="106">
        <f t="shared" si="2"/>
        <v>-21261.143257420994</v>
      </c>
      <c r="R15" s="106">
        <f t="shared" si="1"/>
        <v>-43709.646418028351</v>
      </c>
      <c r="S15" s="106">
        <f t="shared" si="1"/>
        <v>-19128.602096394283</v>
      </c>
      <c r="T15" s="106">
        <f t="shared" si="1"/>
        <v>294.09108206058255</v>
      </c>
      <c r="U15" s="106">
        <f t="shared" si="1"/>
        <v>-269.47272603479973</v>
      </c>
      <c r="V15" s="106">
        <f t="shared" si="1"/>
        <v>-24993.826905941169</v>
      </c>
    </row>
    <row r="16" spans="1:23" x14ac:dyDescent="0.25">
      <c r="Q16" s="106">
        <f t="shared" si="2"/>
        <v>0</v>
      </c>
      <c r="R16" s="106">
        <f t="shared" si="1"/>
        <v>0</v>
      </c>
      <c r="S16" s="106">
        <f t="shared" si="1"/>
        <v>0</v>
      </c>
      <c r="T16" s="106">
        <f t="shared" si="1"/>
        <v>0</v>
      </c>
      <c r="U16" s="106">
        <f t="shared" si="1"/>
        <v>0</v>
      </c>
      <c r="V16" s="106">
        <f t="shared" si="1"/>
        <v>0</v>
      </c>
    </row>
    <row r="17" spans="1:23" ht="15.75" thickBot="1" x14ac:dyDescent="0.3">
      <c r="A17" s="67" t="s">
        <v>446</v>
      </c>
      <c r="B17" s="111">
        <f>B13+B15</f>
        <v>39137.519438638519</v>
      </c>
      <c r="C17" s="111">
        <f t="shared" ref="C17:N17" si="4">C13+C15</f>
        <v>39208.432773715816</v>
      </c>
      <c r="D17" s="111">
        <f t="shared" si="4"/>
        <v>39224.136800972701</v>
      </c>
      <c r="E17" s="111">
        <f t="shared" si="4"/>
        <v>39203.257276717879</v>
      </c>
      <c r="F17" s="111">
        <f t="shared" si="4"/>
        <v>38740.814270720897</v>
      </c>
      <c r="G17" s="111">
        <f t="shared" si="4"/>
        <v>38743.852223108668</v>
      </c>
      <c r="H17" s="111">
        <f t="shared" si="4"/>
        <v>38957.050356922671</v>
      </c>
      <c r="I17" s="111">
        <f t="shared" si="4"/>
        <v>39088.445784102543</v>
      </c>
      <c r="J17" s="111">
        <f t="shared" si="4"/>
        <v>39166.976967451585</v>
      </c>
      <c r="K17" s="111">
        <f t="shared" si="4"/>
        <v>38898.8660145658</v>
      </c>
      <c r="L17" s="111">
        <f t="shared" si="4"/>
        <v>38982.681710414414</v>
      </c>
      <c r="M17" s="111">
        <f t="shared" si="4"/>
        <v>38485.573747397022</v>
      </c>
      <c r="N17" s="111">
        <f t="shared" si="4"/>
        <v>467837.60736472858</v>
      </c>
      <c r="Q17" s="108">
        <f t="shared" si="2"/>
        <v>91197.304834269569</v>
      </c>
      <c r="R17" s="108">
        <f t="shared" si="1"/>
        <v>187487.65766355136</v>
      </c>
      <c r="S17" s="108">
        <f t="shared" si="1"/>
        <v>82050.007157043379</v>
      </c>
      <c r="T17" s="108">
        <f t="shared" si="1"/>
        <v>-1261.4709253867504</v>
      </c>
      <c r="U17" s="108">
        <f t="shared" si="1"/>
        <v>1155.8732304830087</v>
      </c>
      <c r="V17" s="108">
        <f t="shared" si="1"/>
        <v>107208.23540476798</v>
      </c>
      <c r="W17" s="67" t="s">
        <v>447</v>
      </c>
    </row>
    <row r="18" spans="1:23" ht="15.75" thickTop="1" x14ac:dyDescent="0.25"/>
  </sheetData>
  <pageMargins left="0.7" right="0.7" top="0.75" bottom="0.75" header="0.3" footer="0.3"/>
  <pageSetup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W18"/>
  <sheetViews>
    <sheetView tabSelected="1" topLeftCell="C1" zoomScale="80" zoomScaleNormal="80" workbookViewId="0">
      <selection activeCell="R17" sqref="R17:U17"/>
    </sheetView>
  </sheetViews>
  <sheetFormatPr defaultRowHeight="15" x14ac:dyDescent="0.25"/>
  <cols>
    <col min="1" max="1" width="25.140625" bestFit="1" customWidth="1"/>
    <col min="2" max="10" width="16.42578125" bestFit="1" customWidth="1"/>
    <col min="11" max="13" width="17.5703125" bestFit="1" customWidth="1"/>
    <col min="14" max="14" width="9.7109375" bestFit="1" customWidth="1"/>
    <col min="15" max="15" width="9.5703125" customWidth="1"/>
    <col min="16" max="16" width="8.42578125" bestFit="1" customWidth="1"/>
    <col min="17" max="17" width="14.140625" customWidth="1"/>
    <col min="18" max="18" width="11.5703125" bestFit="1" customWidth="1"/>
    <col min="19" max="19" width="14.85546875" customWidth="1"/>
    <col min="20" max="20" width="14.42578125" customWidth="1"/>
    <col min="21" max="21" width="9.5703125" bestFit="1" customWidth="1"/>
    <col min="22" max="22" width="11.5703125" bestFit="1" customWidth="1"/>
    <col min="23" max="23" width="14.140625" bestFit="1" customWidth="1"/>
  </cols>
  <sheetData>
    <row r="1" spans="1:23" x14ac:dyDescent="0.25">
      <c r="A1" s="109" t="s">
        <v>448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P1" s="4" t="s">
        <v>1</v>
      </c>
      <c r="Q1" s="4" t="s">
        <v>3</v>
      </c>
      <c r="R1" s="4"/>
      <c r="S1" s="4"/>
      <c r="T1" s="4"/>
      <c r="U1" s="4"/>
      <c r="V1" s="4"/>
    </row>
    <row r="2" spans="1:23" x14ac:dyDescent="0.25">
      <c r="A2" s="109" t="s">
        <v>449</v>
      </c>
      <c r="B2" s="109" t="s">
        <v>508</v>
      </c>
      <c r="C2" s="109" t="s">
        <v>509</v>
      </c>
      <c r="D2" s="109" t="s">
        <v>510</v>
      </c>
      <c r="E2" s="109" t="s">
        <v>511</v>
      </c>
      <c r="F2" s="109" t="s">
        <v>512</v>
      </c>
      <c r="G2" s="109" t="s">
        <v>513</v>
      </c>
      <c r="H2" s="109" t="s">
        <v>514</v>
      </c>
      <c r="I2" s="109" t="s">
        <v>515</v>
      </c>
      <c r="J2" s="109" t="s">
        <v>516</v>
      </c>
      <c r="K2" s="109" t="s">
        <v>517</v>
      </c>
      <c r="L2" s="109" t="s">
        <v>518</v>
      </c>
      <c r="M2" s="109" t="s">
        <v>519</v>
      </c>
      <c r="N2" s="109" t="s">
        <v>32</v>
      </c>
      <c r="P2" s="4" t="s">
        <v>5</v>
      </c>
      <c r="Q2" s="4" t="s">
        <v>6</v>
      </c>
      <c r="R2" s="4" t="s">
        <v>7</v>
      </c>
      <c r="S2" s="4" t="s">
        <v>8</v>
      </c>
      <c r="T2" s="4" t="s">
        <v>9</v>
      </c>
      <c r="U2" s="4" t="s">
        <v>10</v>
      </c>
      <c r="V2" s="4" t="s">
        <v>11</v>
      </c>
    </row>
    <row r="3" spans="1:23" x14ac:dyDescent="0.25">
      <c r="A3" t="s">
        <v>433</v>
      </c>
      <c r="B3" s="68">
        <f>'FC depreciation adjustment 21'!M3</f>
        <v>0</v>
      </c>
      <c r="C3" s="68">
        <v>0</v>
      </c>
      <c r="D3" s="68">
        <v>0</v>
      </c>
      <c r="E3" s="68">
        <v>0</v>
      </c>
      <c r="F3" s="68">
        <v>0</v>
      </c>
      <c r="G3" s="68">
        <v>0</v>
      </c>
      <c r="H3" s="68">
        <v>0</v>
      </c>
      <c r="I3" s="68">
        <v>0</v>
      </c>
      <c r="J3" s="68">
        <v>0</v>
      </c>
      <c r="K3" s="68">
        <v>0</v>
      </c>
      <c r="L3" s="68">
        <v>0</v>
      </c>
      <c r="M3" s="68">
        <v>0</v>
      </c>
      <c r="P3" s="4"/>
      <c r="Q3" s="104">
        <f>'[1]Common Plant Allocation Factors'!C11</f>
        <v>0.19493367655493263</v>
      </c>
      <c r="R3" s="104">
        <f>'[1]Common Plant Allocation Factors'!E11</f>
        <v>0.40075371178398028</v>
      </c>
      <c r="S3" s="104">
        <f>'[1]Common Plant Allocation Factors'!B11</f>
        <v>0.17538138419273502</v>
      </c>
      <c r="T3" s="104">
        <f>'[1]Common Plant Allocation Factors'!D11</f>
        <v>-2.6963863219386323E-3</v>
      </c>
      <c r="U3" s="104">
        <f>'[1]Common Plant Allocation Factors'!F11</f>
        <v>2.4706719004354946E-3</v>
      </c>
      <c r="V3" s="104">
        <f>'[1]Common Plant Allocation Factors'!G11</f>
        <v>0.22915694188985516</v>
      </c>
    </row>
    <row r="4" spans="1:23" x14ac:dyDescent="0.25">
      <c r="A4" t="s">
        <v>434</v>
      </c>
      <c r="B4" s="68">
        <f>'FC depreciation adjustment 21'!M4</f>
        <v>14846.678827256948</v>
      </c>
      <c r="C4" s="68">
        <f>B4</f>
        <v>14846.678827256948</v>
      </c>
      <c r="D4" s="68">
        <f>C4-(1085/12)</f>
        <v>14756.262160590282</v>
      </c>
      <c r="E4" s="68">
        <f>D4</f>
        <v>14756.262160590282</v>
      </c>
      <c r="F4" s="68">
        <f t="shared" ref="F4:M4" si="0">E4</f>
        <v>14756.262160590282</v>
      </c>
      <c r="G4" s="68">
        <f t="shared" si="0"/>
        <v>14756.262160590282</v>
      </c>
      <c r="H4" s="68">
        <f t="shared" si="0"/>
        <v>14756.262160590282</v>
      </c>
      <c r="I4" s="68">
        <f t="shared" si="0"/>
        <v>14756.262160590282</v>
      </c>
      <c r="J4" s="68">
        <f t="shared" si="0"/>
        <v>14756.262160590282</v>
      </c>
      <c r="K4" s="68">
        <f t="shared" si="0"/>
        <v>14756.262160590282</v>
      </c>
      <c r="L4" s="68">
        <f t="shared" si="0"/>
        <v>14756.262160590282</v>
      </c>
      <c r="M4" s="68">
        <f t="shared" si="0"/>
        <v>14756.262160590282</v>
      </c>
      <c r="N4" s="105">
        <f t="shared" ref="N4:N12" si="1">SUM(B4:M4)</f>
        <v>177255.9792604167</v>
      </c>
      <c r="O4" s="105"/>
      <c r="Q4" s="106">
        <f>$N4*Q$3</f>
        <v>34553.159728577913</v>
      </c>
      <c r="R4" s="106">
        <f t="shared" ref="R4:V17" si="2">$N4*R$3</f>
        <v>71035.991624516217</v>
      </c>
      <c r="S4" s="106">
        <f t="shared" si="2"/>
        <v>31087.398999130612</v>
      </c>
      <c r="T4" s="106">
        <f t="shared" si="2"/>
        <v>-477.9505979596255</v>
      </c>
      <c r="U4" s="106">
        <f t="shared" si="2"/>
        <v>437.94136714288834</v>
      </c>
      <c r="V4" s="106">
        <f t="shared" si="2"/>
        <v>40619.438139008686</v>
      </c>
    </row>
    <row r="5" spans="1:23" x14ac:dyDescent="0.25">
      <c r="A5" t="s">
        <v>435</v>
      </c>
      <c r="B5" s="68">
        <f>'FC depreciation adjustment 21'!M5</f>
        <v>4930.2800000000016</v>
      </c>
      <c r="C5" s="68">
        <f t="shared" ref="C5:D12" si="3">B5</f>
        <v>4930.2800000000016</v>
      </c>
      <c r="D5" s="68">
        <f>C5-(29782.9/12)</f>
        <v>2448.3716666666683</v>
      </c>
      <c r="E5" s="68">
        <f t="shared" ref="E5:M12" si="4">D5</f>
        <v>2448.3716666666683</v>
      </c>
      <c r="F5" s="68">
        <f t="shared" si="4"/>
        <v>2448.3716666666683</v>
      </c>
      <c r="G5" s="68">
        <f t="shared" si="4"/>
        <v>2448.3716666666683</v>
      </c>
      <c r="H5" s="68">
        <f t="shared" si="4"/>
        <v>2448.3716666666683</v>
      </c>
      <c r="I5" s="68">
        <f t="shared" si="4"/>
        <v>2448.3716666666683</v>
      </c>
      <c r="J5" s="68">
        <f t="shared" si="4"/>
        <v>2448.3716666666683</v>
      </c>
      <c r="K5" s="68">
        <f t="shared" si="4"/>
        <v>2448.3716666666683</v>
      </c>
      <c r="L5" s="68">
        <f t="shared" si="4"/>
        <v>2448.3716666666683</v>
      </c>
      <c r="M5" s="68">
        <f t="shared" si="4"/>
        <v>2448.3716666666683</v>
      </c>
      <c r="N5" s="105">
        <f t="shared" si="1"/>
        <v>34344.276666666694</v>
      </c>
      <c r="O5" s="105"/>
      <c r="Q5" s="106">
        <f t="shared" ref="Q5:Q17" si="5">$N5*Q$3</f>
        <v>6694.8561192531251</v>
      </c>
      <c r="R5" s="106">
        <f t="shared" si="2"/>
        <v>13763.596352702623</v>
      </c>
      <c r="S5" s="106">
        <f t="shared" si="2"/>
        <v>6023.3467808982568</v>
      </c>
      <c r="T5" s="106">
        <f t="shared" si="2"/>
        <v>-92.605437840876192</v>
      </c>
      <c r="U5" s="106">
        <f t="shared" si="2"/>
        <v>84.853439301115813</v>
      </c>
      <c r="V5" s="106">
        <f t="shared" si="2"/>
        <v>7870.229412352448</v>
      </c>
    </row>
    <row r="6" spans="1:23" x14ac:dyDescent="0.25">
      <c r="A6" t="s">
        <v>436</v>
      </c>
      <c r="B6" s="68">
        <f>'FC depreciation adjustment 21'!M6</f>
        <v>14628.43</v>
      </c>
      <c r="C6" s="68">
        <f t="shared" si="3"/>
        <v>14628.43</v>
      </c>
      <c r="D6" s="68">
        <f t="shared" si="3"/>
        <v>14628.43</v>
      </c>
      <c r="E6" s="68">
        <f t="shared" si="4"/>
        <v>14628.43</v>
      </c>
      <c r="F6" s="68">
        <f t="shared" si="4"/>
        <v>14628.43</v>
      </c>
      <c r="G6" s="68">
        <f t="shared" si="4"/>
        <v>14628.43</v>
      </c>
      <c r="H6" s="68">
        <f t="shared" si="4"/>
        <v>14628.43</v>
      </c>
      <c r="I6" s="68">
        <f t="shared" si="4"/>
        <v>14628.43</v>
      </c>
      <c r="J6" s="68">
        <f t="shared" si="4"/>
        <v>14628.43</v>
      </c>
      <c r="K6" s="68">
        <f t="shared" si="4"/>
        <v>14628.43</v>
      </c>
      <c r="L6" s="68">
        <f t="shared" si="4"/>
        <v>14628.43</v>
      </c>
      <c r="M6" s="68">
        <f t="shared" si="4"/>
        <v>14628.43</v>
      </c>
      <c r="N6" s="105">
        <f t="shared" si="1"/>
        <v>175541.15999999995</v>
      </c>
      <c r="O6" s="105"/>
      <c r="Q6" s="106">
        <f t="shared" si="5"/>
        <v>34218.88370551767</v>
      </c>
      <c r="R6" s="106">
        <f t="shared" si="2"/>
        <v>70348.771440865545</v>
      </c>
      <c r="S6" s="106">
        <f t="shared" si="2"/>
        <v>30786.651623598362</v>
      </c>
      <c r="T6" s="106">
        <f t="shared" si="2"/>
        <v>-473.32678276124079</v>
      </c>
      <c r="U6" s="106">
        <f t="shared" si="2"/>
        <v>433.70461138185112</v>
      </c>
      <c r="V6" s="106">
        <f t="shared" si="2"/>
        <v>40226.475401397758</v>
      </c>
    </row>
    <row r="7" spans="1:23" x14ac:dyDescent="0.25">
      <c r="A7" t="s">
        <v>437</v>
      </c>
      <c r="B7" s="68">
        <f>'FC depreciation adjustment 21'!M7</f>
        <v>-553.16</v>
      </c>
      <c r="C7" s="68">
        <f t="shared" si="3"/>
        <v>-553.16</v>
      </c>
      <c r="D7" s="68">
        <f>C7-(22477.18/12)</f>
        <v>-2426.2583333333332</v>
      </c>
      <c r="E7" s="68">
        <f t="shared" si="4"/>
        <v>-2426.2583333333332</v>
      </c>
      <c r="F7" s="68">
        <f t="shared" si="4"/>
        <v>-2426.2583333333332</v>
      </c>
      <c r="G7" s="68">
        <f t="shared" si="4"/>
        <v>-2426.2583333333332</v>
      </c>
      <c r="H7" s="68">
        <f t="shared" si="4"/>
        <v>-2426.2583333333332</v>
      </c>
      <c r="I7" s="68">
        <f t="shared" si="4"/>
        <v>-2426.2583333333332</v>
      </c>
      <c r="J7" s="68">
        <f t="shared" si="4"/>
        <v>-2426.2583333333332</v>
      </c>
      <c r="K7" s="68">
        <f t="shared" si="4"/>
        <v>-2426.2583333333332</v>
      </c>
      <c r="L7" s="68">
        <f t="shared" si="4"/>
        <v>-2426.2583333333332</v>
      </c>
      <c r="M7" s="68">
        <f t="shared" si="4"/>
        <v>-2426.2583333333332</v>
      </c>
      <c r="N7" s="105">
        <f t="shared" si="1"/>
        <v>-25368.903333333328</v>
      </c>
      <c r="O7" s="105"/>
      <c r="Q7" s="106">
        <f t="shared" si="5"/>
        <v>-4945.2535969333512</v>
      </c>
      <c r="R7" s="106">
        <f t="shared" si="2"/>
        <v>-10166.682174722322</v>
      </c>
      <c r="S7" s="106">
        <f t="shared" si="2"/>
        <v>-4449.2333820516887</v>
      </c>
      <c r="T7" s="106">
        <f t="shared" si="2"/>
        <v>68.40436395058336</v>
      </c>
      <c r="U7" s="106">
        <f t="shared" si="2"/>
        <v>-62.678236610531009</v>
      </c>
      <c r="V7" s="106">
        <f t="shared" si="2"/>
        <v>-5813.4603069660188</v>
      </c>
    </row>
    <row r="8" spans="1:23" x14ac:dyDescent="0.25">
      <c r="A8" t="s">
        <v>438</v>
      </c>
      <c r="B8" s="68">
        <f>'FC depreciation adjustment 21'!M8</f>
        <v>-2204.8463067148004</v>
      </c>
      <c r="C8" s="68">
        <f t="shared" si="3"/>
        <v>-2204.8463067148004</v>
      </c>
      <c r="D8" s="68">
        <f t="shared" si="3"/>
        <v>-2204.8463067148004</v>
      </c>
      <c r="E8" s="68">
        <f t="shared" si="4"/>
        <v>-2204.8463067148004</v>
      </c>
      <c r="F8" s="68">
        <f t="shared" si="4"/>
        <v>-2204.8463067148004</v>
      </c>
      <c r="G8" s="68">
        <f t="shared" si="4"/>
        <v>-2204.8463067148004</v>
      </c>
      <c r="H8" s="68">
        <f t="shared" si="4"/>
        <v>-2204.8463067148004</v>
      </c>
      <c r="I8" s="68">
        <f t="shared" si="4"/>
        <v>-2204.8463067148004</v>
      </c>
      <c r="J8" s="68">
        <f t="shared" si="4"/>
        <v>-2204.8463067148004</v>
      </c>
      <c r="K8" s="68">
        <f t="shared" si="4"/>
        <v>-2204.8463067148004</v>
      </c>
      <c r="L8" s="68">
        <f t="shared" si="4"/>
        <v>-2204.8463067148004</v>
      </c>
      <c r="M8" s="68">
        <f t="shared" si="4"/>
        <v>-2204.8463067148004</v>
      </c>
      <c r="N8" s="105">
        <f t="shared" si="1"/>
        <v>-26458.155680577605</v>
      </c>
      <c r="O8" s="105"/>
      <c r="Q8" s="106">
        <f t="shared" si="5"/>
        <v>-5157.5855616777681</v>
      </c>
      <c r="R8" s="106">
        <f t="shared" si="2"/>
        <v>-10603.204095949879</v>
      </c>
      <c r="S8" s="106">
        <f t="shared" si="2"/>
        <v>-4640.2679664465759</v>
      </c>
      <c r="T8" s="106">
        <f t="shared" si="2"/>
        <v>71.341409080832378</v>
      </c>
      <c r="U8" s="106">
        <f t="shared" si="2"/>
        <v>-65.369421777350851</v>
      </c>
      <c r="V8" s="106">
        <f t="shared" si="2"/>
        <v>-6063.0700438068634</v>
      </c>
    </row>
    <row r="9" spans="1:23" x14ac:dyDescent="0.25">
      <c r="A9" t="s">
        <v>439</v>
      </c>
      <c r="B9" s="68">
        <f>'FC depreciation adjustment 21'!M9</f>
        <v>3742.6899029307069</v>
      </c>
      <c r="C9" s="68">
        <f t="shared" si="3"/>
        <v>3742.6899029307069</v>
      </c>
      <c r="D9" s="68">
        <f t="shared" si="3"/>
        <v>3742.6899029307069</v>
      </c>
      <c r="E9" s="68">
        <f t="shared" si="4"/>
        <v>3742.6899029307069</v>
      </c>
      <c r="F9" s="68">
        <f t="shared" si="4"/>
        <v>3742.6899029307069</v>
      </c>
      <c r="G9" s="68">
        <f t="shared" si="4"/>
        <v>3742.6899029307069</v>
      </c>
      <c r="H9" s="68">
        <f t="shared" si="4"/>
        <v>3742.6899029307069</v>
      </c>
      <c r="I9" s="68">
        <f t="shared" si="4"/>
        <v>3742.6899029307069</v>
      </c>
      <c r="J9" s="68">
        <f t="shared" si="4"/>
        <v>3742.6899029307069</v>
      </c>
      <c r="K9" s="68">
        <f t="shared" si="4"/>
        <v>3742.6899029307069</v>
      </c>
      <c r="L9" s="68">
        <f t="shared" si="4"/>
        <v>3742.6899029307069</v>
      </c>
      <c r="M9" s="68">
        <f t="shared" si="4"/>
        <v>3742.6899029307069</v>
      </c>
      <c r="N9" s="105">
        <f t="shared" si="1"/>
        <v>44912.278835168487</v>
      </c>
      <c r="O9" s="105"/>
      <c r="Q9" s="106">
        <f t="shared" si="5"/>
        <v>8754.9156357996799</v>
      </c>
      <c r="R9" s="106">
        <f t="shared" si="2"/>
        <v>17998.762447870868</v>
      </c>
      <c r="S9" s="106">
        <f t="shared" si="2"/>
        <v>7876.7776293619263</v>
      </c>
      <c r="T9" s="106">
        <f t="shared" si="2"/>
        <v>-121.10085433824223</v>
      </c>
      <c r="U9" s="106">
        <f t="shared" si="2"/>
        <v>110.96350530257457</v>
      </c>
      <c r="V9" s="106">
        <f t="shared" si="2"/>
        <v>10291.960471171677</v>
      </c>
    </row>
    <row r="10" spans="1:23" x14ac:dyDescent="0.25">
      <c r="A10" t="s">
        <v>440</v>
      </c>
      <c r="B10" s="68">
        <f>'FC depreciation adjustment 21'!M10</f>
        <v>5346.3599338366139</v>
      </c>
      <c r="C10" s="68">
        <f t="shared" si="3"/>
        <v>5346.3599338366139</v>
      </c>
      <c r="D10" s="68">
        <f t="shared" si="3"/>
        <v>5346.3599338366139</v>
      </c>
      <c r="E10" s="68">
        <f t="shared" si="4"/>
        <v>5346.3599338366139</v>
      </c>
      <c r="F10" s="68">
        <f t="shared" si="4"/>
        <v>5346.3599338366139</v>
      </c>
      <c r="G10" s="68">
        <f t="shared" si="4"/>
        <v>5346.3599338366139</v>
      </c>
      <c r="H10" s="68">
        <f t="shared" si="4"/>
        <v>5346.3599338366139</v>
      </c>
      <c r="I10" s="68">
        <f t="shared" si="4"/>
        <v>5346.3599338366139</v>
      </c>
      <c r="J10" s="68">
        <f t="shared" si="4"/>
        <v>5346.3599338366139</v>
      </c>
      <c r="K10" s="68">
        <f t="shared" si="4"/>
        <v>5346.3599338366139</v>
      </c>
      <c r="L10" s="68">
        <f t="shared" si="4"/>
        <v>5346.3599338366139</v>
      </c>
      <c r="M10" s="68">
        <f t="shared" si="4"/>
        <v>5346.3599338366139</v>
      </c>
      <c r="N10" s="105">
        <f t="shared" si="1"/>
        <v>64156.319206039356</v>
      </c>
      <c r="O10" s="105"/>
      <c r="Q10" s="106">
        <f t="shared" si="5"/>
        <v>12506.227177065088</v>
      </c>
      <c r="R10" s="106">
        <f t="shared" si="2"/>
        <v>25710.883056218136</v>
      </c>
      <c r="S10" s="106">
        <f t="shared" si="2"/>
        <v>11251.824067066133</v>
      </c>
      <c r="T10" s="106">
        <f t="shared" si="2"/>
        <v>-172.99022157309329</v>
      </c>
      <c r="U10" s="106">
        <f t="shared" si="2"/>
        <v>158.50921509773147</v>
      </c>
      <c r="V10" s="106">
        <f t="shared" si="2"/>
        <v>14701.86591216536</v>
      </c>
    </row>
    <row r="11" spans="1:23" x14ac:dyDescent="0.25">
      <c r="A11" t="s">
        <v>441</v>
      </c>
      <c r="B11" s="68">
        <f>'FC depreciation adjustment 21'!M11</f>
        <v>6107.9812395321887</v>
      </c>
      <c r="C11" s="68">
        <f t="shared" si="3"/>
        <v>6107.9812395321887</v>
      </c>
      <c r="D11" s="68">
        <f t="shared" si="3"/>
        <v>6107.9812395321887</v>
      </c>
      <c r="E11" s="68">
        <f t="shared" si="4"/>
        <v>6107.9812395321887</v>
      </c>
      <c r="F11" s="68">
        <f t="shared" si="4"/>
        <v>6107.9812395321887</v>
      </c>
      <c r="G11" s="68">
        <f t="shared" si="4"/>
        <v>6107.9812395321887</v>
      </c>
      <c r="H11" s="68">
        <f t="shared" si="4"/>
        <v>6107.9812395321887</v>
      </c>
      <c r="I11" s="68">
        <f t="shared" si="4"/>
        <v>6107.9812395321887</v>
      </c>
      <c r="J11" s="68">
        <f t="shared" si="4"/>
        <v>6107.9812395321887</v>
      </c>
      <c r="K11" s="68">
        <f t="shared" si="4"/>
        <v>6107.9812395321887</v>
      </c>
      <c r="L11" s="68">
        <f t="shared" si="4"/>
        <v>6107.9812395321887</v>
      </c>
      <c r="M11" s="68">
        <f t="shared" si="4"/>
        <v>6107.9812395321887</v>
      </c>
      <c r="N11" s="105">
        <f t="shared" si="1"/>
        <v>73295.774874386261</v>
      </c>
      <c r="O11" s="105"/>
      <c r="Q11" s="106">
        <f t="shared" si="5"/>
        <v>14287.814872206769</v>
      </c>
      <c r="R11" s="106">
        <f t="shared" si="2"/>
        <v>29373.553838993295</v>
      </c>
      <c r="S11" s="106">
        <f t="shared" si="2"/>
        <v>12854.714452948952</v>
      </c>
      <c r="T11" s="106">
        <f t="shared" si="2"/>
        <v>-197.63372482718839</v>
      </c>
      <c r="U11" s="106">
        <f t="shared" si="2"/>
        <v>181.08981140279209</v>
      </c>
      <c r="V11" s="106">
        <f t="shared" si="2"/>
        <v>16796.23562366164</v>
      </c>
    </row>
    <row r="12" spans="1:23" x14ac:dyDescent="0.25">
      <c r="A12" t="s">
        <v>442</v>
      </c>
      <c r="B12" s="68">
        <f>'FC depreciation adjustment 21'!M12</f>
        <v>730.20998732269959</v>
      </c>
      <c r="C12" s="68">
        <f t="shared" si="3"/>
        <v>730.20998732269959</v>
      </c>
      <c r="D12" s="68">
        <f t="shared" si="3"/>
        <v>730.20998732269959</v>
      </c>
      <c r="E12" s="68">
        <f t="shared" si="4"/>
        <v>730.20998732269959</v>
      </c>
      <c r="F12" s="68">
        <f t="shared" si="4"/>
        <v>730.20998732269959</v>
      </c>
      <c r="G12" s="68">
        <f t="shared" si="4"/>
        <v>730.20998732269959</v>
      </c>
      <c r="H12" s="68">
        <f t="shared" si="4"/>
        <v>730.20998732269959</v>
      </c>
      <c r="I12" s="68">
        <f t="shared" si="4"/>
        <v>730.20998732269959</v>
      </c>
      <c r="J12" s="68">
        <f t="shared" si="4"/>
        <v>730.20998732269959</v>
      </c>
      <c r="K12" s="68">
        <f t="shared" si="4"/>
        <v>730.20998732269959</v>
      </c>
      <c r="L12" s="68">
        <f t="shared" si="4"/>
        <v>730.20998732269959</v>
      </c>
      <c r="M12" s="68">
        <f t="shared" si="4"/>
        <v>730.20998732269959</v>
      </c>
      <c r="N12" s="105">
        <f t="shared" si="1"/>
        <v>8762.519847872396</v>
      </c>
      <c r="O12" s="105"/>
      <c r="Q12" s="106">
        <f t="shared" si="5"/>
        <v>1708.1102098313352</v>
      </c>
      <c r="R12" s="106">
        <f t="shared" si="2"/>
        <v>3511.612353615661</v>
      </c>
      <c r="S12" s="106">
        <f t="shared" si="2"/>
        <v>1536.7828599361746</v>
      </c>
      <c r="T12" s="106">
        <f t="shared" si="2"/>
        <v>-23.627138663518913</v>
      </c>
      <c r="U12" s="106">
        <f t="shared" si="2"/>
        <v>21.649311565146633</v>
      </c>
      <c r="V12" s="106">
        <f t="shared" si="2"/>
        <v>2007.9922515875971</v>
      </c>
    </row>
    <row r="13" spans="1:23" x14ac:dyDescent="0.25">
      <c r="A13" t="s">
        <v>443</v>
      </c>
      <c r="B13" s="71">
        <f>SUM(B3:B12)</f>
        <v>47574.623584164343</v>
      </c>
      <c r="C13" s="71">
        <f t="shared" ref="C13:N13" si="6">SUM(C3:C12)</f>
        <v>47574.623584164343</v>
      </c>
      <c r="D13" s="71">
        <f t="shared" si="6"/>
        <v>43129.200250831018</v>
      </c>
      <c r="E13" s="71">
        <f t="shared" si="6"/>
        <v>43129.200250831018</v>
      </c>
      <c r="F13" s="71">
        <f t="shared" si="6"/>
        <v>43129.200250831018</v>
      </c>
      <c r="G13" s="71">
        <f t="shared" si="6"/>
        <v>43129.200250831018</v>
      </c>
      <c r="H13" s="71">
        <f t="shared" si="6"/>
        <v>43129.200250831018</v>
      </c>
      <c r="I13" s="71">
        <f t="shared" si="6"/>
        <v>43129.200250831018</v>
      </c>
      <c r="J13" s="71">
        <f t="shared" si="6"/>
        <v>43129.200250831018</v>
      </c>
      <c r="K13" s="71">
        <f t="shared" si="6"/>
        <v>43129.200250831018</v>
      </c>
      <c r="L13" s="71">
        <f t="shared" si="6"/>
        <v>43129.200250831018</v>
      </c>
      <c r="M13" s="71">
        <f t="shared" si="6"/>
        <v>43129.200250831018</v>
      </c>
      <c r="N13" s="71">
        <f t="shared" si="6"/>
        <v>526441.24967663886</v>
      </c>
      <c r="O13" s="105"/>
      <c r="Q13" s="107">
        <f t="shared" si="5"/>
        <v>102621.12828964044</v>
      </c>
      <c r="R13" s="107">
        <f t="shared" si="2"/>
        <v>210973.28484411014</v>
      </c>
      <c r="S13" s="107">
        <f t="shared" si="2"/>
        <v>92327.995064442148</v>
      </c>
      <c r="T13" s="107">
        <f t="shared" si="2"/>
        <v>-1419.4889849323695</v>
      </c>
      <c r="U13" s="107">
        <f t="shared" si="2"/>
        <v>1300.663602806218</v>
      </c>
      <c r="V13" s="107">
        <f t="shared" si="2"/>
        <v>120637.66686057227</v>
      </c>
      <c r="W13" s="67" t="s">
        <v>444</v>
      </c>
    </row>
    <row r="14" spans="1:23" x14ac:dyDescent="0.25">
      <c r="Q14" s="106">
        <f t="shared" si="5"/>
        <v>0</v>
      </c>
      <c r="R14" s="106">
        <f t="shared" si="2"/>
        <v>0</v>
      </c>
      <c r="S14" s="106">
        <f t="shared" si="2"/>
        <v>0</v>
      </c>
      <c r="T14" s="106">
        <f t="shared" si="2"/>
        <v>0</v>
      </c>
      <c r="U14" s="106">
        <f t="shared" si="2"/>
        <v>0</v>
      </c>
      <c r="V14" s="106">
        <f t="shared" si="2"/>
        <v>0</v>
      </c>
    </row>
    <row r="15" spans="1:23" x14ac:dyDescent="0.25">
      <c r="A15" s="67" t="s">
        <v>445</v>
      </c>
      <c r="B15" s="105">
        <f>-B9-B10</f>
        <v>-9089.0498367673208</v>
      </c>
      <c r="C15" s="105">
        <f t="shared" ref="C15:N15" si="7">-C9-C10</f>
        <v>-9089.0498367673208</v>
      </c>
      <c r="D15" s="105">
        <f t="shared" si="7"/>
        <v>-9089.0498367673208</v>
      </c>
      <c r="E15" s="105">
        <f t="shared" si="7"/>
        <v>-9089.0498367673208</v>
      </c>
      <c r="F15" s="105">
        <f t="shared" si="7"/>
        <v>-9089.0498367673208</v>
      </c>
      <c r="G15" s="105">
        <f t="shared" si="7"/>
        <v>-9089.0498367673208</v>
      </c>
      <c r="H15" s="105">
        <f t="shared" si="7"/>
        <v>-9089.0498367673208</v>
      </c>
      <c r="I15" s="105">
        <f t="shared" si="7"/>
        <v>-9089.0498367673208</v>
      </c>
      <c r="J15" s="105">
        <f t="shared" si="7"/>
        <v>-9089.0498367673208</v>
      </c>
      <c r="K15" s="105">
        <f t="shared" si="7"/>
        <v>-9089.0498367673208</v>
      </c>
      <c r="L15" s="105">
        <f t="shared" si="7"/>
        <v>-9089.0498367673208</v>
      </c>
      <c r="M15" s="105">
        <f t="shared" si="7"/>
        <v>-9089.0498367673208</v>
      </c>
      <c r="N15" s="105">
        <f t="shared" si="7"/>
        <v>-109068.59804120785</v>
      </c>
      <c r="Q15" s="106">
        <f t="shared" si="5"/>
        <v>-21261.142812864768</v>
      </c>
      <c r="R15" s="106">
        <f t="shared" si="2"/>
        <v>-43709.645504089007</v>
      </c>
      <c r="S15" s="106">
        <f t="shared" si="2"/>
        <v>-19128.601696428061</v>
      </c>
      <c r="T15" s="106">
        <f t="shared" si="2"/>
        <v>294.09107591133557</v>
      </c>
      <c r="U15" s="106">
        <f t="shared" si="2"/>
        <v>-269.47272040030606</v>
      </c>
      <c r="V15" s="106">
        <f t="shared" si="2"/>
        <v>-24993.826383337037</v>
      </c>
    </row>
    <row r="16" spans="1:23" x14ac:dyDescent="0.25">
      <c r="Q16" s="106">
        <f t="shared" si="5"/>
        <v>0</v>
      </c>
      <c r="R16" s="106">
        <f t="shared" si="2"/>
        <v>0</v>
      </c>
      <c r="S16" s="106">
        <f t="shared" si="2"/>
        <v>0</v>
      </c>
      <c r="T16" s="106">
        <f t="shared" si="2"/>
        <v>0</v>
      </c>
      <c r="U16" s="106">
        <f t="shared" si="2"/>
        <v>0</v>
      </c>
      <c r="V16" s="106">
        <f t="shared" si="2"/>
        <v>0</v>
      </c>
    </row>
    <row r="17" spans="1:23" ht="15.75" thickBot="1" x14ac:dyDescent="0.3">
      <c r="A17" s="67" t="s">
        <v>446</v>
      </c>
      <c r="B17" s="111">
        <f>B13+B15</f>
        <v>38485.573747397022</v>
      </c>
      <c r="C17" s="111">
        <f t="shared" ref="C17:N17" si="8">C13+C15</f>
        <v>38485.573747397022</v>
      </c>
      <c r="D17" s="111">
        <f t="shared" si="8"/>
        <v>34040.150414063697</v>
      </c>
      <c r="E17" s="111">
        <f t="shared" si="8"/>
        <v>34040.150414063697</v>
      </c>
      <c r="F17" s="111">
        <f t="shared" si="8"/>
        <v>34040.150414063697</v>
      </c>
      <c r="G17" s="111">
        <f t="shared" si="8"/>
        <v>34040.150414063697</v>
      </c>
      <c r="H17" s="111">
        <f t="shared" si="8"/>
        <v>34040.150414063697</v>
      </c>
      <c r="I17" s="111">
        <f t="shared" si="8"/>
        <v>34040.150414063697</v>
      </c>
      <c r="J17" s="111">
        <f t="shared" si="8"/>
        <v>34040.150414063697</v>
      </c>
      <c r="K17" s="111">
        <f t="shared" si="8"/>
        <v>34040.150414063697</v>
      </c>
      <c r="L17" s="111">
        <f t="shared" si="8"/>
        <v>34040.150414063697</v>
      </c>
      <c r="M17" s="111">
        <f t="shared" si="8"/>
        <v>34040.150414063697</v>
      </c>
      <c r="N17" s="111">
        <f t="shared" si="8"/>
        <v>417372.65163543099</v>
      </c>
      <c r="Q17" s="108">
        <f t="shared" si="5"/>
        <v>81359.985476775677</v>
      </c>
      <c r="R17" s="108">
        <f t="shared" si="2"/>
        <v>167263.63934002112</v>
      </c>
      <c r="S17" s="108">
        <f t="shared" si="2"/>
        <v>73199.393368014076</v>
      </c>
      <c r="T17" s="108">
        <f t="shared" si="2"/>
        <v>-1125.3979090210339</v>
      </c>
      <c r="U17" s="108">
        <f t="shared" si="2"/>
        <v>1031.1908824059119</v>
      </c>
      <c r="V17" s="108">
        <f t="shared" si="2"/>
        <v>95643.840477235222</v>
      </c>
      <c r="W17" s="67" t="s">
        <v>447</v>
      </c>
    </row>
    <row r="18" spans="1:23" ht="15.75" thickTop="1" x14ac:dyDescent="0.25"/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18"/>
  <sheetViews>
    <sheetView topLeftCell="E1" zoomScale="80" zoomScaleNormal="80" workbookViewId="0">
      <selection activeCell="R3" sqref="R3"/>
    </sheetView>
  </sheetViews>
  <sheetFormatPr defaultRowHeight="15" x14ac:dyDescent="0.25"/>
  <cols>
    <col min="1" max="1" width="25.140625" bestFit="1" customWidth="1"/>
    <col min="2" max="10" width="16.42578125" bestFit="1" customWidth="1"/>
    <col min="11" max="13" width="17.5703125" bestFit="1" customWidth="1"/>
    <col min="14" max="14" width="9.7109375" bestFit="1" customWidth="1"/>
    <col min="16" max="16" width="8.42578125" bestFit="1" customWidth="1"/>
    <col min="17" max="19" width="11.5703125" bestFit="1" customWidth="1"/>
    <col min="20" max="20" width="10.28515625" bestFit="1" customWidth="1"/>
    <col min="21" max="21" width="9.5703125" bestFit="1" customWidth="1"/>
    <col min="22" max="22" width="16" customWidth="1"/>
    <col min="23" max="23" width="14.140625" bestFit="1" customWidth="1"/>
  </cols>
  <sheetData>
    <row r="1" spans="1:23" x14ac:dyDescent="0.25">
      <c r="A1" s="109" t="s">
        <v>448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P1" s="4" t="s">
        <v>1</v>
      </c>
      <c r="Q1" s="4" t="s">
        <v>3</v>
      </c>
      <c r="R1" s="4"/>
      <c r="S1" s="4"/>
      <c r="T1" s="4"/>
      <c r="U1" s="4"/>
      <c r="V1" s="4"/>
    </row>
    <row r="2" spans="1:23" x14ac:dyDescent="0.25">
      <c r="A2" s="109" t="s">
        <v>449</v>
      </c>
      <c r="B2" s="109" t="s">
        <v>520</v>
      </c>
      <c r="C2" s="109" t="s">
        <v>521</v>
      </c>
      <c r="D2" s="109" t="s">
        <v>522</v>
      </c>
      <c r="E2" s="109" t="s">
        <v>523</v>
      </c>
      <c r="F2" s="109" t="s">
        <v>524</v>
      </c>
      <c r="G2" s="109" t="s">
        <v>525</v>
      </c>
      <c r="H2" s="109" t="s">
        <v>526</v>
      </c>
      <c r="I2" s="109" t="s">
        <v>527</v>
      </c>
      <c r="J2" s="109" t="s">
        <v>528</v>
      </c>
      <c r="K2" s="109" t="s">
        <v>529</v>
      </c>
      <c r="L2" s="109" t="s">
        <v>530</v>
      </c>
      <c r="M2" s="109" t="s">
        <v>531</v>
      </c>
      <c r="N2" s="109" t="s">
        <v>32</v>
      </c>
      <c r="P2" s="4" t="s">
        <v>5</v>
      </c>
      <c r="Q2" s="4" t="s">
        <v>6</v>
      </c>
      <c r="R2" s="4" t="s">
        <v>7</v>
      </c>
      <c r="S2" s="4" t="s">
        <v>8</v>
      </c>
      <c r="T2" s="4" t="s">
        <v>9</v>
      </c>
      <c r="U2" s="4" t="s">
        <v>10</v>
      </c>
      <c r="V2" s="4" t="s">
        <v>11</v>
      </c>
    </row>
    <row r="3" spans="1:23" x14ac:dyDescent="0.25">
      <c r="A3" t="s">
        <v>433</v>
      </c>
      <c r="B3" s="68">
        <v>0</v>
      </c>
      <c r="C3" s="68">
        <v>0</v>
      </c>
      <c r="D3" s="68">
        <v>0</v>
      </c>
      <c r="E3" s="68">
        <v>0</v>
      </c>
      <c r="F3" s="68">
        <v>0</v>
      </c>
      <c r="G3" s="68">
        <v>0</v>
      </c>
      <c r="H3" s="68">
        <v>0</v>
      </c>
      <c r="I3" s="68">
        <v>0</v>
      </c>
      <c r="J3" s="68">
        <v>0</v>
      </c>
      <c r="K3" s="68">
        <v>0</v>
      </c>
      <c r="L3" s="68">
        <v>0</v>
      </c>
      <c r="M3" s="68">
        <v>0</v>
      </c>
      <c r="P3" s="4"/>
      <c r="Q3" s="154">
        <f>'Allocation Factors 23'!C11</f>
        <v>8.9244411496124013E-2</v>
      </c>
      <c r="R3" s="154">
        <f>'Allocation Factors 23'!E11</f>
        <v>0.19878321516673181</v>
      </c>
      <c r="S3" s="154">
        <f>'Allocation Factors 23'!B11</f>
        <v>8.535118756709327E-2</v>
      </c>
      <c r="T3" s="154">
        <f>'Allocation Factors 23'!D11</f>
        <v>1.8279787732201304E-3</v>
      </c>
      <c r="U3" s="154">
        <f>'Allocation Factors 23'!F11</f>
        <v>1.0336046913033991E-3</v>
      </c>
      <c r="V3" s="154">
        <f>'Allocation Factors 23'!G11</f>
        <v>0.62375960230552752</v>
      </c>
    </row>
    <row r="4" spans="1:23" x14ac:dyDescent="0.25">
      <c r="A4" t="s">
        <v>434</v>
      </c>
      <c r="B4" s="68">
        <f>'FC depreciation adjustment 22'!M4-14628.42</f>
        <v>127.84216059028222</v>
      </c>
      <c r="C4" s="68">
        <f>B4</f>
        <v>127.84216059028222</v>
      </c>
      <c r="D4" s="68">
        <f t="shared" ref="D4:M4" si="0">C4</f>
        <v>127.84216059028222</v>
      </c>
      <c r="E4" s="68">
        <f t="shared" si="0"/>
        <v>127.84216059028222</v>
      </c>
      <c r="F4" s="68">
        <f t="shared" si="0"/>
        <v>127.84216059028222</v>
      </c>
      <c r="G4" s="68">
        <f t="shared" si="0"/>
        <v>127.84216059028222</v>
      </c>
      <c r="H4" s="68">
        <f t="shared" si="0"/>
        <v>127.84216059028222</v>
      </c>
      <c r="I4" s="68">
        <f t="shared" si="0"/>
        <v>127.84216059028222</v>
      </c>
      <c r="J4" s="68">
        <f t="shared" si="0"/>
        <v>127.84216059028222</v>
      </c>
      <c r="K4" s="68">
        <f t="shared" si="0"/>
        <v>127.84216059028222</v>
      </c>
      <c r="L4" s="68">
        <f t="shared" si="0"/>
        <v>127.84216059028222</v>
      </c>
      <c r="M4" s="68">
        <f t="shared" si="0"/>
        <v>127.84216059028222</v>
      </c>
      <c r="N4" s="105">
        <f t="shared" ref="N4:N12" si="1">SUM(B4:M4)</f>
        <v>1534.1059270833866</v>
      </c>
      <c r="Q4" s="106">
        <f>$N4*Q$3</f>
        <v>136.91038063527259</v>
      </c>
      <c r="R4" s="106">
        <f t="shared" ref="R4:V17" si="2">$N4*R$3</f>
        <v>304.95450859197541</v>
      </c>
      <c r="S4" s="106">
        <f t="shared" si="2"/>
        <v>130.93776273028365</v>
      </c>
      <c r="T4" s="106">
        <f t="shared" si="2"/>
        <v>2.80431307057962</v>
      </c>
      <c r="U4" s="106">
        <f t="shared" si="2"/>
        <v>1.5856590831897388</v>
      </c>
      <c r="V4" s="106">
        <f t="shared" si="2"/>
        <v>956.91330297208583</v>
      </c>
    </row>
    <row r="5" spans="1:23" x14ac:dyDescent="0.25">
      <c r="A5" t="s">
        <v>435</v>
      </c>
      <c r="B5" s="68">
        <f>'FC depreciation adjustment 22'!M5</f>
        <v>2448.3716666666683</v>
      </c>
      <c r="C5" s="68">
        <f t="shared" ref="C5:M12" si="3">B5</f>
        <v>2448.3716666666683</v>
      </c>
      <c r="D5" s="68">
        <f t="shared" si="3"/>
        <v>2448.3716666666683</v>
      </c>
      <c r="E5" s="68">
        <f t="shared" si="3"/>
        <v>2448.3716666666683</v>
      </c>
      <c r="F5" s="68">
        <f t="shared" si="3"/>
        <v>2448.3716666666683</v>
      </c>
      <c r="G5" s="68">
        <f t="shared" si="3"/>
        <v>2448.3716666666683</v>
      </c>
      <c r="H5" s="68">
        <f t="shared" si="3"/>
        <v>2448.3716666666683</v>
      </c>
      <c r="I5" s="68">
        <f t="shared" si="3"/>
        <v>2448.3716666666683</v>
      </c>
      <c r="J5" s="68">
        <f t="shared" si="3"/>
        <v>2448.3716666666683</v>
      </c>
      <c r="K5" s="68">
        <f t="shared" si="3"/>
        <v>2448.3716666666683</v>
      </c>
      <c r="L5" s="68">
        <f t="shared" si="3"/>
        <v>2448.3716666666683</v>
      </c>
      <c r="M5" s="68">
        <f t="shared" si="3"/>
        <v>2448.3716666666683</v>
      </c>
      <c r="N5" s="105">
        <f t="shared" si="1"/>
        <v>29380.460000000025</v>
      </c>
      <c r="Q5" s="106">
        <f t="shared" ref="Q5:Q17" si="4">$N5*Q$3</f>
        <v>2622.0418621854137</v>
      </c>
      <c r="R5" s="106">
        <f t="shared" si="2"/>
        <v>5840.342301877562</v>
      </c>
      <c r="S5" s="106">
        <f t="shared" si="2"/>
        <v>2507.6571522674831</v>
      </c>
      <c r="T5" s="106">
        <f t="shared" si="2"/>
        <v>53.706857227443159</v>
      </c>
      <c r="U5" s="106">
        <f t="shared" si="2"/>
        <v>30.367781288651891</v>
      </c>
      <c r="V5" s="106">
        <f t="shared" si="2"/>
        <v>18326.344045153473</v>
      </c>
    </row>
    <row r="6" spans="1:23" x14ac:dyDescent="0.25">
      <c r="A6" t="s">
        <v>436</v>
      </c>
      <c r="B6" s="68">
        <f>'FC depreciation adjustment 22'!M6+2355</f>
        <v>16983.43</v>
      </c>
      <c r="C6" s="68">
        <f t="shared" si="3"/>
        <v>16983.43</v>
      </c>
      <c r="D6" s="68">
        <f t="shared" si="3"/>
        <v>16983.43</v>
      </c>
      <c r="E6" s="68">
        <f t="shared" si="3"/>
        <v>16983.43</v>
      </c>
      <c r="F6" s="68">
        <f t="shared" si="3"/>
        <v>16983.43</v>
      </c>
      <c r="G6" s="68">
        <f t="shared" si="3"/>
        <v>16983.43</v>
      </c>
      <c r="H6" s="68">
        <f t="shared" si="3"/>
        <v>16983.43</v>
      </c>
      <c r="I6" s="68">
        <f t="shared" si="3"/>
        <v>16983.43</v>
      </c>
      <c r="J6" s="68">
        <f t="shared" si="3"/>
        <v>16983.43</v>
      </c>
      <c r="K6" s="68">
        <f t="shared" si="3"/>
        <v>16983.43</v>
      </c>
      <c r="L6" s="68">
        <f t="shared" si="3"/>
        <v>16983.43</v>
      </c>
      <c r="M6" s="68">
        <f t="shared" si="3"/>
        <v>16983.43</v>
      </c>
      <c r="N6" s="105">
        <f t="shared" si="1"/>
        <v>203801.15999999995</v>
      </c>
      <c r="Q6" s="106">
        <f t="shared" si="4"/>
        <v>18188.114586427404</v>
      </c>
      <c r="R6" s="106">
        <f t="shared" si="2"/>
        <v>40512.249839509524</v>
      </c>
      <c r="S6" s="106">
        <f t="shared" si="2"/>
        <v>17394.671033551182</v>
      </c>
      <c r="T6" s="106">
        <f t="shared" si="2"/>
        <v>372.54419443763942</v>
      </c>
      <c r="U6" s="106">
        <f t="shared" si="2"/>
        <v>210.64983506907458</v>
      </c>
      <c r="V6" s="106">
        <f t="shared" si="2"/>
        <v>127122.93051100515</v>
      </c>
    </row>
    <row r="7" spans="1:23" x14ac:dyDescent="0.25">
      <c r="A7" t="s">
        <v>437</v>
      </c>
      <c r="B7" s="68">
        <f>'FC depreciation adjustment 22'!M7-513.58</f>
        <v>-2939.8383333333331</v>
      </c>
      <c r="C7" s="68">
        <f t="shared" si="3"/>
        <v>-2939.8383333333331</v>
      </c>
      <c r="D7" s="68">
        <f t="shared" si="3"/>
        <v>-2939.8383333333331</v>
      </c>
      <c r="E7" s="68">
        <f t="shared" si="3"/>
        <v>-2939.8383333333331</v>
      </c>
      <c r="F7" s="68">
        <f t="shared" si="3"/>
        <v>-2939.8383333333331</v>
      </c>
      <c r="G7" s="68">
        <f t="shared" si="3"/>
        <v>-2939.8383333333331</v>
      </c>
      <c r="H7" s="68">
        <f t="shared" si="3"/>
        <v>-2939.8383333333331</v>
      </c>
      <c r="I7" s="68">
        <f t="shared" si="3"/>
        <v>-2939.8383333333331</v>
      </c>
      <c r="J7" s="68">
        <f t="shared" si="3"/>
        <v>-2939.8383333333331</v>
      </c>
      <c r="K7" s="68">
        <f t="shared" si="3"/>
        <v>-2939.8383333333331</v>
      </c>
      <c r="L7" s="68">
        <f t="shared" si="3"/>
        <v>-2939.8383333333331</v>
      </c>
      <c r="M7" s="68">
        <f t="shared" si="3"/>
        <v>-2939.8383333333331</v>
      </c>
      <c r="N7" s="105">
        <f t="shared" si="1"/>
        <v>-35278.06</v>
      </c>
      <c r="Q7" s="106">
        <f t="shared" si="4"/>
        <v>-3148.3697034249526</v>
      </c>
      <c r="R7" s="106">
        <f t="shared" si="2"/>
        <v>-7012.6861916448743</v>
      </c>
      <c r="S7" s="106">
        <f t="shared" si="2"/>
        <v>-3011.0243160631703</v>
      </c>
      <c r="T7" s="106">
        <f t="shared" si="2"/>
        <v>-64.48754484038615</v>
      </c>
      <c r="U7" s="106">
        <f t="shared" si="2"/>
        <v>-36.463568316082792</v>
      </c>
      <c r="V7" s="106">
        <f t="shared" si="2"/>
        <v>-22005.028675710535</v>
      </c>
    </row>
    <row r="8" spans="1:23" x14ac:dyDescent="0.25">
      <c r="A8" t="s">
        <v>438</v>
      </c>
      <c r="B8" s="68">
        <f>'FC depreciation adjustment 22'!M8+3204</f>
        <v>999.15369328519955</v>
      </c>
      <c r="C8" s="68">
        <f t="shared" si="3"/>
        <v>999.15369328519955</v>
      </c>
      <c r="D8" s="68">
        <f t="shared" si="3"/>
        <v>999.15369328519955</v>
      </c>
      <c r="E8" s="68">
        <f t="shared" si="3"/>
        <v>999.15369328519955</v>
      </c>
      <c r="F8" s="68">
        <f t="shared" si="3"/>
        <v>999.15369328519955</v>
      </c>
      <c r="G8" s="68">
        <f t="shared" si="3"/>
        <v>999.15369328519955</v>
      </c>
      <c r="H8" s="68">
        <f t="shared" si="3"/>
        <v>999.15369328519955</v>
      </c>
      <c r="I8" s="68">
        <f t="shared" si="3"/>
        <v>999.15369328519955</v>
      </c>
      <c r="J8" s="68">
        <f t="shared" si="3"/>
        <v>999.15369328519955</v>
      </c>
      <c r="K8" s="68">
        <f t="shared" si="3"/>
        <v>999.15369328519955</v>
      </c>
      <c r="L8" s="68">
        <f t="shared" si="3"/>
        <v>999.15369328519955</v>
      </c>
      <c r="M8" s="68">
        <f t="shared" si="3"/>
        <v>999.15369328519955</v>
      </c>
      <c r="N8" s="105">
        <f t="shared" si="1"/>
        <v>11989.844319422395</v>
      </c>
      <c r="Q8" s="106">
        <f t="shared" si="4"/>
        <v>1070.0266002169972</v>
      </c>
      <c r="R8" s="106">
        <f t="shared" si="2"/>
        <v>2383.3798031633592</v>
      </c>
      <c r="S8" s="106">
        <f t="shared" si="2"/>
        <v>1023.3474514072685</v>
      </c>
      <c r="T8" s="106">
        <f t="shared" si="2"/>
        <v>21.917180910118098</v>
      </c>
      <c r="U8" s="106">
        <f t="shared" si="2"/>
        <v>12.392759336552398</v>
      </c>
      <c r="V8" s="106">
        <f t="shared" si="2"/>
        <v>7478.7805243881012</v>
      </c>
    </row>
    <row r="9" spans="1:23" x14ac:dyDescent="0.25">
      <c r="A9" t="s">
        <v>439</v>
      </c>
      <c r="B9" s="68">
        <f>'FC depreciation adjustment 22'!M9</f>
        <v>3742.6899029307069</v>
      </c>
      <c r="C9" s="68">
        <f t="shared" si="3"/>
        <v>3742.6899029307069</v>
      </c>
      <c r="D9" s="68">
        <f t="shared" si="3"/>
        <v>3742.6899029307069</v>
      </c>
      <c r="E9" s="68">
        <f t="shared" si="3"/>
        <v>3742.6899029307069</v>
      </c>
      <c r="F9" s="68">
        <f t="shared" si="3"/>
        <v>3742.6899029307069</v>
      </c>
      <c r="G9" s="68">
        <f t="shared" si="3"/>
        <v>3742.6899029307069</v>
      </c>
      <c r="H9" s="68">
        <f t="shared" si="3"/>
        <v>3742.6899029307069</v>
      </c>
      <c r="I9" s="68">
        <f t="shared" si="3"/>
        <v>3742.6899029307069</v>
      </c>
      <c r="J9" s="68">
        <f t="shared" si="3"/>
        <v>3742.6899029307069</v>
      </c>
      <c r="K9" s="68">
        <f t="shared" si="3"/>
        <v>3742.6899029307069</v>
      </c>
      <c r="L9" s="68">
        <f t="shared" si="3"/>
        <v>3742.6899029307069</v>
      </c>
      <c r="M9" s="68">
        <f t="shared" si="3"/>
        <v>3742.6899029307069</v>
      </c>
      <c r="N9" s="105">
        <f t="shared" si="1"/>
        <v>44912.278835168487</v>
      </c>
      <c r="Q9" s="106">
        <f t="shared" si="4"/>
        <v>4008.1698935944378</v>
      </c>
      <c r="R9" s="106">
        <f t="shared" si="2"/>
        <v>8927.8071873195531</v>
      </c>
      <c r="S9" s="106">
        <f t="shared" si="2"/>
        <v>3833.316334926059</v>
      </c>
      <c r="T9" s="106">
        <f t="shared" si="2"/>
        <v>82.098692367631713</v>
      </c>
      <c r="U9" s="106">
        <f t="shared" si="2"/>
        <v>46.421542101156511</v>
      </c>
      <c r="V9" s="106">
        <f t="shared" si="2"/>
        <v>28014.465184859655</v>
      </c>
    </row>
    <row r="10" spans="1:23" x14ac:dyDescent="0.25">
      <c r="A10" t="s">
        <v>440</v>
      </c>
      <c r="B10" s="68">
        <f>'FC depreciation adjustment 22'!M10</f>
        <v>5346.3599338366139</v>
      </c>
      <c r="C10" s="68">
        <f t="shared" si="3"/>
        <v>5346.3599338366139</v>
      </c>
      <c r="D10" s="68">
        <f t="shared" si="3"/>
        <v>5346.3599338366139</v>
      </c>
      <c r="E10" s="68">
        <f t="shared" si="3"/>
        <v>5346.3599338366139</v>
      </c>
      <c r="F10" s="68">
        <f t="shared" si="3"/>
        <v>5346.3599338366139</v>
      </c>
      <c r="G10" s="68">
        <f t="shared" si="3"/>
        <v>5346.3599338366139</v>
      </c>
      <c r="H10" s="68">
        <f t="shared" si="3"/>
        <v>5346.3599338366139</v>
      </c>
      <c r="I10" s="68">
        <f t="shared" si="3"/>
        <v>5346.3599338366139</v>
      </c>
      <c r="J10" s="68">
        <f t="shared" si="3"/>
        <v>5346.3599338366139</v>
      </c>
      <c r="K10" s="68">
        <f t="shared" si="3"/>
        <v>5346.3599338366139</v>
      </c>
      <c r="L10" s="68">
        <f t="shared" si="3"/>
        <v>5346.3599338366139</v>
      </c>
      <c r="M10" s="68">
        <f t="shared" si="3"/>
        <v>5346.3599338366139</v>
      </c>
      <c r="N10" s="105">
        <f t="shared" si="1"/>
        <v>64156.319206039356</v>
      </c>
      <c r="Q10" s="106">
        <f t="shared" si="4"/>
        <v>5725.5929513004603</v>
      </c>
      <c r="R10" s="106">
        <f t="shared" si="2"/>
        <v>12753.19940503965</v>
      </c>
      <c r="S10" s="106">
        <f t="shared" si="2"/>
        <v>5475.8180341689731</v>
      </c>
      <c r="T10" s="106">
        <f t="shared" si="2"/>
        <v>117.27638967657491</v>
      </c>
      <c r="U10" s="106">
        <f t="shared" si="2"/>
        <v>66.312272508120643</v>
      </c>
      <c r="V10" s="106">
        <f t="shared" si="2"/>
        <v>40018.120153345582</v>
      </c>
    </row>
    <row r="11" spans="1:23" x14ac:dyDescent="0.25">
      <c r="A11" t="s">
        <v>441</v>
      </c>
      <c r="B11" s="68">
        <f>'FC depreciation adjustment 22'!M11-2000.67</f>
        <v>4107.3112395321887</v>
      </c>
      <c r="C11" s="68">
        <f t="shared" si="3"/>
        <v>4107.3112395321887</v>
      </c>
      <c r="D11" s="68">
        <f t="shared" si="3"/>
        <v>4107.3112395321887</v>
      </c>
      <c r="E11" s="68">
        <f t="shared" si="3"/>
        <v>4107.3112395321887</v>
      </c>
      <c r="F11" s="68">
        <f t="shared" si="3"/>
        <v>4107.3112395321887</v>
      </c>
      <c r="G11" s="68">
        <f t="shared" si="3"/>
        <v>4107.3112395321887</v>
      </c>
      <c r="H11" s="68">
        <f t="shared" si="3"/>
        <v>4107.3112395321887</v>
      </c>
      <c r="I11" s="68">
        <f t="shared" si="3"/>
        <v>4107.3112395321887</v>
      </c>
      <c r="J11" s="68">
        <f t="shared" si="3"/>
        <v>4107.3112395321887</v>
      </c>
      <c r="K11" s="68">
        <f t="shared" si="3"/>
        <v>4107.3112395321887</v>
      </c>
      <c r="L11" s="68">
        <f t="shared" si="3"/>
        <v>4107.3112395321887</v>
      </c>
      <c r="M11" s="68">
        <f t="shared" si="3"/>
        <v>4107.3112395321887</v>
      </c>
      <c r="N11" s="105">
        <f t="shared" si="1"/>
        <v>49287.73487438626</v>
      </c>
      <c r="Q11" s="106">
        <f t="shared" si="4"/>
        <v>4398.6548928415896</v>
      </c>
      <c r="R11" s="106">
        <f t="shared" si="2"/>
        <v>9797.574406615955</v>
      </c>
      <c r="S11" s="106">
        <f t="shared" si="2"/>
        <v>4206.7667040209062</v>
      </c>
      <c r="T11" s="106">
        <f t="shared" si="2"/>
        <v>90.096933130479627</v>
      </c>
      <c r="U11" s="106">
        <f t="shared" si="2"/>
        <v>50.944033989883792</v>
      </c>
      <c r="V11" s="106">
        <f t="shared" si="2"/>
        <v>30743.697903787452</v>
      </c>
    </row>
    <row r="12" spans="1:23" x14ac:dyDescent="0.25">
      <c r="A12" t="s">
        <v>442</v>
      </c>
      <c r="B12" s="68">
        <f>'FC depreciation adjustment 22'!M12-568.83</f>
        <v>161.37998732269955</v>
      </c>
      <c r="C12" s="68">
        <f t="shared" si="3"/>
        <v>161.37998732269955</v>
      </c>
      <c r="D12" s="68">
        <f t="shared" si="3"/>
        <v>161.37998732269955</v>
      </c>
      <c r="E12" s="68">
        <f t="shared" si="3"/>
        <v>161.37998732269955</v>
      </c>
      <c r="F12" s="68">
        <f t="shared" si="3"/>
        <v>161.37998732269955</v>
      </c>
      <c r="G12" s="68">
        <f t="shared" si="3"/>
        <v>161.37998732269955</v>
      </c>
      <c r="H12" s="68">
        <f t="shared" si="3"/>
        <v>161.37998732269955</v>
      </c>
      <c r="I12" s="68">
        <f t="shared" si="3"/>
        <v>161.37998732269955</v>
      </c>
      <c r="J12" s="68">
        <f t="shared" si="3"/>
        <v>161.37998732269955</v>
      </c>
      <c r="K12" s="68">
        <f t="shared" si="3"/>
        <v>161.37998732269955</v>
      </c>
      <c r="L12" s="68">
        <f t="shared" si="3"/>
        <v>161.37998732269955</v>
      </c>
      <c r="M12" s="68">
        <f t="shared" si="3"/>
        <v>161.37998732269955</v>
      </c>
      <c r="N12" s="105">
        <f t="shared" si="1"/>
        <v>1936.5598478723941</v>
      </c>
      <c r="Q12" s="106">
        <f t="shared" si="4"/>
        <v>172.82714395039525</v>
      </c>
      <c r="R12" s="106">
        <f t="shared" si="2"/>
        <v>384.95559292287152</v>
      </c>
      <c r="S12" s="106">
        <f t="shared" si="2"/>
        <v>165.28768281065831</v>
      </c>
      <c r="T12" s="106">
        <f t="shared" si="2"/>
        <v>3.5399902949811413</v>
      </c>
      <c r="U12" s="106">
        <f t="shared" si="2"/>
        <v>2.0016373437507036</v>
      </c>
      <c r="V12" s="106">
        <f t="shared" si="2"/>
        <v>1207.9478005497374</v>
      </c>
    </row>
    <row r="13" spans="1:23" x14ac:dyDescent="0.25">
      <c r="A13" t="s">
        <v>443</v>
      </c>
      <c r="B13" s="71">
        <f>SUM(B3:B12)</f>
        <v>30976.700250831025</v>
      </c>
      <c r="C13" s="71">
        <f t="shared" ref="C13:N13" si="5">SUM(C3:C12)</f>
        <v>30976.700250831025</v>
      </c>
      <c r="D13" s="71">
        <f t="shared" si="5"/>
        <v>30976.700250831025</v>
      </c>
      <c r="E13" s="71">
        <f t="shared" si="5"/>
        <v>30976.700250831025</v>
      </c>
      <c r="F13" s="71">
        <f t="shared" si="5"/>
        <v>30976.700250831025</v>
      </c>
      <c r="G13" s="71">
        <f t="shared" si="5"/>
        <v>30976.700250831025</v>
      </c>
      <c r="H13" s="71">
        <f t="shared" si="5"/>
        <v>30976.700250831025</v>
      </c>
      <c r="I13" s="71">
        <f t="shared" si="5"/>
        <v>30976.700250831025</v>
      </c>
      <c r="J13" s="71">
        <f t="shared" si="5"/>
        <v>30976.700250831025</v>
      </c>
      <c r="K13" s="71">
        <f t="shared" si="5"/>
        <v>30976.700250831025</v>
      </c>
      <c r="L13" s="71">
        <f t="shared" si="5"/>
        <v>30976.700250831025</v>
      </c>
      <c r="M13" s="71">
        <f t="shared" si="5"/>
        <v>30976.700250831025</v>
      </c>
      <c r="N13" s="71">
        <f t="shared" si="5"/>
        <v>371720.40300997224</v>
      </c>
      <c r="Q13" s="107">
        <f t="shared" si="4"/>
        <v>33173.968607727016</v>
      </c>
      <c r="R13" s="107">
        <f t="shared" si="2"/>
        <v>73891.776853395568</v>
      </c>
      <c r="S13" s="107">
        <f t="shared" si="2"/>
        <v>31726.777839819642</v>
      </c>
      <c r="T13" s="107">
        <f t="shared" si="2"/>
        <v>679.49700627506149</v>
      </c>
      <c r="U13" s="107">
        <f t="shared" si="2"/>
        <v>384.21195240429745</v>
      </c>
      <c r="V13" s="107">
        <f t="shared" si="2"/>
        <v>231864.17075035069</v>
      </c>
      <c r="W13" s="67" t="s">
        <v>444</v>
      </c>
    </row>
    <row r="14" spans="1:23" x14ac:dyDescent="0.25">
      <c r="Q14" s="106">
        <f t="shared" si="4"/>
        <v>0</v>
      </c>
      <c r="R14" s="106">
        <f t="shared" si="2"/>
        <v>0</v>
      </c>
      <c r="S14" s="106">
        <f t="shared" si="2"/>
        <v>0</v>
      </c>
      <c r="T14" s="106">
        <f t="shared" si="2"/>
        <v>0</v>
      </c>
      <c r="U14" s="106">
        <f t="shared" si="2"/>
        <v>0</v>
      </c>
      <c r="V14" s="106">
        <f t="shared" si="2"/>
        <v>0</v>
      </c>
    </row>
    <row r="15" spans="1:23" x14ac:dyDescent="0.25">
      <c r="A15" s="67" t="s">
        <v>445</v>
      </c>
      <c r="B15" s="105">
        <f>-B9-B10</f>
        <v>-9089.0498367673208</v>
      </c>
      <c r="C15" s="105">
        <f t="shared" ref="C15:N15" si="6">-C9-C10</f>
        <v>-9089.0498367673208</v>
      </c>
      <c r="D15" s="105">
        <f t="shared" si="6"/>
        <v>-9089.0498367673208</v>
      </c>
      <c r="E15" s="105">
        <f t="shared" si="6"/>
        <v>-9089.0498367673208</v>
      </c>
      <c r="F15" s="105">
        <f t="shared" si="6"/>
        <v>-9089.0498367673208</v>
      </c>
      <c r="G15" s="105">
        <f t="shared" si="6"/>
        <v>-9089.0498367673208</v>
      </c>
      <c r="H15" s="105">
        <f t="shared" si="6"/>
        <v>-9089.0498367673208</v>
      </c>
      <c r="I15" s="105">
        <f t="shared" si="6"/>
        <v>-9089.0498367673208</v>
      </c>
      <c r="J15" s="105">
        <f t="shared" si="6"/>
        <v>-9089.0498367673208</v>
      </c>
      <c r="K15" s="105">
        <f t="shared" si="6"/>
        <v>-9089.0498367673208</v>
      </c>
      <c r="L15" s="105">
        <f t="shared" si="6"/>
        <v>-9089.0498367673208</v>
      </c>
      <c r="M15" s="105">
        <f t="shared" si="6"/>
        <v>-9089.0498367673208</v>
      </c>
      <c r="N15" s="105">
        <f t="shared" si="6"/>
        <v>-109068.59804120785</v>
      </c>
      <c r="Q15" s="106">
        <f t="shared" si="4"/>
        <v>-9733.7628448948981</v>
      </c>
      <c r="R15" s="106">
        <f t="shared" si="2"/>
        <v>-21681.006592359205</v>
      </c>
      <c r="S15" s="106">
        <f t="shared" si="2"/>
        <v>-9309.1343690950325</v>
      </c>
      <c r="T15" s="106">
        <f t="shared" si="2"/>
        <v>-199.37508204420664</v>
      </c>
      <c r="U15" s="106">
        <f t="shared" si="2"/>
        <v>-112.73381460927716</v>
      </c>
      <c r="V15" s="106">
        <f t="shared" si="2"/>
        <v>-68032.585338205245</v>
      </c>
    </row>
    <row r="16" spans="1:23" x14ac:dyDescent="0.25">
      <c r="Q16" s="106">
        <f t="shared" si="4"/>
        <v>0</v>
      </c>
      <c r="R16" s="106">
        <f t="shared" si="2"/>
        <v>0</v>
      </c>
      <c r="S16" s="106">
        <f t="shared" si="2"/>
        <v>0</v>
      </c>
      <c r="T16" s="106">
        <f t="shared" si="2"/>
        <v>0</v>
      </c>
      <c r="U16" s="106">
        <f t="shared" si="2"/>
        <v>0</v>
      </c>
      <c r="V16" s="106">
        <f t="shared" si="2"/>
        <v>0</v>
      </c>
    </row>
    <row r="17" spans="1:23" ht="15.75" thickBot="1" x14ac:dyDescent="0.3">
      <c r="A17" s="67" t="s">
        <v>446</v>
      </c>
      <c r="B17" s="111">
        <f>B13+B15</f>
        <v>21887.650414063704</v>
      </c>
      <c r="C17" s="111">
        <f t="shared" ref="C17:N17" si="7">C13+C15</f>
        <v>21887.650414063704</v>
      </c>
      <c r="D17" s="111">
        <f t="shared" si="7"/>
        <v>21887.650414063704</v>
      </c>
      <c r="E17" s="111">
        <f t="shared" si="7"/>
        <v>21887.650414063704</v>
      </c>
      <c r="F17" s="111">
        <f t="shared" si="7"/>
        <v>21887.650414063704</v>
      </c>
      <c r="G17" s="111">
        <f t="shared" si="7"/>
        <v>21887.650414063704</v>
      </c>
      <c r="H17" s="111">
        <f t="shared" si="7"/>
        <v>21887.650414063704</v>
      </c>
      <c r="I17" s="111">
        <f t="shared" si="7"/>
        <v>21887.650414063704</v>
      </c>
      <c r="J17" s="111">
        <f t="shared" si="7"/>
        <v>21887.650414063704</v>
      </c>
      <c r="K17" s="111">
        <f t="shared" si="7"/>
        <v>21887.650414063704</v>
      </c>
      <c r="L17" s="111">
        <f t="shared" si="7"/>
        <v>21887.650414063704</v>
      </c>
      <c r="M17" s="111">
        <f t="shared" si="7"/>
        <v>21887.650414063704</v>
      </c>
      <c r="N17" s="111">
        <f t="shared" si="7"/>
        <v>262651.80496876442</v>
      </c>
      <c r="Q17" s="108">
        <f t="shared" si="4"/>
        <v>23440.20576283212</v>
      </c>
      <c r="R17" s="108">
        <f t="shared" si="2"/>
        <v>52210.770261036378</v>
      </c>
      <c r="S17" s="108">
        <f t="shared" si="2"/>
        <v>22417.643470724612</v>
      </c>
      <c r="T17" s="108">
        <f t="shared" si="2"/>
        <v>480.12192423085492</v>
      </c>
      <c r="U17" s="108">
        <f t="shared" si="2"/>
        <v>271.47813779502036</v>
      </c>
      <c r="V17" s="108">
        <f t="shared" si="2"/>
        <v>163831.58541214548</v>
      </c>
      <c r="W17" s="67" t="s">
        <v>447</v>
      </c>
    </row>
    <row r="18" spans="1:23" ht="15.75" thickTop="1" x14ac:dyDescent="0.25"/>
  </sheetData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 A C T I V E ! 1 5 6 7 6 6 6 4 . 1 < / d o c u m e n t i d >  
     < s e n d e r i d > K E A B E T < / s e n d e r i d >  
     < s e n d e r e m a i l > B K E A T I N G @ G U N S T E R . C O M < / s e n d e r e m a i l >  
     < l a s t m o d i f i e d > 2 0 2 2 - 0 3 - 0 5 T 1 1 : 3 6 : 0 6 . 0 0 0 0 0 0 0 - 0 5 : 0 0 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working capital and def tax 21</vt:lpstr>
      <vt:lpstr>WC def tax 22</vt:lpstr>
      <vt:lpstr>WC def tax 23</vt:lpstr>
      <vt:lpstr>FC common plant 21</vt:lpstr>
      <vt:lpstr>FC Common pl 22</vt:lpstr>
      <vt:lpstr>FC common pl 23</vt:lpstr>
      <vt:lpstr>FC depreciation adjustment 21</vt:lpstr>
      <vt:lpstr>FC depreciation adjustment 22</vt:lpstr>
      <vt:lpstr>FC depreciation adjustment 23</vt:lpstr>
      <vt:lpstr>Corporate and Skipjack Alloc 21</vt:lpstr>
      <vt:lpstr>CU and Skipjack 22</vt:lpstr>
      <vt:lpstr>CU and Skipjack 23</vt:lpstr>
      <vt:lpstr>Allocation Factors 21</vt:lpstr>
      <vt:lpstr>Allocation Factors 22</vt:lpstr>
      <vt:lpstr>Allocation Factors 23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Baugh, Jowi</cp:lastModifiedBy>
  <dcterms:created xsi:type="dcterms:W3CDTF">2022-02-11T11:53:44Z</dcterms:created>
  <dcterms:modified xsi:type="dcterms:W3CDTF">2022-03-05T16:36:06Z</dcterms:modified>
</cp:coreProperties>
</file>