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MFR Backup\G Schedules\G-1 Rate Base\G1-4 Working Capital\Working Capital support\"/>
    </mc:Choice>
  </mc:AlternateContent>
  <bookViews>
    <workbookView xWindow="0" yWindow="0" windowWidth="19200" windowHeight="11460"/>
  </bookViews>
  <sheets>
    <sheet name="FN" sheetId="2" r:id="rId1"/>
    <sheet name="CF" sheetId="1" r:id="rId2"/>
    <sheet name="FI" sheetId="3" r:id="rId3"/>
    <sheet name="FT" sheetId="4" r:id="rId4"/>
  </sheets>
  <externalReferences>
    <externalReference r:id="rId5"/>
    <externalReference r:id="rId6"/>
    <externalReference r:id="rId7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76" i="1" l="1"/>
  <c r="AY76" i="1"/>
  <c r="AX76" i="1"/>
  <c r="AW76" i="1"/>
  <c r="AV76" i="1"/>
  <c r="AU76" i="1"/>
  <c r="AT76" i="1"/>
  <c r="AS76" i="1"/>
  <c r="AR76" i="1"/>
  <c r="AQ76" i="1"/>
  <c r="AP76" i="1"/>
  <c r="AO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J76" i="1" l="1"/>
  <c r="AI76" i="1"/>
  <c r="T76" i="1"/>
  <c r="U76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U23" i="1" l="1"/>
  <c r="T23" i="1"/>
  <c r="AZ23" i="1"/>
  <c r="BA23" i="1" s="1"/>
  <c r="W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U170" i="2" l="1"/>
  <c r="U164" i="2"/>
  <c r="AP84" i="2"/>
  <c r="AZ84" i="2"/>
  <c r="AY84" i="2"/>
  <c r="AX84" i="2"/>
  <c r="AW84" i="2"/>
  <c r="AV84" i="2"/>
  <c r="AU84" i="2"/>
  <c r="AT84" i="2"/>
  <c r="AS84" i="2"/>
  <c r="AR84" i="2"/>
  <c r="AQ84" i="2"/>
  <c r="BA84" i="2"/>
  <c r="BB84" i="2"/>
  <c r="AG84" i="2"/>
  <c r="AI84" i="2"/>
  <c r="AH84" i="2"/>
  <c r="AF84" i="2"/>
  <c r="AE84" i="2"/>
  <c r="AD84" i="2"/>
  <c r="AC84" i="2"/>
  <c r="AB84" i="2"/>
  <c r="AA84" i="2"/>
  <c r="Z84" i="2"/>
  <c r="Y84" i="2"/>
  <c r="AJ84" i="2"/>
  <c r="AK84" i="2"/>
  <c r="AO89" i="2" l="1"/>
  <c r="AO88" i="2"/>
  <c r="AO87" i="2"/>
  <c r="AO85" i="2"/>
  <c r="AO77" i="2"/>
  <c r="AO75" i="2"/>
  <c r="AO73" i="2"/>
  <c r="BB96" i="2"/>
  <c r="BC96" i="2" s="1"/>
  <c r="BB97" i="2"/>
  <c r="BC97" i="2" s="1"/>
  <c r="AQ77" i="2"/>
  <c r="AR77" i="2" s="1"/>
  <c r="AS77" i="2" s="1"/>
  <c r="AT77" i="2" s="1"/>
  <c r="AU77" i="2" s="1"/>
  <c r="AV77" i="2" s="1"/>
  <c r="AW77" i="2" s="1"/>
  <c r="AX77" i="2" s="1"/>
  <c r="AY77" i="2" s="1"/>
  <c r="AZ77" i="2" s="1"/>
  <c r="BA77" i="2" s="1"/>
  <c r="AP77" i="2"/>
  <c r="BB38" i="2"/>
  <c r="BC38" i="2" s="1"/>
  <c r="AO38" i="2"/>
  <c r="X45" i="2"/>
  <c r="AK38" i="2"/>
  <c r="AL38" i="2" s="1"/>
  <c r="X38" i="2"/>
  <c r="AM71" i="1"/>
  <c r="AZ71" i="1" s="1"/>
  <c r="BA71" i="1" s="1"/>
  <c r="AZ68" i="1"/>
  <c r="BA68" i="1" s="1"/>
  <c r="BA78" i="1"/>
  <c r="AZ78" i="1"/>
  <c r="AP78" i="1"/>
  <c r="AQ78" i="1" s="1"/>
  <c r="AR78" i="1" s="1"/>
  <c r="AS78" i="1" s="1"/>
  <c r="AT78" i="1" s="1"/>
  <c r="AU78" i="1" s="1"/>
  <c r="AV78" i="1" s="1"/>
  <c r="AW78" i="1" s="1"/>
  <c r="AX78" i="1" s="1"/>
  <c r="AY78" i="1" s="1"/>
  <c r="AO78" i="1"/>
  <c r="AN78" i="1"/>
  <c r="AP89" i="1"/>
  <c r="AQ89" i="1" s="1"/>
  <c r="AO89" i="1"/>
  <c r="AN89" i="1"/>
  <c r="AZ91" i="1"/>
  <c r="BA91" i="1" s="1"/>
  <c r="AZ90" i="1"/>
  <c r="BA90" i="1" s="1"/>
  <c r="AZ88" i="1"/>
  <c r="BA88" i="1" s="1"/>
  <c r="AZ87" i="1"/>
  <c r="BA87" i="1" s="1"/>
  <c r="AP87" i="1"/>
  <c r="AQ87" i="1" s="1"/>
  <c r="AR87" i="1" s="1"/>
  <c r="AS87" i="1" s="1"/>
  <c r="AT87" i="1" s="1"/>
  <c r="AU87" i="1" s="1"/>
  <c r="AV87" i="1" s="1"/>
  <c r="AW87" i="1" s="1"/>
  <c r="AX87" i="1" s="1"/>
  <c r="AY87" i="1" s="1"/>
  <c r="AO87" i="1"/>
  <c r="AN87" i="1"/>
  <c r="AM91" i="1"/>
  <c r="AM90" i="1"/>
  <c r="AM89" i="1"/>
  <c r="AM88" i="1"/>
  <c r="AM87" i="1"/>
  <c r="AM86" i="1"/>
  <c r="BA69" i="1"/>
  <c r="AZ69" i="1"/>
  <c r="AO69" i="1"/>
  <c r="AP69" i="1" s="1"/>
  <c r="AQ69" i="1" s="1"/>
  <c r="AR69" i="1" s="1"/>
  <c r="AS69" i="1" s="1"/>
  <c r="AT69" i="1" s="1"/>
  <c r="AU69" i="1" s="1"/>
  <c r="AV69" i="1" s="1"/>
  <c r="AW69" i="1" s="1"/>
  <c r="AX69" i="1" s="1"/>
  <c r="AY69" i="1" s="1"/>
  <c r="AN69" i="1"/>
  <c r="AJ90" i="1"/>
  <c r="AJ89" i="1"/>
  <c r="AJ88" i="1"/>
  <c r="AJ87" i="1"/>
  <c r="AI90" i="1"/>
  <c r="AI89" i="1"/>
  <c r="AI88" i="1"/>
  <c r="AI87" i="1"/>
  <c r="AI32" i="1"/>
  <c r="AI31" i="1"/>
  <c r="AI30" i="1"/>
  <c r="AI29" i="1"/>
  <c r="AI28" i="1"/>
  <c r="AI25" i="1"/>
  <c r="AI24" i="1"/>
  <c r="AI22" i="1"/>
  <c r="AJ29" i="1"/>
  <c r="W29" i="1"/>
  <c r="AQ64" i="4"/>
  <c r="AR64" i="4" s="1"/>
  <c r="AS64" i="4" s="1"/>
  <c r="AP64" i="4"/>
  <c r="BB73" i="4"/>
  <c r="BC73" i="4" s="1"/>
  <c r="BB71" i="4"/>
  <c r="BC71" i="4" s="1"/>
  <c r="BB63" i="4"/>
  <c r="BC63" i="4" s="1"/>
  <c r="AP66" i="4"/>
  <c r="AQ66" i="4" s="1"/>
  <c r="AR66" i="4" s="1"/>
  <c r="AS66" i="4" s="1"/>
  <c r="AT66" i="4" s="1"/>
  <c r="AU66" i="4" s="1"/>
  <c r="AV66" i="4" s="1"/>
  <c r="AW66" i="4" s="1"/>
  <c r="AX66" i="4" s="1"/>
  <c r="AY66" i="4" s="1"/>
  <c r="AZ66" i="4" s="1"/>
  <c r="BA66" i="4" s="1"/>
  <c r="AP65" i="4"/>
  <c r="AO73" i="4"/>
  <c r="AO72" i="4"/>
  <c r="AO71" i="4"/>
  <c r="AO66" i="4"/>
  <c r="AO65" i="4"/>
  <c r="AO64" i="4"/>
  <c r="AO63" i="4"/>
  <c r="AK73" i="4"/>
  <c r="AL73" i="4" s="1"/>
  <c r="X73" i="4"/>
  <c r="AK72" i="4"/>
  <c r="AL72" i="4" s="1"/>
  <c r="AK71" i="4"/>
  <c r="AL71" i="4" s="1"/>
  <c r="AK66" i="4"/>
  <c r="AL66" i="4" s="1"/>
  <c r="AK65" i="4"/>
  <c r="AL65" i="4" s="1"/>
  <c r="AA66" i="4"/>
  <c r="AB66" i="4" s="1"/>
  <c r="AC66" i="4" s="1"/>
  <c r="AD66" i="4" s="1"/>
  <c r="AE66" i="4" s="1"/>
  <c r="AF66" i="4" s="1"/>
  <c r="AG66" i="4" s="1"/>
  <c r="AH66" i="4" s="1"/>
  <c r="AI66" i="4" s="1"/>
  <c r="AJ66" i="4" s="1"/>
  <c r="AA65" i="4"/>
  <c r="AB65" i="4" s="1"/>
  <c r="AC65" i="4" s="1"/>
  <c r="AD65" i="4" s="1"/>
  <c r="AE65" i="4" s="1"/>
  <c r="AF65" i="4" s="1"/>
  <c r="AG65" i="4" s="1"/>
  <c r="AH65" i="4" s="1"/>
  <c r="AI65" i="4" s="1"/>
  <c r="AJ65" i="4" s="1"/>
  <c r="Z66" i="4"/>
  <c r="Z65" i="4"/>
  <c r="AK64" i="4"/>
  <c r="AL64" i="4" s="1"/>
  <c r="AL63" i="4"/>
  <c r="AK63" i="4"/>
  <c r="Y70" i="4"/>
  <c r="Y69" i="4"/>
  <c r="Y68" i="4"/>
  <c r="Y67" i="4"/>
  <c r="Y66" i="4"/>
  <c r="Y65" i="4"/>
  <c r="BB62" i="4"/>
  <c r="AK62" i="4"/>
  <c r="Y62" i="4"/>
  <c r="BB19" i="4"/>
  <c r="BC19" i="4"/>
  <c r="BB32" i="4"/>
  <c r="BC32" i="4" s="1"/>
  <c r="AO32" i="4"/>
  <c r="AK32" i="4"/>
  <c r="AL32" i="4" s="1"/>
  <c r="X32" i="4"/>
  <c r="Z23" i="4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O23" i="4" s="1"/>
  <c r="AP23" i="4" s="1"/>
  <c r="AQ23" i="4" s="1"/>
  <c r="AR23" i="4" s="1"/>
  <c r="Y25" i="4"/>
  <c r="Y24" i="4"/>
  <c r="Y23" i="4"/>
  <c r="AK23" i="4" s="1"/>
  <c r="AL23" i="4" s="1"/>
  <c r="Y20" i="4"/>
  <c r="Z20" i="4" s="1"/>
  <c r="AK61" i="3"/>
  <c r="AL61" i="3" s="1"/>
  <c r="AO61" i="3"/>
  <c r="BB61" i="3" s="1"/>
  <c r="BC61" i="3" s="1"/>
  <c r="BC36" i="3"/>
  <c r="BC35" i="3"/>
  <c r="BC34" i="3"/>
  <c r="BC29" i="3"/>
  <c r="BC28" i="3"/>
  <c r="BC27" i="3"/>
  <c r="BC26" i="3"/>
  <c r="BC25" i="3"/>
  <c r="AK36" i="3"/>
  <c r="AL36" i="3" s="1"/>
  <c r="BB36" i="3"/>
  <c r="AO36" i="3"/>
  <c r="BB29" i="3"/>
  <c r="BB24" i="3"/>
  <c r="AO78" i="3"/>
  <c r="AO77" i="3"/>
  <c r="AO76" i="3"/>
  <c r="AO71" i="3"/>
  <c r="AO70" i="3"/>
  <c r="AO69" i="3"/>
  <c r="AO68" i="3"/>
  <c r="AO67" i="3"/>
  <c r="AO66" i="3"/>
  <c r="AL70" i="3"/>
  <c r="AL69" i="3"/>
  <c r="AL68" i="3"/>
  <c r="AL67" i="3"/>
  <c r="AL66" i="3"/>
  <c r="AL78" i="3"/>
  <c r="AL77" i="3"/>
  <c r="AL76" i="3"/>
  <c r="AK78" i="3"/>
  <c r="AK77" i="3"/>
  <c r="AK76" i="3"/>
  <c r="AK70" i="3"/>
  <c r="AK69" i="3"/>
  <c r="AK68" i="3"/>
  <c r="AK67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AR89" i="1" l="1"/>
  <c r="AS89" i="1" s="1"/>
  <c r="AT89" i="1" s="1"/>
  <c r="AU89" i="1" s="1"/>
  <c r="AV89" i="1" s="1"/>
  <c r="AW89" i="1" s="1"/>
  <c r="AX89" i="1" s="1"/>
  <c r="AY89" i="1" s="1"/>
  <c r="AQ65" i="4"/>
  <c r="AR65" i="4" s="1"/>
  <c r="AS65" i="4" s="1"/>
  <c r="AT65" i="4" s="1"/>
  <c r="AU65" i="4" s="1"/>
  <c r="AV65" i="4" s="1"/>
  <c r="AW65" i="4" s="1"/>
  <c r="AX65" i="4" s="1"/>
  <c r="AY65" i="4" s="1"/>
  <c r="AZ65" i="4" s="1"/>
  <c r="BA65" i="4" s="1"/>
  <c r="BB66" i="4"/>
  <c r="BC66" i="4" s="1"/>
  <c r="AT64" i="4"/>
  <c r="AU64" i="4" s="1"/>
  <c r="AV64" i="4" s="1"/>
  <c r="AW64" i="4" s="1"/>
  <c r="AX64" i="4" s="1"/>
  <c r="AY64" i="4" s="1"/>
  <c r="AZ64" i="4" s="1"/>
  <c r="BA64" i="4" s="1"/>
  <c r="AA20" i="4"/>
  <c r="AB20" i="4" s="1"/>
  <c r="AC20" i="4" s="1"/>
  <c r="AD20" i="4" s="1"/>
  <c r="AE20" i="4" s="1"/>
  <c r="AF20" i="4" s="1"/>
  <c r="AG20" i="4" s="1"/>
  <c r="AH20" i="4" s="1"/>
  <c r="AI20" i="4" s="1"/>
  <c r="AJ20" i="4" s="1"/>
  <c r="AO20" i="4" s="1"/>
  <c r="AP20" i="4" s="1"/>
  <c r="AQ20" i="4" s="1"/>
  <c r="AR20" i="4" s="1"/>
  <c r="AK20" i="4"/>
  <c r="AL20" i="4" s="1"/>
  <c r="Z24" i="4"/>
  <c r="AA24" i="4" s="1"/>
  <c r="AB24" i="4" s="1"/>
  <c r="AC24" i="4" s="1"/>
  <c r="AD24" i="4" s="1"/>
  <c r="AE24" i="4" s="1"/>
  <c r="AF24" i="4" s="1"/>
  <c r="AG24" i="4" s="1"/>
  <c r="AH24" i="4" s="1"/>
  <c r="AI24" i="4" s="1"/>
  <c r="AJ24" i="4" s="1"/>
  <c r="AO24" i="4" s="1"/>
  <c r="AP24" i="4" s="1"/>
  <c r="AQ24" i="4" s="1"/>
  <c r="AR24" i="4" s="1"/>
  <c r="Z25" i="4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O25" i="4" s="1"/>
  <c r="AP25" i="4" s="1"/>
  <c r="AQ25" i="4" s="1"/>
  <c r="AR25" i="4" s="1"/>
  <c r="AS25" i="4" s="1"/>
  <c r="AS20" i="4"/>
  <c r="AT20" i="4" s="1"/>
  <c r="AU20" i="4" s="1"/>
  <c r="AV20" i="4" s="1"/>
  <c r="AW20" i="4" s="1"/>
  <c r="AX20" i="4" s="1"/>
  <c r="AY20" i="4" s="1"/>
  <c r="AZ20" i="4" s="1"/>
  <c r="BA20" i="4" s="1"/>
  <c r="BB20" i="4"/>
  <c r="BC20" i="4" s="1"/>
  <c r="AT25" i="4"/>
  <c r="AU25" i="4" s="1"/>
  <c r="AV25" i="4" s="1"/>
  <c r="AW25" i="4" s="1"/>
  <c r="AX25" i="4" s="1"/>
  <c r="AY25" i="4" s="1"/>
  <c r="AZ25" i="4" s="1"/>
  <c r="BA25" i="4" s="1"/>
  <c r="AS23" i="4"/>
  <c r="AT23" i="4" s="1"/>
  <c r="AU23" i="4" s="1"/>
  <c r="AV23" i="4" s="1"/>
  <c r="AW23" i="4" s="1"/>
  <c r="AX23" i="4" s="1"/>
  <c r="AY23" i="4" s="1"/>
  <c r="AZ23" i="4" s="1"/>
  <c r="BA23" i="4" s="1"/>
  <c r="AS24" i="4"/>
  <c r="AT24" i="4" s="1"/>
  <c r="AU24" i="4" s="1"/>
  <c r="AV24" i="4" s="1"/>
  <c r="AW24" i="4" s="1"/>
  <c r="AX24" i="4" s="1"/>
  <c r="AY24" i="4" s="1"/>
  <c r="AZ24" i="4" s="1"/>
  <c r="BA24" i="4" s="1"/>
  <c r="X36" i="3"/>
  <c r="X35" i="3"/>
  <c r="X61" i="3"/>
  <c r="X67" i="3"/>
  <c r="AO29" i="3"/>
  <c r="X29" i="3"/>
  <c r="AK29" i="3" s="1"/>
  <c r="AL29" i="3" s="1"/>
  <c r="O29" i="3"/>
  <c r="P29" i="3" s="1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X34" i="3"/>
  <c r="X28" i="3"/>
  <c r="X25" i="3"/>
  <c r="BB66" i="3"/>
  <c r="BC66" i="3"/>
  <c r="BC80" i="3"/>
  <c r="BC79" i="3"/>
  <c r="BB68" i="3"/>
  <c r="BC68" i="3" s="1"/>
  <c r="BB67" i="3"/>
  <c r="BC67" i="3" s="1"/>
  <c r="AZ62" i="4"/>
  <c r="AP62" i="4"/>
  <c r="BA62" i="4"/>
  <c r="AY62" i="4"/>
  <c r="AX62" i="4"/>
  <c r="AW62" i="4"/>
  <c r="AV62" i="4"/>
  <c r="AU62" i="4"/>
  <c r="AT62" i="4"/>
  <c r="AS62" i="4"/>
  <c r="AR62" i="4"/>
  <c r="AQ62" i="4"/>
  <c r="BC62" i="4"/>
  <c r="AJ62" i="4"/>
  <c r="AI62" i="4"/>
  <c r="AH62" i="4"/>
  <c r="AG62" i="4"/>
  <c r="AF62" i="4"/>
  <c r="AE62" i="4"/>
  <c r="AD62" i="4"/>
  <c r="AC62" i="4"/>
  <c r="AB62" i="4"/>
  <c r="AA62" i="4"/>
  <c r="Z62" i="4"/>
  <c r="AL62" i="4"/>
  <c r="AO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AL19" i="4"/>
  <c r="AK19" i="4"/>
  <c r="AK24" i="3"/>
  <c r="X24" i="3"/>
  <c r="Y24" i="3"/>
  <c r="X19" i="4"/>
  <c r="X72" i="4"/>
  <c r="X71" i="4"/>
  <c r="X67" i="4"/>
  <c r="X66" i="4"/>
  <c r="X65" i="4"/>
  <c r="X64" i="4"/>
  <c r="X63" i="4"/>
  <c r="X62" i="4"/>
  <c r="X30" i="4"/>
  <c r="X25" i="4"/>
  <c r="X24" i="4"/>
  <c r="X23" i="4"/>
  <c r="X20" i="4"/>
  <c r="X77" i="3"/>
  <c r="X76" i="3"/>
  <c r="X71" i="3"/>
  <c r="AK71" i="3" s="1"/>
  <c r="AL71" i="3" s="1"/>
  <c r="X70" i="3"/>
  <c r="X69" i="3"/>
  <c r="X68" i="3"/>
  <c r="AQ26" i="3"/>
  <c r="AR26" i="3" s="1"/>
  <c r="AS26" i="3" s="1"/>
  <c r="AT26" i="3" s="1"/>
  <c r="AU26" i="3" s="1"/>
  <c r="AV26" i="3" s="1"/>
  <c r="AW26" i="3" s="1"/>
  <c r="AP27" i="3"/>
  <c r="AQ27" i="3" s="1"/>
  <c r="AR27" i="3" s="1"/>
  <c r="AS27" i="3" s="1"/>
  <c r="AT27" i="3" s="1"/>
  <c r="AU27" i="3" s="1"/>
  <c r="AV27" i="3" s="1"/>
  <c r="AW27" i="3" s="1"/>
  <c r="AP26" i="3"/>
  <c r="AO27" i="3"/>
  <c r="AO26" i="3"/>
  <c r="Z28" i="3"/>
  <c r="AA28" i="3" s="1"/>
  <c r="AB28" i="3" s="1"/>
  <c r="AC28" i="3" s="1"/>
  <c r="AD28" i="3" s="1"/>
  <c r="AE28" i="3" s="1"/>
  <c r="AF28" i="3" s="1"/>
  <c r="AG28" i="3" s="1"/>
  <c r="AH28" i="3" s="1"/>
  <c r="AI28" i="3" s="1"/>
  <c r="AJ28" i="3" s="1"/>
  <c r="AO28" i="3" s="1"/>
  <c r="Y25" i="3"/>
  <c r="Z25" i="3" s="1"/>
  <c r="Y28" i="3"/>
  <c r="AK28" i="3" s="1"/>
  <c r="AL28" i="3" s="1"/>
  <c r="AO97" i="2"/>
  <c r="AO96" i="2"/>
  <c r="AO95" i="2"/>
  <c r="AO94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B119" i="2"/>
  <c r="BC24" i="3"/>
  <c r="AL24" i="3"/>
  <c r="AZ89" i="1" l="1"/>
  <c r="BA89" i="1" s="1"/>
  <c r="BB65" i="4"/>
  <c r="BC65" i="4" s="1"/>
  <c r="BB72" i="4"/>
  <c r="BC72" i="4" s="1"/>
  <c r="BB64" i="4"/>
  <c r="BC64" i="4" s="1"/>
  <c r="BB23" i="4"/>
  <c r="BC23" i="4" s="1"/>
  <c r="AY19" i="4"/>
  <c r="AU19" i="4"/>
  <c r="AQ19" i="4"/>
  <c r="AP19" i="4"/>
  <c r="AX19" i="4"/>
  <c r="AT19" i="4"/>
  <c r="BA19" i="4"/>
  <c r="AW19" i="4"/>
  <c r="AS19" i="4"/>
  <c r="AZ19" i="4"/>
  <c r="AV19" i="4"/>
  <c r="AR19" i="4"/>
  <c r="AK25" i="4"/>
  <c r="AL25" i="4" s="1"/>
  <c r="BB24" i="4"/>
  <c r="BC24" i="4" s="1"/>
  <c r="AK24" i="4"/>
  <c r="AL24" i="4" s="1"/>
  <c r="AO30" i="4"/>
  <c r="BB25" i="4"/>
  <c r="BC25" i="4" s="1"/>
  <c r="BB27" i="3"/>
  <c r="AP28" i="3"/>
  <c r="AQ28" i="3" s="1"/>
  <c r="AR28" i="3" s="1"/>
  <c r="AS28" i="3" s="1"/>
  <c r="AT28" i="3" s="1"/>
  <c r="AU28" i="3" s="1"/>
  <c r="AV28" i="3" s="1"/>
  <c r="AW28" i="3" s="1"/>
  <c r="AX28" i="3" s="1"/>
  <c r="AY28" i="3" s="1"/>
  <c r="AZ28" i="3" s="1"/>
  <c r="BA28" i="3" s="1"/>
  <c r="AA25" i="3"/>
  <c r="AB25" i="3" s="1"/>
  <c r="AC25" i="3" s="1"/>
  <c r="AD25" i="3" s="1"/>
  <c r="AE25" i="3" s="1"/>
  <c r="AF25" i="3" s="1"/>
  <c r="AG25" i="3" s="1"/>
  <c r="AH25" i="3" s="1"/>
  <c r="AI25" i="3" s="1"/>
  <c r="AJ25" i="3" s="1"/>
  <c r="AO25" i="3" s="1"/>
  <c r="Y70" i="3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Y69" i="3"/>
  <c r="Z69" i="3" s="1"/>
  <c r="AA69" i="3" s="1"/>
  <c r="AB69" i="3" s="1"/>
  <c r="AC69" i="3" s="1"/>
  <c r="AD69" i="3" s="1"/>
  <c r="AE69" i="3" s="1"/>
  <c r="AF69" i="3" s="1"/>
  <c r="AG69" i="3" s="1"/>
  <c r="AH69" i="3" s="1"/>
  <c r="AI69" i="3" s="1"/>
  <c r="AJ69" i="3" s="1"/>
  <c r="AO34" i="3"/>
  <c r="Y35" i="3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AO35" i="3" s="1"/>
  <c r="AX26" i="3"/>
  <c r="AX27" i="3"/>
  <c r="AY27" i="3" s="1"/>
  <c r="AZ27" i="3" s="1"/>
  <c r="BA27" i="3" s="1"/>
  <c r="AK30" i="4" l="1"/>
  <c r="AL30" i="4" s="1"/>
  <c r="AY26" i="3"/>
  <c r="AZ26" i="3" s="1"/>
  <c r="BA26" i="3" s="1"/>
  <c r="BB26" i="3"/>
  <c r="AK25" i="3"/>
  <c r="AL25" i="3" s="1"/>
  <c r="BB28" i="3"/>
  <c r="AP25" i="3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BB25" i="3"/>
  <c r="AP76" i="3"/>
  <c r="AP69" i="3"/>
  <c r="AP70" i="3"/>
  <c r="AK35" i="3"/>
  <c r="AL35" i="3" s="1"/>
  <c r="AP35" i="3"/>
  <c r="AK34" i="3"/>
  <c r="AL34" i="3" s="1"/>
  <c r="AK96" i="2"/>
  <c r="AL96" i="2"/>
  <c r="AK89" i="2"/>
  <c r="AL89" i="2" s="1"/>
  <c r="Z88" i="2"/>
  <c r="AA88" i="2" s="1"/>
  <c r="AB88" i="2" s="1"/>
  <c r="AC88" i="2" s="1"/>
  <c r="AD88" i="2" s="1"/>
  <c r="AE88" i="2" s="1"/>
  <c r="AF88" i="2" s="1"/>
  <c r="AG88" i="2" s="1"/>
  <c r="AH88" i="2" s="1"/>
  <c r="AI88" i="2" s="1"/>
  <c r="AJ88" i="2" s="1"/>
  <c r="Y88" i="2"/>
  <c r="BB89" i="2"/>
  <c r="BC89" i="2" s="1"/>
  <c r="BB86" i="2"/>
  <c r="BC86" i="2" s="1"/>
  <c r="AP87" i="2"/>
  <c r="AQ87" i="2" s="1"/>
  <c r="AR87" i="2" s="1"/>
  <c r="AS87" i="2" s="1"/>
  <c r="AT87" i="2" s="1"/>
  <c r="AU87" i="2" s="1"/>
  <c r="AV87" i="2" s="1"/>
  <c r="AW87" i="2" s="1"/>
  <c r="AX87" i="2" s="1"/>
  <c r="AY87" i="2" s="1"/>
  <c r="AZ87" i="2" s="1"/>
  <c r="BA87" i="2" s="1"/>
  <c r="AK87" i="2"/>
  <c r="AL87" i="2" s="1"/>
  <c r="AK86" i="2"/>
  <c r="AL86" i="2" s="1"/>
  <c r="Z87" i="2"/>
  <c r="AA87" i="2" s="1"/>
  <c r="AB87" i="2" s="1"/>
  <c r="AC87" i="2" s="1"/>
  <c r="AD87" i="2" s="1"/>
  <c r="AE87" i="2" s="1"/>
  <c r="AF87" i="2" s="1"/>
  <c r="AG87" i="2" s="1"/>
  <c r="AH87" i="2" s="1"/>
  <c r="AI87" i="2" s="1"/>
  <c r="AJ87" i="2" s="1"/>
  <c r="Y87" i="2"/>
  <c r="BB87" i="2" l="1"/>
  <c r="BC87" i="2" s="1"/>
  <c r="BB30" i="4"/>
  <c r="BC30" i="4" s="1"/>
  <c r="AQ76" i="3"/>
  <c r="AR76" i="3" s="1"/>
  <c r="AS76" i="3" s="1"/>
  <c r="AT76" i="3" s="1"/>
  <c r="AU76" i="3" s="1"/>
  <c r="AV76" i="3" s="1"/>
  <c r="AW76" i="3" s="1"/>
  <c r="AX76" i="3" s="1"/>
  <c r="AY76" i="3" s="1"/>
  <c r="AZ76" i="3" s="1"/>
  <c r="BA76" i="3" s="1"/>
  <c r="AQ70" i="3"/>
  <c r="AR70" i="3" s="1"/>
  <c r="AS70" i="3" s="1"/>
  <c r="AT70" i="3" s="1"/>
  <c r="AU70" i="3" s="1"/>
  <c r="AV70" i="3" s="1"/>
  <c r="AW70" i="3" s="1"/>
  <c r="AX70" i="3" s="1"/>
  <c r="AY70" i="3" s="1"/>
  <c r="AZ70" i="3" s="1"/>
  <c r="BA70" i="3" s="1"/>
  <c r="AQ69" i="3"/>
  <c r="AR69" i="3" s="1"/>
  <c r="AS69" i="3" s="1"/>
  <c r="AT69" i="3" s="1"/>
  <c r="AU69" i="3" s="1"/>
  <c r="AV69" i="3" s="1"/>
  <c r="AW69" i="3" s="1"/>
  <c r="AX69" i="3" s="1"/>
  <c r="AY69" i="3" s="1"/>
  <c r="AZ69" i="3" s="1"/>
  <c r="BA69" i="3" s="1"/>
  <c r="AQ35" i="3"/>
  <c r="AK88" i="2"/>
  <c r="AL88" i="2" s="1"/>
  <c r="AP88" i="2"/>
  <c r="AQ88" i="2" s="1"/>
  <c r="AR88" i="2" s="1"/>
  <c r="AS88" i="2" s="1"/>
  <c r="AT88" i="2" s="1"/>
  <c r="AU88" i="2" s="1"/>
  <c r="AV88" i="2" s="1"/>
  <c r="AW88" i="2" s="1"/>
  <c r="AX88" i="2" s="1"/>
  <c r="AY88" i="2" s="1"/>
  <c r="AZ88" i="2" s="1"/>
  <c r="BA88" i="2" s="1"/>
  <c r="BB75" i="2"/>
  <c r="BC75" i="2" s="1"/>
  <c r="AK75" i="2"/>
  <c r="AL75" i="2" s="1"/>
  <c r="AO74" i="2"/>
  <c r="BB73" i="2"/>
  <c r="BC73" i="2" s="1"/>
  <c r="AK73" i="2"/>
  <c r="AL73" i="2" s="1"/>
  <c r="BB70" i="3" l="1"/>
  <c r="BC70" i="3" s="1"/>
  <c r="BB77" i="3"/>
  <c r="BC77" i="3" s="1"/>
  <c r="BB76" i="3"/>
  <c r="BC76" i="3" s="1"/>
  <c r="BB69" i="3"/>
  <c r="BC69" i="3" s="1"/>
  <c r="AR35" i="3"/>
  <c r="AS35" i="3" s="1"/>
  <c r="AT35" i="3" s="1"/>
  <c r="AU35" i="3" s="1"/>
  <c r="AV35" i="3" s="1"/>
  <c r="AW35" i="3" s="1"/>
  <c r="AX35" i="3" s="1"/>
  <c r="AY35" i="3" s="1"/>
  <c r="AZ35" i="3" s="1"/>
  <c r="BA35" i="3" s="1"/>
  <c r="BB35" i="3" s="1"/>
  <c r="BB34" i="3"/>
  <c r="BB88" i="2"/>
  <c r="BC88" i="2" s="1"/>
  <c r="BB72" i="2"/>
  <c r="BC72" i="2" s="1"/>
  <c r="AK72" i="2"/>
  <c r="AL72" i="2" s="1"/>
  <c r="AO72" i="2"/>
  <c r="BB77" i="2"/>
  <c r="BC77" i="2" s="1"/>
  <c r="AK77" i="2"/>
  <c r="AL77" i="2" s="1"/>
  <c r="BB85" i="2"/>
  <c r="BC85" i="2" s="1"/>
  <c r="AK85" i="2"/>
  <c r="AL85" i="2" s="1"/>
  <c r="AK95" i="2"/>
  <c r="AL95" i="2" s="1"/>
  <c r="BB95" i="2"/>
  <c r="BC95" i="2" s="1"/>
  <c r="Y94" i="2"/>
  <c r="BB78" i="3" l="1"/>
  <c r="BC78" i="3" s="1"/>
  <c r="Z94" i="2"/>
  <c r="AA94" i="2" s="1"/>
  <c r="AB94" i="2" s="1"/>
  <c r="AC94" i="2" s="1"/>
  <c r="AD94" i="2" s="1"/>
  <c r="AE94" i="2" s="1"/>
  <c r="AF94" i="2" s="1"/>
  <c r="AG94" i="2" s="1"/>
  <c r="AH94" i="2" s="1"/>
  <c r="AI94" i="2" s="1"/>
  <c r="AJ94" i="2" s="1"/>
  <c r="X30" i="2"/>
  <c r="AP94" i="2" l="1"/>
  <c r="AQ94" i="2" s="1"/>
  <c r="AR94" i="2" s="1"/>
  <c r="AS94" i="2" s="1"/>
  <c r="AT94" i="2" s="1"/>
  <c r="AU94" i="2" s="1"/>
  <c r="AV94" i="2" s="1"/>
  <c r="AW94" i="2" s="1"/>
  <c r="AX94" i="2" s="1"/>
  <c r="AY94" i="2" s="1"/>
  <c r="AZ94" i="2" s="1"/>
  <c r="BA94" i="2" s="1"/>
  <c r="BB94" i="2"/>
  <c r="BC94" i="2" s="1"/>
  <c r="AK94" i="2"/>
  <c r="AL94" i="2" s="1"/>
  <c r="AZ82" i="1"/>
  <c r="BA82" i="1" s="1"/>
  <c r="AM82" i="1"/>
  <c r="AZ81" i="1"/>
  <c r="BA81" i="1" s="1"/>
  <c r="AM81" i="1"/>
  <c r="AM69" i="1"/>
  <c r="AM68" i="1"/>
  <c r="AO84" i="2" l="1"/>
  <c r="AL84" i="2"/>
  <c r="X96" i="2" l="1"/>
  <c r="X95" i="2"/>
  <c r="X94" i="2"/>
  <c r="X89" i="2"/>
  <c r="X88" i="2"/>
  <c r="X87" i="2"/>
  <c r="X86" i="2"/>
  <c r="X85" i="2"/>
  <c r="X84" i="2"/>
  <c r="X79" i="2"/>
  <c r="X77" i="2"/>
  <c r="X75" i="2"/>
  <c r="X73" i="2"/>
  <c r="X72" i="2"/>
  <c r="P42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C124" i="1"/>
  <c r="C123" i="1"/>
  <c r="C120" i="1"/>
  <c r="C125" i="1"/>
  <c r="B123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D12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Z38" i="1"/>
  <c r="BA38" i="1" s="1"/>
  <c r="AZ37" i="1"/>
  <c r="BA37" i="1" s="1"/>
  <c r="AZ32" i="1"/>
  <c r="BA32" i="1" s="1"/>
  <c r="AM32" i="1"/>
  <c r="AM42" i="1"/>
  <c r="AZ42" i="1" s="1"/>
  <c r="BA42" i="1" s="1"/>
  <c r="AM41" i="1"/>
  <c r="AM40" i="1"/>
  <c r="AN40" i="1" s="1"/>
  <c r="AO40" i="1" s="1"/>
  <c r="AP40" i="1" s="1"/>
  <c r="AQ40" i="1" s="1"/>
  <c r="AR40" i="1" s="1"/>
  <c r="AS40" i="1" s="1"/>
  <c r="AT40" i="1" s="1"/>
  <c r="AU40" i="1" s="1"/>
  <c r="AV40" i="1" s="1"/>
  <c r="AW40" i="1" s="1"/>
  <c r="AX40" i="1" s="1"/>
  <c r="AY40" i="1" s="1"/>
  <c r="AM39" i="1"/>
  <c r="AM37" i="1"/>
  <c r="V41" i="1"/>
  <c r="AI69" i="1"/>
  <c r="AJ69" i="1" s="1"/>
  <c r="AI68" i="1"/>
  <c r="AJ68" i="1" s="1"/>
  <c r="Y69" i="1"/>
  <c r="Z69" i="1" s="1"/>
  <c r="AA69" i="1" s="1"/>
  <c r="AB69" i="1" s="1"/>
  <c r="AC69" i="1" s="1"/>
  <c r="AD69" i="1" s="1"/>
  <c r="AE69" i="1" s="1"/>
  <c r="AF69" i="1" s="1"/>
  <c r="AG69" i="1" s="1"/>
  <c r="AH69" i="1" s="1"/>
  <c r="X69" i="1"/>
  <c r="W69" i="1"/>
  <c r="V71" i="1"/>
  <c r="V70" i="1"/>
  <c r="V69" i="1"/>
  <c r="V68" i="1"/>
  <c r="V90" i="1"/>
  <c r="AI91" i="1"/>
  <c r="D89" i="1"/>
  <c r="E89" i="1" s="1"/>
  <c r="F89" i="1" s="1"/>
  <c r="G89" i="1" s="1"/>
  <c r="H89" i="1" s="1"/>
  <c r="I89" i="1" s="1"/>
  <c r="J89" i="1" s="1"/>
  <c r="K89" i="1" s="1"/>
  <c r="L89" i="1" s="1"/>
  <c r="M89" i="1" s="1"/>
  <c r="N89" i="1" s="1"/>
  <c r="V89" i="1" s="1"/>
  <c r="C89" i="1"/>
  <c r="C88" i="1" s="1"/>
  <c r="B88" i="1"/>
  <c r="AM78" i="1"/>
  <c r="AI41" i="1"/>
  <c r="AJ41" i="1" s="1"/>
  <c r="AI40" i="1"/>
  <c r="AJ40" i="1" s="1"/>
  <c r="AI38" i="1"/>
  <c r="AJ38" i="1" s="1"/>
  <c r="AI37" i="1"/>
  <c r="AJ37" i="1" s="1"/>
  <c r="AA40" i="1"/>
  <c r="AB40" i="1" s="1"/>
  <c r="AC40" i="1" s="1"/>
  <c r="AD40" i="1" s="1"/>
  <c r="AE40" i="1" s="1"/>
  <c r="AF40" i="1" s="1"/>
  <c r="AG40" i="1" s="1"/>
  <c r="AH40" i="1" s="1"/>
  <c r="Z40" i="1"/>
  <c r="Y40" i="1"/>
  <c r="X40" i="1"/>
  <c r="W40" i="1"/>
  <c r="V40" i="1"/>
  <c r="BC84" i="2" l="1"/>
  <c r="AN41" i="1"/>
  <c r="AZ41" i="1" s="1"/>
  <c r="BA41" i="1" s="1"/>
  <c r="AZ40" i="1"/>
  <c r="BA40" i="1" s="1"/>
  <c r="W89" i="1"/>
  <c r="X89" i="1" s="1"/>
  <c r="Y89" i="1" s="1"/>
  <c r="Z89" i="1" s="1"/>
  <c r="AA89" i="1" s="1"/>
  <c r="AB89" i="1" s="1"/>
  <c r="AC89" i="1" s="1"/>
  <c r="AD89" i="1" s="1"/>
  <c r="AE89" i="1" s="1"/>
  <c r="AF89" i="1" s="1"/>
  <c r="AG89" i="1" s="1"/>
  <c r="AH89" i="1" s="1"/>
  <c r="H88" i="1"/>
  <c r="L88" i="1"/>
  <c r="D88" i="1"/>
  <c r="I88" i="1"/>
  <c r="M88" i="1"/>
  <c r="O89" i="1"/>
  <c r="P89" i="1" s="1"/>
  <c r="E88" i="1"/>
  <c r="J88" i="1"/>
  <c r="N88" i="1"/>
  <c r="V88" i="1" s="1"/>
  <c r="F88" i="1"/>
  <c r="K88" i="1"/>
  <c r="V87" i="1"/>
  <c r="V82" i="1"/>
  <c r="AI82" i="1" s="1"/>
  <c r="AJ82" i="1" s="1"/>
  <c r="V81" i="1"/>
  <c r="AI81" i="1" s="1"/>
  <c r="AJ81" i="1" s="1"/>
  <c r="V80" i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M80" i="1" s="1"/>
  <c r="AN80" i="1" s="1"/>
  <c r="AO80" i="1" s="1"/>
  <c r="AP80" i="1" s="1"/>
  <c r="AQ80" i="1" s="1"/>
  <c r="AR80" i="1" s="1"/>
  <c r="AS80" i="1" s="1"/>
  <c r="AT80" i="1" s="1"/>
  <c r="AU80" i="1" s="1"/>
  <c r="AV80" i="1" s="1"/>
  <c r="AW80" i="1" s="1"/>
  <c r="AX80" i="1" s="1"/>
  <c r="AY80" i="1" s="1"/>
  <c r="V79" i="1"/>
  <c r="W79" i="1" s="1"/>
  <c r="X79" i="1" s="1"/>
  <c r="Y79" i="1" s="1"/>
  <c r="Z79" i="1" s="1"/>
  <c r="AA79" i="1" s="1"/>
  <c r="AB79" i="1" s="1"/>
  <c r="AC79" i="1" s="1"/>
  <c r="AD79" i="1" s="1"/>
  <c r="AE79" i="1" s="1"/>
  <c r="AF79" i="1" s="1"/>
  <c r="AG79" i="1" s="1"/>
  <c r="AH79" i="1" s="1"/>
  <c r="AM79" i="1" s="1"/>
  <c r="V78" i="1"/>
  <c r="AI78" i="1" s="1"/>
  <c r="AJ78" i="1" s="1"/>
  <c r="AZ77" i="1"/>
  <c r="BA77" i="1" s="1"/>
  <c r="AI77" i="1"/>
  <c r="AJ77" i="1" s="1"/>
  <c r="AM77" i="1"/>
  <c r="V77" i="1"/>
  <c r="V76" i="1"/>
  <c r="V38" i="1"/>
  <c r="W38" i="1"/>
  <c r="X38" i="1" s="1"/>
  <c r="AZ39" i="1"/>
  <c r="BA39" i="1" s="1"/>
  <c r="V31" i="1"/>
  <c r="V28" i="1"/>
  <c r="W28" i="1" s="1"/>
  <c r="V29" i="1"/>
  <c r="X29" i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V30" i="1"/>
  <c r="X25" i="1"/>
  <c r="W25" i="1"/>
  <c r="V25" i="1"/>
  <c r="BB71" i="3" l="1"/>
  <c r="BC71" i="3" s="1"/>
  <c r="O88" i="1"/>
  <c r="P88" i="1" s="1"/>
  <c r="AI80" i="1"/>
  <c r="AJ80" i="1" s="1"/>
  <c r="AN79" i="1"/>
  <c r="AO79" i="1" s="1"/>
  <c r="AP79" i="1" s="1"/>
  <c r="AQ79" i="1" s="1"/>
  <c r="AR79" i="1" s="1"/>
  <c r="AS79" i="1" s="1"/>
  <c r="AT79" i="1" s="1"/>
  <c r="AU79" i="1" s="1"/>
  <c r="AV79" i="1" s="1"/>
  <c r="AW79" i="1" s="1"/>
  <c r="AX79" i="1" s="1"/>
  <c r="AY79" i="1" s="1"/>
  <c r="AI79" i="1"/>
  <c r="AJ79" i="1" s="1"/>
  <c r="AZ80" i="1"/>
  <c r="BA80" i="1" s="1"/>
  <c r="AM76" i="1"/>
  <c r="Y38" i="1"/>
  <c r="Z38" i="1" s="1"/>
  <c r="AA38" i="1" s="1"/>
  <c r="AB38" i="1" s="1"/>
  <c r="AC38" i="1" s="1"/>
  <c r="AD38" i="1" s="1"/>
  <c r="AE38" i="1" s="1"/>
  <c r="AF38" i="1" s="1"/>
  <c r="AG38" i="1" s="1"/>
  <c r="AH38" i="1" s="1"/>
  <c r="AM38" i="1" s="1"/>
  <c r="W31" i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M31" i="1" s="1"/>
  <c r="AM29" i="1"/>
  <c r="AN29" i="1" s="1"/>
  <c r="AO29" i="1" s="1"/>
  <c r="AP29" i="1" s="1"/>
  <c r="AQ29" i="1" s="1"/>
  <c r="AR29" i="1" s="1"/>
  <c r="AS29" i="1" s="1"/>
  <c r="AT29" i="1" s="1"/>
  <c r="AU29" i="1" s="1"/>
  <c r="AV29" i="1" s="1"/>
  <c r="AW29" i="1" s="1"/>
  <c r="AX29" i="1" s="1"/>
  <c r="AY29" i="1" s="1"/>
  <c r="AM30" i="1"/>
  <c r="X28" i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M28" i="1" s="1"/>
  <c r="Y25" i="1"/>
  <c r="Z25" i="1" s="1"/>
  <c r="AA25" i="1" s="1"/>
  <c r="AB25" i="1" s="1"/>
  <c r="AC25" i="1" s="1"/>
  <c r="AD25" i="1" s="1"/>
  <c r="AE25" i="1" s="1"/>
  <c r="AF25" i="1" s="1"/>
  <c r="AG25" i="1" s="1"/>
  <c r="AH25" i="1" s="1"/>
  <c r="AM25" i="1" s="1"/>
  <c r="AZ76" i="1" l="1"/>
  <c r="BA76" i="1" s="1"/>
  <c r="AZ29" i="1"/>
  <c r="BA29" i="1" s="1"/>
  <c r="AJ28" i="1"/>
  <c r="AZ79" i="1"/>
  <c r="BA79" i="1" s="1"/>
  <c r="AN38" i="1"/>
  <c r="AO38" i="1" s="1"/>
  <c r="AP38" i="1" s="1"/>
  <c r="AQ38" i="1" s="1"/>
  <c r="AR38" i="1" s="1"/>
  <c r="AS38" i="1" s="1"/>
  <c r="AT38" i="1" s="1"/>
  <c r="AU38" i="1" s="1"/>
  <c r="AV38" i="1" s="1"/>
  <c r="AW38" i="1" s="1"/>
  <c r="AX38" i="1" s="1"/>
  <c r="AY38" i="1" s="1"/>
  <c r="AN31" i="1"/>
  <c r="AO31" i="1" s="1"/>
  <c r="AP31" i="1" s="1"/>
  <c r="AQ31" i="1" s="1"/>
  <c r="AR31" i="1" s="1"/>
  <c r="AS31" i="1" s="1"/>
  <c r="AT31" i="1" s="1"/>
  <c r="AU31" i="1" s="1"/>
  <c r="AV31" i="1" s="1"/>
  <c r="AW31" i="1" s="1"/>
  <c r="AX31" i="1" s="1"/>
  <c r="AY31" i="1" s="1"/>
  <c r="AJ31" i="1"/>
  <c r="AJ30" i="1"/>
  <c r="AN28" i="1"/>
  <c r="AO28" i="1" s="1"/>
  <c r="AP28" i="1" s="1"/>
  <c r="AQ28" i="1" s="1"/>
  <c r="AR28" i="1" s="1"/>
  <c r="AS28" i="1" s="1"/>
  <c r="AT28" i="1" s="1"/>
  <c r="AU28" i="1" s="1"/>
  <c r="AV28" i="1" s="1"/>
  <c r="AW28" i="1" s="1"/>
  <c r="AX28" i="1" s="1"/>
  <c r="AY28" i="1" s="1"/>
  <c r="AN25" i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J25" i="1"/>
  <c r="AJ24" i="3" l="1"/>
  <c r="AO24" i="3" s="1"/>
  <c r="AP24" i="3" s="1"/>
  <c r="AZ31" i="1"/>
  <c r="BA31" i="1" s="1"/>
  <c r="AZ30" i="1"/>
  <c r="BA30" i="1" s="1"/>
  <c r="AZ28" i="1"/>
  <c r="BA28" i="1" s="1"/>
  <c r="AZ25" i="1"/>
  <c r="BA25" i="1" s="1"/>
  <c r="V22" i="1" l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V24" i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M24" i="1" s="1"/>
  <c r="V23" i="1"/>
  <c r="W21" i="1"/>
  <c r="V21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N129" i="1"/>
  <c r="M129" i="1"/>
  <c r="L129" i="1"/>
  <c r="K129" i="1"/>
  <c r="J129" i="1"/>
  <c r="I129" i="1"/>
  <c r="H129" i="1"/>
  <c r="G129" i="1"/>
  <c r="F129" i="1"/>
  <c r="E129" i="1"/>
  <c r="D129" i="1"/>
  <c r="N128" i="1"/>
  <c r="M128" i="1"/>
  <c r="L128" i="1"/>
  <c r="K128" i="1"/>
  <c r="J128" i="1"/>
  <c r="I128" i="1"/>
  <c r="H128" i="1"/>
  <c r="G128" i="1"/>
  <c r="F128" i="1"/>
  <c r="E128" i="1"/>
  <c r="D128" i="1"/>
  <c r="C129" i="1"/>
  <c r="C128" i="1"/>
  <c r="B129" i="1"/>
  <c r="B128" i="1"/>
  <c r="O119" i="1"/>
  <c r="N119" i="1"/>
  <c r="M119" i="1"/>
  <c r="L119" i="1"/>
  <c r="K119" i="1"/>
  <c r="J119" i="1"/>
  <c r="I119" i="1"/>
  <c r="H119" i="1"/>
  <c r="G119" i="1"/>
  <c r="F119" i="1"/>
  <c r="E119" i="1"/>
  <c r="O118" i="1"/>
  <c r="N118" i="1"/>
  <c r="M118" i="1"/>
  <c r="L118" i="1"/>
  <c r="K118" i="1"/>
  <c r="J118" i="1"/>
  <c r="I118" i="1"/>
  <c r="H118" i="1"/>
  <c r="G118" i="1"/>
  <c r="F118" i="1"/>
  <c r="E118" i="1"/>
  <c r="O117" i="1"/>
  <c r="N117" i="1"/>
  <c r="M117" i="1"/>
  <c r="L117" i="1"/>
  <c r="K117" i="1"/>
  <c r="J117" i="1"/>
  <c r="I117" i="1"/>
  <c r="H117" i="1"/>
  <c r="G117" i="1"/>
  <c r="F117" i="1"/>
  <c r="E117" i="1"/>
  <c r="O116" i="1"/>
  <c r="N116" i="1"/>
  <c r="M116" i="1"/>
  <c r="L116" i="1"/>
  <c r="K116" i="1"/>
  <c r="J116" i="1"/>
  <c r="I116" i="1"/>
  <c r="H116" i="1"/>
  <c r="G116" i="1"/>
  <c r="F116" i="1"/>
  <c r="E116" i="1"/>
  <c r="O115" i="1"/>
  <c r="N115" i="1"/>
  <c r="M115" i="1"/>
  <c r="L115" i="1"/>
  <c r="K115" i="1"/>
  <c r="J115" i="1"/>
  <c r="I115" i="1"/>
  <c r="H115" i="1"/>
  <c r="G115" i="1"/>
  <c r="F115" i="1"/>
  <c r="E115" i="1"/>
  <c r="O114" i="1"/>
  <c r="N114" i="1"/>
  <c r="N123" i="1" s="1"/>
  <c r="V39" i="1" s="1"/>
  <c r="AI39" i="1" s="1"/>
  <c r="AJ39" i="1" s="1"/>
  <c r="M114" i="1"/>
  <c r="L114" i="1"/>
  <c r="K114" i="1"/>
  <c r="J114" i="1"/>
  <c r="I114" i="1"/>
  <c r="H114" i="1"/>
  <c r="G114" i="1"/>
  <c r="F114" i="1"/>
  <c r="E114" i="1"/>
  <c r="D119" i="1"/>
  <c r="D118" i="1"/>
  <c r="D117" i="1"/>
  <c r="D116" i="1"/>
  <c r="D115" i="1"/>
  <c r="D114" i="1"/>
  <c r="C119" i="1"/>
  <c r="C118" i="1"/>
  <c r="C117" i="1"/>
  <c r="C116" i="1"/>
  <c r="C115" i="1"/>
  <c r="C114" i="1"/>
  <c r="B119" i="1"/>
  <c r="B118" i="1"/>
  <c r="B117" i="1"/>
  <c r="B116" i="1"/>
  <c r="B115" i="1"/>
  <c r="B114" i="1"/>
  <c r="A127" i="2"/>
  <c r="A126" i="2"/>
  <c r="A125" i="2"/>
  <c r="A124" i="2"/>
  <c r="A123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6" i="2"/>
  <c r="B136" i="2"/>
  <c r="C135" i="2"/>
  <c r="B135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N46" i="2" s="1"/>
  <c r="X46" i="2" s="1"/>
  <c r="AK46" i="2" s="1"/>
  <c r="AL46" i="2" s="1"/>
  <c r="M125" i="2"/>
  <c r="M46" i="2" s="1"/>
  <c r="L125" i="2"/>
  <c r="L46" i="2" s="1"/>
  <c r="K125" i="2"/>
  <c r="K46" i="2" s="1"/>
  <c r="J125" i="2"/>
  <c r="J46" i="2" s="1"/>
  <c r="I125" i="2"/>
  <c r="I46" i="2" s="1"/>
  <c r="H125" i="2"/>
  <c r="H46" i="2" s="1"/>
  <c r="G125" i="2"/>
  <c r="G46" i="2" s="1"/>
  <c r="F125" i="2"/>
  <c r="F46" i="2" s="1"/>
  <c r="E125" i="2"/>
  <c r="E46" i="2" s="1"/>
  <c r="D125" i="2"/>
  <c r="D46" i="2" s="1"/>
  <c r="C125" i="2"/>
  <c r="C46" i="2" s="1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7" i="2"/>
  <c r="B126" i="2"/>
  <c r="B125" i="2"/>
  <c r="B46" i="2" s="1"/>
  <c r="B124" i="2"/>
  <c r="B123" i="2"/>
  <c r="AG22" i="1" l="1"/>
  <c r="AH22" i="1" s="1"/>
  <c r="AM23" i="1"/>
  <c r="X21" i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AY21" i="1" s="1"/>
  <c r="O46" i="2"/>
  <c r="P46" i="2" s="1"/>
  <c r="O120" i="1"/>
  <c r="AN24" i="1"/>
  <c r="AO24" i="1" s="1"/>
  <c r="AP24" i="1" s="1"/>
  <c r="AQ24" i="1" s="1"/>
  <c r="AR24" i="1" s="1"/>
  <c r="AS24" i="1" s="1"/>
  <c r="AT24" i="1" s="1"/>
  <c r="AU24" i="1" s="1"/>
  <c r="AV24" i="1" s="1"/>
  <c r="AW24" i="1" s="1"/>
  <c r="AX24" i="1" s="1"/>
  <c r="AY24" i="1" s="1"/>
  <c r="AJ24" i="1"/>
  <c r="AJ22" i="1" l="1"/>
  <c r="AM22" i="1"/>
  <c r="AI21" i="1"/>
  <c r="AJ21" i="1" s="1"/>
  <c r="AN22" i="1"/>
  <c r="AO22" i="1" s="1"/>
  <c r="AP22" i="1" s="1"/>
  <c r="AQ22" i="1" s="1"/>
  <c r="AR22" i="1" s="1"/>
  <c r="AS22" i="1" s="1"/>
  <c r="AT22" i="1" s="1"/>
  <c r="AU22" i="1" s="1"/>
  <c r="AV22" i="1" s="1"/>
  <c r="AW22" i="1" s="1"/>
  <c r="AX22" i="1" s="1"/>
  <c r="AY22" i="1" s="1"/>
  <c r="AZ21" i="1"/>
  <c r="BA21" i="1" s="1"/>
  <c r="AZ24" i="1"/>
  <c r="BA24" i="1" s="1"/>
  <c r="AZ22" i="1" l="1"/>
  <c r="BA22" i="1" s="1"/>
  <c r="N129" i="2"/>
  <c r="AG24" i="3" l="1"/>
  <c r="AC24" i="3"/>
  <c r="AY24" i="3"/>
  <c r="AF24" i="3"/>
  <c r="AB24" i="3"/>
  <c r="AI24" i="3"/>
  <c r="AE24" i="3"/>
  <c r="AA24" i="3"/>
  <c r="AH24" i="3"/>
  <c r="AD24" i="3"/>
  <c r="Z24" i="3"/>
  <c r="AW24" i="3" l="1"/>
  <c r="BA24" i="3"/>
  <c r="AR24" i="3"/>
  <c r="AX24" i="3"/>
  <c r="AV24" i="3"/>
  <c r="AQ24" i="3"/>
  <c r="AU24" i="3"/>
  <c r="AZ24" i="3"/>
  <c r="AS24" i="3"/>
  <c r="AT24" i="3"/>
  <c r="AO46" i="2"/>
  <c r="BB46" i="2" s="1"/>
  <c r="BC46" i="2" s="1"/>
  <c r="AO45" i="2"/>
  <c r="BB45" i="2" s="1"/>
  <c r="BC45" i="2" s="1"/>
  <c r="AO43" i="2"/>
  <c r="BB43" i="2" s="1"/>
  <c r="BC43" i="2" s="1"/>
  <c r="X44" i="2"/>
  <c r="X43" i="2"/>
  <c r="AK43" i="2" s="1"/>
  <c r="AL43" i="2" s="1"/>
  <c r="X37" i="2"/>
  <c r="X36" i="2"/>
  <c r="X35" i="2"/>
  <c r="X32" i="2"/>
  <c r="X31" i="2"/>
  <c r="Y31" i="2" s="1"/>
  <c r="B171" i="2"/>
  <c r="C171" i="2" s="1"/>
  <c r="D171" i="2" s="1"/>
  <c r="E171" i="2" s="1"/>
  <c r="F171" i="2" s="1"/>
  <c r="O165" i="2"/>
  <c r="P165" i="2" s="1"/>
  <c r="N164" i="2"/>
  <c r="B170" i="2" s="1"/>
  <c r="K164" i="2"/>
  <c r="K166" i="2" s="1"/>
  <c r="AG30" i="2" s="1"/>
  <c r="J164" i="2"/>
  <c r="J166" i="2" s="1"/>
  <c r="AF30" i="2" s="1"/>
  <c r="G164" i="2"/>
  <c r="G166" i="2" s="1"/>
  <c r="AC30" i="2" s="1"/>
  <c r="F164" i="2"/>
  <c r="F166" i="2" s="1"/>
  <c r="AB30" i="2" s="1"/>
  <c r="C164" i="2"/>
  <c r="B165" i="2"/>
  <c r="B166" i="2" s="1"/>
  <c r="B164" i="2"/>
  <c r="M164" i="2" s="1"/>
  <c r="M166" i="2" s="1"/>
  <c r="AI30" i="2" s="1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Y29" i="2"/>
  <c r="Z29" i="2" s="1"/>
  <c r="AA29" i="2" s="1"/>
  <c r="AB29" i="2" s="1"/>
  <c r="AC29" i="2" s="1"/>
  <c r="AD29" i="2" s="1"/>
  <c r="AE29" i="2" s="1"/>
  <c r="AF29" i="2" s="1"/>
  <c r="AG29" i="2" s="1"/>
  <c r="AH29" i="2" s="1"/>
  <c r="AI29" i="2" s="1"/>
  <c r="AJ29" i="2" s="1"/>
  <c r="AO29" i="2" s="1"/>
  <c r="X29" i="2"/>
  <c r="Z31" i="2" l="1"/>
  <c r="AA31" i="2" s="1"/>
  <c r="AB31" i="2" s="1"/>
  <c r="AC31" i="2" s="1"/>
  <c r="AD31" i="2" s="1"/>
  <c r="AE31" i="2" s="1"/>
  <c r="AF31" i="2" s="1"/>
  <c r="AG31" i="2" s="1"/>
  <c r="AH31" i="2" s="1"/>
  <c r="AI31" i="2" s="1"/>
  <c r="AJ31" i="2" s="1"/>
  <c r="AO31" i="2" s="1"/>
  <c r="D164" i="2"/>
  <c r="D166" i="2" s="1"/>
  <c r="Z30" i="2" s="1"/>
  <c r="H164" i="2"/>
  <c r="H166" i="2" s="1"/>
  <c r="AD30" i="2" s="1"/>
  <c r="L164" i="2"/>
  <c r="L166" i="2" s="1"/>
  <c r="AH30" i="2" s="1"/>
  <c r="E164" i="2"/>
  <c r="E166" i="2" s="1"/>
  <c r="AA30" i="2" s="1"/>
  <c r="I164" i="2"/>
  <c r="I166" i="2" s="1"/>
  <c r="AE30" i="2" s="1"/>
  <c r="AP29" i="2"/>
  <c r="AQ29" i="2" s="1"/>
  <c r="AR29" i="2" s="1"/>
  <c r="AS29" i="2" s="1"/>
  <c r="AT29" i="2" s="1"/>
  <c r="AU29" i="2" s="1"/>
  <c r="AV29" i="2" s="1"/>
  <c r="AW29" i="2" s="1"/>
  <c r="AX29" i="2" s="1"/>
  <c r="AY29" i="2" s="1"/>
  <c r="AZ29" i="2" s="1"/>
  <c r="BA29" i="2" s="1"/>
  <c r="AK29" i="2"/>
  <c r="AL29" i="2" s="1"/>
  <c r="M170" i="2"/>
  <c r="I170" i="2"/>
  <c r="E170" i="2"/>
  <c r="E172" i="2" s="1"/>
  <c r="AR30" i="2" s="1"/>
  <c r="L170" i="2"/>
  <c r="H170" i="2"/>
  <c r="D170" i="2"/>
  <c r="D172" i="2" s="1"/>
  <c r="AQ30" i="2" s="1"/>
  <c r="K170" i="2"/>
  <c r="G170" i="2"/>
  <c r="C170" i="2"/>
  <c r="B172" i="2"/>
  <c r="N170" i="2"/>
  <c r="J170" i="2"/>
  <c r="F170" i="2"/>
  <c r="F172" i="2" s="1"/>
  <c r="AS30" i="2" s="1"/>
  <c r="N166" i="2"/>
  <c r="AJ30" i="2" s="1"/>
  <c r="AO30" i="2" s="1"/>
  <c r="C166" i="2"/>
  <c r="Y30" i="2" s="1"/>
  <c r="Y44" i="2"/>
  <c r="Z44" i="2" s="1"/>
  <c r="AA44" i="2" s="1"/>
  <c r="AB44" i="2" s="1"/>
  <c r="AC44" i="2" s="1"/>
  <c r="AD44" i="2" s="1"/>
  <c r="AE44" i="2" s="1"/>
  <c r="AF44" i="2" s="1"/>
  <c r="AG44" i="2" s="1"/>
  <c r="AH44" i="2" s="1"/>
  <c r="AI44" i="2" s="1"/>
  <c r="AJ44" i="2" s="1"/>
  <c r="AO44" i="2" s="1"/>
  <c r="Y37" i="2"/>
  <c r="Z37" i="2" s="1"/>
  <c r="AA37" i="2" s="1"/>
  <c r="AB37" i="2" s="1"/>
  <c r="AC37" i="2" s="1"/>
  <c r="AD37" i="2" s="1"/>
  <c r="AE37" i="2" s="1"/>
  <c r="AF37" i="2" s="1"/>
  <c r="AG37" i="2" s="1"/>
  <c r="AH37" i="2" s="1"/>
  <c r="AI37" i="2" s="1"/>
  <c r="AJ37" i="2" s="1"/>
  <c r="AO37" i="2" s="1"/>
  <c r="Y36" i="2"/>
  <c r="Z36" i="2" s="1"/>
  <c r="Y35" i="2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O35" i="2" s="1"/>
  <c r="Y32" i="2"/>
  <c r="Z32" i="2" s="1"/>
  <c r="AA32" i="2" s="1"/>
  <c r="AB32" i="2" s="1"/>
  <c r="AC32" i="2" s="1"/>
  <c r="AD32" i="2" s="1"/>
  <c r="AE32" i="2" s="1"/>
  <c r="AF32" i="2" s="1"/>
  <c r="AG32" i="2" s="1"/>
  <c r="AH32" i="2" s="1"/>
  <c r="AI32" i="2" s="1"/>
  <c r="AJ32" i="2" s="1"/>
  <c r="AO32" i="2" s="1"/>
  <c r="AP31" i="2"/>
  <c r="AQ31" i="2" s="1"/>
  <c r="AR31" i="2" s="1"/>
  <c r="AS31" i="2" s="1"/>
  <c r="AT31" i="2" s="1"/>
  <c r="AU31" i="2" s="1"/>
  <c r="AV31" i="2" s="1"/>
  <c r="AW31" i="2" s="1"/>
  <c r="AX31" i="2" s="1"/>
  <c r="AY31" i="2" s="1"/>
  <c r="AZ31" i="2" s="1"/>
  <c r="BA31" i="2" s="1"/>
  <c r="G171" i="2"/>
  <c r="O164" i="2" l="1"/>
  <c r="AK31" i="2"/>
  <c r="AL31" i="2" s="1"/>
  <c r="BB29" i="2"/>
  <c r="BC29" i="2" s="1"/>
  <c r="AA36" i="2"/>
  <c r="AB36" i="2" s="1"/>
  <c r="AC36" i="2" s="1"/>
  <c r="AD36" i="2" s="1"/>
  <c r="AO36" i="2" s="1"/>
  <c r="P164" i="2"/>
  <c r="P166" i="2" s="1"/>
  <c r="O166" i="2"/>
  <c r="AK30" i="2" s="1"/>
  <c r="AL30" i="2" s="1"/>
  <c r="O170" i="2"/>
  <c r="P170" i="2" s="1"/>
  <c r="C172" i="2"/>
  <c r="AP30" i="2" s="1"/>
  <c r="AP44" i="2"/>
  <c r="AQ44" i="2" s="1"/>
  <c r="AR44" i="2" s="1"/>
  <c r="AS44" i="2" s="1"/>
  <c r="AT44" i="2" s="1"/>
  <c r="AU44" i="2" s="1"/>
  <c r="AV44" i="2" s="1"/>
  <c r="AW44" i="2" s="1"/>
  <c r="AX44" i="2" s="1"/>
  <c r="AY44" i="2" s="1"/>
  <c r="AZ44" i="2" s="1"/>
  <c r="BA44" i="2" s="1"/>
  <c r="AK44" i="2"/>
  <c r="AL44" i="2" s="1"/>
  <c r="AP37" i="2"/>
  <c r="AQ37" i="2" s="1"/>
  <c r="AR37" i="2" s="1"/>
  <c r="AS37" i="2" s="1"/>
  <c r="AT37" i="2" s="1"/>
  <c r="AU37" i="2" s="1"/>
  <c r="AV37" i="2" s="1"/>
  <c r="AW37" i="2" s="1"/>
  <c r="AX37" i="2" s="1"/>
  <c r="AY37" i="2" s="1"/>
  <c r="AZ37" i="2" s="1"/>
  <c r="BA37" i="2" s="1"/>
  <c r="AK37" i="2"/>
  <c r="AL37" i="2" s="1"/>
  <c r="AP35" i="2"/>
  <c r="AQ35" i="2" s="1"/>
  <c r="AR35" i="2" s="1"/>
  <c r="AS35" i="2" s="1"/>
  <c r="AT35" i="2" s="1"/>
  <c r="AU35" i="2" s="1"/>
  <c r="AV35" i="2" s="1"/>
  <c r="AW35" i="2" s="1"/>
  <c r="AX35" i="2" s="1"/>
  <c r="AY35" i="2" s="1"/>
  <c r="AZ35" i="2" s="1"/>
  <c r="BA35" i="2" s="1"/>
  <c r="AK35" i="2"/>
  <c r="AL35" i="2" s="1"/>
  <c r="AP32" i="2"/>
  <c r="AQ32" i="2" s="1"/>
  <c r="AR32" i="2" s="1"/>
  <c r="AS32" i="2" s="1"/>
  <c r="AT32" i="2" s="1"/>
  <c r="AU32" i="2" s="1"/>
  <c r="AV32" i="2" s="1"/>
  <c r="AW32" i="2" s="1"/>
  <c r="AX32" i="2" s="1"/>
  <c r="AY32" i="2" s="1"/>
  <c r="AZ32" i="2" s="1"/>
  <c r="BA32" i="2" s="1"/>
  <c r="AK32" i="2"/>
  <c r="AL32" i="2" s="1"/>
  <c r="BB31" i="2"/>
  <c r="BC31" i="2" s="1"/>
  <c r="G172" i="2"/>
  <c r="AT30" i="2" s="1"/>
  <c r="H171" i="2"/>
  <c r="AK36" i="2" l="1"/>
  <c r="AL36" i="2" s="1"/>
  <c r="BB37" i="2"/>
  <c r="BC37" i="2" s="1"/>
  <c r="BB32" i="2"/>
  <c r="BC32" i="2" s="1"/>
  <c r="BB44" i="2"/>
  <c r="BC44" i="2" s="1"/>
  <c r="BB36" i="2"/>
  <c r="BC36" i="2" s="1"/>
  <c r="BB35" i="2"/>
  <c r="BC35" i="2" s="1"/>
  <c r="H172" i="2"/>
  <c r="AU30" i="2" s="1"/>
  <c r="I171" i="2"/>
  <c r="J171" i="2" l="1"/>
  <c r="I172" i="2"/>
  <c r="AV30" i="2" s="1"/>
  <c r="J172" i="2" l="1"/>
  <c r="AW30" i="2" s="1"/>
  <c r="K171" i="2"/>
  <c r="K172" i="2" l="1"/>
  <c r="AX30" i="2" s="1"/>
  <c r="L171" i="2"/>
  <c r="M171" i="2" l="1"/>
  <c r="L172" i="2"/>
  <c r="AY30" i="2" s="1"/>
  <c r="N171" i="2" l="1"/>
  <c r="M172" i="2"/>
  <c r="AZ30" i="2" s="1"/>
  <c r="N172" i="2" l="1"/>
  <c r="BA30" i="2" s="1"/>
  <c r="BB30" i="2" s="1"/>
  <c r="BC30" i="2" s="1"/>
  <c r="O171" i="2"/>
  <c r="O172" i="2" l="1"/>
  <c r="P171" i="2"/>
  <c r="P172" i="2" s="1"/>
  <c r="P100" i="4" l="1"/>
  <c r="O100" i="4"/>
  <c r="N100" i="4"/>
  <c r="N101" i="4" s="1"/>
  <c r="M100" i="4"/>
  <c r="M101" i="4" s="1"/>
  <c r="L100" i="4"/>
  <c r="K100" i="4"/>
  <c r="J100" i="4"/>
  <c r="I100" i="4"/>
  <c r="I101" i="4" s="1"/>
  <c r="H100" i="4"/>
  <c r="G100" i="4"/>
  <c r="F100" i="4"/>
  <c r="E100" i="4"/>
  <c r="E101" i="4" s="1"/>
  <c r="D100" i="4"/>
  <c r="C100" i="4"/>
  <c r="A100" i="4"/>
  <c r="B100" i="4"/>
  <c r="A99" i="4"/>
  <c r="B99" i="4"/>
  <c r="C99" i="4"/>
  <c r="C101" i="4" s="1"/>
  <c r="D99" i="4"/>
  <c r="D101" i="4" s="1"/>
  <c r="E99" i="4"/>
  <c r="F99" i="4"/>
  <c r="G99" i="4"/>
  <c r="H99" i="4"/>
  <c r="H101" i="4" s="1"/>
  <c r="I99" i="4"/>
  <c r="J99" i="4"/>
  <c r="K99" i="4"/>
  <c r="K101" i="4" s="1"/>
  <c r="L99" i="4"/>
  <c r="L101" i="4" s="1"/>
  <c r="M99" i="4"/>
  <c r="N99" i="4"/>
  <c r="O99" i="4"/>
  <c r="P99" i="4"/>
  <c r="P101" i="4" s="1"/>
  <c r="B101" i="4"/>
  <c r="F101" i="4"/>
  <c r="G101" i="4"/>
  <c r="J101" i="4"/>
  <c r="O101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A96" i="4"/>
  <c r="B96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A95" i="4"/>
  <c r="P91" i="4"/>
  <c r="O91" i="4"/>
  <c r="P89" i="4"/>
  <c r="O89" i="4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P121" i="3"/>
  <c r="O121" i="3"/>
  <c r="N121" i="3"/>
  <c r="N123" i="3" s="1"/>
  <c r="M121" i="3"/>
  <c r="M123" i="3" s="1"/>
  <c r="L121" i="3"/>
  <c r="K121" i="3"/>
  <c r="J121" i="3"/>
  <c r="J123" i="3" s="1"/>
  <c r="I121" i="3"/>
  <c r="I123" i="3" s="1"/>
  <c r="H121" i="3"/>
  <c r="G121" i="3"/>
  <c r="F121" i="3"/>
  <c r="F123" i="3" s="1"/>
  <c r="E121" i="3"/>
  <c r="E123" i="3" s="1"/>
  <c r="D121" i="3"/>
  <c r="C121" i="3"/>
  <c r="B122" i="3"/>
  <c r="A122" i="3"/>
  <c r="B121" i="3"/>
  <c r="A121" i="3"/>
  <c r="A120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P115" i="3"/>
  <c r="P117" i="3" s="1"/>
  <c r="O115" i="3"/>
  <c r="O117" i="3" s="1"/>
  <c r="N115" i="3"/>
  <c r="N117" i="3" s="1"/>
  <c r="X78" i="3" s="1"/>
  <c r="M115" i="3"/>
  <c r="M117" i="3" s="1"/>
  <c r="L115" i="3"/>
  <c r="L117" i="3" s="1"/>
  <c r="K115" i="3"/>
  <c r="K117" i="3" s="1"/>
  <c r="J115" i="3"/>
  <c r="J117" i="3" s="1"/>
  <c r="I115" i="3"/>
  <c r="I117" i="3" s="1"/>
  <c r="H115" i="3"/>
  <c r="H117" i="3" s="1"/>
  <c r="G115" i="3"/>
  <c r="G117" i="3" s="1"/>
  <c r="F115" i="3"/>
  <c r="F117" i="3" s="1"/>
  <c r="E115" i="3"/>
  <c r="E117" i="3" s="1"/>
  <c r="D115" i="3"/>
  <c r="D117" i="3" s="1"/>
  <c r="C115" i="3"/>
  <c r="C117" i="3" s="1"/>
  <c r="B115" i="3"/>
  <c r="B117" i="3" s="1"/>
  <c r="A115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P109" i="3"/>
  <c r="P111" i="3" s="1"/>
  <c r="O109" i="3"/>
  <c r="O111" i="3" s="1"/>
  <c r="N109" i="3"/>
  <c r="M109" i="3"/>
  <c r="L109" i="3"/>
  <c r="L111" i="3" s="1"/>
  <c r="K109" i="3"/>
  <c r="K111" i="3" s="1"/>
  <c r="J109" i="3"/>
  <c r="I109" i="3"/>
  <c r="H109" i="3"/>
  <c r="H111" i="3" s="1"/>
  <c r="G109" i="3"/>
  <c r="G111" i="3" s="1"/>
  <c r="F109" i="3"/>
  <c r="E109" i="3"/>
  <c r="D109" i="3"/>
  <c r="D111" i="3" s="1"/>
  <c r="C109" i="3"/>
  <c r="C111" i="3" s="1"/>
  <c r="B109" i="3"/>
  <c r="B111" i="3" s="1"/>
  <c r="A110" i="3"/>
  <c r="A109" i="3"/>
  <c r="O105" i="3"/>
  <c r="K105" i="3"/>
  <c r="G105" i="3"/>
  <c r="C105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104" i="3"/>
  <c r="P103" i="3"/>
  <c r="P105" i="3" s="1"/>
  <c r="O103" i="3"/>
  <c r="N103" i="3"/>
  <c r="N105" i="3" s="1"/>
  <c r="M103" i="3"/>
  <c r="M105" i="3" s="1"/>
  <c r="L103" i="3"/>
  <c r="L105" i="3" s="1"/>
  <c r="K103" i="3"/>
  <c r="J103" i="3"/>
  <c r="J105" i="3" s="1"/>
  <c r="I103" i="3"/>
  <c r="I105" i="3" s="1"/>
  <c r="H103" i="3"/>
  <c r="H105" i="3" s="1"/>
  <c r="G103" i="3"/>
  <c r="F103" i="3"/>
  <c r="F105" i="3" s="1"/>
  <c r="E103" i="3"/>
  <c r="E105" i="3" s="1"/>
  <c r="D103" i="3"/>
  <c r="D105" i="3" s="1"/>
  <c r="C103" i="3"/>
  <c r="B103" i="3"/>
  <c r="B105" i="3" s="1"/>
  <c r="A103" i="3"/>
  <c r="P100" i="3"/>
  <c r="O100" i="3"/>
  <c r="P99" i="3"/>
  <c r="O99" i="3"/>
  <c r="S12" i="3"/>
  <c r="P142" i="1"/>
  <c r="O142" i="1"/>
  <c r="N142" i="1"/>
  <c r="M142" i="1"/>
  <c r="L142" i="1"/>
  <c r="K142" i="1"/>
  <c r="J142" i="1"/>
  <c r="J143" i="1" s="1"/>
  <c r="I142" i="1"/>
  <c r="H142" i="1"/>
  <c r="G142" i="1"/>
  <c r="G143" i="1" s="1"/>
  <c r="F142" i="1"/>
  <c r="F143" i="1" s="1"/>
  <c r="E142" i="1"/>
  <c r="D142" i="1"/>
  <c r="C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2" i="1"/>
  <c r="G123" i="3" l="1"/>
  <c r="K123" i="3"/>
  <c r="O123" i="3"/>
  <c r="C123" i="3"/>
  <c r="B123" i="3"/>
  <c r="D123" i="3"/>
  <c r="H123" i="3"/>
  <c r="L123" i="3"/>
  <c r="P123" i="3"/>
  <c r="F111" i="3"/>
  <c r="J111" i="3"/>
  <c r="N111" i="3"/>
  <c r="E111" i="3"/>
  <c r="I111" i="3"/>
  <c r="M111" i="3"/>
  <c r="N143" i="1"/>
  <c r="P143" i="1"/>
  <c r="O143" i="1"/>
  <c r="M143" i="1"/>
  <c r="L143" i="1"/>
  <c r="K143" i="1"/>
  <c r="I143" i="1"/>
  <c r="H143" i="1"/>
  <c r="E143" i="1"/>
  <c r="D143" i="1"/>
  <c r="C143" i="1"/>
  <c r="A141" i="1"/>
  <c r="B141" i="1"/>
  <c r="B143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S90" i="1"/>
  <c r="G146" i="2" l="1"/>
  <c r="F146" i="2"/>
  <c r="E149" i="2"/>
  <c r="D149" i="2"/>
  <c r="C149" i="2"/>
  <c r="C145" i="2"/>
  <c r="C147" i="2" s="1"/>
  <c r="D145" i="2"/>
  <c r="D147" i="2" s="1"/>
  <c r="E145" i="2"/>
  <c r="E147" i="2" s="1"/>
  <c r="F145" i="2"/>
  <c r="F147" i="2" s="1"/>
  <c r="G145" i="2"/>
  <c r="H145" i="2"/>
  <c r="I145" i="2"/>
  <c r="J145" i="2"/>
  <c r="K145" i="2"/>
  <c r="L145" i="2"/>
  <c r="M145" i="2"/>
  <c r="N145" i="2"/>
  <c r="O145" i="2"/>
  <c r="P145" i="2"/>
  <c r="B145" i="2"/>
  <c r="B147" i="2" s="1"/>
  <c r="S74" i="2"/>
  <c r="G147" i="2" l="1"/>
  <c r="H146" i="2"/>
  <c r="C129" i="2"/>
  <c r="M129" i="2"/>
  <c r="I129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O142" i="2" s="1"/>
  <c r="N140" i="2"/>
  <c r="N142" i="2" s="1"/>
  <c r="M140" i="2"/>
  <c r="M142" i="2" s="1"/>
  <c r="L140" i="2"/>
  <c r="K140" i="2"/>
  <c r="K142" i="2" s="1"/>
  <c r="J140" i="2"/>
  <c r="J142" i="2" s="1"/>
  <c r="I140" i="2"/>
  <c r="I142" i="2" s="1"/>
  <c r="H140" i="2"/>
  <c r="G140" i="2"/>
  <c r="G142" i="2" s="1"/>
  <c r="F140" i="2"/>
  <c r="F142" i="2" s="1"/>
  <c r="E140" i="2"/>
  <c r="E142" i="2" s="1"/>
  <c r="D140" i="2"/>
  <c r="C140" i="2"/>
  <c r="C142" i="2" s="1"/>
  <c r="A141" i="2"/>
  <c r="A140" i="2"/>
  <c r="B141" i="2"/>
  <c r="B140" i="2"/>
  <c r="B142" i="2" s="1"/>
  <c r="P134" i="2"/>
  <c r="P137" i="2" s="1"/>
  <c r="O134" i="2"/>
  <c r="O137" i="2" s="1"/>
  <c r="N134" i="2"/>
  <c r="M134" i="2"/>
  <c r="L134" i="2"/>
  <c r="L137" i="2" s="1"/>
  <c r="K134" i="2"/>
  <c r="K137" i="2" s="1"/>
  <c r="J134" i="2"/>
  <c r="I134" i="2"/>
  <c r="H134" i="2"/>
  <c r="H137" i="2" s="1"/>
  <c r="G134" i="2"/>
  <c r="G137" i="2" s="1"/>
  <c r="F134" i="2"/>
  <c r="E134" i="2"/>
  <c r="D134" i="2"/>
  <c r="D137" i="2" s="1"/>
  <c r="C134" i="2"/>
  <c r="C137" i="2" s="1"/>
  <c r="B134" i="2"/>
  <c r="A134" i="2"/>
  <c r="A135" i="2"/>
  <c r="A128" i="1"/>
  <c r="A136" i="2"/>
  <c r="S12" i="2"/>
  <c r="P129" i="2"/>
  <c r="O129" i="2"/>
  <c r="N128" i="2"/>
  <c r="N130" i="2" s="1"/>
  <c r="N45" i="2" s="1"/>
  <c r="AK45" i="2" s="1"/>
  <c r="AL45" i="2" s="1"/>
  <c r="L129" i="2"/>
  <c r="K129" i="2"/>
  <c r="J129" i="2"/>
  <c r="H129" i="2"/>
  <c r="G129" i="2"/>
  <c r="F129" i="2"/>
  <c r="E129" i="2"/>
  <c r="D129" i="2"/>
  <c r="B129" i="2"/>
  <c r="B128" i="2"/>
  <c r="O128" i="2"/>
  <c r="M128" i="2"/>
  <c r="L128" i="2"/>
  <c r="K128" i="2"/>
  <c r="I128" i="2"/>
  <c r="H128" i="2"/>
  <c r="G128" i="2"/>
  <c r="C128" i="2"/>
  <c r="B124" i="1"/>
  <c r="P120" i="2"/>
  <c r="O120" i="2"/>
  <c r="P119" i="2"/>
  <c r="O119" i="2"/>
  <c r="S12" i="1"/>
  <c r="P112" i="1"/>
  <c r="P111" i="1"/>
  <c r="O112" i="1"/>
  <c r="O111" i="1"/>
  <c r="A129" i="1"/>
  <c r="P129" i="1"/>
  <c r="O129" i="1"/>
  <c r="F130" i="1"/>
  <c r="E130" i="1"/>
  <c r="B133" i="1"/>
  <c r="B135" i="1" s="1"/>
  <c r="B32" i="1" s="1"/>
  <c r="B127" i="1"/>
  <c r="B130" i="1" s="1"/>
  <c r="P133" i="1"/>
  <c r="P135" i="1" s="1"/>
  <c r="O133" i="1"/>
  <c r="O135" i="1" s="1"/>
  <c r="N133" i="1"/>
  <c r="N135" i="1" s="1"/>
  <c r="N32" i="1" s="1"/>
  <c r="M133" i="1"/>
  <c r="M135" i="1" s="1"/>
  <c r="M32" i="1" s="1"/>
  <c r="M34" i="1" s="1"/>
  <c r="L133" i="1"/>
  <c r="L135" i="1" s="1"/>
  <c r="L32" i="1" s="1"/>
  <c r="L34" i="1" s="1"/>
  <c r="K133" i="1"/>
  <c r="K135" i="1" s="1"/>
  <c r="K32" i="1" s="1"/>
  <c r="K34" i="1" s="1"/>
  <c r="J133" i="1"/>
  <c r="J135" i="1" s="1"/>
  <c r="J32" i="1" s="1"/>
  <c r="J34" i="1" s="1"/>
  <c r="I133" i="1"/>
  <c r="I135" i="1" s="1"/>
  <c r="I32" i="1" s="1"/>
  <c r="I34" i="1" s="1"/>
  <c r="H133" i="1"/>
  <c r="H135" i="1" s="1"/>
  <c r="H32" i="1" s="1"/>
  <c r="H34" i="1" s="1"/>
  <c r="G133" i="1"/>
  <c r="G135" i="1" s="1"/>
  <c r="G32" i="1" s="1"/>
  <c r="G34" i="1" s="1"/>
  <c r="F133" i="1"/>
  <c r="F135" i="1" s="1"/>
  <c r="F32" i="1" s="1"/>
  <c r="F34" i="1" s="1"/>
  <c r="E133" i="1"/>
  <c r="E135" i="1" s="1"/>
  <c r="E32" i="1" s="1"/>
  <c r="E34" i="1" s="1"/>
  <c r="D133" i="1"/>
  <c r="D135" i="1" s="1"/>
  <c r="D32" i="1" s="1"/>
  <c r="D34" i="1" s="1"/>
  <c r="C133" i="1"/>
  <c r="C135" i="1" s="1"/>
  <c r="C32" i="1" s="1"/>
  <c r="C34" i="1" s="1"/>
  <c r="A133" i="1"/>
  <c r="A127" i="1"/>
  <c r="P128" i="1"/>
  <c r="O128" i="1"/>
  <c r="P127" i="1"/>
  <c r="O127" i="1"/>
  <c r="N127" i="1"/>
  <c r="N130" i="1" s="1"/>
  <c r="M127" i="1"/>
  <c r="M130" i="1" s="1"/>
  <c r="L127" i="1"/>
  <c r="L130" i="1" s="1"/>
  <c r="K127" i="1"/>
  <c r="K130" i="1" s="1"/>
  <c r="J127" i="1"/>
  <c r="J130" i="1" s="1"/>
  <c r="I127" i="1"/>
  <c r="I130" i="1" s="1"/>
  <c r="H127" i="1"/>
  <c r="H130" i="1" s="1"/>
  <c r="G127" i="1"/>
  <c r="G130" i="1" s="1"/>
  <c r="F127" i="1"/>
  <c r="E127" i="1"/>
  <c r="D127" i="1"/>
  <c r="D130" i="1" s="1"/>
  <c r="C127" i="1"/>
  <c r="C130" i="1" s="1"/>
  <c r="N124" i="1"/>
  <c r="M124" i="1"/>
  <c r="L124" i="1"/>
  <c r="K124" i="1"/>
  <c r="J124" i="1"/>
  <c r="I124" i="1"/>
  <c r="H124" i="1"/>
  <c r="G124" i="1"/>
  <c r="F124" i="1"/>
  <c r="E124" i="1"/>
  <c r="D124" i="1"/>
  <c r="M123" i="1"/>
  <c r="L123" i="1"/>
  <c r="K123" i="1"/>
  <c r="J123" i="1"/>
  <c r="I123" i="1"/>
  <c r="H123" i="1"/>
  <c r="G123" i="1"/>
  <c r="F123" i="1"/>
  <c r="E123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O130" i="1" l="1"/>
  <c r="P130" i="1"/>
  <c r="D142" i="2"/>
  <c r="H142" i="2"/>
  <c r="L142" i="2"/>
  <c r="P142" i="2"/>
  <c r="N34" i="1"/>
  <c r="V32" i="1"/>
  <c r="AJ32" i="1" s="1"/>
  <c r="B34" i="1"/>
  <c r="O32" i="1"/>
  <c r="V42" i="1"/>
  <c r="AI42" i="1" s="1"/>
  <c r="AJ42" i="1" s="1"/>
  <c r="B130" i="2"/>
  <c r="B45" i="2" s="1"/>
  <c r="J128" i="2"/>
  <c r="J130" i="2" s="1"/>
  <c r="J45" i="2" s="1"/>
  <c r="B137" i="2"/>
  <c r="F128" i="2"/>
  <c r="F130" i="2" s="1"/>
  <c r="F45" i="2" s="1"/>
  <c r="D128" i="2"/>
  <c r="D130" i="2" s="1"/>
  <c r="D45" i="2" s="1"/>
  <c r="P128" i="2"/>
  <c r="P130" i="2" s="1"/>
  <c r="L130" i="2"/>
  <c r="L45" i="2" s="1"/>
  <c r="F137" i="2"/>
  <c r="J137" i="2"/>
  <c r="N137" i="2"/>
  <c r="E128" i="2"/>
  <c r="E130" i="2" s="1"/>
  <c r="E45" i="2" s="1"/>
  <c r="H147" i="2"/>
  <c r="I146" i="2"/>
  <c r="I130" i="2"/>
  <c r="I45" i="2" s="1"/>
  <c r="M130" i="2"/>
  <c r="M45" i="2" s="1"/>
  <c r="H130" i="2"/>
  <c r="H45" i="2" s="1"/>
  <c r="C130" i="2"/>
  <c r="C45" i="2" s="1"/>
  <c r="G130" i="2"/>
  <c r="G45" i="2" s="1"/>
  <c r="K130" i="2"/>
  <c r="K45" i="2" s="1"/>
  <c r="O130" i="2"/>
  <c r="E137" i="2"/>
  <c r="I137" i="2"/>
  <c r="M137" i="2"/>
  <c r="O45" i="2" l="1"/>
  <c r="P45" i="2" s="1"/>
  <c r="O34" i="1"/>
  <c r="P32" i="1"/>
  <c r="P34" i="1" s="1"/>
  <c r="J146" i="2"/>
  <c r="I147" i="2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J147" i="2" l="1"/>
  <c r="K146" i="2"/>
  <c r="K147" i="2" l="1"/>
  <c r="L146" i="2"/>
  <c r="L147" i="2" l="1"/>
  <c r="M146" i="2"/>
  <c r="N146" i="2" l="1"/>
  <c r="O146" i="2" s="1"/>
  <c r="P146" i="2" s="1"/>
  <c r="M147" i="2"/>
  <c r="N147" i="2" l="1"/>
  <c r="X97" i="2" s="1"/>
  <c r="AK97" i="2" s="1"/>
  <c r="AL97" i="2" s="1"/>
  <c r="O147" i="2" l="1"/>
  <c r="P147" i="2"/>
  <c r="AO62" i="4"/>
  <c r="AZ66" i="3" l="1"/>
  <c r="AV66" i="3"/>
  <c r="AR66" i="3"/>
  <c r="BA66" i="3"/>
  <c r="AY66" i="3"/>
  <c r="AU66" i="3"/>
  <c r="AQ66" i="3"/>
  <c r="AW66" i="3"/>
  <c r="AX66" i="3"/>
  <c r="AT66" i="3"/>
  <c r="AP66" i="3"/>
  <c r="AS66" i="3"/>
</calcChain>
</file>

<file path=xl/comments1.xml><?xml version="1.0" encoding="utf-8"?>
<comments xmlns="http://schemas.openxmlformats.org/spreadsheetml/2006/main">
  <authors>
    <author>Onsomu, Philip</author>
  </authors>
  <commentList>
    <comment ref="P39" authorId="0" shapeId="0">
      <text>
        <r>
          <rPr>
            <b/>
            <sz val="9"/>
            <color indexed="81"/>
            <rFont val="Tahoma"/>
            <family val="2"/>
          </rPr>
          <t>Onsomu, Philip:</t>
        </r>
        <r>
          <rPr>
            <sz val="9"/>
            <color indexed="81"/>
            <rFont val="Tahoma"/>
            <family val="2"/>
          </rPr>
          <t xml:space="preserve">
Includes Rate case and other deferred debits that are shown separately on the MFR</t>
        </r>
      </text>
    </comment>
    <comment ref="P42" authorId="0" shapeId="0">
      <text>
        <r>
          <rPr>
            <b/>
            <sz val="9"/>
            <color indexed="81"/>
            <rFont val="Tahoma"/>
            <family val="2"/>
          </rPr>
          <t>Onsomu, Philip:</t>
        </r>
        <r>
          <rPr>
            <sz val="9"/>
            <color indexed="81"/>
            <rFont val="Tahoma"/>
            <family val="2"/>
          </rPr>
          <t xml:space="preserve">
Includes Rate case and other deferred debits that are shown separately on the MFR</t>
        </r>
      </text>
    </comment>
  </commentList>
</comments>
</file>

<file path=xl/sharedStrings.xml><?xml version="1.0" encoding="utf-8"?>
<sst xmlns="http://schemas.openxmlformats.org/spreadsheetml/2006/main" count="2238" uniqueCount="204">
  <si>
    <t>Central Florida Gas</t>
  </si>
  <si>
    <t>Balance Sheet by FERC Account</t>
  </si>
  <si>
    <t>13-Month Average</t>
  </si>
  <si>
    <t>December 31, 2021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</si>
  <si>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</si>
  <si>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</si>
  <si>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</si>
  <si>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</si>
  <si>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</si>
  <si>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</si>
  <si>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</si>
  <si>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</si>
  <si>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</si>
  <si>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</si>
  <si>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</si>
  <si>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</si>
  <si>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2020</t>
  </si>
  <si>
    <t>2021</t>
  </si>
  <si>
    <t>Total</t>
  </si>
  <si>
    <t>13-Mo Avg</t>
  </si>
  <si>
    <t>Assets &amp; Other Debits</t>
  </si>
  <si>
    <t>Utility Plant</t>
  </si>
  <si>
    <t xml:space="preserve">  101 - Gas plant in service</t>
  </si>
  <si>
    <t xml:space="preserve">  101.1 - Property under capital leases</t>
  </si>
  <si>
    <t xml:space="preserve">  106 - Completed construction not classified</t>
  </si>
  <si>
    <t xml:space="preserve">  107 - Construction work in progress</t>
  </si>
  <si>
    <t xml:space="preserve">  108 - Accumulated depr &amp; amort</t>
  </si>
  <si>
    <t>-</t>
  </si>
  <si>
    <t>Total utility plant</t>
  </si>
  <si>
    <t>Current &amp; Accrued Assets</t>
  </si>
  <si>
    <t xml:space="preserve">  131 - Cash</t>
  </si>
  <si>
    <t xml:space="preserve">  135 - Working funds</t>
  </si>
  <si>
    <t xml:space="preserve">  142 - Customer accounts receivable</t>
  </si>
  <si>
    <t xml:space="preserve">  143 - Other accounts receivable</t>
  </si>
  <si>
    <t xml:space="preserve">  144 - Accumulated provision for</t>
  </si>
  <si>
    <t xml:space="preserve">    uncollectible accounts</t>
  </si>
  <si>
    <t xml:space="preserve">  146 - AR from associated companies</t>
  </si>
  <si>
    <t xml:space="preserve">  154 - Plant materials &amp; operating supplies</t>
  </si>
  <si>
    <t xml:space="preserve">  164.1 - Gas stored - current</t>
  </si>
  <si>
    <t xml:space="preserve">  165 - Prepayments</t>
  </si>
  <si>
    <t xml:space="preserve">  174 - Misc current and accrued assets</t>
  </si>
  <si>
    <t>Total current &amp; accrued assets</t>
  </si>
  <si>
    <t>Deferred Debits</t>
  </si>
  <si>
    <t xml:space="preserve">  182.3 - Other regulatory assets</t>
  </si>
  <si>
    <t xml:space="preserve">  184 - Clearing accounts</t>
  </si>
  <si>
    <t xml:space="preserve">  186 - Misc deferred debits</t>
  </si>
  <si>
    <t xml:space="preserve">  190 - Accumulated deferred income taxes</t>
  </si>
  <si>
    <t xml:space="preserve">  191 - Unrecovered purchased gas costs</t>
  </si>
  <si>
    <t>Total deferred debits</t>
  </si>
  <si>
    <t>Total Assets &amp; Other Debits</t>
  </si>
  <si>
    <t>=</t>
  </si>
  <si>
    <t>REG-BS13MOF</t>
  </si>
  <si>
    <t>01/31/22</t>
  </si>
  <si>
    <t>FERC Bal Sheet -- 13 Mo. Avg.</t>
  </si>
  <si>
    <t>01:08 PM</t>
  </si>
  <si>
    <t>Liabilities &amp; Other Credits</t>
  </si>
  <si>
    <t>Proprietary Capital</t>
  </si>
  <si>
    <t xml:space="preserve">  216 - Unappropriated retained earnings</t>
  </si>
  <si>
    <t>Total proprietary capital</t>
  </si>
  <si>
    <t>Other Non-Current Liabilities</t>
  </si>
  <si>
    <t xml:space="preserve">  227 - Capital lease obligations-noncurrent</t>
  </si>
  <si>
    <t xml:space="preserve">  228.3 - Accumulated provision</t>
  </si>
  <si>
    <t xml:space="preserve">    for pensions &amp; benefits</t>
  </si>
  <si>
    <t xml:space="preserve">  229 - Accumulated provision for rate refunds</t>
  </si>
  <si>
    <t>Total non-current liabilities</t>
  </si>
  <si>
    <t>Current &amp; Accrued Liabilities</t>
  </si>
  <si>
    <t xml:space="preserve">  232 - Accounts payable</t>
  </si>
  <si>
    <t xml:space="preserve">  235 - Customer deposits</t>
  </si>
  <si>
    <t xml:space="preserve">  236 - Taxes accrued</t>
  </si>
  <si>
    <t xml:space="preserve">  237 - Interest accrued</t>
  </si>
  <si>
    <t xml:space="preserve">  241 - Tax collections payable</t>
  </si>
  <si>
    <t xml:space="preserve">  242 - Misc current and accrued liabilities</t>
  </si>
  <si>
    <t xml:space="preserve">  243 - Obligations under capital leases-current</t>
  </si>
  <si>
    <t>Total current &amp; accrued liabilities</t>
  </si>
  <si>
    <t>Deferred Credits</t>
  </si>
  <si>
    <t xml:space="preserve">  253 - Other deferred credits</t>
  </si>
  <si>
    <t xml:space="preserve">  254 - Other regulatory liabilities</t>
  </si>
  <si>
    <t xml:space="preserve">  282 - ADIT other property</t>
  </si>
  <si>
    <t xml:space="preserve">  283 - ADIT other</t>
  </si>
  <si>
    <t>Total deferred credits</t>
  </si>
  <si>
    <t>Total Liabilities &amp; Other Credits</t>
  </si>
  <si>
    <t>Capital lease obligations - FERC 101.1</t>
  </si>
  <si>
    <t xml:space="preserve">  101L**** (operating leases)</t>
  </si>
  <si>
    <t>Total FERC 101.1</t>
  </si>
  <si>
    <t xml:space="preserve">  Lease amort in 108</t>
  </si>
  <si>
    <t>FPU Natural Gas</t>
  </si>
  <si>
    <t xml:space="preserve">  114 - Gas plant acquisition adjustments</t>
  </si>
  <si>
    <t xml:space="preserve">  115 - Accumulated provision for amortization</t>
  </si>
  <si>
    <t xml:space="preserve">    of gas plant acquis. adj.</t>
  </si>
  <si>
    <t>Other Property &amp; Investment</t>
  </si>
  <si>
    <t xml:space="preserve">  121 - Non-utility property</t>
  </si>
  <si>
    <t>Total other property &amp; investments</t>
  </si>
  <si>
    <t xml:space="preserve">  173 - Accrued utility revenue</t>
  </si>
  <si>
    <t xml:space="preserve">  228.1 - Accumulated provision</t>
  </si>
  <si>
    <t xml:space="preserve">    for property insurance</t>
  </si>
  <si>
    <t xml:space="preserve">  228.2 - Accumulated provision</t>
  </si>
  <si>
    <t xml:space="preserve">    for injuries &amp; damages</t>
  </si>
  <si>
    <t xml:space="preserve">  252 - Customer advances for construction</t>
  </si>
  <si>
    <t>FPU-Indiantown</t>
  </si>
  <si>
    <t>Ft. Meade</t>
  </si>
  <si>
    <t>Accrued insurance</t>
  </si>
  <si>
    <t>Plant in service</t>
  </si>
  <si>
    <t>ADIT</t>
  </si>
  <si>
    <t>RWIP</t>
  </si>
  <si>
    <t>Deferred taxes</t>
  </si>
  <si>
    <t>To B-1 1 of 2 CF</t>
  </si>
  <si>
    <t>Contract Asset (current) - Miscellaneous Deferred Debits</t>
  </si>
  <si>
    <t>15901860</t>
  </si>
  <si>
    <t>GRIP Clearing - Miscellaneous Deferred Debits GRIP</t>
  </si>
  <si>
    <t>1609186G</t>
  </si>
  <si>
    <t>Environmental Regulatory Assets - Environmental Regulatory Assets</t>
  </si>
  <si>
    <t>17201865</t>
  </si>
  <si>
    <t>Environmental Regulatory Assets Contra - Environmental Regulatory Assets</t>
  </si>
  <si>
    <t>17291865</t>
  </si>
  <si>
    <t>Deferred Rate Case - Miscellaneous Deferred Debits</t>
  </si>
  <si>
    <t>17601860</t>
  </si>
  <si>
    <t>Contract Asset (non-current) - Miscellaneous Deferred Debits</t>
  </si>
  <si>
    <t>19301860</t>
  </si>
  <si>
    <t>Other Deferred debits</t>
  </si>
  <si>
    <t>Rate case</t>
  </si>
  <si>
    <t>Lease Amort-RoU Asset 101.1 - Capital Leases</t>
  </si>
  <si>
    <t>see below - row 129</t>
  </si>
  <si>
    <t>see below - row 124</t>
  </si>
  <si>
    <t>Operating leases</t>
  </si>
  <si>
    <t>a</t>
  </si>
  <si>
    <t>sum of a</t>
  </si>
  <si>
    <t>Accumulated depreciation</t>
  </si>
  <si>
    <t>To B-1 1 of 2</t>
  </si>
  <si>
    <t>Operating leases, net</t>
  </si>
  <si>
    <t>To B-1 1 of 2 FN</t>
  </si>
  <si>
    <t>Total without def rate case and goodwill</t>
  </si>
  <si>
    <t>See below row 120 to 128</t>
  </si>
  <si>
    <t>See below row 139</t>
  </si>
  <si>
    <t>To B-1 2 of 2 FN</t>
  </si>
  <si>
    <t>less acquisition adj</t>
  </si>
  <si>
    <t>Total less acquisition adjustment</t>
  </si>
  <si>
    <t>see below row 143 to 145</t>
  </si>
  <si>
    <t>See workpaper B1. Acquisition Adjustment FN</t>
  </si>
  <si>
    <t>To B-1 2 of 2 CF</t>
  </si>
  <si>
    <t>Environmental reg liabilities</t>
  </si>
  <si>
    <t>Operating lease asset</t>
  </si>
  <si>
    <t>Operating lease, net</t>
  </si>
  <si>
    <t>To B-1 1 of 2 FI</t>
  </si>
  <si>
    <t>To B-1 2 of 2 FI</t>
  </si>
  <si>
    <t>see below 113 to 116</t>
  </si>
  <si>
    <t>See below row 102 to 105</t>
  </si>
  <si>
    <t>See below row 107 to 110</t>
  </si>
  <si>
    <t>See below row 119 to 122</t>
  </si>
  <si>
    <t>To B-1 1 of 2 FT</t>
  </si>
  <si>
    <t>See row 89 below</t>
  </si>
  <si>
    <t>See row 97 below</t>
  </si>
  <si>
    <t>see below row 99 to 102 for breakout</t>
  </si>
  <si>
    <t>B-1 2 of 2 FT</t>
  </si>
  <si>
    <t>see row 91</t>
  </si>
  <si>
    <t>Working capital projection</t>
  </si>
  <si>
    <t>Inflation and growth factors</t>
  </si>
  <si>
    <t>2022</t>
  </si>
  <si>
    <t>2023</t>
  </si>
  <si>
    <t>Notes</t>
  </si>
  <si>
    <t>Projections provided by operational management team, see workpaper</t>
  </si>
  <si>
    <t>Accounts receivable</t>
  </si>
  <si>
    <t>Trending</t>
  </si>
  <si>
    <t>2022 projected total</t>
  </si>
  <si>
    <t>2023 projected total</t>
  </si>
  <si>
    <t>Small balance, not trended and projected based on December 31, 2021 balance</t>
  </si>
  <si>
    <t>This account was projected based on expected payments and amortization.</t>
  </si>
  <si>
    <t>The balance for this account is projected to remain at the December 2021 year-end balance since unbilled revenues were projected to remain conistent with 2021 levels.</t>
  </si>
  <si>
    <t>Deferred rate case</t>
  </si>
  <si>
    <t>Rate Case and good will</t>
  </si>
  <si>
    <t>From REG-BS13MOF_FPU</t>
  </si>
  <si>
    <t>December 31, 2022 projection</t>
  </si>
  <si>
    <t>December 31, 2023 projection</t>
  </si>
  <si>
    <t>Small bal, use 12/31/2021 amt</t>
  </si>
  <si>
    <t>Based on PSC orders</t>
  </si>
  <si>
    <t>Based on cost projections</t>
  </si>
  <si>
    <t>Balances assets and liabilities amounts which are projected based on the needs of the division to fund additions and expenses.</t>
  </si>
  <si>
    <t>Trended using growth and inflation factors</t>
  </si>
  <si>
    <t>Environmental liabilities</t>
  </si>
  <si>
    <t>Zeroed out</t>
  </si>
  <si>
    <t>See workaper 3. Lease assets and liabilities</t>
  </si>
  <si>
    <t>See workaper 5. Flexible rates liability</t>
  </si>
  <si>
    <t>Projected by customer growth factors - see workpaper 1. Customer Deposit Request Projections G3-7</t>
  </si>
  <si>
    <t xml:space="preserve">Each regulatory asset was adjusted based on changes consistent with Commission orders - see workpaper  2.21-12 BALANCE SHEET FORECAST FOR 2021
</t>
  </si>
  <si>
    <t xml:space="preserve">See workpaper  2.21-12 BALANCE SHEET FORECAST FOR 2021. Clause under-recoveries were amortized to a zero balance at the end of 2022 and maintained at zero in 2023 due to clauses projected at full recovery. </t>
  </si>
  <si>
    <t>Projected by estimated expense - see workaper 11 Natural Gas rate case expense projection</t>
  </si>
  <si>
    <t>See workaper 11 Natural Gas rate case expense projection. Projected based on estimated rate case expense being amortized over 5 years beginning January 2023.</t>
  </si>
  <si>
    <t>Projected based on inflation and growth factor</t>
  </si>
  <si>
    <t>Refer to workpaper G1-6,8 Lease Assets and Liabilities for reg 2-28-22 V2</t>
  </si>
  <si>
    <t>Refer to workpaper G1-6,8 Accrued insurance liability</t>
  </si>
  <si>
    <t>See workpaper G1-5,6,7,8 FN Environ, AR, AP, Other deferred debits, credits</t>
  </si>
  <si>
    <t>Small amount, does not fluctuate and maintaned at the same balance on 12/31/2021</t>
  </si>
  <si>
    <t>Refer to workpaper G1-6,8. FNGD Customer Deposit Request projections G3-7</t>
  </si>
  <si>
    <t>Provided by actuaries</t>
  </si>
  <si>
    <t>Refer to utility plant workpapers</t>
  </si>
  <si>
    <t>Small bal, used 12/31/2021 amt</t>
  </si>
  <si>
    <t>Used Inflation and growth factor</t>
  </si>
  <si>
    <t>Used 12/31/2021 balance</t>
  </si>
  <si>
    <t>Refer to the acquisition adjustment workpaper</t>
  </si>
  <si>
    <t>Refer to pension liability workapaper</t>
  </si>
  <si>
    <t>Refer to insurance workpaper</t>
  </si>
  <si>
    <t>Refer to customer deposits workpaper</t>
  </si>
  <si>
    <t>See separate AEP projection</t>
  </si>
  <si>
    <t>Accumulated Deferred Income Taxess</t>
  </si>
  <si>
    <t xml:space="preserve">  186 - Misc deferred debits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</si>
</sst>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3" formatCode="_(* #,##0.00_);_(* \(#,##0.00\);_(* &quot;-&quot;??_);_(@_)"/>
    <numFmt numFmtId="164" formatCode="#,###,##0;\(#,###,##0\)"/>
    <numFmt numFmtId="165" formatCode="&quot;$&quot;#,###,##0;\(&quot;$&quot;#,###,##0\)"/>
    <numFmt numFmtId="166" formatCode="_(* #,##0_);_(* \(#,##0\);_(* &quot;-&quot;??_);_(@_)"/>
    <numFmt numFmtId="167" formatCode="#,###,##0.0000;\(#,###,##0.0000\)"/>
  </numFmts>
  <fonts count="12" x14ac:knownFonts="1">
    <font>
      <sz val="10"/>
      <color indexed="0"/>
      <name val="Arial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Arial"/>
      <family val="2"/>
    </font>
    <font>
      <b/>
      <i/>
      <u val="singleAccounting"/>
      <sz val="10"/>
      <name val="Arial"/>
      <family val="2"/>
    </font>
    <font>
      <b/>
      <sz val="10"/>
      <color rgb="FF0000FF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1" fillId="0" borderId="0" xfId="1" applyFill="1"/>
    <xf numFmtId="1" fontId="1" fillId="0" borderId="0" xfId="1" applyNumberFormat="1" applyFill="1"/>
    <xf numFmtId="167" fontId="1" fillId="0" borderId="0" xfId="1" applyNumberForma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1" xfId="1" applyNumberForma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164" fontId="2" fillId="0" borderId="0" xfId="1" applyFont="1" applyFill="1"/>
    <xf numFmtId="0" fontId="4" fillId="0" borderId="0" xfId="0" applyFont="1" applyFill="1" applyAlignment="1">
      <alignment horizontal="left"/>
    </xf>
    <xf numFmtId="164" fontId="4" fillId="0" borderId="0" xfId="1" applyFont="1" applyFill="1"/>
    <xf numFmtId="0" fontId="0" fillId="0" borderId="0" xfId="0" applyFill="1" applyAlignment="1">
      <alignment horizontal="left"/>
    </xf>
    <xf numFmtId="165" fontId="1" fillId="0" borderId="0" xfId="1" applyNumberFormat="1" applyFill="1"/>
    <xf numFmtId="164" fontId="0" fillId="0" borderId="0" xfId="0" applyNumberFormat="1" applyFill="1"/>
    <xf numFmtId="49" fontId="1" fillId="0" borderId="0" xfId="1" applyNumberFormat="1" applyFill="1" applyAlignment="1">
      <alignment horizontal="fill"/>
    </xf>
    <xf numFmtId="0" fontId="10" fillId="0" borderId="0" xfId="0" applyFont="1" applyFill="1"/>
    <xf numFmtId="43" fontId="0" fillId="0" borderId="0" xfId="3" applyFont="1" applyFill="1"/>
    <xf numFmtId="166" fontId="0" fillId="0" borderId="0" xfId="3" applyNumberFormat="1" applyFont="1" applyFill="1"/>
    <xf numFmtId="0" fontId="0" fillId="0" borderId="0" xfId="0" applyFill="1" applyAlignment="1">
      <alignment horizontal="left" indent="1"/>
    </xf>
    <xf numFmtId="0" fontId="0" fillId="0" borderId="0" xfId="0" applyFill="1" applyAlignment="1"/>
    <xf numFmtId="0" fontId="5" fillId="0" borderId="0" xfId="0" applyFont="1" applyFill="1" applyAlignment="1">
      <alignment horizontal="left"/>
    </xf>
    <xf numFmtId="165" fontId="5" fillId="0" borderId="0" xfId="1" applyNumberFormat="1" applyFont="1" applyFill="1"/>
    <xf numFmtId="49" fontId="1" fillId="0" borderId="0" xfId="1" applyNumberFormat="1" applyFill="1" applyAlignment="1">
      <alignment horizontal="right"/>
    </xf>
    <xf numFmtId="165" fontId="0" fillId="0" borderId="0" xfId="0" applyNumberFormat="1" applyFill="1"/>
    <xf numFmtId="166" fontId="0" fillId="0" borderId="0" xfId="3" applyNumberFormat="1" applyFont="1" applyFill="1" applyAlignment="1">
      <alignment horizontal="left"/>
    </xf>
    <xf numFmtId="43" fontId="0" fillId="0" borderId="0" xfId="3" applyNumberFormat="1" applyFont="1" applyFill="1"/>
    <xf numFmtId="166" fontId="1" fillId="0" borderId="0" xfId="3" applyNumberFormat="1" applyFill="1"/>
    <xf numFmtId="166" fontId="4" fillId="0" borderId="0" xfId="3" applyNumberFormat="1" applyFont="1" applyFill="1" applyAlignment="1">
      <alignment horizontal="left"/>
    </xf>
    <xf numFmtId="0" fontId="0" fillId="0" borderId="0" xfId="0" applyFill="1" applyAlignment="1">
      <alignment horizontal="left" indent="3"/>
    </xf>
    <xf numFmtId="0" fontId="1" fillId="0" borderId="0" xfId="2" applyFill="1"/>
    <xf numFmtId="0" fontId="8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4" xfId="1" applyFill="1" applyBorder="1"/>
    <xf numFmtId="166" fontId="1" fillId="0" borderId="2" xfId="3" applyNumberFormat="1" applyFill="1" applyBorder="1"/>
    <xf numFmtId="166" fontId="9" fillId="0" borderId="0" xfId="3" applyNumberFormat="1" applyFont="1" applyFill="1"/>
    <xf numFmtId="166" fontId="0" fillId="0" borderId="0" xfId="0" applyNumberFormat="1" applyFill="1"/>
    <xf numFmtId="43" fontId="0" fillId="0" borderId="0" xfId="0" applyNumberFormat="1" applyFill="1"/>
    <xf numFmtId="7" fontId="0" fillId="0" borderId="0" xfId="0" applyNumberFormat="1" applyFill="1"/>
    <xf numFmtId="0" fontId="0" fillId="0" borderId="3" xfId="0" applyFill="1" applyBorder="1"/>
    <xf numFmtId="164" fontId="1" fillId="0" borderId="3" xfId="1" applyFill="1" applyBorder="1"/>
    <xf numFmtId="164" fontId="1" fillId="0" borderId="2" xfId="1" applyFill="1" applyBorder="1"/>
    <xf numFmtId="166" fontId="0" fillId="0" borderId="0" xfId="0" applyNumberFormat="1" applyFill="1" applyAlignment="1">
      <alignment horizontal="left"/>
    </xf>
  </cellXfs>
  <cellStyles count="4">
    <cellStyle name="Comma" xfId="3" builtinId="3"/>
    <cellStyle name="FRxAmtStyle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3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2.xml" Id="rId6" /><Relationship Type="http://schemas.openxmlformats.org/officeDocument/2006/relationships/calcChain" Target="calcChain.xml" Id="rId11" /><Relationship Type="http://schemas.openxmlformats.org/officeDocument/2006/relationships/externalLink" Target="externalLinks/externalLink1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Rate%20Proceedings\2022%20Natural%20Gas\MFR%20Backup\B%20Schedules\B-1\B-1%201221_REG-BS13M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Rate%20Proceedings\2022%20Natural%20Gas\MFR%20Backup\B%20Schedules\B-1\2.%201221_REG-BS13M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Rate%20Proceedings\2022%20Natural%20Gas\MFR%20Backup\B%20Schedules\B-1\B1.%201221_REG-BS13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  <sheetName val="FN"/>
      <sheetName val="FI"/>
      <sheetName val="FT"/>
      <sheetName val="FC"/>
    </sheetNames>
    <sheetDataSet>
      <sheetData sheetId="0">
        <row r="104">
          <cell r="C104">
            <v>403170</v>
          </cell>
          <cell r="D104">
            <v>418407</v>
          </cell>
          <cell r="E104">
            <v>432152</v>
          </cell>
          <cell r="F104">
            <v>484334</v>
          </cell>
          <cell r="G104">
            <v>437589</v>
          </cell>
          <cell r="H104">
            <v>392261</v>
          </cell>
          <cell r="I104">
            <v>406403</v>
          </cell>
          <cell r="J104">
            <v>488380</v>
          </cell>
          <cell r="K104">
            <v>497866</v>
          </cell>
          <cell r="L104">
            <v>504750</v>
          </cell>
          <cell r="M104">
            <v>511266</v>
          </cell>
          <cell r="N104">
            <v>415882</v>
          </cell>
          <cell r="O104">
            <v>256882</v>
          </cell>
        </row>
        <row r="175">
          <cell r="C175">
            <v>18000</v>
          </cell>
          <cell r="D175">
            <v>18000</v>
          </cell>
          <cell r="E175">
            <v>18000</v>
          </cell>
          <cell r="F175">
            <v>18000</v>
          </cell>
          <cell r="G175">
            <v>18000</v>
          </cell>
          <cell r="H175">
            <v>18000</v>
          </cell>
          <cell r="I175">
            <v>18000</v>
          </cell>
          <cell r="J175">
            <v>18000</v>
          </cell>
          <cell r="K175">
            <v>18000</v>
          </cell>
          <cell r="L175">
            <v>18000</v>
          </cell>
          <cell r="M175">
            <v>18000</v>
          </cell>
          <cell r="N175">
            <v>18000</v>
          </cell>
          <cell r="O175">
            <v>18000</v>
          </cell>
          <cell r="P175">
            <v>234000</v>
          </cell>
        </row>
        <row r="180">
          <cell r="C180">
            <v>278276</v>
          </cell>
          <cell r="D180">
            <v>278276</v>
          </cell>
          <cell r="E180">
            <v>194635</v>
          </cell>
          <cell r="F180">
            <v>136971</v>
          </cell>
          <cell r="G180">
            <v>106287</v>
          </cell>
          <cell r="H180">
            <v>129524</v>
          </cell>
          <cell r="I180">
            <v>178389</v>
          </cell>
          <cell r="J180">
            <v>209618</v>
          </cell>
          <cell r="K180">
            <v>244590</v>
          </cell>
          <cell r="L180">
            <v>309111</v>
          </cell>
          <cell r="M180">
            <v>342238</v>
          </cell>
          <cell r="N180">
            <v>349131</v>
          </cell>
          <cell r="O180">
            <v>314117</v>
          </cell>
          <cell r="P180">
            <v>3071164</v>
          </cell>
        </row>
        <row r="192">
          <cell r="C192">
            <v>2420000</v>
          </cell>
          <cell r="D192">
            <v>2420000</v>
          </cell>
          <cell r="E192">
            <v>2420000</v>
          </cell>
          <cell r="F192">
            <v>2420000</v>
          </cell>
          <cell r="G192">
            <v>2420000</v>
          </cell>
          <cell r="H192">
            <v>2438113</v>
          </cell>
          <cell r="I192">
            <v>2438113</v>
          </cell>
          <cell r="J192">
            <v>2441355</v>
          </cell>
          <cell r="K192">
            <v>2445662</v>
          </cell>
          <cell r="L192">
            <v>2448672</v>
          </cell>
          <cell r="M192">
            <v>2460632</v>
          </cell>
          <cell r="N192">
            <v>2460809</v>
          </cell>
          <cell r="O192">
            <v>2468389</v>
          </cell>
          <cell r="P192">
            <v>31701744</v>
          </cell>
        </row>
        <row r="193">
          <cell r="C193">
            <v>-2420000</v>
          </cell>
          <cell r="D193">
            <v>-2420000</v>
          </cell>
          <cell r="E193">
            <v>-2420000</v>
          </cell>
          <cell r="F193">
            <v>-2420000</v>
          </cell>
          <cell r="G193">
            <v>-2416757</v>
          </cell>
          <cell r="H193">
            <v>-2416757</v>
          </cell>
          <cell r="I193">
            <v>-2416757</v>
          </cell>
          <cell r="J193">
            <v>-2420000</v>
          </cell>
          <cell r="K193">
            <v>-2420000</v>
          </cell>
          <cell r="L193">
            <v>-2420000</v>
          </cell>
          <cell r="M193">
            <v>-2420000</v>
          </cell>
          <cell r="N193">
            <v>-2420000</v>
          </cell>
          <cell r="O193">
            <v>-2420000</v>
          </cell>
          <cell r="P193">
            <v>-31450272</v>
          </cell>
        </row>
        <row r="194">
          <cell r="C194">
            <v>0</v>
          </cell>
          <cell r="D194">
            <v>140</v>
          </cell>
          <cell r="E194">
            <v>7138</v>
          </cell>
          <cell r="F194">
            <v>11226</v>
          </cell>
          <cell r="G194">
            <v>13889</v>
          </cell>
          <cell r="H194">
            <v>13978</v>
          </cell>
          <cell r="I194">
            <v>18224</v>
          </cell>
          <cell r="J194">
            <v>20437</v>
          </cell>
          <cell r="K194">
            <v>22804</v>
          </cell>
          <cell r="L194">
            <v>23504</v>
          </cell>
          <cell r="M194">
            <v>24167</v>
          </cell>
          <cell r="N194">
            <v>23768</v>
          </cell>
          <cell r="O194">
            <v>26013</v>
          </cell>
          <cell r="P194">
            <v>205288</v>
          </cell>
        </row>
        <row r="202">
          <cell r="C202">
            <v>-70233</v>
          </cell>
          <cell r="D202">
            <v>-77877</v>
          </cell>
          <cell r="E202">
            <v>-85517</v>
          </cell>
          <cell r="F202">
            <v>-93153</v>
          </cell>
          <cell r="G202">
            <v>-100786</v>
          </cell>
          <cell r="H202">
            <v>-108415</v>
          </cell>
          <cell r="I202">
            <v>-116041</v>
          </cell>
          <cell r="J202">
            <v>-123663</v>
          </cell>
          <cell r="K202">
            <v>-131282</v>
          </cell>
          <cell r="L202">
            <v>-138897</v>
          </cell>
          <cell r="M202">
            <v>-146917</v>
          </cell>
          <cell r="N202">
            <v>-154934</v>
          </cell>
          <cell r="O202">
            <v>-162948</v>
          </cell>
          <cell r="P202">
            <v>-1510664</v>
          </cell>
          <cell r="Q202">
            <v>-116205</v>
          </cell>
        </row>
        <row r="213">
          <cell r="C213">
            <v>384000</v>
          </cell>
          <cell r="D213">
            <v>382500</v>
          </cell>
          <cell r="E213">
            <v>381000</v>
          </cell>
          <cell r="F213">
            <v>379500</v>
          </cell>
          <cell r="G213">
            <v>378000</v>
          </cell>
          <cell r="H213">
            <v>376500</v>
          </cell>
          <cell r="I213">
            <v>375000</v>
          </cell>
          <cell r="J213">
            <v>373500</v>
          </cell>
          <cell r="K213">
            <v>372000</v>
          </cell>
          <cell r="L213">
            <v>370500</v>
          </cell>
          <cell r="M213">
            <v>369000</v>
          </cell>
          <cell r="N213">
            <v>367500</v>
          </cell>
          <cell r="O213">
            <v>366000</v>
          </cell>
          <cell r="P213">
            <v>4875000</v>
          </cell>
        </row>
      </sheetData>
      <sheetData sheetId="1">
        <row r="108">
          <cell r="C108">
            <v>275428</v>
          </cell>
          <cell r="D108">
            <v>332796</v>
          </cell>
          <cell r="E108">
            <v>345394</v>
          </cell>
          <cell r="F108">
            <v>413665</v>
          </cell>
          <cell r="G108">
            <v>508245</v>
          </cell>
          <cell r="H108">
            <v>555559</v>
          </cell>
          <cell r="I108">
            <v>589946</v>
          </cell>
          <cell r="J108">
            <v>652914</v>
          </cell>
          <cell r="K108">
            <v>719237</v>
          </cell>
          <cell r="L108">
            <v>850705</v>
          </cell>
          <cell r="M108">
            <v>884648</v>
          </cell>
          <cell r="N108">
            <v>1043871</v>
          </cell>
          <cell r="O108">
            <v>849226</v>
          </cell>
          <cell r="P108">
            <v>8021633</v>
          </cell>
          <cell r="Q108">
            <v>617049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-29808</v>
          </cell>
          <cell r="M109">
            <v>0</v>
          </cell>
          <cell r="N109">
            <v>0</v>
          </cell>
          <cell r="O109">
            <v>0</v>
          </cell>
          <cell r="P109">
            <v>-29808</v>
          </cell>
          <cell r="Q109">
            <v>-2293</v>
          </cell>
        </row>
        <row r="110">
          <cell r="C110">
            <v>43887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43887</v>
          </cell>
          <cell r="Q110">
            <v>3376</v>
          </cell>
        </row>
        <row r="182">
          <cell r="A182" t="str">
            <v>GRIP Clearing - Miscellaneous Deferred Debits GRIP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246006</v>
          </cell>
          <cell r="K182">
            <v>657100</v>
          </cell>
          <cell r="L182">
            <v>1028609</v>
          </cell>
          <cell r="M182">
            <v>1430062</v>
          </cell>
          <cell r="N182">
            <v>1688294</v>
          </cell>
          <cell r="O182">
            <v>1786752</v>
          </cell>
          <cell r="P182">
            <v>6836823</v>
          </cell>
          <cell r="Q182">
            <v>525909</v>
          </cell>
        </row>
        <row r="183">
          <cell r="A183" t="str">
            <v>Unrecovered PGC-DB CLR - Miscellaneous Deferred Debits</v>
          </cell>
          <cell r="C183">
            <v>179296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1378445</v>
          </cell>
          <cell r="P183">
            <v>1557741</v>
          </cell>
          <cell r="Q183">
            <v>119826</v>
          </cell>
        </row>
        <row r="193">
          <cell r="A193" t="str">
            <v>Deferred Rate Case - Miscellaneous Deferred Debits</v>
          </cell>
          <cell r="C193">
            <v>0</v>
          </cell>
          <cell r="D193">
            <v>701</v>
          </cell>
          <cell r="E193">
            <v>7198</v>
          </cell>
          <cell r="F193">
            <v>20113</v>
          </cell>
          <cell r="G193">
            <v>25354</v>
          </cell>
          <cell r="H193">
            <v>28441</v>
          </cell>
          <cell r="I193">
            <v>34488</v>
          </cell>
          <cell r="J193">
            <v>39304</v>
          </cell>
          <cell r="K193">
            <v>66450</v>
          </cell>
          <cell r="L193">
            <v>74394</v>
          </cell>
          <cell r="M193">
            <v>108375</v>
          </cell>
          <cell r="N193">
            <v>135703</v>
          </cell>
          <cell r="O193">
            <v>289795</v>
          </cell>
          <cell r="P193">
            <v>830315</v>
          </cell>
          <cell r="Q193">
            <v>63870</v>
          </cell>
        </row>
        <row r="194">
          <cell r="A194" t="str">
            <v>Unrecovered Piping &amp; Conversion - Miscellaneous Deferred Debits</v>
          </cell>
          <cell r="C194">
            <v>838066</v>
          </cell>
          <cell r="D194">
            <v>831653</v>
          </cell>
          <cell r="E194">
            <v>839270</v>
          </cell>
          <cell r="F194">
            <v>849797</v>
          </cell>
          <cell r="G194">
            <v>845906</v>
          </cell>
          <cell r="H194">
            <v>848124</v>
          </cell>
          <cell r="I194">
            <v>836174</v>
          </cell>
          <cell r="J194">
            <v>833053</v>
          </cell>
          <cell r="K194">
            <v>820396</v>
          </cell>
          <cell r="L194">
            <v>808954</v>
          </cell>
          <cell r="M194">
            <v>801912</v>
          </cell>
          <cell r="N194">
            <v>797380</v>
          </cell>
          <cell r="O194">
            <v>783396</v>
          </cell>
          <cell r="P194">
            <v>10734082</v>
          </cell>
          <cell r="Q194">
            <v>825699</v>
          </cell>
        </row>
        <row r="207">
          <cell r="C207">
            <v>-249866</v>
          </cell>
          <cell r="D207">
            <v>-288010</v>
          </cell>
          <cell r="E207">
            <v>-326260</v>
          </cell>
          <cell r="F207">
            <v>-365010</v>
          </cell>
          <cell r="G207">
            <v>-403871</v>
          </cell>
          <cell r="H207">
            <v>-442842</v>
          </cell>
          <cell r="I207">
            <v>-481924</v>
          </cell>
          <cell r="J207">
            <v>-521119</v>
          </cell>
          <cell r="K207">
            <v>-560428</v>
          </cell>
          <cell r="L207">
            <v>-599852</v>
          </cell>
          <cell r="M207">
            <v>-639392</v>
          </cell>
          <cell r="N207">
            <v>-679048</v>
          </cell>
          <cell r="O207">
            <v>-718820</v>
          </cell>
          <cell r="P207">
            <v>-6276442</v>
          </cell>
          <cell r="Q207">
            <v>-482803</v>
          </cell>
        </row>
        <row r="212">
          <cell r="A212" t="str">
            <v>Goodwill - Intangibles</v>
          </cell>
          <cell r="C212">
            <v>2469682</v>
          </cell>
          <cell r="D212">
            <v>2469682</v>
          </cell>
          <cell r="E212">
            <v>2469682</v>
          </cell>
          <cell r="F212">
            <v>2469682</v>
          </cell>
          <cell r="G212">
            <v>2469682</v>
          </cell>
          <cell r="H212">
            <v>2469682</v>
          </cell>
          <cell r="I212">
            <v>2469682</v>
          </cell>
          <cell r="J212">
            <v>2469682</v>
          </cell>
          <cell r="K212">
            <v>2469682</v>
          </cell>
          <cell r="L212">
            <v>2469682</v>
          </cell>
          <cell r="M212">
            <v>2469682</v>
          </cell>
          <cell r="N212">
            <v>2469682</v>
          </cell>
          <cell r="O212">
            <v>2469682</v>
          </cell>
          <cell r="P212">
            <v>32105863</v>
          </cell>
          <cell r="Q212">
            <v>2469682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  <sheetName val="FN"/>
      <sheetName val="FI"/>
      <sheetName val="FT"/>
      <sheetName val="FC"/>
    </sheetNames>
    <sheetDataSet>
      <sheetData sheetId="0">
        <row r="104">
          <cell r="A104" t="str">
            <v>RWIP - Retirement Work in Progress</v>
          </cell>
          <cell r="P104">
            <v>5649343</v>
          </cell>
          <cell r="Q104">
            <v>434565</v>
          </cell>
        </row>
        <row r="202">
          <cell r="A202" t="str">
            <v>Lease Amort-RoU Asset 101.1 - Capital Leases</v>
          </cell>
          <cell r="P202">
            <v>-1510664</v>
          </cell>
          <cell r="Q202">
            <v>-116205</v>
          </cell>
        </row>
      </sheetData>
      <sheetData sheetId="1">
        <row r="108">
          <cell r="A108" t="str">
            <v>RWIP - Retirement Work in Progress</v>
          </cell>
        </row>
        <row r="207">
          <cell r="A207" t="str">
            <v>Lease Amort-RoU Asset 101.1 - Capital Leases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  <sheetName val="FN"/>
      <sheetName val="FI"/>
      <sheetName val="FT"/>
      <sheetName val="FC"/>
    </sheetNames>
    <sheetDataSet>
      <sheetData sheetId="0">
        <row r="323">
          <cell r="C323">
            <v>2420000</v>
          </cell>
          <cell r="D323">
            <v>2420000</v>
          </cell>
          <cell r="E323">
            <v>2420000</v>
          </cell>
          <cell r="F323">
            <v>2420000</v>
          </cell>
          <cell r="G323">
            <v>2420000</v>
          </cell>
          <cell r="H323">
            <v>2420000</v>
          </cell>
          <cell r="I323">
            <v>2420000</v>
          </cell>
          <cell r="J323">
            <v>2420000</v>
          </cell>
          <cell r="K323">
            <v>2420000</v>
          </cell>
          <cell r="L323">
            <v>2420000</v>
          </cell>
          <cell r="M323">
            <v>2420000</v>
          </cell>
          <cell r="N323">
            <v>2420000</v>
          </cell>
          <cell r="O323">
            <v>2420000</v>
          </cell>
          <cell r="P323">
            <v>31460000</v>
          </cell>
          <cell r="Q323">
            <v>2420000</v>
          </cell>
        </row>
      </sheetData>
      <sheetData sheetId="1"/>
      <sheetData sheetId="2">
        <row r="102">
          <cell r="A102" t="str">
            <v>Deferred Rate Case - Miscellaneous Deferred Debits</v>
          </cell>
          <cell r="C102">
            <v>0</v>
          </cell>
          <cell r="D102">
            <v>0</v>
          </cell>
          <cell r="E102">
            <v>7</v>
          </cell>
          <cell r="F102">
            <v>126</v>
          </cell>
          <cell r="G102">
            <v>191</v>
          </cell>
          <cell r="H102">
            <v>207</v>
          </cell>
          <cell r="I102">
            <v>249</v>
          </cell>
          <cell r="J102">
            <v>287</v>
          </cell>
          <cell r="K102">
            <v>335</v>
          </cell>
          <cell r="L102">
            <v>382</v>
          </cell>
          <cell r="M102">
            <v>395</v>
          </cell>
          <cell r="N102">
            <v>387</v>
          </cell>
          <cell r="O102">
            <v>403</v>
          </cell>
          <cell r="P102">
            <v>2969</v>
          </cell>
          <cell r="Q102">
            <v>228</v>
          </cell>
        </row>
        <row r="105">
          <cell r="A105" t="str">
            <v>Regulatory Asset - Miscellaneous Deferred Debits</v>
          </cell>
          <cell r="C105">
            <v>35140</v>
          </cell>
          <cell r="D105">
            <v>35140</v>
          </cell>
          <cell r="E105">
            <v>35140</v>
          </cell>
          <cell r="F105">
            <v>35140</v>
          </cell>
          <cell r="G105">
            <v>35140</v>
          </cell>
          <cell r="H105">
            <v>35140</v>
          </cell>
          <cell r="I105">
            <v>35140</v>
          </cell>
          <cell r="J105">
            <v>35140</v>
          </cell>
          <cell r="K105">
            <v>35140</v>
          </cell>
          <cell r="L105">
            <v>35140</v>
          </cell>
          <cell r="M105">
            <v>35140</v>
          </cell>
          <cell r="N105">
            <v>35140</v>
          </cell>
          <cell r="O105">
            <v>35140</v>
          </cell>
          <cell r="P105">
            <v>456816</v>
          </cell>
          <cell r="Q105">
            <v>35140</v>
          </cell>
        </row>
      </sheetData>
      <sheetData sheetId="3">
        <row r="50">
          <cell r="A50" t="str">
            <v>RWIP - Retirement Work in Progress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12857</v>
          </cell>
          <cell r="K50">
            <v>12857</v>
          </cell>
          <cell r="L50">
            <v>12857</v>
          </cell>
          <cell r="M50">
            <v>12857</v>
          </cell>
          <cell r="N50">
            <v>12857</v>
          </cell>
          <cell r="O50">
            <v>12857</v>
          </cell>
          <cell r="P50">
            <v>77141</v>
          </cell>
          <cell r="Q50">
            <v>5934</v>
          </cell>
        </row>
        <row r="102">
          <cell r="A102" t="str">
            <v>Deferred Rate Case - Miscellaneous Deferred Debits</v>
          </cell>
          <cell r="C102">
            <v>0</v>
          </cell>
          <cell r="D102">
            <v>0</v>
          </cell>
          <cell r="E102">
            <v>2</v>
          </cell>
          <cell r="F102">
            <v>40</v>
          </cell>
          <cell r="G102">
            <v>61</v>
          </cell>
          <cell r="H102">
            <v>65</v>
          </cell>
          <cell r="I102">
            <v>79</v>
          </cell>
          <cell r="J102">
            <v>90</v>
          </cell>
          <cell r="K102">
            <v>105</v>
          </cell>
          <cell r="L102">
            <v>120</v>
          </cell>
          <cell r="M102">
            <v>124</v>
          </cell>
          <cell r="N102">
            <v>122</v>
          </cell>
          <cell r="O102">
            <v>126</v>
          </cell>
          <cell r="P102">
            <v>934</v>
          </cell>
          <cell r="Q102">
            <v>72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172"/>
  <sheetViews>
    <sheetView tabSelected="1" zoomScale="85" zoomScaleNormal="85" workbookViewId="0">
      <pane xSplit="1" ySplit="7" topLeftCell="V26" activePane="bottomRight" state="frozen"/>
      <selection pane="topRight" activeCell="B1" sqref="B1"/>
      <selection pane="bottomLeft" activeCell="A8" sqref="A8"/>
      <selection pane="bottomRight" activeCell="AF7" sqref="AF7"/>
    </sheetView>
  </sheetViews>
  <sheetFormatPr defaultRowHeight="12.75" x14ac:dyDescent="0.2"/>
  <cols>
    <col min="1" max="1" width="40.7109375" style="5" customWidth="1"/>
    <col min="2" max="14" width="13.7109375" style="1" customWidth="1"/>
    <col min="15" max="15" width="14.7109375" style="1" customWidth="1"/>
    <col min="16" max="16" width="13.7109375" style="1" customWidth="1"/>
    <col min="17" max="17" width="40.42578125" style="5" customWidth="1"/>
    <col min="18" max="18" width="8.140625" style="5" customWidth="1"/>
    <col min="19" max="19" width="11.28515625" style="5" customWidth="1"/>
    <col min="20" max="21" width="24.140625" style="5" customWidth="1"/>
    <col min="22" max="22" width="19.5703125" style="5" customWidth="1"/>
    <col min="23" max="23" width="17.7109375" style="5" customWidth="1"/>
    <col min="24" max="24" width="14.42578125" style="5" bestFit="1" customWidth="1"/>
    <col min="25" max="25" width="15.28515625" style="5" customWidth="1"/>
    <col min="26" max="36" width="14.42578125" style="5" bestFit="1" customWidth="1"/>
    <col min="37" max="37" width="15.28515625" style="5" bestFit="1" customWidth="1"/>
    <col min="38" max="38" width="10.7109375" style="5" bestFit="1" customWidth="1"/>
    <col min="39" max="40" width="9.140625" style="5"/>
    <col min="41" max="41" width="14.5703125" style="5" bestFit="1" customWidth="1"/>
    <col min="42" max="53" width="14" style="5" bestFit="1" customWidth="1"/>
    <col min="54" max="54" width="13.5703125" style="5" customWidth="1"/>
    <col min="55" max="55" width="14.42578125" style="5" customWidth="1"/>
    <col min="56" max="56" width="9.140625" style="5"/>
    <col min="57" max="57" width="43.5703125" style="5" bestFit="1" customWidth="1"/>
    <col min="58" max="16384" width="9.140625" style="5"/>
  </cols>
  <sheetData>
    <row r="1" spans="1:57" ht="22.5" x14ac:dyDescent="0.45">
      <c r="A1" s="4" t="s">
        <v>85</v>
      </c>
      <c r="V1" s="4" t="s">
        <v>85</v>
      </c>
      <c r="X1" s="4"/>
      <c r="AO1" s="4" t="s">
        <v>85</v>
      </c>
    </row>
    <row r="2" spans="1:57" ht="19.5" x14ac:dyDescent="0.4">
      <c r="A2" s="6" t="s">
        <v>1</v>
      </c>
      <c r="V2" s="6" t="s">
        <v>1</v>
      </c>
      <c r="X2" s="6"/>
      <c r="AO2" s="6" t="s">
        <v>1</v>
      </c>
    </row>
    <row r="3" spans="1:57" ht="19.5" x14ac:dyDescent="0.4">
      <c r="A3" s="6" t="s">
        <v>2</v>
      </c>
      <c r="V3" s="6" t="s">
        <v>2</v>
      </c>
      <c r="X3" s="6"/>
      <c r="AO3" s="6" t="s">
        <v>2</v>
      </c>
    </row>
    <row r="4" spans="1:57" ht="19.5" x14ac:dyDescent="0.4">
      <c r="A4" s="6" t="s">
        <v>3</v>
      </c>
      <c r="V4" s="6" t="s">
        <v>170</v>
      </c>
      <c r="X4" s="6"/>
      <c r="AO4" s="6" t="s">
        <v>171</v>
      </c>
    </row>
    <row r="5" spans="1:57" x14ac:dyDescent="0.2">
      <c r="X5" s="5" t="s">
        <v>154</v>
      </c>
    </row>
    <row r="6" spans="1:57" x14ac:dyDescent="0.2"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4</v>
      </c>
      <c r="X6" s="7" t="s">
        <v>4</v>
      </c>
      <c r="Y6" s="7" t="s">
        <v>5</v>
      </c>
      <c r="Z6" s="7" t="s">
        <v>6</v>
      </c>
      <c r="AA6" s="7" t="s">
        <v>7</v>
      </c>
      <c r="AB6" s="7" t="s">
        <v>8</v>
      </c>
      <c r="AC6" s="7" t="s">
        <v>9</v>
      </c>
      <c r="AD6" s="7" t="s">
        <v>10</v>
      </c>
      <c r="AE6" s="7" t="s">
        <v>11</v>
      </c>
      <c r="AF6" s="7" t="s">
        <v>12</v>
      </c>
      <c r="AG6" s="7" t="s">
        <v>13</v>
      </c>
      <c r="AH6" s="7" t="s">
        <v>14</v>
      </c>
      <c r="AI6" s="7" t="s">
        <v>15</v>
      </c>
      <c r="AJ6" s="7" t="s">
        <v>4</v>
      </c>
      <c r="AK6" s="1"/>
      <c r="AL6" s="1"/>
      <c r="AO6" s="7" t="s">
        <v>4</v>
      </c>
      <c r="AP6" s="7" t="s">
        <v>5</v>
      </c>
      <c r="AQ6" s="7" t="s">
        <v>6</v>
      </c>
      <c r="AR6" s="7" t="s">
        <v>7</v>
      </c>
      <c r="AS6" s="7" t="s">
        <v>8</v>
      </c>
      <c r="AT6" s="7" t="s">
        <v>9</v>
      </c>
      <c r="AU6" s="7" t="s">
        <v>10</v>
      </c>
      <c r="AV6" s="7" t="s">
        <v>11</v>
      </c>
      <c r="AW6" s="7" t="s">
        <v>12</v>
      </c>
      <c r="AX6" s="7" t="s">
        <v>13</v>
      </c>
      <c r="AY6" s="7" t="s">
        <v>14</v>
      </c>
      <c r="AZ6" s="7" t="s">
        <v>15</v>
      </c>
      <c r="BA6" s="7" t="s">
        <v>4</v>
      </c>
      <c r="BB6" s="1"/>
      <c r="BC6" s="1"/>
    </row>
    <row r="7" spans="1:57" x14ac:dyDescent="0.2">
      <c r="B7" s="8" t="s">
        <v>16</v>
      </c>
      <c r="C7" s="8" t="s">
        <v>17</v>
      </c>
      <c r="D7" s="8" t="s">
        <v>17</v>
      </c>
      <c r="E7" s="8" t="s">
        <v>17</v>
      </c>
      <c r="F7" s="8" t="s">
        <v>17</v>
      </c>
      <c r="G7" s="8" t="s">
        <v>17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8" t="s">
        <v>17</v>
      </c>
      <c r="N7" s="8" t="s">
        <v>17</v>
      </c>
      <c r="O7" s="9" t="s">
        <v>18</v>
      </c>
      <c r="P7" s="9" t="s">
        <v>19</v>
      </c>
      <c r="V7" s="5" t="s">
        <v>158</v>
      </c>
      <c r="X7" s="8" t="s">
        <v>17</v>
      </c>
      <c r="Y7" s="8" t="s">
        <v>156</v>
      </c>
      <c r="Z7" s="8" t="s">
        <v>156</v>
      </c>
      <c r="AA7" s="8" t="s">
        <v>156</v>
      </c>
      <c r="AB7" s="8" t="s">
        <v>156</v>
      </c>
      <c r="AC7" s="8" t="s">
        <v>156</v>
      </c>
      <c r="AD7" s="8" t="s">
        <v>156</v>
      </c>
      <c r="AE7" s="8" t="s">
        <v>156</v>
      </c>
      <c r="AF7" s="8" t="s">
        <v>156</v>
      </c>
      <c r="AG7" s="8" t="s">
        <v>156</v>
      </c>
      <c r="AH7" s="8" t="s">
        <v>156</v>
      </c>
      <c r="AI7" s="8" t="s">
        <v>156</v>
      </c>
      <c r="AJ7" s="8" t="s">
        <v>156</v>
      </c>
      <c r="AK7" s="9" t="s">
        <v>18</v>
      </c>
      <c r="AL7" s="9" t="s">
        <v>19</v>
      </c>
      <c r="AO7" s="8" t="s">
        <v>156</v>
      </c>
      <c r="AP7" s="8" t="s">
        <v>157</v>
      </c>
      <c r="AQ7" s="8" t="s">
        <v>157</v>
      </c>
      <c r="AR7" s="8" t="s">
        <v>157</v>
      </c>
      <c r="AS7" s="8" t="s">
        <v>157</v>
      </c>
      <c r="AT7" s="8" t="s">
        <v>157</v>
      </c>
      <c r="AU7" s="8" t="s">
        <v>157</v>
      </c>
      <c r="AV7" s="8" t="s">
        <v>157</v>
      </c>
      <c r="AW7" s="8" t="s">
        <v>157</v>
      </c>
      <c r="AX7" s="8" t="s">
        <v>157</v>
      </c>
      <c r="AY7" s="8" t="s">
        <v>157</v>
      </c>
      <c r="AZ7" s="8" t="s">
        <v>157</v>
      </c>
      <c r="BA7" s="8" t="s">
        <v>157</v>
      </c>
      <c r="BB7" s="9" t="s">
        <v>18</v>
      </c>
      <c r="BC7" s="9" t="s">
        <v>19</v>
      </c>
      <c r="BE7" s="5" t="s">
        <v>158</v>
      </c>
    </row>
    <row r="9" spans="1:57" ht="22.5" x14ac:dyDescent="0.45">
      <c r="A9" s="4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1" spans="1:57" x14ac:dyDescent="0.2">
      <c r="A11" s="11" t="s">
        <v>21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57" x14ac:dyDescent="0.2">
      <c r="A12" s="13" t="s">
        <v>22</v>
      </c>
      <c r="B12" s="14">
        <v>325226503</v>
      </c>
      <c r="C12" s="14">
        <v>327860962</v>
      </c>
      <c r="D12" s="14">
        <v>329397005</v>
      </c>
      <c r="E12" s="14">
        <v>332495980</v>
      </c>
      <c r="F12" s="14">
        <v>334430271</v>
      </c>
      <c r="G12" s="14">
        <v>335884312</v>
      </c>
      <c r="H12" s="14">
        <v>337549098</v>
      </c>
      <c r="I12" s="14">
        <v>339346290</v>
      </c>
      <c r="J12" s="14">
        <v>341212675</v>
      </c>
      <c r="K12" s="14">
        <v>342433115</v>
      </c>
      <c r="L12" s="14">
        <v>343863918</v>
      </c>
      <c r="M12" s="14">
        <v>345547351</v>
      </c>
      <c r="N12" s="14">
        <v>345710973</v>
      </c>
      <c r="O12" s="14">
        <v>4380958454</v>
      </c>
      <c r="P12" s="14">
        <v>336996804</v>
      </c>
      <c r="Q12" s="5" t="s">
        <v>124</v>
      </c>
      <c r="R12" s="5" t="s">
        <v>125</v>
      </c>
      <c r="S12" s="15">
        <f>+P12+P14</f>
        <v>355736421</v>
      </c>
      <c r="V12" s="5" t="s">
        <v>193</v>
      </c>
      <c r="AO12" s="5" t="s">
        <v>193</v>
      </c>
      <c r="BE12" s="5" t="s">
        <v>193</v>
      </c>
    </row>
    <row r="13" spans="1:57" x14ac:dyDescent="0.2">
      <c r="A13" s="13" t="s">
        <v>23</v>
      </c>
      <c r="B13" s="1">
        <v>1908383</v>
      </c>
      <c r="C13" s="1">
        <v>1908383</v>
      </c>
      <c r="D13" s="1">
        <v>1908383</v>
      </c>
      <c r="E13" s="1">
        <v>1677920</v>
      </c>
      <c r="F13" s="1">
        <v>1677920</v>
      </c>
      <c r="G13" s="1">
        <v>1677920</v>
      </c>
      <c r="H13" s="1">
        <v>1677920</v>
      </c>
      <c r="I13" s="1">
        <v>1677920</v>
      </c>
      <c r="J13" s="1">
        <v>1677920</v>
      </c>
      <c r="K13" s="1">
        <v>1677920</v>
      </c>
      <c r="L13" s="1">
        <v>1677920</v>
      </c>
      <c r="M13" s="1">
        <v>1677920</v>
      </c>
      <c r="N13" s="1">
        <v>1677920</v>
      </c>
      <c r="O13" s="1">
        <v>22504347</v>
      </c>
      <c r="P13" s="1">
        <v>1731104</v>
      </c>
      <c r="Q13" s="5" t="s">
        <v>132</v>
      </c>
      <c r="V13" s="5" t="s">
        <v>187</v>
      </c>
      <c r="AO13" s="5" t="s">
        <v>187</v>
      </c>
      <c r="BE13" s="5" t="s">
        <v>187</v>
      </c>
    </row>
    <row r="14" spans="1:57" x14ac:dyDescent="0.2">
      <c r="A14" s="13" t="s">
        <v>24</v>
      </c>
      <c r="B14" s="1">
        <v>13615297</v>
      </c>
      <c r="C14" s="1">
        <v>13433857</v>
      </c>
      <c r="D14" s="1">
        <v>14423072</v>
      </c>
      <c r="E14" s="1">
        <v>15677288</v>
      </c>
      <c r="F14" s="1">
        <v>15706207</v>
      </c>
      <c r="G14" s="1">
        <v>16239922</v>
      </c>
      <c r="H14" s="1">
        <v>18854715</v>
      </c>
      <c r="I14" s="1">
        <v>18645167</v>
      </c>
      <c r="J14" s="1">
        <v>21449589</v>
      </c>
      <c r="K14" s="1">
        <v>21965442</v>
      </c>
      <c r="L14" s="1">
        <v>22058632</v>
      </c>
      <c r="M14" s="1">
        <v>22515987</v>
      </c>
      <c r="N14" s="1">
        <v>29029845</v>
      </c>
      <c r="O14" s="1">
        <v>243615021</v>
      </c>
      <c r="P14" s="1">
        <v>18739617</v>
      </c>
      <c r="Q14" s="5" t="s">
        <v>124</v>
      </c>
      <c r="V14" s="5" t="s">
        <v>193</v>
      </c>
      <c r="AO14" s="5" t="s">
        <v>193</v>
      </c>
      <c r="BE14" s="5" t="s">
        <v>193</v>
      </c>
    </row>
    <row r="15" spans="1:57" x14ac:dyDescent="0.2">
      <c r="A15" s="13" t="s">
        <v>25</v>
      </c>
      <c r="B15" s="1">
        <v>3989961</v>
      </c>
      <c r="C15" s="1">
        <v>4047618</v>
      </c>
      <c r="D15" s="1">
        <v>4477184</v>
      </c>
      <c r="E15" s="1">
        <v>6576996</v>
      </c>
      <c r="F15" s="1">
        <v>7366749</v>
      </c>
      <c r="G15" s="1">
        <v>7501968</v>
      </c>
      <c r="H15" s="1">
        <v>6676071</v>
      </c>
      <c r="I15" s="1">
        <v>7415824</v>
      </c>
      <c r="J15" s="1">
        <v>5152394</v>
      </c>
      <c r="K15" s="1">
        <v>6047364</v>
      </c>
      <c r="L15" s="1">
        <v>7620634</v>
      </c>
      <c r="M15" s="1">
        <v>8756330</v>
      </c>
      <c r="N15" s="1">
        <v>3841311</v>
      </c>
      <c r="O15" s="1">
        <v>79470404</v>
      </c>
      <c r="P15" s="1">
        <v>6113108</v>
      </c>
      <c r="Q15" s="5" t="s">
        <v>129</v>
      </c>
      <c r="V15" s="5" t="s">
        <v>193</v>
      </c>
      <c r="AO15" s="5" t="s">
        <v>193</v>
      </c>
      <c r="BE15" s="5" t="s">
        <v>193</v>
      </c>
    </row>
    <row r="16" spans="1:57" x14ac:dyDescent="0.2">
      <c r="A16" s="13" t="s">
        <v>26</v>
      </c>
      <c r="B16" s="1">
        <v>-81786804</v>
      </c>
      <c r="C16" s="1">
        <v>-82416477</v>
      </c>
      <c r="D16" s="1">
        <v>-83162699</v>
      </c>
      <c r="E16" s="1">
        <v>-83759100</v>
      </c>
      <c r="F16" s="1">
        <v>-84345828</v>
      </c>
      <c r="G16" s="1">
        <v>-85108751</v>
      </c>
      <c r="H16" s="1">
        <v>-85730712</v>
      </c>
      <c r="I16" s="1">
        <v>-86452323</v>
      </c>
      <c r="J16" s="1">
        <v>-87163389</v>
      </c>
      <c r="K16" s="1">
        <v>-87558091</v>
      </c>
      <c r="L16" s="1">
        <v>-88230210</v>
      </c>
      <c r="M16" s="1">
        <v>-88827253</v>
      </c>
      <c r="N16" s="1">
        <v>-88528685</v>
      </c>
      <c r="O16" s="1">
        <v>-1113070323</v>
      </c>
      <c r="P16" s="1">
        <v>-85620794</v>
      </c>
      <c r="Q16" s="5" t="s">
        <v>132</v>
      </c>
      <c r="V16" s="5" t="s">
        <v>193</v>
      </c>
      <c r="AO16" s="5" t="s">
        <v>193</v>
      </c>
      <c r="BE16" s="5" t="s">
        <v>193</v>
      </c>
    </row>
    <row r="17" spans="1:57" x14ac:dyDescent="0.2">
      <c r="A17" s="13" t="s">
        <v>86</v>
      </c>
      <c r="B17" s="1">
        <v>44558329</v>
      </c>
      <c r="C17" s="1">
        <v>44558329</v>
      </c>
      <c r="D17" s="1">
        <v>44558329</v>
      </c>
      <c r="E17" s="1">
        <v>44558329</v>
      </c>
      <c r="F17" s="1">
        <v>44558329</v>
      </c>
      <c r="G17" s="1">
        <v>44558329</v>
      </c>
      <c r="H17" s="1">
        <v>44558329</v>
      </c>
      <c r="I17" s="1">
        <v>44558329</v>
      </c>
      <c r="J17" s="1">
        <v>44558329</v>
      </c>
      <c r="K17" s="1">
        <v>44558329</v>
      </c>
      <c r="L17" s="1">
        <v>44558329</v>
      </c>
      <c r="M17" s="1">
        <v>44558329</v>
      </c>
      <c r="N17" s="1">
        <v>44558329</v>
      </c>
      <c r="O17" s="1">
        <v>579258280</v>
      </c>
      <c r="P17" s="1">
        <v>44558329</v>
      </c>
      <c r="Q17" s="5" t="s">
        <v>137</v>
      </c>
      <c r="V17" s="5" t="s">
        <v>197</v>
      </c>
      <c r="AO17" s="5" t="s">
        <v>197</v>
      </c>
    </row>
    <row r="18" spans="1:57" x14ac:dyDescent="0.2">
      <c r="A18" s="13" t="s">
        <v>87</v>
      </c>
      <c r="B18" s="1">
        <v>-16031024</v>
      </c>
      <c r="C18" s="1">
        <v>-16157953</v>
      </c>
      <c r="D18" s="1">
        <v>-16284882</v>
      </c>
      <c r="E18" s="1">
        <v>-16411811</v>
      </c>
      <c r="F18" s="1">
        <v>-16538740</v>
      </c>
      <c r="G18" s="1">
        <v>-16665669</v>
      </c>
      <c r="H18" s="1">
        <v>-16792598</v>
      </c>
      <c r="I18" s="1">
        <v>-16919527</v>
      </c>
      <c r="J18" s="1">
        <v>-17046456</v>
      </c>
      <c r="K18" s="1">
        <v>-17173385</v>
      </c>
      <c r="L18" s="1">
        <v>-17300314</v>
      </c>
      <c r="M18" s="1">
        <v>-17427243</v>
      </c>
      <c r="N18" s="1">
        <v>-17554172</v>
      </c>
      <c r="O18" s="1">
        <v>-218303772</v>
      </c>
      <c r="P18" s="1">
        <v>-16792598</v>
      </c>
      <c r="Q18" s="5" t="s">
        <v>137</v>
      </c>
      <c r="V18" s="5" t="s">
        <v>197</v>
      </c>
      <c r="AO18" s="5" t="s">
        <v>197</v>
      </c>
    </row>
    <row r="19" spans="1:57" x14ac:dyDescent="0.2">
      <c r="A19" s="13" t="s">
        <v>88</v>
      </c>
    </row>
    <row r="20" spans="1:57" x14ac:dyDescent="0.2">
      <c r="B20" s="16" t="s">
        <v>27</v>
      </c>
      <c r="C20" s="16" t="s">
        <v>27</v>
      </c>
      <c r="D20" s="16" t="s">
        <v>27</v>
      </c>
      <c r="E20" s="16" t="s">
        <v>27</v>
      </c>
      <c r="F20" s="16" t="s">
        <v>27</v>
      </c>
      <c r="G20" s="16" t="s">
        <v>27</v>
      </c>
      <c r="H20" s="16" t="s">
        <v>27</v>
      </c>
      <c r="I20" s="16" t="s">
        <v>27</v>
      </c>
      <c r="J20" s="16" t="s">
        <v>27</v>
      </c>
      <c r="K20" s="16" t="s">
        <v>27</v>
      </c>
      <c r="L20" s="16" t="s">
        <v>27</v>
      </c>
      <c r="M20" s="16" t="s">
        <v>27</v>
      </c>
      <c r="N20" s="16" t="s">
        <v>27</v>
      </c>
      <c r="O20" s="16" t="s">
        <v>27</v>
      </c>
      <c r="P20" s="16" t="s">
        <v>27</v>
      </c>
    </row>
    <row r="21" spans="1:57" x14ac:dyDescent="0.2">
      <c r="A21" s="13" t="s">
        <v>28</v>
      </c>
      <c r="B21" s="1">
        <v>291480646</v>
      </c>
      <c r="C21" s="1">
        <v>293234720</v>
      </c>
      <c r="D21" s="1">
        <v>295316392</v>
      </c>
      <c r="E21" s="1">
        <v>300815602</v>
      </c>
      <c r="F21" s="1">
        <v>302854908</v>
      </c>
      <c r="G21" s="1">
        <v>304088030</v>
      </c>
      <c r="H21" s="1">
        <v>306792823</v>
      </c>
      <c r="I21" s="1">
        <v>308271680</v>
      </c>
      <c r="J21" s="1">
        <v>309841062</v>
      </c>
      <c r="K21" s="1">
        <v>311950695</v>
      </c>
      <c r="L21" s="1">
        <v>314248909</v>
      </c>
      <c r="M21" s="1">
        <v>316801422</v>
      </c>
      <c r="N21" s="1">
        <v>318735522</v>
      </c>
      <c r="O21" s="1">
        <v>3974432410</v>
      </c>
      <c r="P21" s="1">
        <v>305725570</v>
      </c>
    </row>
    <row r="22" spans="1:57" x14ac:dyDescent="0.2">
      <c r="B22" s="16" t="s">
        <v>27</v>
      </c>
      <c r="C22" s="16" t="s">
        <v>27</v>
      </c>
      <c r="D22" s="16" t="s">
        <v>27</v>
      </c>
      <c r="E22" s="16" t="s">
        <v>27</v>
      </c>
      <c r="F22" s="16" t="s">
        <v>27</v>
      </c>
      <c r="G22" s="16" t="s">
        <v>27</v>
      </c>
      <c r="H22" s="16" t="s">
        <v>27</v>
      </c>
      <c r="I22" s="16" t="s">
        <v>27</v>
      </c>
      <c r="J22" s="16" t="s">
        <v>27</v>
      </c>
      <c r="K22" s="16" t="s">
        <v>27</v>
      </c>
      <c r="L22" s="16" t="s">
        <v>27</v>
      </c>
      <c r="M22" s="16" t="s">
        <v>27</v>
      </c>
      <c r="N22" s="16" t="s">
        <v>27</v>
      </c>
      <c r="O22" s="16" t="s">
        <v>27</v>
      </c>
      <c r="P22" s="16" t="s">
        <v>27</v>
      </c>
    </row>
    <row r="23" spans="1:57" x14ac:dyDescent="0.2">
      <c r="A23" s="11" t="s">
        <v>89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7" x14ac:dyDescent="0.2">
      <c r="A24" s="13" t="s">
        <v>90</v>
      </c>
      <c r="B24" s="1">
        <v>8436</v>
      </c>
      <c r="C24" s="1">
        <v>8436</v>
      </c>
      <c r="D24" s="1">
        <v>8436</v>
      </c>
      <c r="E24" s="1">
        <v>8436</v>
      </c>
      <c r="F24" s="1">
        <v>8436</v>
      </c>
      <c r="G24" s="1">
        <v>8436</v>
      </c>
      <c r="H24" s="1">
        <v>8436</v>
      </c>
      <c r="I24" s="1">
        <v>8436</v>
      </c>
      <c r="J24" s="1">
        <v>8436</v>
      </c>
      <c r="K24" s="1">
        <v>8436</v>
      </c>
      <c r="L24" s="1">
        <v>8436</v>
      </c>
      <c r="M24" s="1">
        <v>8436</v>
      </c>
      <c r="N24" s="1">
        <v>8436</v>
      </c>
      <c r="O24" s="1">
        <v>109664</v>
      </c>
      <c r="P24" s="1">
        <v>8436</v>
      </c>
      <c r="Q24" s="5" t="s">
        <v>129</v>
      </c>
    </row>
    <row r="25" spans="1:57" x14ac:dyDescent="0.2">
      <c r="B25" s="16" t="s">
        <v>27</v>
      </c>
      <c r="C25" s="16" t="s">
        <v>27</v>
      </c>
      <c r="D25" s="16" t="s">
        <v>27</v>
      </c>
      <c r="E25" s="16" t="s">
        <v>27</v>
      </c>
      <c r="F25" s="16" t="s">
        <v>27</v>
      </c>
      <c r="G25" s="16" t="s">
        <v>27</v>
      </c>
      <c r="H25" s="16" t="s">
        <v>27</v>
      </c>
      <c r="I25" s="16" t="s">
        <v>27</v>
      </c>
      <c r="J25" s="16" t="s">
        <v>27</v>
      </c>
      <c r="K25" s="16" t="s">
        <v>27</v>
      </c>
      <c r="L25" s="16" t="s">
        <v>27</v>
      </c>
      <c r="M25" s="16" t="s">
        <v>27</v>
      </c>
      <c r="N25" s="16" t="s">
        <v>27</v>
      </c>
      <c r="O25" s="16" t="s">
        <v>27</v>
      </c>
      <c r="P25" s="16" t="s">
        <v>27</v>
      </c>
    </row>
    <row r="26" spans="1:57" x14ac:dyDescent="0.2">
      <c r="A26" s="13" t="s">
        <v>91</v>
      </c>
      <c r="B26" s="1">
        <v>8436</v>
      </c>
      <c r="C26" s="1">
        <v>8436</v>
      </c>
      <c r="D26" s="1">
        <v>8436</v>
      </c>
      <c r="E26" s="1">
        <v>8436</v>
      </c>
      <c r="F26" s="1">
        <v>8436</v>
      </c>
      <c r="G26" s="1">
        <v>8436</v>
      </c>
      <c r="H26" s="1">
        <v>8436</v>
      </c>
      <c r="I26" s="1">
        <v>8436</v>
      </c>
      <c r="J26" s="1">
        <v>8436</v>
      </c>
      <c r="K26" s="1">
        <v>8436</v>
      </c>
      <c r="L26" s="1">
        <v>8436</v>
      </c>
      <c r="M26" s="1">
        <v>8436</v>
      </c>
      <c r="N26" s="1">
        <v>8436</v>
      </c>
      <c r="O26" s="1">
        <v>109664</v>
      </c>
      <c r="P26" s="1">
        <v>8436</v>
      </c>
      <c r="V26" s="2"/>
      <c r="W26" s="2"/>
    </row>
    <row r="27" spans="1:57" x14ac:dyDescent="0.2">
      <c r="B27" s="16" t="s">
        <v>27</v>
      </c>
      <c r="C27" s="16" t="s">
        <v>27</v>
      </c>
      <c r="D27" s="16" t="s">
        <v>27</v>
      </c>
      <c r="E27" s="16" t="s">
        <v>27</v>
      </c>
      <c r="F27" s="16" t="s">
        <v>27</v>
      </c>
      <c r="G27" s="16" t="s">
        <v>27</v>
      </c>
      <c r="H27" s="16" t="s">
        <v>27</v>
      </c>
      <c r="I27" s="16" t="s">
        <v>27</v>
      </c>
      <c r="J27" s="16" t="s">
        <v>27</v>
      </c>
      <c r="K27" s="16" t="s">
        <v>27</v>
      </c>
      <c r="L27" s="16" t="s">
        <v>27</v>
      </c>
      <c r="M27" s="16" t="s">
        <v>27</v>
      </c>
      <c r="N27" s="16" t="s">
        <v>27</v>
      </c>
      <c r="O27" s="16" t="s">
        <v>27</v>
      </c>
      <c r="P27" s="16" t="s">
        <v>27</v>
      </c>
      <c r="V27" s="17"/>
      <c r="W27" s="17"/>
    </row>
    <row r="28" spans="1:57" x14ac:dyDescent="0.2">
      <c r="A28" s="11" t="s">
        <v>29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57" x14ac:dyDescent="0.2">
      <c r="A29" s="13" t="s">
        <v>31</v>
      </c>
      <c r="B29" s="1">
        <v>38952</v>
      </c>
      <c r="C29" s="1">
        <v>38952</v>
      </c>
      <c r="D29" s="1">
        <v>38952</v>
      </c>
      <c r="E29" s="1">
        <v>38952</v>
      </c>
      <c r="F29" s="1">
        <v>38952</v>
      </c>
      <c r="G29" s="1">
        <v>38952</v>
      </c>
      <c r="H29" s="1">
        <v>38952</v>
      </c>
      <c r="I29" s="1">
        <v>38952</v>
      </c>
      <c r="J29" s="1">
        <v>38952</v>
      </c>
      <c r="K29" s="1">
        <v>37650</v>
      </c>
      <c r="L29" s="1">
        <v>37650</v>
      </c>
      <c r="M29" s="1">
        <v>37650</v>
      </c>
      <c r="N29" s="1">
        <v>38650</v>
      </c>
      <c r="O29" s="1">
        <v>502168</v>
      </c>
      <c r="P29" s="1">
        <v>38628</v>
      </c>
      <c r="Q29" s="5" t="s">
        <v>129</v>
      </c>
      <c r="V29" s="5" t="s">
        <v>194</v>
      </c>
      <c r="X29" s="15">
        <f>+N29</f>
        <v>38650</v>
      </c>
      <c r="Y29" s="15">
        <f>+X29</f>
        <v>38650</v>
      </c>
      <c r="Z29" s="15">
        <f t="shared" ref="Z29:AJ37" si="0">+Y29</f>
        <v>38650</v>
      </c>
      <c r="AA29" s="15">
        <f t="shared" si="0"/>
        <v>38650</v>
      </c>
      <c r="AB29" s="15">
        <f t="shared" si="0"/>
        <v>38650</v>
      </c>
      <c r="AC29" s="15">
        <f t="shared" si="0"/>
        <v>38650</v>
      </c>
      <c r="AD29" s="15">
        <f t="shared" si="0"/>
        <v>38650</v>
      </c>
      <c r="AE29" s="15">
        <f t="shared" si="0"/>
        <v>38650</v>
      </c>
      <c r="AF29" s="15">
        <f t="shared" si="0"/>
        <v>38650</v>
      </c>
      <c r="AG29" s="15">
        <f t="shared" si="0"/>
        <v>38650</v>
      </c>
      <c r="AH29" s="15">
        <f t="shared" si="0"/>
        <v>38650</v>
      </c>
      <c r="AI29" s="15">
        <f t="shared" si="0"/>
        <v>38650</v>
      </c>
      <c r="AJ29" s="15">
        <f t="shared" si="0"/>
        <v>38650</v>
      </c>
      <c r="AK29" s="15">
        <f>+SUM(X29:AJ29)</f>
        <v>502450</v>
      </c>
      <c r="AL29" s="15">
        <f>+AK29/13</f>
        <v>38650</v>
      </c>
      <c r="AO29" s="15">
        <f>+AJ29</f>
        <v>38650</v>
      </c>
      <c r="AP29" s="15">
        <f>+AO29</f>
        <v>38650</v>
      </c>
      <c r="AQ29" s="15">
        <f t="shared" ref="AQ29:BA37" si="1">+AP29</f>
        <v>38650</v>
      </c>
      <c r="AR29" s="15">
        <f t="shared" si="1"/>
        <v>38650</v>
      </c>
      <c r="AS29" s="15">
        <f t="shared" si="1"/>
        <v>38650</v>
      </c>
      <c r="AT29" s="15">
        <f t="shared" si="1"/>
        <v>38650</v>
      </c>
      <c r="AU29" s="15">
        <f t="shared" si="1"/>
        <v>38650</v>
      </c>
      <c r="AV29" s="15">
        <f t="shared" si="1"/>
        <v>38650</v>
      </c>
      <c r="AW29" s="15">
        <f t="shared" si="1"/>
        <v>38650</v>
      </c>
      <c r="AX29" s="15">
        <f t="shared" si="1"/>
        <v>38650</v>
      </c>
      <c r="AY29" s="15">
        <f t="shared" si="1"/>
        <v>38650</v>
      </c>
      <c r="AZ29" s="15">
        <f t="shared" si="1"/>
        <v>38650</v>
      </c>
      <c r="BA29" s="15">
        <f t="shared" si="1"/>
        <v>38650</v>
      </c>
      <c r="BB29" s="15">
        <f>SUM(AO29:BA29)</f>
        <v>502450</v>
      </c>
      <c r="BC29" s="15">
        <f>BB29/13</f>
        <v>38650</v>
      </c>
      <c r="BE29" s="5" t="s">
        <v>164</v>
      </c>
    </row>
    <row r="30" spans="1:57" x14ac:dyDescent="0.2">
      <c r="A30" s="13" t="s">
        <v>32</v>
      </c>
      <c r="B30" s="1">
        <v>12573962</v>
      </c>
      <c r="C30" s="1">
        <v>14872500</v>
      </c>
      <c r="D30" s="1">
        <v>14280615</v>
      </c>
      <c r="E30" s="1">
        <v>12158167</v>
      </c>
      <c r="F30" s="1">
        <v>10779059</v>
      </c>
      <c r="G30" s="1">
        <v>10939623</v>
      </c>
      <c r="H30" s="1">
        <v>9604459</v>
      </c>
      <c r="I30" s="1">
        <v>10065135</v>
      </c>
      <c r="J30" s="1">
        <v>9266390</v>
      </c>
      <c r="K30" s="1">
        <v>9827824</v>
      </c>
      <c r="L30" s="1">
        <v>10137334</v>
      </c>
      <c r="M30" s="1">
        <v>10860189</v>
      </c>
      <c r="N30" s="1">
        <v>11927096</v>
      </c>
      <c r="O30" s="1">
        <v>147292354</v>
      </c>
      <c r="P30" s="1">
        <v>11330181</v>
      </c>
      <c r="Q30" s="5" t="s">
        <v>129</v>
      </c>
      <c r="V30" s="5" t="s">
        <v>195</v>
      </c>
      <c r="X30" s="18">
        <f>+N30</f>
        <v>11927096</v>
      </c>
      <c r="Y30" s="18">
        <f>+C166</f>
        <v>12488683.377341667</v>
      </c>
      <c r="Z30" s="18">
        <f t="shared" ref="Z30:AK30" si="2">+D166</f>
        <v>12487188.907341667</v>
      </c>
      <c r="AA30" s="18">
        <f t="shared" si="2"/>
        <v>12485694.437341666</v>
      </c>
      <c r="AB30" s="18">
        <f t="shared" si="2"/>
        <v>12484199.967341665</v>
      </c>
      <c r="AC30" s="18">
        <f t="shared" si="2"/>
        <v>12482705.497341666</v>
      </c>
      <c r="AD30" s="18">
        <f t="shared" si="2"/>
        <v>12481211.027341666</v>
      </c>
      <c r="AE30" s="18">
        <f t="shared" si="2"/>
        <v>12479716.557341665</v>
      </c>
      <c r="AF30" s="18">
        <f t="shared" si="2"/>
        <v>12478222.087341666</v>
      </c>
      <c r="AG30" s="18">
        <f t="shared" si="2"/>
        <v>12476727.617341666</v>
      </c>
      <c r="AH30" s="18">
        <f t="shared" si="2"/>
        <v>12475233.147341665</v>
      </c>
      <c r="AI30" s="18">
        <f t="shared" si="2"/>
        <v>12473738.677341664</v>
      </c>
      <c r="AJ30" s="18">
        <f t="shared" si="2"/>
        <v>12925161.307341667</v>
      </c>
      <c r="AK30" s="18">
        <f t="shared" si="2"/>
        <v>162145578.60809997</v>
      </c>
      <c r="AL30" s="15">
        <f>+AK30/13</f>
        <v>12472736.816007691</v>
      </c>
      <c r="AO30" s="38">
        <f>+AJ30</f>
        <v>12925161.307341667</v>
      </c>
      <c r="AP30" s="15">
        <f t="shared" ref="AP30:BA30" si="3">+C172</f>
        <v>13395237.476127425</v>
      </c>
      <c r="AQ30" s="15">
        <f t="shared" si="3"/>
        <v>13395237.476127425</v>
      </c>
      <c r="AR30" s="15">
        <f t="shared" si="3"/>
        <v>13395237.476127425</v>
      </c>
      <c r="AS30" s="15">
        <f t="shared" si="3"/>
        <v>13395237.476127425</v>
      </c>
      <c r="AT30" s="15">
        <f t="shared" si="3"/>
        <v>13395237.476127425</v>
      </c>
      <c r="AU30" s="15">
        <f t="shared" si="3"/>
        <v>13395237.476127425</v>
      </c>
      <c r="AV30" s="15">
        <f t="shared" si="3"/>
        <v>13395237.476127425</v>
      </c>
      <c r="AW30" s="15">
        <f t="shared" si="3"/>
        <v>13395237.476127425</v>
      </c>
      <c r="AX30" s="15">
        <f t="shared" si="3"/>
        <v>13395237.476127425</v>
      </c>
      <c r="AY30" s="15">
        <f t="shared" si="3"/>
        <v>13395237.476127425</v>
      </c>
      <c r="AZ30" s="15">
        <f t="shared" si="3"/>
        <v>13395237.476127425</v>
      </c>
      <c r="BA30" s="15">
        <f t="shared" si="3"/>
        <v>13395237.476127425</v>
      </c>
      <c r="BB30" s="15">
        <f>SUM(AO30:BA30)</f>
        <v>173668011.02087077</v>
      </c>
      <c r="BC30" s="15">
        <f>BB30/13</f>
        <v>13359077.770836214</v>
      </c>
      <c r="BE30" s="18" t="s">
        <v>181</v>
      </c>
    </row>
    <row r="31" spans="1:57" x14ac:dyDescent="0.2">
      <c r="A31" s="13" t="s">
        <v>33</v>
      </c>
      <c r="B31" s="1">
        <v>95799</v>
      </c>
      <c r="C31" s="1">
        <v>94702</v>
      </c>
      <c r="D31" s="1">
        <v>101308</v>
      </c>
      <c r="E31" s="1">
        <v>68910</v>
      </c>
      <c r="F31" s="1">
        <v>67944</v>
      </c>
      <c r="G31" s="1">
        <v>35578</v>
      </c>
      <c r="H31" s="1">
        <v>38557</v>
      </c>
      <c r="I31" s="1">
        <v>2645</v>
      </c>
      <c r="J31" s="1">
        <v>20</v>
      </c>
      <c r="K31" s="1">
        <v>20</v>
      </c>
      <c r="L31" s="1">
        <v>13436</v>
      </c>
      <c r="M31" s="1">
        <v>13436</v>
      </c>
      <c r="N31" s="1">
        <v>104534</v>
      </c>
      <c r="O31" s="1">
        <v>636887</v>
      </c>
      <c r="P31" s="1">
        <v>48991</v>
      </c>
      <c r="Q31" s="5" t="s">
        <v>129</v>
      </c>
      <c r="V31" s="5" t="s">
        <v>194</v>
      </c>
      <c r="X31" s="15">
        <f>+N31</f>
        <v>104534</v>
      </c>
      <c r="Y31" s="15">
        <f>+X31</f>
        <v>104534</v>
      </c>
      <c r="Z31" s="15">
        <f t="shared" si="0"/>
        <v>104534</v>
      </c>
      <c r="AA31" s="15">
        <f t="shared" si="0"/>
        <v>104534</v>
      </c>
      <c r="AB31" s="15">
        <f t="shared" si="0"/>
        <v>104534</v>
      </c>
      <c r="AC31" s="15">
        <f t="shared" si="0"/>
        <v>104534</v>
      </c>
      <c r="AD31" s="15">
        <f t="shared" si="0"/>
        <v>104534</v>
      </c>
      <c r="AE31" s="15">
        <f t="shared" si="0"/>
        <v>104534</v>
      </c>
      <c r="AF31" s="15">
        <f t="shared" si="0"/>
        <v>104534</v>
      </c>
      <c r="AG31" s="15">
        <f t="shared" si="0"/>
        <v>104534</v>
      </c>
      <c r="AH31" s="15">
        <f t="shared" si="0"/>
        <v>104534</v>
      </c>
      <c r="AI31" s="15">
        <f t="shared" si="0"/>
        <v>104534</v>
      </c>
      <c r="AJ31" s="15">
        <f t="shared" si="0"/>
        <v>104534</v>
      </c>
      <c r="AK31" s="15">
        <f>+SUM(X31:AJ31)</f>
        <v>1358942</v>
      </c>
      <c r="AL31" s="15">
        <f>+AK31/13</f>
        <v>104534</v>
      </c>
      <c r="AO31" s="15">
        <f>+AJ31</f>
        <v>104534</v>
      </c>
      <c r="AP31" s="15">
        <f>+AO31</f>
        <v>104534</v>
      </c>
      <c r="AQ31" s="15">
        <f t="shared" si="1"/>
        <v>104534</v>
      </c>
      <c r="AR31" s="15">
        <f t="shared" si="1"/>
        <v>104534</v>
      </c>
      <c r="AS31" s="15">
        <f t="shared" si="1"/>
        <v>104534</v>
      </c>
      <c r="AT31" s="15">
        <f t="shared" si="1"/>
        <v>104534</v>
      </c>
      <c r="AU31" s="15">
        <f t="shared" si="1"/>
        <v>104534</v>
      </c>
      <c r="AV31" s="15">
        <f t="shared" si="1"/>
        <v>104534</v>
      </c>
      <c r="AW31" s="15">
        <f t="shared" si="1"/>
        <v>104534</v>
      </c>
      <c r="AX31" s="15">
        <f t="shared" si="1"/>
        <v>104534</v>
      </c>
      <c r="AY31" s="15">
        <f t="shared" si="1"/>
        <v>104534</v>
      </c>
      <c r="AZ31" s="15">
        <f t="shared" si="1"/>
        <v>104534</v>
      </c>
      <c r="BA31" s="15">
        <f t="shared" si="1"/>
        <v>104534</v>
      </c>
      <c r="BB31" s="15">
        <f>SUM(AO31:BA31)</f>
        <v>1358942</v>
      </c>
      <c r="BC31" s="15">
        <f>BB31/13</f>
        <v>104534</v>
      </c>
      <c r="BE31" s="5" t="s">
        <v>164</v>
      </c>
    </row>
    <row r="32" spans="1:57" x14ac:dyDescent="0.2">
      <c r="A32" s="13" t="s">
        <v>34</v>
      </c>
      <c r="B32" s="1">
        <v>-999192</v>
      </c>
      <c r="C32" s="1">
        <v>-1013056</v>
      </c>
      <c r="D32" s="1">
        <v>-1007009</v>
      </c>
      <c r="E32" s="1">
        <v>-843902</v>
      </c>
      <c r="F32" s="1">
        <v>-848490</v>
      </c>
      <c r="G32" s="1">
        <v>-843204</v>
      </c>
      <c r="H32" s="1">
        <v>-750262</v>
      </c>
      <c r="I32" s="1">
        <v>-709147</v>
      </c>
      <c r="J32" s="1">
        <v>-629914</v>
      </c>
      <c r="K32" s="1">
        <v>-529678</v>
      </c>
      <c r="L32" s="1">
        <v>-520036</v>
      </c>
      <c r="M32" s="1">
        <v>-532654</v>
      </c>
      <c r="N32" s="1">
        <v>-581834</v>
      </c>
      <c r="O32" s="1">
        <v>-9808379</v>
      </c>
      <c r="P32" s="1">
        <v>-754491</v>
      </c>
      <c r="Q32" s="5" t="s">
        <v>129</v>
      </c>
      <c r="V32" s="5" t="s">
        <v>194</v>
      </c>
      <c r="X32" s="15">
        <f>+N32</f>
        <v>-581834</v>
      </c>
      <c r="Y32" s="15">
        <f>+X32</f>
        <v>-581834</v>
      </c>
      <c r="Z32" s="15">
        <f t="shared" si="0"/>
        <v>-581834</v>
      </c>
      <c r="AA32" s="15">
        <f t="shared" si="0"/>
        <v>-581834</v>
      </c>
      <c r="AB32" s="15">
        <f t="shared" si="0"/>
        <v>-581834</v>
      </c>
      <c r="AC32" s="15">
        <f t="shared" si="0"/>
        <v>-581834</v>
      </c>
      <c r="AD32" s="15">
        <f t="shared" si="0"/>
        <v>-581834</v>
      </c>
      <c r="AE32" s="15">
        <f t="shared" si="0"/>
        <v>-581834</v>
      </c>
      <c r="AF32" s="15">
        <f t="shared" si="0"/>
        <v>-581834</v>
      </c>
      <c r="AG32" s="15">
        <f t="shared" si="0"/>
        <v>-581834</v>
      </c>
      <c r="AH32" s="15">
        <f t="shared" si="0"/>
        <v>-581834</v>
      </c>
      <c r="AI32" s="15">
        <f t="shared" si="0"/>
        <v>-581834</v>
      </c>
      <c r="AJ32" s="15">
        <f t="shared" si="0"/>
        <v>-581834</v>
      </c>
      <c r="AK32" s="15">
        <f>+SUM(X32:AJ32)</f>
        <v>-7563842</v>
      </c>
      <c r="AL32" s="15">
        <f>+AK32/13</f>
        <v>-581834</v>
      </c>
      <c r="AO32" s="15">
        <f>+AJ32</f>
        <v>-581834</v>
      </c>
      <c r="AP32" s="15">
        <f>+AO32</f>
        <v>-581834</v>
      </c>
      <c r="AQ32" s="15">
        <f t="shared" si="1"/>
        <v>-581834</v>
      </c>
      <c r="AR32" s="15">
        <f t="shared" si="1"/>
        <v>-581834</v>
      </c>
      <c r="AS32" s="15">
        <f t="shared" si="1"/>
        <v>-581834</v>
      </c>
      <c r="AT32" s="15">
        <f t="shared" si="1"/>
        <v>-581834</v>
      </c>
      <c r="AU32" s="15">
        <f t="shared" si="1"/>
        <v>-581834</v>
      </c>
      <c r="AV32" s="15">
        <f t="shared" si="1"/>
        <v>-581834</v>
      </c>
      <c r="AW32" s="15">
        <f t="shared" si="1"/>
        <v>-581834</v>
      </c>
      <c r="AX32" s="15">
        <f t="shared" si="1"/>
        <v>-581834</v>
      </c>
      <c r="AY32" s="15">
        <f t="shared" si="1"/>
        <v>-581834</v>
      </c>
      <c r="AZ32" s="15">
        <f t="shared" si="1"/>
        <v>-581834</v>
      </c>
      <c r="BA32" s="15">
        <f t="shared" si="1"/>
        <v>-581834</v>
      </c>
      <c r="BB32" s="15">
        <f>SUM(AO32:BA32)</f>
        <v>-7563842</v>
      </c>
      <c r="BC32" s="15">
        <f>BB32/13</f>
        <v>-581834</v>
      </c>
      <c r="BE32" s="5" t="s">
        <v>164</v>
      </c>
    </row>
    <row r="33" spans="1:57" x14ac:dyDescent="0.2">
      <c r="A33" s="13" t="s">
        <v>35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</row>
    <row r="34" spans="1:57" x14ac:dyDescent="0.2">
      <c r="A34" s="13" t="s">
        <v>36</v>
      </c>
      <c r="B34" s="1">
        <v>-83735732</v>
      </c>
      <c r="C34" s="1">
        <v>-83997859</v>
      </c>
      <c r="D34" s="1">
        <v>-83418053</v>
      </c>
      <c r="E34" s="1">
        <v>-85256209</v>
      </c>
      <c r="F34" s="1">
        <v>-83792766</v>
      </c>
      <c r="G34" s="1">
        <v>-83165919</v>
      </c>
      <c r="H34" s="1">
        <v>-84518234</v>
      </c>
      <c r="I34" s="1">
        <v>-85450528</v>
      </c>
      <c r="J34" s="1">
        <v>-85199058</v>
      </c>
      <c r="K34" s="1">
        <v>-88356123</v>
      </c>
      <c r="L34" s="1">
        <v>-90165305</v>
      </c>
      <c r="M34" s="1">
        <v>-95937132</v>
      </c>
      <c r="N34" s="1">
        <v>-95637954</v>
      </c>
      <c r="O34" s="1">
        <v>-1128630870</v>
      </c>
      <c r="P34" s="1">
        <v>-86817759</v>
      </c>
      <c r="Q34" s="5" t="s">
        <v>129</v>
      </c>
      <c r="V34" s="5" t="s">
        <v>175</v>
      </c>
    </row>
    <row r="35" spans="1:57" x14ac:dyDescent="0.2">
      <c r="A35" s="13" t="s">
        <v>37</v>
      </c>
      <c r="B35" s="1">
        <v>431048</v>
      </c>
      <c r="C35" s="1">
        <v>443116</v>
      </c>
      <c r="D35" s="1">
        <v>466985</v>
      </c>
      <c r="E35" s="1">
        <v>490358</v>
      </c>
      <c r="F35" s="1">
        <v>558335</v>
      </c>
      <c r="G35" s="1">
        <v>573865</v>
      </c>
      <c r="H35" s="1">
        <v>682571</v>
      </c>
      <c r="I35" s="1">
        <v>757119</v>
      </c>
      <c r="J35" s="1">
        <v>781769</v>
      </c>
      <c r="K35" s="1">
        <v>762035</v>
      </c>
      <c r="L35" s="1">
        <v>716210</v>
      </c>
      <c r="M35" s="1">
        <v>772817</v>
      </c>
      <c r="N35" s="1">
        <v>676922</v>
      </c>
      <c r="O35" s="1">
        <v>8113149</v>
      </c>
      <c r="P35" s="1">
        <v>624088</v>
      </c>
      <c r="Q35" s="5" t="s">
        <v>129</v>
      </c>
      <c r="V35" s="5" t="s">
        <v>194</v>
      </c>
      <c r="X35" s="15">
        <f>+N35</f>
        <v>676922</v>
      </c>
      <c r="Y35" s="15">
        <f>+X35</f>
        <v>676922</v>
      </c>
      <c r="Z35" s="15">
        <f t="shared" si="0"/>
        <v>676922</v>
      </c>
      <c r="AA35" s="15">
        <f t="shared" si="0"/>
        <v>676922</v>
      </c>
      <c r="AB35" s="15">
        <f t="shared" si="0"/>
        <v>676922</v>
      </c>
      <c r="AC35" s="15">
        <f t="shared" si="0"/>
        <v>676922</v>
      </c>
      <c r="AD35" s="15">
        <f t="shared" si="0"/>
        <v>676922</v>
      </c>
      <c r="AE35" s="15">
        <f t="shared" si="0"/>
        <v>676922</v>
      </c>
      <c r="AF35" s="15">
        <f t="shared" si="0"/>
        <v>676922</v>
      </c>
      <c r="AG35" s="15">
        <f t="shared" si="0"/>
        <v>676922</v>
      </c>
      <c r="AH35" s="15">
        <f t="shared" si="0"/>
        <v>676922</v>
      </c>
      <c r="AI35" s="15">
        <f t="shared" si="0"/>
        <v>676922</v>
      </c>
      <c r="AJ35" s="15">
        <f t="shared" si="0"/>
        <v>676922</v>
      </c>
      <c r="AK35" s="15">
        <f>+SUM(X35:AJ35)</f>
        <v>8799986</v>
      </c>
      <c r="AL35" s="15">
        <f>+AK35/13</f>
        <v>676922</v>
      </c>
      <c r="AO35" s="15">
        <f>+AJ35</f>
        <v>676922</v>
      </c>
      <c r="AP35" s="15">
        <f>+AO35</f>
        <v>676922</v>
      </c>
      <c r="AQ35" s="15">
        <f t="shared" si="1"/>
        <v>676922</v>
      </c>
      <c r="AR35" s="15">
        <f t="shared" si="1"/>
        <v>676922</v>
      </c>
      <c r="AS35" s="15">
        <f t="shared" si="1"/>
        <v>676922</v>
      </c>
      <c r="AT35" s="15">
        <f t="shared" si="1"/>
        <v>676922</v>
      </c>
      <c r="AU35" s="15">
        <f t="shared" si="1"/>
        <v>676922</v>
      </c>
      <c r="AV35" s="15">
        <f t="shared" si="1"/>
        <v>676922</v>
      </c>
      <c r="AW35" s="15">
        <f t="shared" si="1"/>
        <v>676922</v>
      </c>
      <c r="AX35" s="15">
        <f t="shared" si="1"/>
        <v>676922</v>
      </c>
      <c r="AY35" s="15">
        <f t="shared" si="1"/>
        <v>676922</v>
      </c>
      <c r="AZ35" s="15">
        <f t="shared" si="1"/>
        <v>676922</v>
      </c>
      <c r="BA35" s="15">
        <f t="shared" si="1"/>
        <v>676922</v>
      </c>
      <c r="BB35" s="15">
        <f>SUM(AO35:BA35)</f>
        <v>8799986</v>
      </c>
      <c r="BC35" s="15">
        <f>BB35/13</f>
        <v>676922</v>
      </c>
      <c r="BE35" s="5" t="s">
        <v>164</v>
      </c>
    </row>
    <row r="36" spans="1:57" x14ac:dyDescent="0.2">
      <c r="A36" s="13" t="s">
        <v>39</v>
      </c>
      <c r="B36" s="1">
        <v>937942</v>
      </c>
      <c r="C36" s="1">
        <v>959835</v>
      </c>
      <c r="D36" s="1">
        <v>841063</v>
      </c>
      <c r="E36" s="1">
        <v>717648</v>
      </c>
      <c r="F36" s="1">
        <v>603941</v>
      </c>
      <c r="G36" s="1">
        <v>488467</v>
      </c>
      <c r="H36" s="1">
        <v>371602</v>
      </c>
      <c r="I36" s="1">
        <v>287426</v>
      </c>
      <c r="J36" s="1">
        <v>263341</v>
      </c>
      <c r="K36" s="1">
        <v>1011389</v>
      </c>
      <c r="L36" s="1">
        <v>908433</v>
      </c>
      <c r="M36" s="1">
        <v>1413228</v>
      </c>
      <c r="N36" s="1">
        <v>841629</v>
      </c>
      <c r="O36" s="1">
        <v>9645944</v>
      </c>
      <c r="P36" s="1">
        <v>741996</v>
      </c>
      <c r="Q36" s="5" t="s">
        <v>129</v>
      </c>
      <c r="V36" s="5" t="s">
        <v>194</v>
      </c>
      <c r="X36" s="15">
        <f>+N36</f>
        <v>841629</v>
      </c>
      <c r="Y36" s="15">
        <f>+X36</f>
        <v>841629</v>
      </c>
      <c r="Z36" s="15">
        <f t="shared" si="0"/>
        <v>841629</v>
      </c>
      <c r="AA36" s="15">
        <f t="shared" si="0"/>
        <v>841629</v>
      </c>
      <c r="AB36" s="15">
        <f t="shared" si="0"/>
        <v>841629</v>
      </c>
      <c r="AC36" s="15">
        <f t="shared" si="0"/>
        <v>841629</v>
      </c>
      <c r="AD36" s="15">
        <f t="shared" si="0"/>
        <v>841629</v>
      </c>
      <c r="AE36" s="15">
        <v>878573.4444444445</v>
      </c>
      <c r="AF36" s="15">
        <v>877517.88888888888</v>
      </c>
      <c r="AG36" s="15">
        <v>876462.33333333337</v>
      </c>
      <c r="AH36" s="15">
        <v>875406.77777777775</v>
      </c>
      <c r="AI36" s="15">
        <v>874351.22222222225</v>
      </c>
      <c r="AJ36" s="15">
        <v>873295.66666666663</v>
      </c>
      <c r="AK36" s="15">
        <f>+SUM(X36:AJ36)</f>
        <v>11147010.333333332</v>
      </c>
      <c r="AL36" s="15">
        <f>+AK36/13</f>
        <v>857462.33333333326</v>
      </c>
      <c r="AO36" s="15">
        <f>+AJ36</f>
        <v>873295.66666666663</v>
      </c>
      <c r="AP36" s="15">
        <v>872240.11111111112</v>
      </c>
      <c r="AQ36" s="15">
        <v>871184.5555555555</v>
      </c>
      <c r="AR36" s="15">
        <v>870129</v>
      </c>
      <c r="AS36" s="15">
        <v>869073.4444444445</v>
      </c>
      <c r="AT36" s="15">
        <v>868017.88888888888</v>
      </c>
      <c r="AU36" s="15">
        <v>866962.33333333337</v>
      </c>
      <c r="AV36" s="15">
        <v>902851.22222222225</v>
      </c>
      <c r="AW36" s="15">
        <v>900740.11111111112</v>
      </c>
      <c r="AX36" s="15">
        <v>898629</v>
      </c>
      <c r="AY36" s="15">
        <v>896517.88888888888</v>
      </c>
      <c r="AZ36" s="15">
        <v>894406.77777777787</v>
      </c>
      <c r="BA36" s="15">
        <v>892295.66666666663</v>
      </c>
      <c r="BB36" s="15">
        <f>SUM(AO36:BA36)</f>
        <v>11476343.666666664</v>
      </c>
      <c r="BC36" s="15">
        <f>BB36/13</f>
        <v>882795.66666666651</v>
      </c>
      <c r="BE36" s="5" t="s">
        <v>165</v>
      </c>
    </row>
    <row r="37" spans="1:57" x14ac:dyDescent="0.2">
      <c r="A37" s="13" t="s">
        <v>92</v>
      </c>
      <c r="B37" s="1">
        <v>2960986</v>
      </c>
      <c r="C37" s="1">
        <v>2920295</v>
      </c>
      <c r="D37" s="1">
        <v>2807511</v>
      </c>
      <c r="E37" s="1">
        <v>2659073</v>
      </c>
      <c r="F37" s="1">
        <v>2589393</v>
      </c>
      <c r="G37" s="1">
        <v>2504666</v>
      </c>
      <c r="H37" s="1">
        <v>2030444</v>
      </c>
      <c r="I37" s="1">
        <v>2014565</v>
      </c>
      <c r="J37" s="1">
        <v>1969019</v>
      </c>
      <c r="K37" s="1">
        <v>2100901</v>
      </c>
      <c r="L37" s="1">
        <v>2234373</v>
      </c>
      <c r="M37" s="1">
        <v>2637913</v>
      </c>
      <c r="N37" s="1">
        <v>2980105</v>
      </c>
      <c r="O37" s="1">
        <v>32409244</v>
      </c>
      <c r="P37" s="1">
        <v>2493019</v>
      </c>
      <c r="Q37" s="5" t="s">
        <v>129</v>
      </c>
      <c r="V37" s="5" t="s">
        <v>196</v>
      </c>
      <c r="X37" s="15">
        <f>+N37</f>
        <v>2980105</v>
      </c>
      <c r="Y37" s="15">
        <f>+X37</f>
        <v>2980105</v>
      </c>
      <c r="Z37" s="15">
        <f t="shared" si="0"/>
        <v>2980105</v>
      </c>
      <c r="AA37" s="15">
        <f t="shared" si="0"/>
        <v>2980105</v>
      </c>
      <c r="AB37" s="15">
        <f t="shared" si="0"/>
        <v>2980105</v>
      </c>
      <c r="AC37" s="15">
        <f t="shared" si="0"/>
        <v>2980105</v>
      </c>
      <c r="AD37" s="15">
        <f t="shared" si="0"/>
        <v>2980105</v>
      </c>
      <c r="AE37" s="15">
        <f t="shared" si="0"/>
        <v>2980105</v>
      </c>
      <c r="AF37" s="15">
        <f t="shared" si="0"/>
        <v>2980105</v>
      </c>
      <c r="AG37" s="15">
        <f t="shared" si="0"/>
        <v>2980105</v>
      </c>
      <c r="AH37" s="15">
        <f t="shared" si="0"/>
        <v>2980105</v>
      </c>
      <c r="AI37" s="15">
        <f t="shared" si="0"/>
        <v>2980105</v>
      </c>
      <c r="AJ37" s="15">
        <f t="shared" si="0"/>
        <v>2980105</v>
      </c>
      <c r="AK37" s="15">
        <f>+SUM(X37:AJ37)</f>
        <v>38741365</v>
      </c>
      <c r="AL37" s="15">
        <f>+AK37/13</f>
        <v>2980105</v>
      </c>
      <c r="AO37" s="15">
        <f>+AJ37</f>
        <v>2980105</v>
      </c>
      <c r="AP37" s="15">
        <f>+AO37</f>
        <v>2980105</v>
      </c>
      <c r="AQ37" s="15">
        <f t="shared" si="1"/>
        <v>2980105</v>
      </c>
      <c r="AR37" s="15">
        <f t="shared" si="1"/>
        <v>2980105</v>
      </c>
      <c r="AS37" s="15">
        <f t="shared" si="1"/>
        <v>2980105</v>
      </c>
      <c r="AT37" s="15">
        <f t="shared" si="1"/>
        <v>2980105</v>
      </c>
      <c r="AU37" s="15">
        <f t="shared" si="1"/>
        <v>2980105</v>
      </c>
      <c r="AV37" s="15">
        <f t="shared" si="1"/>
        <v>2980105</v>
      </c>
      <c r="AW37" s="15">
        <f t="shared" si="1"/>
        <v>2980105</v>
      </c>
      <c r="AX37" s="15">
        <f t="shared" si="1"/>
        <v>2980105</v>
      </c>
      <c r="AY37" s="15">
        <f t="shared" si="1"/>
        <v>2980105</v>
      </c>
      <c r="AZ37" s="15">
        <f t="shared" si="1"/>
        <v>2980105</v>
      </c>
      <c r="BA37" s="15">
        <f t="shared" si="1"/>
        <v>2980105</v>
      </c>
      <c r="BB37" s="15">
        <f>SUM(AO37:BA37)</f>
        <v>38741365</v>
      </c>
      <c r="BC37" s="15">
        <f>BB37/13</f>
        <v>2980105</v>
      </c>
      <c r="BE37" s="5" t="s">
        <v>166</v>
      </c>
    </row>
    <row r="38" spans="1:57" x14ac:dyDescent="0.2">
      <c r="A38" s="13" t="s">
        <v>123</v>
      </c>
      <c r="X38" s="15">
        <f>N142</f>
        <v>959100</v>
      </c>
      <c r="Y38" s="15">
        <v>919210</v>
      </c>
      <c r="Z38" s="15">
        <v>1261808.5999999999</v>
      </c>
      <c r="AA38" s="15">
        <v>1231573.5900000001</v>
      </c>
      <c r="AB38" s="15">
        <v>1201249.72</v>
      </c>
      <c r="AC38" s="15">
        <v>1170837.05</v>
      </c>
      <c r="AD38" s="15">
        <v>1140335.31</v>
      </c>
      <c r="AE38" s="15">
        <v>1109744.24</v>
      </c>
      <c r="AF38" s="15">
        <v>1079060.53</v>
      </c>
      <c r="AG38" s="15">
        <v>1048283.9099999999</v>
      </c>
      <c r="AH38" s="15">
        <v>1017414.1000000001</v>
      </c>
      <c r="AI38" s="15">
        <v>986450.82</v>
      </c>
      <c r="AJ38" s="15">
        <v>955393.78</v>
      </c>
      <c r="AK38" s="15">
        <f>+SUM(X38:AJ38)</f>
        <v>14080461.649999999</v>
      </c>
      <c r="AL38" s="15">
        <f>+AK38/13</f>
        <v>1083112.4346153846</v>
      </c>
      <c r="AO38" s="15">
        <f>+AJ38</f>
        <v>955393.78</v>
      </c>
      <c r="AP38" s="15">
        <v>980916.69000000006</v>
      </c>
      <c r="AQ38" s="15">
        <v>949671.28</v>
      </c>
      <c r="AR38" s="15">
        <v>918331.25</v>
      </c>
      <c r="AS38" s="15">
        <v>886896.32000000007</v>
      </c>
      <c r="AT38" s="15">
        <v>855366.21</v>
      </c>
      <c r="AU38" s="15">
        <v>823740.61</v>
      </c>
      <c r="AV38" s="15">
        <v>792019.25</v>
      </c>
      <c r="AW38" s="15">
        <v>760198.72</v>
      </c>
      <c r="AX38" s="15">
        <v>728278.72</v>
      </c>
      <c r="AY38" s="15">
        <v>696258.96</v>
      </c>
      <c r="AZ38" s="15">
        <v>664139.12</v>
      </c>
      <c r="BA38" s="15">
        <v>631918.9</v>
      </c>
      <c r="BB38" s="15">
        <f>SUM(AO38:BA38)</f>
        <v>10643129.809999999</v>
      </c>
      <c r="BC38" s="15">
        <f>BB38/13</f>
        <v>818702.293076923</v>
      </c>
    </row>
    <row r="39" spans="1:57" x14ac:dyDescent="0.2">
      <c r="B39" s="16" t="s">
        <v>27</v>
      </c>
      <c r="C39" s="16" t="s">
        <v>27</v>
      </c>
      <c r="D39" s="16" t="s">
        <v>27</v>
      </c>
      <c r="E39" s="16" t="s">
        <v>27</v>
      </c>
      <c r="F39" s="16" t="s">
        <v>27</v>
      </c>
      <c r="G39" s="16" t="s">
        <v>27</v>
      </c>
      <c r="H39" s="16" t="s">
        <v>27</v>
      </c>
      <c r="I39" s="16" t="s">
        <v>27</v>
      </c>
      <c r="J39" s="16" t="s">
        <v>27</v>
      </c>
      <c r="K39" s="16" t="s">
        <v>27</v>
      </c>
      <c r="L39" s="16" t="s">
        <v>27</v>
      </c>
      <c r="M39" s="16" t="s">
        <v>27</v>
      </c>
      <c r="N39" s="16" t="s">
        <v>27</v>
      </c>
      <c r="O39" s="16" t="s">
        <v>27</v>
      </c>
      <c r="P39" s="16" t="s">
        <v>27</v>
      </c>
    </row>
    <row r="40" spans="1:57" x14ac:dyDescent="0.2">
      <c r="A40" s="13" t="s">
        <v>41</v>
      </c>
      <c r="B40" s="1">
        <v>-67696235</v>
      </c>
      <c r="C40" s="1">
        <v>-65681516</v>
      </c>
      <c r="D40" s="1">
        <v>-65888627</v>
      </c>
      <c r="E40" s="1">
        <v>-69967002</v>
      </c>
      <c r="F40" s="1">
        <v>-70003633</v>
      </c>
      <c r="G40" s="1">
        <v>-69427973</v>
      </c>
      <c r="H40" s="1">
        <v>-72501911</v>
      </c>
      <c r="I40" s="1">
        <v>-72993833</v>
      </c>
      <c r="J40" s="1">
        <v>-73509482</v>
      </c>
      <c r="K40" s="1">
        <v>-75145981</v>
      </c>
      <c r="L40" s="1">
        <v>-76637904</v>
      </c>
      <c r="M40" s="1">
        <v>-80734553</v>
      </c>
      <c r="N40" s="1">
        <v>-79650852</v>
      </c>
      <c r="O40" s="1">
        <v>-939839504</v>
      </c>
      <c r="P40" s="1">
        <v>-72295346</v>
      </c>
    </row>
    <row r="41" spans="1:57" x14ac:dyDescent="0.2">
      <c r="B41" s="16" t="s">
        <v>27</v>
      </c>
      <c r="C41" s="16" t="s">
        <v>27</v>
      </c>
      <c r="D41" s="16" t="s">
        <v>27</v>
      </c>
      <c r="E41" s="16" t="s">
        <v>27</v>
      </c>
      <c r="F41" s="16" t="s">
        <v>27</v>
      </c>
      <c r="G41" s="16" t="s">
        <v>27</v>
      </c>
      <c r="H41" s="16" t="s">
        <v>27</v>
      </c>
      <c r="I41" s="16" t="s">
        <v>27</v>
      </c>
      <c r="J41" s="16" t="s">
        <v>27</v>
      </c>
      <c r="K41" s="16" t="s">
        <v>27</v>
      </c>
      <c r="L41" s="16" t="s">
        <v>27</v>
      </c>
      <c r="M41" s="16" t="s">
        <v>27</v>
      </c>
      <c r="N41" s="16" t="s">
        <v>27</v>
      </c>
      <c r="O41" s="16" t="s">
        <v>27</v>
      </c>
      <c r="P41" s="16" t="s">
        <v>27</v>
      </c>
    </row>
    <row r="42" spans="1:57" x14ac:dyDescent="0.2">
      <c r="A42" s="11" t="s">
        <v>42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AK42" s="15"/>
      <c r="AL42" s="15"/>
    </row>
    <row r="43" spans="1:57" x14ac:dyDescent="0.2">
      <c r="A43" s="13" t="s">
        <v>43</v>
      </c>
      <c r="B43" s="1">
        <v>13659882</v>
      </c>
      <c r="C43" s="1">
        <v>13607496</v>
      </c>
      <c r="D43" s="1">
        <v>13588809</v>
      </c>
      <c r="E43" s="1">
        <v>13312853</v>
      </c>
      <c r="F43" s="1">
        <v>13291968</v>
      </c>
      <c r="G43" s="1">
        <v>13269600</v>
      </c>
      <c r="H43" s="1">
        <v>13072652</v>
      </c>
      <c r="I43" s="1">
        <v>12988196</v>
      </c>
      <c r="J43" s="1">
        <v>12950167</v>
      </c>
      <c r="K43" s="1">
        <v>12829141</v>
      </c>
      <c r="L43" s="1">
        <v>12791112</v>
      </c>
      <c r="M43" s="1">
        <v>12753083</v>
      </c>
      <c r="N43" s="1">
        <v>11133038</v>
      </c>
      <c r="O43" s="1">
        <v>169247998</v>
      </c>
      <c r="P43" s="1">
        <v>13019077</v>
      </c>
      <c r="Q43" s="5" t="s">
        <v>129</v>
      </c>
      <c r="V43" s="5" t="s">
        <v>173</v>
      </c>
      <c r="X43" s="15">
        <f>+N43</f>
        <v>11133038</v>
      </c>
      <c r="Y43" s="15">
        <v>11029958.958333334</v>
      </c>
      <c r="Z43" s="15">
        <v>10926878.916666666</v>
      </c>
      <c r="AA43" s="15">
        <v>10823798.875</v>
      </c>
      <c r="AB43" s="15">
        <v>10720718.833333334</v>
      </c>
      <c r="AC43" s="15">
        <v>10617638.791666666</v>
      </c>
      <c r="AD43" s="15">
        <v>10514558.75</v>
      </c>
      <c r="AE43" s="15">
        <v>10411478.708333334</v>
      </c>
      <c r="AF43" s="15">
        <v>10308398.666666666</v>
      </c>
      <c r="AG43" s="15">
        <v>10205318.625</v>
      </c>
      <c r="AH43" s="15">
        <v>10102238.583333334</v>
      </c>
      <c r="AI43" s="15">
        <v>9999158.541666666</v>
      </c>
      <c r="AJ43" s="15">
        <v>9896078.5</v>
      </c>
      <c r="AK43" s="15">
        <f t="shared" ref="AK43" si="4">+SUM(X43:AJ43)</f>
        <v>136689262.75</v>
      </c>
      <c r="AL43" s="15">
        <f t="shared" ref="AL43" si="5">+AK43/13</f>
        <v>10514558.673076924</v>
      </c>
      <c r="AO43" s="15">
        <f t="shared" ref="AO43" si="6">+AJ43</f>
        <v>9896078.5</v>
      </c>
      <c r="AP43" s="5">
        <v>9792998.458333334</v>
      </c>
      <c r="AQ43" s="5">
        <v>9689918.416666666</v>
      </c>
      <c r="AR43" s="5">
        <v>9586838.375</v>
      </c>
      <c r="AS43" s="5">
        <v>9483758.333333334</v>
      </c>
      <c r="AT43" s="5">
        <v>9380678.291666666</v>
      </c>
      <c r="AU43" s="5">
        <v>9277598.25</v>
      </c>
      <c r="AV43" s="5">
        <v>9174518.208333334</v>
      </c>
      <c r="AW43" s="5">
        <v>9071438.166666666</v>
      </c>
      <c r="AX43" s="5">
        <v>8968358.125</v>
      </c>
      <c r="AY43" s="5">
        <v>8865278.083333334</v>
      </c>
      <c r="AZ43" s="5">
        <v>8762198.041666666</v>
      </c>
      <c r="BA43" s="5">
        <v>8659118</v>
      </c>
      <c r="BB43" s="15">
        <f t="shared" ref="BB43" si="7">SUM(AO43:BA43)</f>
        <v>120608777.25</v>
      </c>
      <c r="BC43" s="15">
        <f t="shared" ref="BC43" si="8">BB43/13</f>
        <v>9277598.25</v>
      </c>
      <c r="BE43" s="21" t="s">
        <v>182</v>
      </c>
    </row>
    <row r="44" spans="1:57" x14ac:dyDescent="0.2">
      <c r="A44" s="13" t="s">
        <v>44</v>
      </c>
      <c r="B44" s="1">
        <v>541103</v>
      </c>
      <c r="C44" s="1">
        <v>324845</v>
      </c>
      <c r="D44" s="1">
        <v>221993</v>
      </c>
      <c r="E44" s="1">
        <v>362351</v>
      </c>
      <c r="F44" s="1">
        <v>307044</v>
      </c>
      <c r="G44" s="1">
        <v>322044</v>
      </c>
      <c r="H44" s="1">
        <v>216415</v>
      </c>
      <c r="I44" s="1">
        <v>168592</v>
      </c>
      <c r="J44" s="1">
        <v>224928</v>
      </c>
      <c r="K44" s="1">
        <v>223320</v>
      </c>
      <c r="L44" s="1">
        <v>225642</v>
      </c>
      <c r="M44" s="1">
        <v>204015</v>
      </c>
      <c r="N44" s="1">
        <v>206454</v>
      </c>
      <c r="O44" s="1">
        <v>3548746</v>
      </c>
      <c r="P44" s="1">
        <v>272980</v>
      </c>
      <c r="Q44" s="5" t="s">
        <v>129</v>
      </c>
      <c r="V44" s="5" t="s">
        <v>172</v>
      </c>
      <c r="X44" s="15">
        <f>+N44</f>
        <v>206454</v>
      </c>
      <c r="Y44" s="15">
        <f>+X44</f>
        <v>206454</v>
      </c>
      <c r="Z44" s="15">
        <f t="shared" ref="Z44:AJ44" si="9">+Y44</f>
        <v>206454</v>
      </c>
      <c r="AA44" s="15">
        <f t="shared" si="9"/>
        <v>206454</v>
      </c>
      <c r="AB44" s="15">
        <f t="shared" si="9"/>
        <v>206454</v>
      </c>
      <c r="AC44" s="15">
        <f t="shared" si="9"/>
        <v>206454</v>
      </c>
      <c r="AD44" s="15">
        <f t="shared" si="9"/>
        <v>206454</v>
      </c>
      <c r="AE44" s="15">
        <f t="shared" si="9"/>
        <v>206454</v>
      </c>
      <c r="AF44" s="15">
        <f t="shared" si="9"/>
        <v>206454</v>
      </c>
      <c r="AG44" s="15">
        <f t="shared" si="9"/>
        <v>206454</v>
      </c>
      <c r="AH44" s="15">
        <f t="shared" si="9"/>
        <v>206454</v>
      </c>
      <c r="AI44" s="15">
        <f t="shared" si="9"/>
        <v>206454</v>
      </c>
      <c r="AJ44" s="15">
        <f t="shared" si="9"/>
        <v>206454</v>
      </c>
      <c r="AK44" s="15">
        <f>+SUM(X44:AJ44)</f>
        <v>2683902</v>
      </c>
      <c r="AL44" s="15">
        <f>+AK44/13</f>
        <v>206454</v>
      </c>
      <c r="AO44" s="15">
        <f>+AJ44</f>
        <v>206454</v>
      </c>
      <c r="AP44" s="15">
        <f>+AO44</f>
        <v>206454</v>
      </c>
      <c r="AQ44" s="15">
        <f t="shared" ref="AQ44:BA44" si="10">+AP44</f>
        <v>206454</v>
      </c>
      <c r="AR44" s="15">
        <f t="shared" si="10"/>
        <v>206454</v>
      </c>
      <c r="AS44" s="15">
        <f t="shared" si="10"/>
        <v>206454</v>
      </c>
      <c r="AT44" s="15">
        <f t="shared" si="10"/>
        <v>206454</v>
      </c>
      <c r="AU44" s="15">
        <f t="shared" si="10"/>
        <v>206454</v>
      </c>
      <c r="AV44" s="15">
        <f t="shared" si="10"/>
        <v>206454</v>
      </c>
      <c r="AW44" s="15">
        <f t="shared" si="10"/>
        <v>206454</v>
      </c>
      <c r="AX44" s="15">
        <f t="shared" si="10"/>
        <v>206454</v>
      </c>
      <c r="AY44" s="15">
        <f t="shared" si="10"/>
        <v>206454</v>
      </c>
      <c r="AZ44" s="15">
        <f t="shared" si="10"/>
        <v>206454</v>
      </c>
      <c r="BA44" s="15">
        <f t="shared" si="10"/>
        <v>206454</v>
      </c>
      <c r="BB44" s="15">
        <f>SUM(AO44:BA44)</f>
        <v>2683902</v>
      </c>
      <c r="BC44" s="15">
        <f>BB44/13</f>
        <v>206454</v>
      </c>
      <c r="BE44" s="5" t="s">
        <v>164</v>
      </c>
    </row>
    <row r="45" spans="1:57" x14ac:dyDescent="0.2">
      <c r="A45" s="13" t="s">
        <v>45</v>
      </c>
      <c r="B45" s="1">
        <f>B130</f>
        <v>1017362</v>
      </c>
      <c r="C45" s="1">
        <f t="shared" ref="C45:N45" si="11">C130</f>
        <v>831653</v>
      </c>
      <c r="D45" s="1">
        <f t="shared" si="11"/>
        <v>839270</v>
      </c>
      <c r="E45" s="1">
        <f t="shared" si="11"/>
        <v>849797</v>
      </c>
      <c r="F45" s="1">
        <f t="shared" si="11"/>
        <v>845906</v>
      </c>
      <c r="G45" s="1">
        <f t="shared" si="11"/>
        <v>848124</v>
      </c>
      <c r="H45" s="1">
        <f t="shared" si="11"/>
        <v>836174</v>
      </c>
      <c r="I45" s="1">
        <f t="shared" si="11"/>
        <v>1079059</v>
      </c>
      <c r="J45" s="1">
        <f t="shared" si="11"/>
        <v>1477496</v>
      </c>
      <c r="K45" s="1">
        <f t="shared" si="11"/>
        <v>1837563</v>
      </c>
      <c r="L45" s="1">
        <f t="shared" si="11"/>
        <v>2231974</v>
      </c>
      <c r="M45" s="1">
        <f t="shared" si="11"/>
        <v>2485674</v>
      </c>
      <c r="N45" s="1">
        <f t="shared" si="11"/>
        <v>3948593</v>
      </c>
      <c r="O45" s="1">
        <f>SUM(B45:N45)</f>
        <v>19128645</v>
      </c>
      <c r="P45" s="1">
        <f>O45/13</f>
        <v>1471434.2307692308</v>
      </c>
      <c r="Q45" s="5" t="s">
        <v>131</v>
      </c>
      <c r="V45" s="5" t="s">
        <v>173</v>
      </c>
      <c r="X45" s="15">
        <f>N45</f>
        <v>3948593</v>
      </c>
      <c r="Y45" s="15">
        <v>1953367</v>
      </c>
      <c r="Z45" s="15">
        <v>1866804.7573692172</v>
      </c>
      <c r="AA45" s="15">
        <v>1784496.78296856</v>
      </c>
      <c r="AB45" s="15">
        <v>1706401.1558894853</v>
      </c>
      <c r="AC45" s="15">
        <v>1632510.1145494392</v>
      </c>
      <c r="AD45" s="15">
        <v>1562814.9031322747</v>
      </c>
      <c r="AE45" s="15">
        <v>1496475.7542890324</v>
      </c>
      <c r="AF45" s="15">
        <v>1432137.1727607441</v>
      </c>
      <c r="AG45" s="15">
        <v>1366269.5868326202</v>
      </c>
      <c r="AH45" s="15">
        <v>1298872.0022710669</v>
      </c>
      <c r="AI45" s="15">
        <v>1229944.413309678</v>
      </c>
      <c r="AJ45" s="15">
        <v>1189881.8257148594</v>
      </c>
      <c r="AK45" s="15">
        <f t="shared" ref="AK45" si="12">+SUM(X45:AJ45)</f>
        <v>22468568.469086979</v>
      </c>
      <c r="AL45" s="15">
        <f t="shared" ref="AL45" si="13">+AK45/13</f>
        <v>1728351.4206989983</v>
      </c>
      <c r="AO45" s="15">
        <f t="shared" ref="AO45" si="14">+AJ45</f>
        <v>1189881.8257148594</v>
      </c>
      <c r="AP45" s="5">
        <v>1178133.3402386212</v>
      </c>
      <c r="AQ45" s="5">
        <v>1166384.8547623828</v>
      </c>
      <c r="AR45" s="5">
        <v>1154636.3692861446</v>
      </c>
      <c r="AS45" s="5">
        <v>1142887.8838099064</v>
      </c>
      <c r="AT45" s="5">
        <v>1131139.398333668</v>
      </c>
      <c r="AU45" s="5">
        <v>1119390.9128574298</v>
      </c>
      <c r="AV45" s="5">
        <v>1107642.4273811914</v>
      </c>
      <c r="AW45" s="5">
        <v>1095893.9419049532</v>
      </c>
      <c r="AX45" s="5">
        <v>1084145.4564287148</v>
      </c>
      <c r="AY45" s="5">
        <v>1072396.9709524766</v>
      </c>
      <c r="AZ45" s="5">
        <v>1060648.4854762384</v>
      </c>
      <c r="BA45" s="5">
        <v>1048900</v>
      </c>
      <c r="BB45" s="15">
        <f t="shared" ref="BB45" si="15">SUM(AO45:BA45)</f>
        <v>14552081.867146587</v>
      </c>
      <c r="BC45" s="15">
        <f t="shared" ref="BC45" si="16">BB45/13</f>
        <v>1119390.9128574298</v>
      </c>
      <c r="BE45" s="5" t="s">
        <v>183</v>
      </c>
    </row>
    <row r="46" spans="1:57" x14ac:dyDescent="0.2">
      <c r="A46" s="20" t="s">
        <v>119</v>
      </c>
      <c r="B46" s="1">
        <f>B125</f>
        <v>0</v>
      </c>
      <c r="C46" s="1">
        <f t="shared" ref="C46:N46" si="17">C125</f>
        <v>701</v>
      </c>
      <c r="D46" s="1">
        <f t="shared" si="17"/>
        <v>7198</v>
      </c>
      <c r="E46" s="1">
        <f t="shared" si="17"/>
        <v>20113</v>
      </c>
      <c r="F46" s="1">
        <f t="shared" si="17"/>
        <v>25354</v>
      </c>
      <c r="G46" s="1">
        <f t="shared" si="17"/>
        <v>28441</v>
      </c>
      <c r="H46" s="1">
        <f t="shared" si="17"/>
        <v>34488</v>
      </c>
      <c r="I46" s="1">
        <f t="shared" si="17"/>
        <v>39304</v>
      </c>
      <c r="J46" s="1">
        <f t="shared" si="17"/>
        <v>66450</v>
      </c>
      <c r="K46" s="1">
        <f t="shared" si="17"/>
        <v>74394</v>
      </c>
      <c r="L46" s="1">
        <f t="shared" si="17"/>
        <v>108375</v>
      </c>
      <c r="M46" s="1">
        <f t="shared" si="17"/>
        <v>135703</v>
      </c>
      <c r="N46" s="1">
        <f t="shared" si="17"/>
        <v>289795</v>
      </c>
      <c r="O46" s="1">
        <f>SUM(B46:N46)</f>
        <v>830316</v>
      </c>
      <c r="P46" s="1">
        <f>O46/13</f>
        <v>63870.461538461539</v>
      </c>
      <c r="V46" s="5" t="s">
        <v>174</v>
      </c>
      <c r="X46" s="15">
        <f>N46</f>
        <v>289795</v>
      </c>
      <c r="Y46" s="15">
        <v>289795</v>
      </c>
      <c r="Z46" s="15">
        <v>513771</v>
      </c>
      <c r="AA46" s="15">
        <v>961723</v>
      </c>
      <c r="AB46" s="15">
        <v>1409675</v>
      </c>
      <c r="AC46" s="15">
        <v>2081603</v>
      </c>
      <c r="AD46" s="15">
        <v>2529555</v>
      </c>
      <c r="AE46" s="15">
        <v>2653535</v>
      </c>
      <c r="AF46" s="15">
        <v>2703535</v>
      </c>
      <c r="AG46" s="15">
        <v>2753535</v>
      </c>
      <c r="AH46" s="15">
        <v>2753535</v>
      </c>
      <c r="AI46" s="15">
        <v>2753535</v>
      </c>
      <c r="AJ46" s="15">
        <v>2753535</v>
      </c>
      <c r="AK46" s="15">
        <f t="shared" ref="AK46" si="18">+SUM(X46:AJ46)</f>
        <v>24447127</v>
      </c>
      <c r="AL46" s="15">
        <f t="shared" ref="AL46" si="19">+AK46/13</f>
        <v>1880548.2307692308</v>
      </c>
      <c r="AO46" s="15">
        <f>+AJ46</f>
        <v>2753535</v>
      </c>
      <c r="AP46" s="5">
        <v>2712473</v>
      </c>
      <c r="AQ46" s="5">
        <v>2671411</v>
      </c>
      <c r="AR46" s="5">
        <v>2630349</v>
      </c>
      <c r="AS46" s="5">
        <v>2589287</v>
      </c>
      <c r="AT46" s="5">
        <v>2548225</v>
      </c>
      <c r="AU46" s="5">
        <v>2507163</v>
      </c>
      <c r="AV46" s="5">
        <v>2466101</v>
      </c>
      <c r="AW46" s="5">
        <v>2425039</v>
      </c>
      <c r="AX46" s="5">
        <v>2383977</v>
      </c>
      <c r="AY46" s="5">
        <v>2342915</v>
      </c>
      <c r="AZ46" s="5">
        <v>2301853</v>
      </c>
      <c r="BA46" s="5">
        <v>2260791</v>
      </c>
      <c r="BB46" s="15">
        <f t="shared" ref="BB46" si="20">SUM(AO46:BA46)</f>
        <v>32593119</v>
      </c>
      <c r="BC46" s="15">
        <f>BB46/13</f>
        <v>2507163</v>
      </c>
      <c r="BE46" s="5" t="s">
        <v>185</v>
      </c>
    </row>
    <row r="47" spans="1:57" x14ac:dyDescent="0.2">
      <c r="B47" s="16" t="s">
        <v>27</v>
      </c>
      <c r="C47" s="16" t="s">
        <v>27</v>
      </c>
      <c r="D47" s="16" t="s">
        <v>27</v>
      </c>
      <c r="E47" s="16" t="s">
        <v>27</v>
      </c>
      <c r="F47" s="16" t="s">
        <v>27</v>
      </c>
      <c r="G47" s="16" t="s">
        <v>27</v>
      </c>
      <c r="H47" s="16" t="s">
        <v>27</v>
      </c>
      <c r="I47" s="16" t="s">
        <v>27</v>
      </c>
      <c r="J47" s="16" t="s">
        <v>27</v>
      </c>
      <c r="K47" s="16" t="s">
        <v>27</v>
      </c>
      <c r="L47" s="16" t="s">
        <v>27</v>
      </c>
      <c r="M47" s="16" t="s">
        <v>27</v>
      </c>
      <c r="N47" s="16" t="s">
        <v>27</v>
      </c>
      <c r="O47" s="16" t="s">
        <v>27</v>
      </c>
      <c r="P47" s="16" t="s">
        <v>27</v>
      </c>
    </row>
    <row r="48" spans="1:57" x14ac:dyDescent="0.2">
      <c r="A48" s="13" t="s">
        <v>48</v>
      </c>
      <c r="B48" s="1">
        <v>17688029</v>
      </c>
      <c r="C48" s="1">
        <v>17234377</v>
      </c>
      <c r="D48" s="1">
        <v>17126951</v>
      </c>
      <c r="E48" s="1">
        <v>17014796</v>
      </c>
      <c r="F48" s="1">
        <v>16939953</v>
      </c>
      <c r="G48" s="1">
        <v>16937892</v>
      </c>
      <c r="H48" s="1">
        <v>16629411</v>
      </c>
      <c r="I48" s="1">
        <v>16744834</v>
      </c>
      <c r="J48" s="1">
        <v>17188722</v>
      </c>
      <c r="K48" s="1">
        <v>17434100</v>
      </c>
      <c r="L48" s="1">
        <v>17826785</v>
      </c>
      <c r="M48" s="1">
        <v>18048157</v>
      </c>
      <c r="N48" s="1">
        <v>18047561</v>
      </c>
      <c r="O48" s="1">
        <v>224861568</v>
      </c>
      <c r="P48" s="1">
        <v>17297044</v>
      </c>
    </row>
    <row r="49" spans="1:16" x14ac:dyDescent="0.2">
      <c r="B49" s="16" t="s">
        <v>27</v>
      </c>
      <c r="C49" s="16" t="s">
        <v>27</v>
      </c>
      <c r="D49" s="16" t="s">
        <v>27</v>
      </c>
      <c r="E49" s="16" t="s">
        <v>27</v>
      </c>
      <c r="F49" s="16" t="s">
        <v>27</v>
      </c>
      <c r="G49" s="16" t="s">
        <v>27</v>
      </c>
      <c r="H49" s="16" t="s">
        <v>27</v>
      </c>
      <c r="I49" s="16" t="s">
        <v>27</v>
      </c>
      <c r="J49" s="16" t="s">
        <v>27</v>
      </c>
      <c r="K49" s="16" t="s">
        <v>27</v>
      </c>
      <c r="L49" s="16" t="s">
        <v>27</v>
      </c>
      <c r="M49" s="16" t="s">
        <v>27</v>
      </c>
      <c r="N49" s="16" t="s">
        <v>27</v>
      </c>
      <c r="O49" s="16" t="s">
        <v>27</v>
      </c>
      <c r="P49" s="16" t="s">
        <v>27</v>
      </c>
    </row>
    <row r="51" spans="1:16" ht="15.75" x14ac:dyDescent="0.25">
      <c r="A51" s="22" t="s">
        <v>49</v>
      </c>
      <c r="B51" s="23">
        <v>241480876</v>
      </c>
      <c r="C51" s="23">
        <v>244796017</v>
      </c>
      <c r="D51" s="23">
        <v>246563151</v>
      </c>
      <c r="E51" s="23">
        <v>247871832</v>
      </c>
      <c r="F51" s="23">
        <v>249799664</v>
      </c>
      <c r="G51" s="23">
        <v>251606385</v>
      </c>
      <c r="H51" s="23">
        <v>250928759</v>
      </c>
      <c r="I51" s="23">
        <v>252031116</v>
      </c>
      <c r="J51" s="23">
        <v>253528737</v>
      </c>
      <c r="K51" s="23">
        <v>254247249</v>
      </c>
      <c r="L51" s="23">
        <v>255446225</v>
      </c>
      <c r="M51" s="23">
        <v>254123461</v>
      </c>
      <c r="N51" s="23">
        <v>257140667</v>
      </c>
      <c r="O51" s="23">
        <v>3259564138</v>
      </c>
      <c r="P51" s="23">
        <v>250735703</v>
      </c>
    </row>
    <row r="52" spans="1:16" x14ac:dyDescent="0.2">
      <c r="B52" s="16" t="s">
        <v>50</v>
      </c>
      <c r="C52" s="16" t="s">
        <v>50</v>
      </c>
      <c r="D52" s="16" t="s">
        <v>50</v>
      </c>
      <c r="E52" s="16" t="s">
        <v>50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  <c r="L52" s="16" t="s">
        <v>50</v>
      </c>
      <c r="M52" s="16" t="s">
        <v>50</v>
      </c>
      <c r="N52" s="16" t="s">
        <v>50</v>
      </c>
      <c r="O52" s="16" t="s">
        <v>50</v>
      </c>
      <c r="P52" s="16" t="s">
        <v>50</v>
      </c>
    </row>
    <row r="54" spans="1:16" x14ac:dyDescent="0.2">
      <c r="A54" s="13" t="s">
        <v>51</v>
      </c>
      <c r="P54" s="24" t="s">
        <v>52</v>
      </c>
    </row>
    <row r="55" spans="1:16" x14ac:dyDescent="0.2">
      <c r="A55" s="13" t="s">
        <v>53</v>
      </c>
      <c r="P55" s="24" t="s">
        <v>54</v>
      </c>
    </row>
    <row r="56" spans="1:16" ht="22.5" x14ac:dyDescent="0.45">
      <c r="A56" s="4" t="s">
        <v>85</v>
      </c>
    </row>
    <row r="57" spans="1:16" ht="19.5" x14ac:dyDescent="0.4">
      <c r="A57" s="6" t="s">
        <v>1</v>
      </c>
    </row>
    <row r="58" spans="1:16" ht="19.5" x14ac:dyDescent="0.4">
      <c r="A58" s="6" t="s">
        <v>2</v>
      </c>
    </row>
    <row r="59" spans="1:16" ht="19.5" x14ac:dyDescent="0.4">
      <c r="A59" s="6" t="s">
        <v>3</v>
      </c>
    </row>
    <row r="61" spans="1:16" x14ac:dyDescent="0.2">
      <c r="B61" s="7" t="s">
        <v>4</v>
      </c>
      <c r="C61" s="7" t="s">
        <v>5</v>
      </c>
      <c r="D61" s="7" t="s">
        <v>6</v>
      </c>
      <c r="E61" s="7" t="s">
        <v>7</v>
      </c>
      <c r="F61" s="7" t="s">
        <v>8</v>
      </c>
      <c r="G61" s="7" t="s">
        <v>9</v>
      </c>
      <c r="H61" s="7" t="s">
        <v>10</v>
      </c>
      <c r="I61" s="7" t="s">
        <v>11</v>
      </c>
      <c r="J61" s="7" t="s">
        <v>12</v>
      </c>
      <c r="K61" s="7" t="s">
        <v>13</v>
      </c>
      <c r="L61" s="7" t="s">
        <v>14</v>
      </c>
      <c r="M61" s="7" t="s">
        <v>15</v>
      </c>
      <c r="N61" s="7" t="s">
        <v>4</v>
      </c>
    </row>
    <row r="62" spans="1:16" x14ac:dyDescent="0.2">
      <c r="B62" s="8" t="s">
        <v>16</v>
      </c>
      <c r="C62" s="8" t="s">
        <v>17</v>
      </c>
      <c r="D62" s="8" t="s">
        <v>17</v>
      </c>
      <c r="E62" s="8" t="s">
        <v>17</v>
      </c>
      <c r="F62" s="8" t="s">
        <v>17</v>
      </c>
      <c r="G62" s="8" t="s">
        <v>17</v>
      </c>
      <c r="H62" s="8" t="s">
        <v>17</v>
      </c>
      <c r="I62" s="8" t="s">
        <v>17</v>
      </c>
      <c r="J62" s="8" t="s">
        <v>17</v>
      </c>
      <c r="K62" s="8" t="s">
        <v>17</v>
      </c>
      <c r="L62" s="8" t="s">
        <v>17</v>
      </c>
      <c r="M62" s="8" t="s">
        <v>17</v>
      </c>
      <c r="N62" s="8" t="s">
        <v>17</v>
      </c>
      <c r="O62" s="9" t="s">
        <v>18</v>
      </c>
      <c r="P62" s="9" t="s">
        <v>19</v>
      </c>
    </row>
    <row r="64" spans="1:16" ht="22.5" x14ac:dyDescent="0.45">
      <c r="A64" s="4" t="s">
        <v>55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57" x14ac:dyDescent="0.2">
      <c r="X65" s="17"/>
    </row>
    <row r="66" spans="1:57" x14ac:dyDescent="0.2">
      <c r="A66" s="11" t="s">
        <v>56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1:57" x14ac:dyDescent="0.2">
      <c r="A67" s="13" t="s">
        <v>57</v>
      </c>
      <c r="B67" s="14">
        <v>149904166</v>
      </c>
      <c r="C67" s="14">
        <v>151501905</v>
      </c>
      <c r="D67" s="14">
        <v>152950052</v>
      </c>
      <c r="E67" s="14">
        <v>153724865</v>
      </c>
      <c r="F67" s="14">
        <v>155061263</v>
      </c>
      <c r="G67" s="14">
        <v>156009773</v>
      </c>
      <c r="H67" s="14">
        <v>156534049</v>
      </c>
      <c r="I67" s="14">
        <v>157275451</v>
      </c>
      <c r="J67" s="14">
        <v>158102710</v>
      </c>
      <c r="K67" s="14">
        <v>158643580</v>
      </c>
      <c r="L67" s="14">
        <v>159760163</v>
      </c>
      <c r="M67" s="14">
        <v>160794268</v>
      </c>
      <c r="N67" s="14">
        <v>161743890</v>
      </c>
      <c r="O67" s="14">
        <v>2032006133</v>
      </c>
      <c r="P67" s="14">
        <v>156308164</v>
      </c>
      <c r="Q67" s="5" t="s">
        <v>133</v>
      </c>
      <c r="V67" s="39"/>
      <c r="W67" s="15"/>
      <c r="X67" s="15"/>
    </row>
    <row r="68" spans="1:57" x14ac:dyDescent="0.2">
      <c r="B68" s="16" t="s">
        <v>27</v>
      </c>
      <c r="C68" s="16" t="s">
        <v>27</v>
      </c>
      <c r="D68" s="16" t="s">
        <v>27</v>
      </c>
      <c r="E68" s="16" t="s">
        <v>27</v>
      </c>
      <c r="F68" s="16" t="s">
        <v>27</v>
      </c>
      <c r="G68" s="16" t="s">
        <v>27</v>
      </c>
      <c r="H68" s="16" t="s">
        <v>27</v>
      </c>
      <c r="I68" s="16" t="s">
        <v>27</v>
      </c>
      <c r="J68" s="16" t="s">
        <v>27</v>
      </c>
      <c r="K68" s="16" t="s">
        <v>27</v>
      </c>
      <c r="L68" s="16" t="s">
        <v>27</v>
      </c>
      <c r="M68" s="16" t="s">
        <v>27</v>
      </c>
      <c r="N68" s="16" t="s">
        <v>27</v>
      </c>
      <c r="O68" s="16" t="s">
        <v>27</v>
      </c>
      <c r="P68" s="16" t="s">
        <v>27</v>
      </c>
    </row>
    <row r="69" spans="1:57" x14ac:dyDescent="0.2">
      <c r="A69" s="13" t="s">
        <v>58</v>
      </c>
      <c r="B69" s="1">
        <v>149904166</v>
      </c>
      <c r="C69" s="1">
        <v>151501905</v>
      </c>
      <c r="D69" s="1">
        <v>152950052</v>
      </c>
      <c r="E69" s="1">
        <v>153724865</v>
      </c>
      <c r="F69" s="1">
        <v>155061263</v>
      </c>
      <c r="G69" s="1">
        <v>156009773</v>
      </c>
      <c r="H69" s="1">
        <v>156534049</v>
      </c>
      <c r="I69" s="1">
        <v>157275451</v>
      </c>
      <c r="J69" s="1">
        <v>158102710</v>
      </c>
      <c r="K69" s="1">
        <v>158643580</v>
      </c>
      <c r="L69" s="1">
        <v>159760163</v>
      </c>
      <c r="M69" s="1">
        <v>160794268</v>
      </c>
      <c r="N69" s="1">
        <v>161743890</v>
      </c>
      <c r="O69" s="1">
        <v>2032006133</v>
      </c>
      <c r="P69" s="1">
        <v>156308164</v>
      </c>
    </row>
    <row r="70" spans="1:57" x14ac:dyDescent="0.2">
      <c r="B70" s="16" t="s">
        <v>27</v>
      </c>
      <c r="C70" s="16" t="s">
        <v>27</v>
      </c>
      <c r="D70" s="16" t="s">
        <v>27</v>
      </c>
      <c r="E70" s="16" t="s">
        <v>27</v>
      </c>
      <c r="F70" s="16" t="s">
        <v>27</v>
      </c>
      <c r="G70" s="16" t="s">
        <v>27</v>
      </c>
      <c r="H70" s="16" t="s">
        <v>27</v>
      </c>
      <c r="I70" s="16" t="s">
        <v>27</v>
      </c>
      <c r="J70" s="16" t="s">
        <v>27</v>
      </c>
      <c r="K70" s="16" t="s">
        <v>27</v>
      </c>
      <c r="L70" s="16" t="s">
        <v>27</v>
      </c>
      <c r="M70" s="16" t="s">
        <v>27</v>
      </c>
      <c r="N70" s="16" t="s">
        <v>27</v>
      </c>
      <c r="O70" s="16" t="s">
        <v>27</v>
      </c>
      <c r="P70" s="16" t="s">
        <v>27</v>
      </c>
    </row>
    <row r="71" spans="1:57" x14ac:dyDescent="0.2">
      <c r="A71" s="11" t="s">
        <v>59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X71" s="15"/>
      <c r="Y71" s="15"/>
      <c r="Z71" s="15"/>
      <c r="AA71" s="15"/>
    </row>
    <row r="72" spans="1:57" x14ac:dyDescent="0.2">
      <c r="A72" s="13" t="s">
        <v>60</v>
      </c>
      <c r="B72" s="1">
        <v>1379073</v>
      </c>
      <c r="C72" s="1">
        <v>1341203</v>
      </c>
      <c r="D72" s="1">
        <v>1303219</v>
      </c>
      <c r="E72" s="1">
        <v>1041674</v>
      </c>
      <c r="F72" s="1">
        <v>1012400</v>
      </c>
      <c r="G72" s="1">
        <v>983036</v>
      </c>
      <c r="H72" s="1">
        <v>953584</v>
      </c>
      <c r="I72" s="1">
        <v>924042</v>
      </c>
      <c r="J72" s="1">
        <v>893412</v>
      </c>
      <c r="K72" s="1">
        <v>862689</v>
      </c>
      <c r="L72" s="1">
        <v>831874</v>
      </c>
      <c r="M72" s="1">
        <v>800964</v>
      </c>
      <c r="N72" s="1">
        <v>769961</v>
      </c>
      <c r="O72" s="1">
        <v>13097131</v>
      </c>
      <c r="P72" s="1">
        <v>1007472</v>
      </c>
      <c r="Q72" s="5" t="s">
        <v>133</v>
      </c>
      <c r="V72" s="5" t="s">
        <v>187</v>
      </c>
      <c r="X72" s="15">
        <f>N72</f>
        <v>769961</v>
      </c>
      <c r="Y72" s="5">
        <v>738864.13000000012</v>
      </c>
      <c r="Z72" s="5">
        <v>984196.74</v>
      </c>
      <c r="AA72" s="5">
        <v>952911.06</v>
      </c>
      <c r="AB72" s="5">
        <v>921530.1</v>
      </c>
      <c r="AC72" s="5">
        <v>890053.96</v>
      </c>
      <c r="AD72" s="5">
        <v>858482.33000000007</v>
      </c>
      <c r="AE72" s="5">
        <v>826814.94000000006</v>
      </c>
      <c r="AF72" s="5">
        <v>794023.24</v>
      </c>
      <c r="AG72" s="5">
        <v>761132.07000000007</v>
      </c>
      <c r="AH72" s="5">
        <v>728141.14</v>
      </c>
      <c r="AI72" s="5">
        <v>695050.13</v>
      </c>
      <c r="AJ72" s="5">
        <v>661858.74</v>
      </c>
      <c r="AK72" s="15">
        <f>SUM(X72:AJ72)</f>
        <v>10583019.580000002</v>
      </c>
      <c r="AL72" s="15">
        <f>AK72/13</f>
        <v>814078.4292307694</v>
      </c>
      <c r="AO72" s="19">
        <f>AJ72</f>
        <v>661858.74</v>
      </c>
      <c r="AP72" s="19">
        <v>629749.68000000005</v>
      </c>
      <c r="AQ72" s="19">
        <v>596356.62</v>
      </c>
      <c r="AR72" s="19">
        <v>562862.28</v>
      </c>
      <c r="AS72" s="19">
        <v>529266.34</v>
      </c>
      <c r="AT72" s="19">
        <v>495568.48</v>
      </c>
      <c r="AU72" s="19">
        <v>461768.42</v>
      </c>
      <c r="AV72" s="19">
        <v>427865.82</v>
      </c>
      <c r="AW72" s="19">
        <v>392801.28000000003</v>
      </c>
      <c r="AX72" s="19">
        <v>357630.39</v>
      </c>
      <c r="AY72" s="19">
        <v>322352.8</v>
      </c>
      <c r="AZ72" s="19">
        <v>286968.21000000002</v>
      </c>
      <c r="BA72" s="19">
        <v>251476.28</v>
      </c>
      <c r="BB72" s="19">
        <f>SUM(AO72:BA72)</f>
        <v>5976525.3399999999</v>
      </c>
      <c r="BC72" s="19">
        <f>BB72/13</f>
        <v>459732.71846153843</v>
      </c>
      <c r="BE72" s="5" t="s">
        <v>187</v>
      </c>
    </row>
    <row r="73" spans="1:57" x14ac:dyDescent="0.2">
      <c r="A73" s="13" t="s">
        <v>93</v>
      </c>
      <c r="B73" s="1">
        <v>662950</v>
      </c>
      <c r="C73" s="1">
        <v>663450</v>
      </c>
      <c r="D73" s="1">
        <v>663950</v>
      </c>
      <c r="E73" s="1">
        <v>664450</v>
      </c>
      <c r="F73" s="1">
        <v>664950</v>
      </c>
      <c r="G73" s="1">
        <v>665450</v>
      </c>
      <c r="H73" s="1">
        <v>665950</v>
      </c>
      <c r="I73" s="1">
        <v>666450</v>
      </c>
      <c r="J73" s="1">
        <v>666950</v>
      </c>
      <c r="K73" s="1">
        <v>667450</v>
      </c>
      <c r="L73" s="1">
        <v>667950</v>
      </c>
      <c r="M73" s="1">
        <v>668450</v>
      </c>
      <c r="N73" s="1">
        <v>655534</v>
      </c>
      <c r="O73" s="1">
        <v>8643936</v>
      </c>
      <c r="P73" s="1">
        <v>664918</v>
      </c>
      <c r="Q73" s="5" t="s">
        <v>124</v>
      </c>
      <c r="V73" s="5" t="s">
        <v>199</v>
      </c>
      <c r="X73" s="15">
        <f t="shared" ref="X73:X96" si="21">N73</f>
        <v>655534</v>
      </c>
      <c r="Y73" s="15">
        <v>656367</v>
      </c>
      <c r="Z73" s="15">
        <v>657200</v>
      </c>
      <c r="AA73" s="15">
        <v>658033</v>
      </c>
      <c r="AB73" s="15">
        <v>658866</v>
      </c>
      <c r="AC73" s="15">
        <v>659699</v>
      </c>
      <c r="AD73" s="15">
        <v>660532</v>
      </c>
      <c r="AE73" s="15">
        <v>661365</v>
      </c>
      <c r="AF73" s="15">
        <v>662198</v>
      </c>
      <c r="AG73" s="15">
        <v>663031</v>
      </c>
      <c r="AH73" s="15">
        <v>663864</v>
      </c>
      <c r="AI73" s="15">
        <v>664697</v>
      </c>
      <c r="AJ73" s="15">
        <v>665530</v>
      </c>
      <c r="AK73" s="15">
        <f>SUM(X73:AJ73)</f>
        <v>8586916</v>
      </c>
      <c r="AL73" s="15">
        <f>AK73/13</f>
        <v>660532</v>
      </c>
      <c r="AO73" s="19">
        <f>AJ73</f>
        <v>665530</v>
      </c>
      <c r="AP73" s="19">
        <v>666363</v>
      </c>
      <c r="AQ73" s="19">
        <v>667196</v>
      </c>
      <c r="AR73" s="19">
        <v>668029</v>
      </c>
      <c r="AS73" s="19">
        <v>668862</v>
      </c>
      <c r="AT73" s="19">
        <v>669695</v>
      </c>
      <c r="AU73" s="19">
        <v>570528</v>
      </c>
      <c r="AV73" s="19">
        <v>571361</v>
      </c>
      <c r="AW73" s="19">
        <v>572194</v>
      </c>
      <c r="AX73" s="19">
        <v>573027</v>
      </c>
      <c r="AY73" s="19">
        <v>573860</v>
      </c>
      <c r="AZ73" s="19">
        <v>574693</v>
      </c>
      <c r="BA73" s="19">
        <v>575526</v>
      </c>
      <c r="BB73" s="19">
        <f>SUM(AO73:BA73)</f>
        <v>8016864</v>
      </c>
      <c r="BC73" s="19">
        <f>BB73/13</f>
        <v>616681.84615384613</v>
      </c>
      <c r="BE73" s="5" t="s">
        <v>188</v>
      </c>
    </row>
    <row r="74" spans="1:57" s="19" customFormat="1" x14ac:dyDescent="0.2">
      <c r="A74" s="26" t="s">
        <v>94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R74" s="19" t="s">
        <v>125</v>
      </c>
      <c r="S74" s="19">
        <f>+P73+P75</f>
        <v>680052</v>
      </c>
      <c r="T74" s="19" t="s">
        <v>133</v>
      </c>
      <c r="AK74" s="15"/>
      <c r="AL74" s="15"/>
      <c r="AO74" s="19">
        <f>AJ74</f>
        <v>0</v>
      </c>
      <c r="BC74" s="27"/>
    </row>
    <row r="75" spans="1:57" x14ac:dyDescent="0.2">
      <c r="A75" s="13" t="s">
        <v>95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13747</v>
      </c>
      <c r="I75" s="1">
        <v>9621</v>
      </c>
      <c r="J75" s="1">
        <v>20095</v>
      </c>
      <c r="K75" s="1">
        <v>30484</v>
      </c>
      <c r="L75" s="1">
        <v>41055</v>
      </c>
      <c r="M75" s="1">
        <v>37117</v>
      </c>
      <c r="N75" s="1">
        <v>44618</v>
      </c>
      <c r="O75" s="1">
        <v>196736</v>
      </c>
      <c r="P75" s="1">
        <v>15134</v>
      </c>
      <c r="Q75" s="5" t="s">
        <v>124</v>
      </c>
      <c r="V75" s="5" t="s">
        <v>199</v>
      </c>
      <c r="X75" s="15">
        <f t="shared" si="21"/>
        <v>44618</v>
      </c>
      <c r="Y75" s="15">
        <v>44118</v>
      </c>
      <c r="Z75" s="5">
        <v>43618</v>
      </c>
      <c r="AA75" s="5">
        <v>43118</v>
      </c>
      <c r="AB75" s="5">
        <v>42618</v>
      </c>
      <c r="AC75" s="5">
        <v>42118</v>
      </c>
      <c r="AD75" s="5">
        <v>41618</v>
      </c>
      <c r="AE75" s="5">
        <v>41118</v>
      </c>
      <c r="AF75" s="5">
        <v>40618</v>
      </c>
      <c r="AG75" s="5">
        <v>40118</v>
      </c>
      <c r="AH75" s="5">
        <v>39618</v>
      </c>
      <c r="AI75" s="5">
        <v>39118</v>
      </c>
      <c r="AJ75" s="5">
        <v>38618</v>
      </c>
      <c r="AK75" s="15">
        <f>SUM(X75:AJ75)</f>
        <v>541034</v>
      </c>
      <c r="AL75" s="15">
        <f>AK75/13</f>
        <v>41618</v>
      </c>
      <c r="AO75" s="19">
        <f>AJ75</f>
        <v>38618</v>
      </c>
      <c r="AP75" s="5">
        <v>38118</v>
      </c>
      <c r="AQ75" s="5">
        <v>37618</v>
      </c>
      <c r="AR75" s="5">
        <v>37118</v>
      </c>
      <c r="AS75" s="5">
        <v>36618</v>
      </c>
      <c r="AT75" s="5">
        <v>36118</v>
      </c>
      <c r="AU75" s="5">
        <v>35618</v>
      </c>
      <c r="AV75" s="5">
        <v>35118</v>
      </c>
      <c r="AW75" s="5">
        <v>34618</v>
      </c>
      <c r="AX75" s="5">
        <v>34118</v>
      </c>
      <c r="AY75" s="5">
        <v>33618</v>
      </c>
      <c r="AZ75" s="5">
        <v>33118</v>
      </c>
      <c r="BA75" s="5">
        <v>32618</v>
      </c>
      <c r="BB75" s="15">
        <f>SUM(AO75:BA75)</f>
        <v>463034</v>
      </c>
      <c r="BC75" s="15">
        <f>BB75/13</f>
        <v>35618</v>
      </c>
      <c r="BE75" s="5" t="s">
        <v>188</v>
      </c>
    </row>
    <row r="76" spans="1:57" x14ac:dyDescent="0.2">
      <c r="A76" s="13" t="s">
        <v>96</v>
      </c>
      <c r="X76" s="15"/>
    </row>
    <row r="77" spans="1:57" s="19" customFormat="1" x14ac:dyDescent="0.2">
      <c r="A77" s="26" t="s">
        <v>61</v>
      </c>
      <c r="B77" s="28">
        <v>12057854</v>
      </c>
      <c r="C77" s="28">
        <v>12057854</v>
      </c>
      <c r="D77" s="28">
        <v>12057854</v>
      </c>
      <c r="E77" s="28">
        <v>12057854</v>
      </c>
      <c r="F77" s="28">
        <v>12057854</v>
      </c>
      <c r="G77" s="28">
        <v>12057854</v>
      </c>
      <c r="H77" s="28">
        <v>12057854</v>
      </c>
      <c r="I77" s="28">
        <v>12057854</v>
      </c>
      <c r="J77" s="28">
        <v>12057854</v>
      </c>
      <c r="K77" s="28">
        <v>12057854</v>
      </c>
      <c r="L77" s="28">
        <v>12057854</v>
      </c>
      <c r="M77" s="28">
        <v>12057854</v>
      </c>
      <c r="N77" s="28">
        <v>12057854</v>
      </c>
      <c r="O77" s="28">
        <v>156752106</v>
      </c>
      <c r="P77" s="28">
        <v>12057854</v>
      </c>
      <c r="Q77" s="19" t="s">
        <v>133</v>
      </c>
      <c r="V77" s="19" t="s">
        <v>198</v>
      </c>
      <c r="X77" s="19">
        <f t="shared" si="21"/>
        <v>12057854</v>
      </c>
      <c r="Y77" s="19">
        <v>12408238.34</v>
      </c>
      <c r="Z77" s="19">
        <v>12423008.34</v>
      </c>
      <c r="AA77" s="19">
        <v>12437779.34</v>
      </c>
      <c r="AB77" s="19">
        <v>12204899.34</v>
      </c>
      <c r="AC77" s="19">
        <v>12219669.34</v>
      </c>
      <c r="AD77" s="19">
        <v>12234439.34</v>
      </c>
      <c r="AE77" s="19">
        <v>12001559.34</v>
      </c>
      <c r="AF77" s="19">
        <v>12016329.34</v>
      </c>
      <c r="AG77" s="19">
        <v>12028169.34</v>
      </c>
      <c r="AH77" s="19">
        <v>12028314.34</v>
      </c>
      <c r="AI77" s="19">
        <v>12043084.34</v>
      </c>
      <c r="AJ77" s="19">
        <v>12057854</v>
      </c>
      <c r="AK77" s="15">
        <f>SUM(X77:AJ77)</f>
        <v>158161198.74000001</v>
      </c>
      <c r="AL77" s="15">
        <f>AK77/13</f>
        <v>12166246.056923078</v>
      </c>
      <c r="AO77" s="19">
        <f>AJ77</f>
        <v>12057854</v>
      </c>
      <c r="AP77" s="19">
        <f>AO77</f>
        <v>12057854</v>
      </c>
      <c r="AQ77" s="19">
        <f>AP77</f>
        <v>12057854</v>
      </c>
      <c r="AR77" s="19">
        <f t="shared" ref="AR77:BA77" si="22">AQ77</f>
        <v>12057854</v>
      </c>
      <c r="AS77" s="19">
        <f t="shared" si="22"/>
        <v>12057854</v>
      </c>
      <c r="AT77" s="19">
        <f t="shared" si="22"/>
        <v>12057854</v>
      </c>
      <c r="AU77" s="19">
        <f t="shared" si="22"/>
        <v>12057854</v>
      </c>
      <c r="AV77" s="19">
        <f t="shared" si="22"/>
        <v>12057854</v>
      </c>
      <c r="AW77" s="19">
        <f t="shared" si="22"/>
        <v>12057854</v>
      </c>
      <c r="AX77" s="19">
        <f t="shared" si="22"/>
        <v>12057854</v>
      </c>
      <c r="AY77" s="19">
        <f t="shared" si="22"/>
        <v>12057854</v>
      </c>
      <c r="AZ77" s="19">
        <f t="shared" si="22"/>
        <v>12057854</v>
      </c>
      <c r="BA77" s="19">
        <f t="shared" si="22"/>
        <v>12057854</v>
      </c>
      <c r="BB77" s="19">
        <f>SUM(AO77:BA77)</f>
        <v>156752102</v>
      </c>
      <c r="BC77" s="19">
        <f>BB77/13</f>
        <v>12057854</v>
      </c>
      <c r="BE77" s="19" t="s">
        <v>192</v>
      </c>
    </row>
    <row r="78" spans="1:57" x14ac:dyDescent="0.2">
      <c r="A78" s="13" t="s">
        <v>62</v>
      </c>
      <c r="X78" s="15"/>
    </row>
    <row r="79" spans="1:57" x14ac:dyDescent="0.2">
      <c r="A79" s="13" t="s">
        <v>63</v>
      </c>
      <c r="B79" s="1">
        <v>309719</v>
      </c>
      <c r="C79" s="1">
        <v>329825</v>
      </c>
      <c r="D79" s="1">
        <v>349670</v>
      </c>
      <c r="E79" s="1">
        <v>366790</v>
      </c>
      <c r="F79" s="1">
        <v>74245</v>
      </c>
      <c r="G79" s="1">
        <v>88769</v>
      </c>
      <c r="H79" s="1">
        <v>100007</v>
      </c>
      <c r="I79" s="1">
        <v>112126</v>
      </c>
      <c r="J79" s="1">
        <v>125345</v>
      </c>
      <c r="K79" s="1">
        <v>242959</v>
      </c>
      <c r="L79" s="1">
        <v>0</v>
      </c>
      <c r="M79" s="1">
        <v>0</v>
      </c>
      <c r="N79" s="1">
        <v>0</v>
      </c>
      <c r="O79" s="1">
        <v>2099455</v>
      </c>
      <c r="P79" s="1">
        <v>161497</v>
      </c>
      <c r="Q79" s="5" t="s">
        <v>133</v>
      </c>
      <c r="X79" s="15">
        <f t="shared" si="21"/>
        <v>0</v>
      </c>
    </row>
    <row r="80" spans="1:57" x14ac:dyDescent="0.2">
      <c r="B80" s="16" t="s">
        <v>27</v>
      </c>
      <c r="C80" s="16" t="s">
        <v>27</v>
      </c>
      <c r="D80" s="16" t="s">
        <v>27</v>
      </c>
      <c r="E80" s="16" t="s">
        <v>27</v>
      </c>
      <c r="F80" s="16" t="s">
        <v>27</v>
      </c>
      <c r="G80" s="16" t="s">
        <v>27</v>
      </c>
      <c r="H80" s="16" t="s">
        <v>27</v>
      </c>
      <c r="I80" s="16" t="s">
        <v>27</v>
      </c>
      <c r="J80" s="16" t="s">
        <v>27</v>
      </c>
      <c r="K80" s="16" t="s">
        <v>27</v>
      </c>
      <c r="L80" s="16" t="s">
        <v>27</v>
      </c>
      <c r="M80" s="16" t="s">
        <v>27</v>
      </c>
      <c r="N80" s="16" t="s">
        <v>27</v>
      </c>
      <c r="O80" s="16" t="s">
        <v>27</v>
      </c>
      <c r="P80" s="16" t="s">
        <v>27</v>
      </c>
      <c r="V80" s="5" t="s">
        <v>155</v>
      </c>
      <c r="X80" s="15"/>
    </row>
    <row r="81" spans="1:57" x14ac:dyDescent="0.2">
      <c r="A81" s="13" t="s">
        <v>64</v>
      </c>
      <c r="B81" s="1">
        <v>14409596</v>
      </c>
      <c r="C81" s="1">
        <v>14392333</v>
      </c>
      <c r="D81" s="1">
        <v>14374693</v>
      </c>
      <c r="E81" s="1">
        <v>14130769</v>
      </c>
      <c r="F81" s="1">
        <v>13809449</v>
      </c>
      <c r="G81" s="1">
        <v>13795109</v>
      </c>
      <c r="H81" s="1">
        <v>13791142</v>
      </c>
      <c r="I81" s="1">
        <v>13770093</v>
      </c>
      <c r="J81" s="1">
        <v>13763656</v>
      </c>
      <c r="K81" s="1">
        <v>13861437</v>
      </c>
      <c r="L81" s="1">
        <v>13598733</v>
      </c>
      <c r="M81" s="1">
        <v>13564386</v>
      </c>
      <c r="N81" s="1">
        <v>13527968</v>
      </c>
      <c r="O81" s="1">
        <v>180789364</v>
      </c>
      <c r="P81" s="1">
        <v>13906874</v>
      </c>
      <c r="V81" s="2">
        <v>2022</v>
      </c>
      <c r="W81" s="2">
        <v>2023</v>
      </c>
      <c r="X81" s="15"/>
    </row>
    <row r="82" spans="1:57" x14ac:dyDescent="0.2">
      <c r="B82" s="16" t="s">
        <v>27</v>
      </c>
      <c r="C82" s="16" t="s">
        <v>27</v>
      </c>
      <c r="D82" s="16" t="s">
        <v>27</v>
      </c>
      <c r="E82" s="16" t="s">
        <v>27</v>
      </c>
      <c r="F82" s="16" t="s">
        <v>27</v>
      </c>
      <c r="G82" s="16" t="s">
        <v>27</v>
      </c>
      <c r="H82" s="16" t="s">
        <v>27</v>
      </c>
      <c r="I82" s="16" t="s">
        <v>27</v>
      </c>
      <c r="J82" s="16" t="s">
        <v>27</v>
      </c>
      <c r="K82" s="16" t="s">
        <v>27</v>
      </c>
      <c r="L82" s="16" t="s">
        <v>27</v>
      </c>
      <c r="M82" s="16" t="s">
        <v>27</v>
      </c>
      <c r="N82" s="16" t="s">
        <v>27</v>
      </c>
      <c r="O82" s="16" t="s">
        <v>27</v>
      </c>
      <c r="P82" s="16" t="s">
        <v>27</v>
      </c>
      <c r="V82" s="17">
        <v>1.0797000000000001</v>
      </c>
      <c r="W82" s="17">
        <v>1.1382463984471001</v>
      </c>
      <c r="X82" s="15"/>
    </row>
    <row r="83" spans="1:57" x14ac:dyDescent="0.2">
      <c r="A83" s="11" t="s">
        <v>65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X83" s="15"/>
    </row>
    <row r="84" spans="1:57" x14ac:dyDescent="0.2">
      <c r="A84" s="13" t="s">
        <v>66</v>
      </c>
      <c r="B84" s="1">
        <v>7853985</v>
      </c>
      <c r="C84" s="1">
        <v>7378856</v>
      </c>
      <c r="D84" s="1">
        <v>5599442</v>
      </c>
      <c r="E84" s="1">
        <v>6129357</v>
      </c>
      <c r="F84" s="1">
        <v>5501494</v>
      </c>
      <c r="G84" s="1">
        <v>5506970</v>
      </c>
      <c r="H84" s="1">
        <v>4380467</v>
      </c>
      <c r="I84" s="1">
        <v>4813930</v>
      </c>
      <c r="J84" s="1">
        <v>5792735</v>
      </c>
      <c r="K84" s="1">
        <v>5323796</v>
      </c>
      <c r="L84" s="1">
        <v>5959568</v>
      </c>
      <c r="M84" s="1">
        <v>7756670</v>
      </c>
      <c r="N84" s="1">
        <v>9048403</v>
      </c>
      <c r="O84" s="1">
        <v>81045673</v>
      </c>
      <c r="P84" s="1">
        <v>6234283</v>
      </c>
      <c r="Q84" s="5" t="s">
        <v>133</v>
      </c>
      <c r="V84" s="19"/>
      <c r="W84" s="19"/>
      <c r="X84" s="15">
        <f t="shared" si="21"/>
        <v>9048403</v>
      </c>
      <c r="Y84" s="15">
        <f t="shared" ref="Y84:AH84" si="23">($AK$84-$X$84)/12</f>
        <v>6538051.3846916668</v>
      </c>
      <c r="Z84" s="15">
        <f t="shared" si="23"/>
        <v>6538051.3846916668</v>
      </c>
      <c r="AA84" s="15">
        <f t="shared" si="23"/>
        <v>6538051.3846916668</v>
      </c>
      <c r="AB84" s="15">
        <f t="shared" si="23"/>
        <v>6538051.3846916668</v>
      </c>
      <c r="AC84" s="15">
        <f t="shared" si="23"/>
        <v>6538051.3846916668</v>
      </c>
      <c r="AD84" s="15">
        <f t="shared" si="23"/>
        <v>6538051.3846916668</v>
      </c>
      <c r="AE84" s="15">
        <f t="shared" si="23"/>
        <v>6538051.3846916668</v>
      </c>
      <c r="AF84" s="15">
        <f t="shared" si="23"/>
        <v>6538051.3846916668</v>
      </c>
      <c r="AG84" s="15">
        <f>($AK$84-$X$84)/12</f>
        <v>6538051.3846916668</v>
      </c>
      <c r="AH84" s="15">
        <f t="shared" si="23"/>
        <v>6538051.3846916668</v>
      </c>
      <c r="AI84" s="15">
        <f>($AK$84-$X$84)/12</f>
        <v>6538051.3846916668</v>
      </c>
      <c r="AJ84" s="15">
        <f>($AK$84-$X$84)/12</f>
        <v>6538051.3846916668</v>
      </c>
      <c r="AK84" s="15">
        <f>P84*V82*13</f>
        <v>87505019.616300002</v>
      </c>
      <c r="AL84" s="15">
        <f>AK84/13</f>
        <v>6731155.3551000003</v>
      </c>
      <c r="AO84" s="19">
        <f t="shared" ref="AO84:AO85" si="24">AJ84</f>
        <v>6538051.3846916668</v>
      </c>
      <c r="AP84" s="19">
        <f>($BB$84-$AO$84)/12</f>
        <v>7142658.4038965078</v>
      </c>
      <c r="AQ84" s="19">
        <f t="shared" ref="AQ84:AZ84" si="25">($BB$84-$AO$84)/12</f>
        <v>7142658.4038965078</v>
      </c>
      <c r="AR84" s="19">
        <f t="shared" si="25"/>
        <v>7142658.4038965078</v>
      </c>
      <c r="AS84" s="19">
        <f t="shared" si="25"/>
        <v>7142658.4038965078</v>
      </c>
      <c r="AT84" s="19">
        <f t="shared" si="25"/>
        <v>7142658.4038965078</v>
      </c>
      <c r="AU84" s="19">
        <f t="shared" si="25"/>
        <v>7142658.4038965078</v>
      </c>
      <c r="AV84" s="19">
        <f t="shared" si="25"/>
        <v>7142658.4038965078</v>
      </c>
      <c r="AW84" s="19">
        <f t="shared" si="25"/>
        <v>7142658.4038965078</v>
      </c>
      <c r="AX84" s="19">
        <f t="shared" si="25"/>
        <v>7142658.4038965078</v>
      </c>
      <c r="AY84" s="19">
        <f t="shared" si="25"/>
        <v>7142658.4038965078</v>
      </c>
      <c r="AZ84" s="19">
        <f t="shared" si="25"/>
        <v>7142658.4038965078</v>
      </c>
      <c r="BA84" s="19">
        <f>($BB$84-$AO$84)/12</f>
        <v>7142658.4038965078</v>
      </c>
      <c r="BB84" s="19">
        <f>P84*W82*13</f>
        <v>92249952.231449768</v>
      </c>
      <c r="BC84" s="19">
        <f>BB84/13</f>
        <v>7096150.1716499822</v>
      </c>
    </row>
    <row r="85" spans="1:57" x14ac:dyDescent="0.2">
      <c r="A85" s="13" t="s">
        <v>67</v>
      </c>
      <c r="B85" s="1">
        <v>8608570</v>
      </c>
      <c r="C85" s="1">
        <v>8692781</v>
      </c>
      <c r="D85" s="1">
        <v>8685978</v>
      </c>
      <c r="E85" s="1">
        <v>8671617</v>
      </c>
      <c r="F85" s="1">
        <v>8685616</v>
      </c>
      <c r="G85" s="1">
        <v>8724486</v>
      </c>
      <c r="H85" s="1">
        <v>8743094</v>
      </c>
      <c r="I85" s="1">
        <v>8788815</v>
      </c>
      <c r="J85" s="1">
        <v>8816148</v>
      </c>
      <c r="K85" s="1">
        <v>8840680</v>
      </c>
      <c r="L85" s="1">
        <v>8835043</v>
      </c>
      <c r="M85" s="1">
        <v>8853599</v>
      </c>
      <c r="N85" s="1">
        <v>9011934</v>
      </c>
      <c r="O85" s="1">
        <v>113958360</v>
      </c>
      <c r="P85" s="1">
        <v>8766028</v>
      </c>
      <c r="Q85" s="5" t="s">
        <v>133</v>
      </c>
      <c r="V85" s="5" t="s">
        <v>200</v>
      </c>
      <c r="X85" s="15">
        <f t="shared" si="21"/>
        <v>9011934</v>
      </c>
      <c r="Y85" s="15">
        <v>9026803.490770001</v>
      </c>
      <c r="Z85" s="15">
        <v>9041673.1815400012</v>
      </c>
      <c r="AA85" s="15">
        <v>9056542.8723100014</v>
      </c>
      <c r="AB85" s="15">
        <v>9071412.5630799998</v>
      </c>
      <c r="AC85" s="15">
        <v>9086282.25385</v>
      </c>
      <c r="AD85" s="15">
        <v>9101151.9446200002</v>
      </c>
      <c r="AE85" s="15">
        <v>9116021.6353900004</v>
      </c>
      <c r="AF85" s="15">
        <v>9130891.3261600006</v>
      </c>
      <c r="AG85" s="15">
        <v>9145761.016929999</v>
      </c>
      <c r="AH85" s="15">
        <v>9160630.7076999992</v>
      </c>
      <c r="AI85" s="15">
        <v>9175500.3984699994</v>
      </c>
      <c r="AJ85" s="15">
        <v>9190370.0892400015</v>
      </c>
      <c r="AK85" s="15">
        <f>SUM(X85:AJ85)</f>
        <v>118314975.48006</v>
      </c>
      <c r="AL85" s="15">
        <f>AK85/13</f>
        <v>9101151.9600046147</v>
      </c>
      <c r="AM85" s="15"/>
      <c r="AO85" s="19">
        <f t="shared" si="24"/>
        <v>9190370.0892400015</v>
      </c>
      <c r="AP85" s="19">
        <v>9207492.763460001</v>
      </c>
      <c r="AQ85" s="19">
        <v>9224615.4376800023</v>
      </c>
      <c r="AR85" s="19">
        <v>9241738.1119000036</v>
      </c>
      <c r="AS85" s="19">
        <v>9258860.786120005</v>
      </c>
      <c r="AT85" s="19">
        <v>9275983.4603400026</v>
      </c>
      <c r="AU85" s="19">
        <v>9293106.1345600039</v>
      </c>
      <c r="AV85" s="19">
        <v>9310228.8087800052</v>
      </c>
      <c r="AW85" s="19">
        <v>9327351.4830000028</v>
      </c>
      <c r="AX85" s="19">
        <v>9344474.1572200041</v>
      </c>
      <c r="AY85" s="19">
        <v>9361596.8314400055</v>
      </c>
      <c r="AZ85" s="19">
        <v>9378719.5056600068</v>
      </c>
      <c r="BA85" s="19">
        <v>9395842.1798800007</v>
      </c>
      <c r="BB85" s="19">
        <f>SUM(AO85:BA85)</f>
        <v>120810379.74928007</v>
      </c>
      <c r="BC85" s="19">
        <f>BB85/13</f>
        <v>9293106.1345600057</v>
      </c>
      <c r="BE85" s="5" t="s">
        <v>191</v>
      </c>
    </row>
    <row r="86" spans="1:57" x14ac:dyDescent="0.2">
      <c r="A86" s="13" t="s">
        <v>68</v>
      </c>
      <c r="B86" s="1">
        <v>1063173</v>
      </c>
      <c r="C86" s="1">
        <v>1573033</v>
      </c>
      <c r="D86" s="1">
        <v>2034293</v>
      </c>
      <c r="E86" s="1">
        <v>2002330</v>
      </c>
      <c r="F86" s="1">
        <v>2427284</v>
      </c>
      <c r="G86" s="1">
        <v>2726220</v>
      </c>
      <c r="H86" s="1">
        <v>2343382</v>
      </c>
      <c r="I86" s="1">
        <v>2575031</v>
      </c>
      <c r="J86" s="1">
        <v>2834574</v>
      </c>
      <c r="K86" s="1">
        <v>2873423</v>
      </c>
      <c r="L86" s="1">
        <v>3226963</v>
      </c>
      <c r="M86" s="1">
        <v>3553707</v>
      </c>
      <c r="N86" s="1">
        <v>3068793</v>
      </c>
      <c r="O86" s="1">
        <v>32302206</v>
      </c>
      <c r="P86" s="1">
        <v>2484785</v>
      </c>
      <c r="Q86" s="5" t="s">
        <v>133</v>
      </c>
      <c r="X86" s="15">
        <f t="shared" si="21"/>
        <v>3068793</v>
      </c>
      <c r="Y86" s="18">
        <v>3479399.8303899001</v>
      </c>
      <c r="Z86" s="18">
        <v>3810767.9527128814</v>
      </c>
      <c r="AA86" s="18">
        <v>3068792.95</v>
      </c>
      <c r="AB86" s="18">
        <v>3296978.8186091948</v>
      </c>
      <c r="AC86" s="18">
        <v>3483071.2292185128</v>
      </c>
      <c r="AD86" s="18">
        <v>3068792.95</v>
      </c>
      <c r="AE86" s="18">
        <v>3200270.1811228371</v>
      </c>
      <c r="AF86" s="18">
        <v>3310316.8332811776</v>
      </c>
      <c r="AG86" s="18">
        <v>3068792.95</v>
      </c>
      <c r="AH86" s="18">
        <v>3254336.3787871748</v>
      </c>
      <c r="AI86" s="18">
        <v>3254336.3787871748</v>
      </c>
      <c r="AJ86" s="18">
        <v>3254336.3787871748</v>
      </c>
      <c r="AK86" s="15">
        <f t="shared" ref="AK86:AK87" si="26">SUM(X86:AJ86)</f>
        <v>42618985.831696026</v>
      </c>
      <c r="AL86" s="15">
        <f t="shared" ref="AL86:AL89" si="27">AK86/13</f>
        <v>3278383.525515079</v>
      </c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>
        <f t="shared" ref="BB86:BB89" si="28">SUM(AO86:BA86)</f>
        <v>0</v>
      </c>
      <c r="BC86" s="19">
        <f t="shared" ref="BC86:BC89" si="29">BB86/13</f>
        <v>0</v>
      </c>
    </row>
    <row r="87" spans="1:57" x14ac:dyDescent="0.2">
      <c r="A87" s="13" t="s">
        <v>69</v>
      </c>
      <c r="B87" s="1">
        <v>172845</v>
      </c>
      <c r="C87" s="1">
        <v>11291</v>
      </c>
      <c r="D87" s="1">
        <v>26923</v>
      </c>
      <c r="E87" s="1">
        <v>42415</v>
      </c>
      <c r="F87" s="1">
        <v>58374</v>
      </c>
      <c r="G87" s="1">
        <v>76949</v>
      </c>
      <c r="H87" s="1">
        <v>90630</v>
      </c>
      <c r="I87" s="1">
        <v>105280</v>
      </c>
      <c r="J87" s="1">
        <v>123529</v>
      </c>
      <c r="K87" s="1">
        <v>139041</v>
      </c>
      <c r="L87" s="1">
        <v>152948</v>
      </c>
      <c r="M87" s="1">
        <v>168386</v>
      </c>
      <c r="N87" s="1">
        <v>163697</v>
      </c>
      <c r="O87" s="1">
        <v>1332307</v>
      </c>
      <c r="P87" s="1">
        <v>102485</v>
      </c>
      <c r="Q87" s="5" t="s">
        <v>133</v>
      </c>
      <c r="X87" s="15">
        <f t="shared" si="21"/>
        <v>163697</v>
      </c>
      <c r="Y87" s="15">
        <f>X87</f>
        <v>163697</v>
      </c>
      <c r="Z87" s="15">
        <f t="shared" ref="Z87:AJ88" si="30">Y87</f>
        <v>163697</v>
      </c>
      <c r="AA87" s="15">
        <f t="shared" si="30"/>
        <v>163697</v>
      </c>
      <c r="AB87" s="15">
        <f t="shared" si="30"/>
        <v>163697</v>
      </c>
      <c r="AC87" s="15">
        <f t="shared" si="30"/>
        <v>163697</v>
      </c>
      <c r="AD87" s="15">
        <f t="shared" si="30"/>
        <v>163697</v>
      </c>
      <c r="AE87" s="15">
        <f t="shared" si="30"/>
        <v>163697</v>
      </c>
      <c r="AF87" s="15">
        <f t="shared" si="30"/>
        <v>163697</v>
      </c>
      <c r="AG87" s="15">
        <f t="shared" si="30"/>
        <v>163697</v>
      </c>
      <c r="AH87" s="15">
        <f t="shared" si="30"/>
        <v>163697</v>
      </c>
      <c r="AI87" s="15">
        <f t="shared" si="30"/>
        <v>163697</v>
      </c>
      <c r="AJ87" s="15">
        <f t="shared" si="30"/>
        <v>163697</v>
      </c>
      <c r="AK87" s="15">
        <f t="shared" si="26"/>
        <v>2128061</v>
      </c>
      <c r="AL87" s="15">
        <f t="shared" si="27"/>
        <v>163697</v>
      </c>
      <c r="AO87" s="19">
        <f t="shared" ref="AO87:AO89" si="31">AJ87</f>
        <v>163697</v>
      </c>
      <c r="AP87" s="19">
        <f>AO87</f>
        <v>163697</v>
      </c>
      <c r="AQ87" s="19">
        <f>AP87</f>
        <v>163697</v>
      </c>
      <c r="AR87" s="19">
        <f t="shared" ref="AR87:BA88" si="32">AQ87</f>
        <v>163697</v>
      </c>
      <c r="AS87" s="19">
        <f t="shared" si="32"/>
        <v>163697</v>
      </c>
      <c r="AT87" s="19">
        <f t="shared" si="32"/>
        <v>163697</v>
      </c>
      <c r="AU87" s="19">
        <f t="shared" si="32"/>
        <v>163697</v>
      </c>
      <c r="AV87" s="19">
        <f t="shared" si="32"/>
        <v>163697</v>
      </c>
      <c r="AW87" s="19">
        <f t="shared" si="32"/>
        <v>163697</v>
      </c>
      <c r="AX87" s="19">
        <f t="shared" si="32"/>
        <v>163697</v>
      </c>
      <c r="AY87" s="19">
        <f t="shared" si="32"/>
        <v>163697</v>
      </c>
      <c r="AZ87" s="19">
        <f t="shared" si="32"/>
        <v>163697</v>
      </c>
      <c r="BA87" s="19">
        <f t="shared" si="32"/>
        <v>163697</v>
      </c>
      <c r="BB87" s="19">
        <f t="shared" si="28"/>
        <v>2128061</v>
      </c>
      <c r="BC87" s="19">
        <f t="shared" si="29"/>
        <v>163697</v>
      </c>
    </row>
    <row r="88" spans="1:57" x14ac:dyDescent="0.2">
      <c r="A88" s="13" t="s">
        <v>70</v>
      </c>
      <c r="B88" s="1">
        <v>941634</v>
      </c>
      <c r="C88" s="1">
        <v>1302209</v>
      </c>
      <c r="D88" s="1">
        <v>2060370</v>
      </c>
      <c r="E88" s="1">
        <v>1887601</v>
      </c>
      <c r="F88" s="1">
        <v>2235704</v>
      </c>
      <c r="G88" s="1">
        <v>2870947</v>
      </c>
      <c r="H88" s="1">
        <v>2676787</v>
      </c>
      <c r="I88" s="1">
        <v>2758723</v>
      </c>
      <c r="J88" s="1">
        <v>3011094</v>
      </c>
      <c r="K88" s="1">
        <v>3340124</v>
      </c>
      <c r="L88" s="1">
        <v>3602822</v>
      </c>
      <c r="M88" s="1">
        <v>663135</v>
      </c>
      <c r="N88" s="1">
        <v>1097023</v>
      </c>
      <c r="O88" s="1">
        <v>28448172</v>
      </c>
      <c r="P88" s="1">
        <v>2188321</v>
      </c>
      <c r="Q88" s="5" t="s">
        <v>133</v>
      </c>
      <c r="X88" s="15">
        <f t="shared" si="21"/>
        <v>1097023</v>
      </c>
      <c r="Y88" s="15">
        <f>X88</f>
        <v>1097023</v>
      </c>
      <c r="Z88" s="15">
        <f t="shared" si="30"/>
        <v>1097023</v>
      </c>
      <c r="AA88" s="15">
        <f t="shared" si="30"/>
        <v>1097023</v>
      </c>
      <c r="AB88" s="15">
        <f t="shared" si="30"/>
        <v>1097023</v>
      </c>
      <c r="AC88" s="15">
        <f t="shared" si="30"/>
        <v>1097023</v>
      </c>
      <c r="AD88" s="15">
        <f t="shared" si="30"/>
        <v>1097023</v>
      </c>
      <c r="AE88" s="15">
        <f t="shared" si="30"/>
        <v>1097023</v>
      </c>
      <c r="AF88" s="15">
        <f t="shared" si="30"/>
        <v>1097023</v>
      </c>
      <c r="AG88" s="15">
        <f t="shared" si="30"/>
        <v>1097023</v>
      </c>
      <c r="AH88" s="15">
        <f t="shared" si="30"/>
        <v>1097023</v>
      </c>
      <c r="AI88" s="15">
        <f t="shared" si="30"/>
        <v>1097023</v>
      </c>
      <c r="AJ88" s="15">
        <f t="shared" si="30"/>
        <v>1097023</v>
      </c>
      <c r="AK88" s="15">
        <f t="shared" ref="AK88" si="33">SUM(X88:AJ88)</f>
        <v>14261299</v>
      </c>
      <c r="AL88" s="15">
        <f t="shared" si="27"/>
        <v>1097023</v>
      </c>
      <c r="AO88" s="19">
        <f t="shared" si="31"/>
        <v>1097023</v>
      </c>
      <c r="AP88" s="19">
        <f>AO88</f>
        <v>1097023</v>
      </c>
      <c r="AQ88" s="19">
        <f>AP88</f>
        <v>1097023</v>
      </c>
      <c r="AR88" s="19">
        <f t="shared" si="32"/>
        <v>1097023</v>
      </c>
      <c r="AS88" s="19">
        <f t="shared" si="32"/>
        <v>1097023</v>
      </c>
      <c r="AT88" s="19">
        <f t="shared" si="32"/>
        <v>1097023</v>
      </c>
      <c r="AU88" s="19">
        <f t="shared" si="32"/>
        <v>1097023</v>
      </c>
      <c r="AV88" s="19">
        <f t="shared" si="32"/>
        <v>1097023</v>
      </c>
      <c r="AW88" s="19">
        <f t="shared" si="32"/>
        <v>1097023</v>
      </c>
      <c r="AX88" s="19">
        <f t="shared" si="32"/>
        <v>1097023</v>
      </c>
      <c r="AY88" s="19">
        <f t="shared" si="32"/>
        <v>1097023</v>
      </c>
      <c r="AZ88" s="19">
        <f t="shared" si="32"/>
        <v>1097023</v>
      </c>
      <c r="BA88" s="19">
        <f t="shared" si="32"/>
        <v>1097023</v>
      </c>
      <c r="BB88" s="19">
        <f t="shared" ref="BB88" si="34">SUM(AO88:BA88)</f>
        <v>14261299</v>
      </c>
      <c r="BC88" s="19">
        <f t="shared" si="29"/>
        <v>1097023</v>
      </c>
    </row>
    <row r="89" spans="1:57" x14ac:dyDescent="0.2">
      <c r="A89" s="13" t="s">
        <v>72</v>
      </c>
      <c r="B89" s="1">
        <v>348293</v>
      </c>
      <c r="C89" s="1">
        <v>350872</v>
      </c>
      <c r="D89" s="1">
        <v>353459</v>
      </c>
      <c r="E89" s="1">
        <v>354474</v>
      </c>
      <c r="F89" s="1">
        <v>347173</v>
      </c>
      <c r="G89" s="1">
        <v>339850</v>
      </c>
      <c r="H89" s="1">
        <v>332505</v>
      </c>
      <c r="I89" s="1">
        <v>325137</v>
      </c>
      <c r="J89" s="1">
        <v>317776</v>
      </c>
      <c r="K89" s="1">
        <v>310393</v>
      </c>
      <c r="L89" s="1">
        <v>302988</v>
      </c>
      <c r="M89" s="1">
        <v>295560</v>
      </c>
      <c r="N89" s="1">
        <v>288109</v>
      </c>
      <c r="O89" s="1">
        <v>4266590</v>
      </c>
      <c r="P89" s="1">
        <v>328199</v>
      </c>
      <c r="Q89" s="5" t="s">
        <v>133</v>
      </c>
      <c r="X89" s="15">
        <f t="shared" si="21"/>
        <v>288109</v>
      </c>
      <c r="Y89" s="15">
        <v>280636.07</v>
      </c>
      <c r="Z89" s="15">
        <v>365672.23</v>
      </c>
      <c r="AA89" s="15">
        <v>367772.58</v>
      </c>
      <c r="AB89" s="15">
        <v>369878.92</v>
      </c>
      <c r="AC89" s="15">
        <v>371991.64</v>
      </c>
      <c r="AD89" s="15">
        <v>374110.78</v>
      </c>
      <c r="AE89" s="15">
        <v>376236.35000000003</v>
      </c>
      <c r="AF89" s="15">
        <v>378398.31</v>
      </c>
      <c r="AG89" s="15">
        <v>380566.83</v>
      </c>
      <c r="AH89" s="15">
        <v>382741.92</v>
      </c>
      <c r="AI89" s="15">
        <v>384923.62</v>
      </c>
      <c r="AJ89" s="15">
        <v>387111.94</v>
      </c>
      <c r="AK89" s="15">
        <f t="shared" ref="AK89" si="35">SUM(X89:AJ89)</f>
        <v>4708150.1900000004</v>
      </c>
      <c r="AL89" s="15">
        <f t="shared" si="27"/>
        <v>362165.39923076925</v>
      </c>
      <c r="AO89" s="19">
        <f t="shared" si="31"/>
        <v>387111.94</v>
      </c>
      <c r="AP89" s="19">
        <v>386821.88</v>
      </c>
      <c r="AQ89" s="19">
        <v>389023.5</v>
      </c>
      <c r="AR89" s="19">
        <v>391231.78</v>
      </c>
      <c r="AS89" s="19">
        <v>393446.76</v>
      </c>
      <c r="AT89" s="19">
        <v>395668.47999999998</v>
      </c>
      <c r="AU89" s="19">
        <v>397896.91000000003</v>
      </c>
      <c r="AV89" s="19">
        <v>400132.12</v>
      </c>
      <c r="AW89" s="19">
        <v>402404.96</v>
      </c>
      <c r="AX89" s="19">
        <v>404684.68</v>
      </c>
      <c r="AY89" s="19">
        <v>406971.34</v>
      </c>
      <c r="AZ89" s="19">
        <v>409264.92</v>
      </c>
      <c r="BA89" s="19">
        <v>411565.46</v>
      </c>
      <c r="BB89" s="19">
        <f t="shared" si="28"/>
        <v>5176224.7300000004</v>
      </c>
      <c r="BC89" s="19">
        <f t="shared" si="29"/>
        <v>398171.13307692308</v>
      </c>
    </row>
    <row r="90" spans="1:57" x14ac:dyDescent="0.2">
      <c r="B90" s="16" t="s">
        <v>27</v>
      </c>
      <c r="C90" s="16" t="s">
        <v>27</v>
      </c>
      <c r="D90" s="16" t="s">
        <v>27</v>
      </c>
      <c r="E90" s="16" t="s">
        <v>27</v>
      </c>
      <c r="F90" s="16" t="s">
        <v>27</v>
      </c>
      <c r="G90" s="16" t="s">
        <v>27</v>
      </c>
      <c r="H90" s="16" t="s">
        <v>27</v>
      </c>
      <c r="I90" s="16" t="s">
        <v>27</v>
      </c>
      <c r="J90" s="16" t="s">
        <v>27</v>
      </c>
      <c r="K90" s="16" t="s">
        <v>27</v>
      </c>
      <c r="L90" s="16" t="s">
        <v>27</v>
      </c>
      <c r="M90" s="16" t="s">
        <v>27</v>
      </c>
      <c r="N90" s="16" t="s">
        <v>27</v>
      </c>
      <c r="O90" s="16" t="s">
        <v>27</v>
      </c>
      <c r="P90" s="16" t="s">
        <v>27</v>
      </c>
      <c r="X90" s="15"/>
    </row>
    <row r="91" spans="1:57" x14ac:dyDescent="0.2">
      <c r="A91" s="13" t="s">
        <v>73</v>
      </c>
      <c r="B91" s="1">
        <v>18988500</v>
      </c>
      <c r="C91" s="1">
        <v>19309042</v>
      </c>
      <c r="D91" s="1">
        <v>18760465</v>
      </c>
      <c r="E91" s="1">
        <v>19087793</v>
      </c>
      <c r="F91" s="1">
        <v>19255645</v>
      </c>
      <c r="G91" s="1">
        <v>20245421</v>
      </c>
      <c r="H91" s="1">
        <v>18566865</v>
      </c>
      <c r="I91" s="1">
        <v>19366917</v>
      </c>
      <c r="J91" s="1">
        <v>20895856</v>
      </c>
      <c r="K91" s="1">
        <v>20827458</v>
      </c>
      <c r="L91" s="1">
        <v>22080332</v>
      </c>
      <c r="M91" s="1">
        <v>21291056</v>
      </c>
      <c r="N91" s="1">
        <v>22677960</v>
      </c>
      <c r="O91" s="1">
        <v>261353308</v>
      </c>
      <c r="P91" s="1">
        <v>20104101</v>
      </c>
      <c r="X91" s="15"/>
    </row>
    <row r="92" spans="1:57" x14ac:dyDescent="0.2">
      <c r="B92" s="16" t="s">
        <v>27</v>
      </c>
      <c r="C92" s="16" t="s">
        <v>27</v>
      </c>
      <c r="D92" s="16" t="s">
        <v>27</v>
      </c>
      <c r="E92" s="16" t="s">
        <v>27</v>
      </c>
      <c r="F92" s="16" t="s">
        <v>27</v>
      </c>
      <c r="G92" s="16" t="s">
        <v>27</v>
      </c>
      <c r="H92" s="16" t="s">
        <v>27</v>
      </c>
      <c r="I92" s="16" t="s">
        <v>27</v>
      </c>
      <c r="J92" s="16" t="s">
        <v>27</v>
      </c>
      <c r="K92" s="16" t="s">
        <v>27</v>
      </c>
      <c r="L92" s="16" t="s">
        <v>27</v>
      </c>
      <c r="M92" s="16" t="s">
        <v>27</v>
      </c>
      <c r="N92" s="16" t="s">
        <v>27</v>
      </c>
      <c r="O92" s="16" t="s">
        <v>27</v>
      </c>
      <c r="P92" s="16" t="s">
        <v>27</v>
      </c>
      <c r="X92" s="15"/>
    </row>
    <row r="93" spans="1:57" x14ac:dyDescent="0.2">
      <c r="A93" s="11" t="s">
        <v>74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X93" s="15"/>
    </row>
    <row r="94" spans="1:57" x14ac:dyDescent="0.2">
      <c r="A94" s="13" t="s">
        <v>97</v>
      </c>
      <c r="B94" s="1">
        <v>828054</v>
      </c>
      <c r="C94" s="1">
        <v>828054</v>
      </c>
      <c r="D94" s="1">
        <v>828054</v>
      </c>
      <c r="E94" s="1">
        <v>828054</v>
      </c>
      <c r="F94" s="1">
        <v>853727</v>
      </c>
      <c r="G94" s="1">
        <v>830045</v>
      </c>
      <c r="H94" s="1">
        <v>807611</v>
      </c>
      <c r="I94" s="1">
        <v>817329</v>
      </c>
      <c r="J94" s="1">
        <v>817329</v>
      </c>
      <c r="K94" s="1">
        <v>817329</v>
      </c>
      <c r="L94" s="1">
        <v>812360</v>
      </c>
      <c r="M94" s="1">
        <v>705895</v>
      </c>
      <c r="N94" s="1">
        <v>695131</v>
      </c>
      <c r="O94" s="1">
        <v>10468977</v>
      </c>
      <c r="P94" s="1">
        <v>805306</v>
      </c>
      <c r="Q94" s="5" t="s">
        <v>133</v>
      </c>
      <c r="V94" s="5" t="s">
        <v>194</v>
      </c>
      <c r="X94" s="15">
        <f t="shared" si="21"/>
        <v>695131</v>
      </c>
      <c r="Y94" s="15">
        <f>X94</f>
        <v>695131</v>
      </c>
      <c r="Z94" s="15">
        <f t="shared" ref="Z94:AJ94" si="36">Y94</f>
        <v>695131</v>
      </c>
      <c r="AA94" s="15">
        <f t="shared" si="36"/>
        <v>695131</v>
      </c>
      <c r="AB94" s="15">
        <f t="shared" si="36"/>
        <v>695131</v>
      </c>
      <c r="AC94" s="15">
        <f t="shared" si="36"/>
        <v>695131</v>
      </c>
      <c r="AD94" s="15">
        <f t="shared" si="36"/>
        <v>695131</v>
      </c>
      <c r="AE94" s="15">
        <f t="shared" si="36"/>
        <v>695131</v>
      </c>
      <c r="AF94" s="15">
        <f t="shared" si="36"/>
        <v>695131</v>
      </c>
      <c r="AG94" s="15">
        <f t="shared" si="36"/>
        <v>695131</v>
      </c>
      <c r="AH94" s="15">
        <f t="shared" si="36"/>
        <v>695131</v>
      </c>
      <c r="AI94" s="15">
        <f t="shared" si="36"/>
        <v>695131</v>
      </c>
      <c r="AJ94" s="15">
        <f t="shared" si="36"/>
        <v>695131</v>
      </c>
      <c r="AK94" s="15">
        <f>SUM(X94:AJ94)</f>
        <v>9036703</v>
      </c>
      <c r="AL94" s="15">
        <f>AK94/13</f>
        <v>695131</v>
      </c>
      <c r="AM94" s="15"/>
      <c r="AN94" s="15"/>
      <c r="AO94" s="19">
        <f>AJ94</f>
        <v>695131</v>
      </c>
      <c r="AP94" s="19">
        <f>AO94</f>
        <v>695131</v>
      </c>
      <c r="AQ94" s="19">
        <f t="shared" ref="AQ94:BA94" si="37">AP94</f>
        <v>695131</v>
      </c>
      <c r="AR94" s="19">
        <f t="shared" si="37"/>
        <v>695131</v>
      </c>
      <c r="AS94" s="19">
        <f t="shared" si="37"/>
        <v>695131</v>
      </c>
      <c r="AT94" s="19">
        <f t="shared" si="37"/>
        <v>695131</v>
      </c>
      <c r="AU94" s="19">
        <f t="shared" si="37"/>
        <v>695131</v>
      </c>
      <c r="AV94" s="19">
        <f t="shared" si="37"/>
        <v>695131</v>
      </c>
      <c r="AW94" s="19">
        <f t="shared" si="37"/>
        <v>695131</v>
      </c>
      <c r="AX94" s="19">
        <f t="shared" si="37"/>
        <v>695131</v>
      </c>
      <c r="AY94" s="19">
        <f t="shared" si="37"/>
        <v>695131</v>
      </c>
      <c r="AZ94" s="19">
        <f t="shared" si="37"/>
        <v>695131</v>
      </c>
      <c r="BA94" s="19">
        <f t="shared" si="37"/>
        <v>695131</v>
      </c>
      <c r="BB94" s="19">
        <f t="shared" ref="BB94:BB95" si="38">SUM(AO94:BA94)</f>
        <v>9036703</v>
      </c>
      <c r="BC94" s="19">
        <f t="shared" ref="BC94:BC95" si="39">BB94/13</f>
        <v>695131</v>
      </c>
      <c r="BE94" s="5" t="s">
        <v>190</v>
      </c>
    </row>
    <row r="95" spans="1:57" x14ac:dyDescent="0.2">
      <c r="A95" s="13" t="s">
        <v>75</v>
      </c>
      <c r="B95" s="1">
        <v>6542763</v>
      </c>
      <c r="C95" s="1">
        <v>7990381</v>
      </c>
      <c r="D95" s="1">
        <v>8909080</v>
      </c>
      <c r="E95" s="1">
        <v>8979097</v>
      </c>
      <c r="F95" s="1">
        <v>9731821</v>
      </c>
      <c r="G95" s="1">
        <v>9671771</v>
      </c>
      <c r="H95" s="1">
        <v>9512787</v>
      </c>
      <c r="I95" s="1">
        <v>9118513</v>
      </c>
      <c r="J95" s="1">
        <v>8299869</v>
      </c>
      <c r="K95" s="1">
        <v>8294026</v>
      </c>
      <c r="L95" s="1">
        <v>7424712</v>
      </c>
      <c r="M95" s="1">
        <v>6031425</v>
      </c>
      <c r="N95" s="1">
        <v>5758660</v>
      </c>
      <c r="O95" s="1">
        <v>106264905</v>
      </c>
      <c r="P95" s="1">
        <v>8174223</v>
      </c>
      <c r="Q95" s="5" t="s">
        <v>133</v>
      </c>
      <c r="X95" s="15">
        <f t="shared" si="21"/>
        <v>5758660</v>
      </c>
      <c r="Y95" s="15">
        <v>5761088.5384778958</v>
      </c>
      <c r="Z95" s="15">
        <v>5683496.6730571296</v>
      </c>
      <c r="AA95" s="15">
        <v>5588711.6489133006</v>
      </c>
      <c r="AB95" s="15">
        <v>5492953.7347022416</v>
      </c>
      <c r="AC95" s="15">
        <v>5347884.2715838132</v>
      </c>
      <c r="AD95" s="15">
        <v>5175079.3328578584</v>
      </c>
      <c r="AE95" s="15">
        <v>5044722.0179833537</v>
      </c>
      <c r="AF95" s="15">
        <v>4914360.8362203706</v>
      </c>
      <c r="AG95" s="15">
        <v>4783995.7873072354</v>
      </c>
      <c r="AH95" s="15">
        <v>4653626.8710183706</v>
      </c>
      <c r="AI95" s="15">
        <v>4523254.0871281866</v>
      </c>
      <c r="AJ95" s="15">
        <v>4423279.051599999</v>
      </c>
      <c r="AK95" s="15">
        <f>SUM(X95:AJ95)</f>
        <v>67151112.850849748</v>
      </c>
      <c r="AL95" s="15">
        <f>AK95/13</f>
        <v>5165470.2192961341</v>
      </c>
      <c r="AM95" s="15"/>
      <c r="AN95" s="15"/>
      <c r="AO95" s="19">
        <f t="shared" ref="AO95:AO97" si="40">AJ95</f>
        <v>4423279.051599999</v>
      </c>
      <c r="AP95" s="19">
        <v>4357801.998532379</v>
      </c>
      <c r="AQ95" s="19">
        <v>4292324.9454647601</v>
      </c>
      <c r="AR95" s="19">
        <v>4226847.8923971411</v>
      </c>
      <c r="AS95" s="19">
        <v>4161370.8393295212</v>
      </c>
      <c r="AT95" s="19">
        <v>4095893.7862619013</v>
      </c>
      <c r="AU95" s="19">
        <v>4030416.7331942823</v>
      </c>
      <c r="AV95" s="19">
        <v>3964939.6801266633</v>
      </c>
      <c r="AW95" s="19">
        <v>3899462.6270590434</v>
      </c>
      <c r="AX95" s="19">
        <v>3833985.5739914235</v>
      </c>
      <c r="AY95" s="19">
        <v>3768508.5209238045</v>
      </c>
      <c r="AZ95" s="19">
        <v>3703031.4678561855</v>
      </c>
      <c r="BA95" s="19">
        <v>3637554.4147885656</v>
      </c>
      <c r="BB95" s="19">
        <f t="shared" si="38"/>
        <v>52395417.531525679</v>
      </c>
      <c r="BC95" s="19">
        <f t="shared" si="39"/>
        <v>4030416.7331942832</v>
      </c>
      <c r="BE95" s="5" t="s">
        <v>189</v>
      </c>
    </row>
    <row r="96" spans="1:57" x14ac:dyDescent="0.2">
      <c r="A96" s="13" t="s">
        <v>76</v>
      </c>
      <c r="B96" s="1">
        <v>19182753</v>
      </c>
      <c r="C96" s="1">
        <v>19177104</v>
      </c>
      <c r="D96" s="1">
        <v>19171455</v>
      </c>
      <c r="E96" s="1">
        <v>19165806</v>
      </c>
      <c r="F96" s="1">
        <v>19160157</v>
      </c>
      <c r="G96" s="1">
        <v>19154508</v>
      </c>
      <c r="H96" s="1">
        <v>19148859</v>
      </c>
      <c r="I96" s="1">
        <v>19143210</v>
      </c>
      <c r="J96" s="1">
        <v>19137561</v>
      </c>
      <c r="K96" s="1">
        <v>19131912</v>
      </c>
      <c r="L96" s="1">
        <v>19126263</v>
      </c>
      <c r="M96" s="1">
        <v>19120614</v>
      </c>
      <c r="N96" s="1">
        <v>19114965</v>
      </c>
      <c r="O96" s="1">
        <v>248935169</v>
      </c>
      <c r="P96" s="1">
        <v>19148859</v>
      </c>
      <c r="Q96" s="5" t="s">
        <v>133</v>
      </c>
      <c r="X96" s="15">
        <f t="shared" si="21"/>
        <v>19114965</v>
      </c>
      <c r="Y96" s="15">
        <v>19105392.333333332</v>
      </c>
      <c r="Z96" s="15">
        <v>19105326.666666664</v>
      </c>
      <c r="AA96" s="15">
        <v>19105261</v>
      </c>
      <c r="AB96" s="15">
        <v>19105195.333333332</v>
      </c>
      <c r="AC96" s="15">
        <v>19105129.666666664</v>
      </c>
      <c r="AD96" s="15">
        <v>19105064</v>
      </c>
      <c r="AE96" s="15">
        <v>19104998.333333332</v>
      </c>
      <c r="AF96" s="15">
        <v>19104932.666666664</v>
      </c>
      <c r="AG96" s="15">
        <v>19104867</v>
      </c>
      <c r="AH96" s="15">
        <v>19104801.333333332</v>
      </c>
      <c r="AI96" s="15">
        <v>19104735.666666664</v>
      </c>
      <c r="AJ96" s="15">
        <v>19104669.999999996</v>
      </c>
      <c r="AK96" s="15">
        <f t="shared" ref="AK96:AK97" si="41">SUM(X96:AJ96)</f>
        <v>248375339</v>
      </c>
      <c r="AL96" s="15">
        <f t="shared" ref="AL96:AL97" si="42">AK96/13</f>
        <v>19105795.307692308</v>
      </c>
      <c r="AM96" s="15"/>
      <c r="AN96" s="15"/>
      <c r="AO96" s="19">
        <f t="shared" si="40"/>
        <v>19104669.999999996</v>
      </c>
      <c r="AP96" s="19">
        <v>19104604.333333332</v>
      </c>
      <c r="AQ96" s="19">
        <v>19104538.666666664</v>
      </c>
      <c r="AR96" s="19">
        <v>19104472.999999996</v>
      </c>
      <c r="AS96" s="19">
        <v>19104407.333333332</v>
      </c>
      <c r="AT96" s="19">
        <v>19104341.666666664</v>
      </c>
      <c r="AU96" s="19">
        <v>19104275.999999996</v>
      </c>
      <c r="AV96" s="19">
        <v>19104210.333333332</v>
      </c>
      <c r="AW96" s="19">
        <v>19104144.666666664</v>
      </c>
      <c r="AX96" s="19">
        <v>19104078.999999996</v>
      </c>
      <c r="AY96" s="19">
        <v>19104013.333333332</v>
      </c>
      <c r="AZ96" s="19">
        <v>19103947.666666664</v>
      </c>
      <c r="BA96" s="19">
        <v>19103881.999999996</v>
      </c>
      <c r="BB96" s="19">
        <f t="shared" ref="BB96" si="43">SUM(AO96:BA96)</f>
        <v>248355587.99999997</v>
      </c>
      <c r="BC96" s="19">
        <f t="shared" ref="BC96" si="44">BB96/13</f>
        <v>19104275.999999996</v>
      </c>
    </row>
    <row r="97" spans="1:55" x14ac:dyDescent="0.2">
      <c r="A97" s="13" t="s">
        <v>77</v>
      </c>
      <c r="B97" s="1">
        <v>27868424</v>
      </c>
      <c r="C97" s="1">
        <v>27869856</v>
      </c>
      <c r="D97" s="1">
        <v>27871287</v>
      </c>
      <c r="E97" s="1">
        <v>28140077</v>
      </c>
      <c r="F97" s="1">
        <v>28141509</v>
      </c>
      <c r="G97" s="1">
        <v>28142940</v>
      </c>
      <c r="H97" s="1">
        <v>28411730</v>
      </c>
      <c r="I97" s="1">
        <v>28413162</v>
      </c>
      <c r="J97" s="1">
        <v>28414594</v>
      </c>
      <c r="K97" s="1">
        <v>28316242</v>
      </c>
      <c r="L97" s="1">
        <v>28317674</v>
      </c>
      <c r="M97" s="1">
        <v>28319106</v>
      </c>
      <c r="N97" s="1">
        <v>29188472</v>
      </c>
      <c r="O97" s="1">
        <v>367415072</v>
      </c>
      <c r="P97" s="1">
        <v>28262698</v>
      </c>
      <c r="Q97" s="5" t="s">
        <v>136</v>
      </c>
      <c r="X97" s="15">
        <f>N147</f>
        <v>27355761</v>
      </c>
      <c r="Y97" s="15">
        <f>33645585.94-6237176</f>
        <v>27408409.939999998</v>
      </c>
      <c r="Z97" s="15">
        <f>33743347.94-6207899</f>
        <v>27535448.939999998</v>
      </c>
      <c r="AA97" s="15">
        <f>33841109.94-6178622</f>
        <v>27662487.939999998</v>
      </c>
      <c r="AB97" s="15">
        <f>33938871.94-6149345</f>
        <v>27789526.939999998</v>
      </c>
      <c r="AC97" s="15">
        <f>34036633.94-6120068</f>
        <v>27916565.939999998</v>
      </c>
      <c r="AD97" s="15">
        <f>34134395.94-6090791</f>
        <v>28043604.939999998</v>
      </c>
      <c r="AE97" s="15">
        <f>34232157.94-6061514</f>
        <v>28170643.939999998</v>
      </c>
      <c r="AF97" s="15">
        <f>34329919.94-6032237</f>
        <v>28297682.939999998</v>
      </c>
      <c r="AG97" s="15">
        <f>34427681.94-6002960</f>
        <v>28424721.939999998</v>
      </c>
      <c r="AH97" s="15">
        <f>34525443.94-5973683</f>
        <v>28551760.939999998</v>
      </c>
      <c r="AI97" s="15">
        <f>34623205.9-5944406</f>
        <v>28678799.899999999</v>
      </c>
      <c r="AJ97" s="15">
        <f>34720967.94-5915129</f>
        <v>28805838.939999998</v>
      </c>
      <c r="AK97" s="15">
        <f t="shared" si="41"/>
        <v>364641254.23999995</v>
      </c>
      <c r="AL97" s="15">
        <f t="shared" si="42"/>
        <v>28049327.249230765</v>
      </c>
      <c r="AM97" s="15"/>
      <c r="AN97" s="15"/>
      <c r="AO97" s="19">
        <f t="shared" si="40"/>
        <v>28805838.939999998</v>
      </c>
      <c r="AP97" s="19">
        <v>28947752.939999998</v>
      </c>
      <c r="AQ97" s="19">
        <v>29060389.939999998</v>
      </c>
      <c r="AR97" s="19">
        <v>29173026.939999998</v>
      </c>
      <c r="AS97" s="19">
        <v>29285663.939999998</v>
      </c>
      <c r="AT97" s="19">
        <v>29398300.939999998</v>
      </c>
      <c r="AU97" s="19">
        <v>29510937.939999998</v>
      </c>
      <c r="AV97" s="19">
        <v>29623574.939999998</v>
      </c>
      <c r="AW97" s="19">
        <v>29736211.939999998</v>
      </c>
      <c r="AX97" s="19">
        <v>29848848.939999998</v>
      </c>
      <c r="AY97" s="19">
        <v>29961485.939999998</v>
      </c>
      <c r="AZ97" s="19">
        <v>30074122.939999998</v>
      </c>
      <c r="BA97" s="19">
        <v>30186759.939999998</v>
      </c>
      <c r="BB97" s="19">
        <f t="shared" ref="BB97" si="45">SUM(AO97:BA97)</f>
        <v>383612916.21999997</v>
      </c>
      <c r="BC97" s="19">
        <f t="shared" ref="BC97" si="46">BB97/13</f>
        <v>29508685.863076922</v>
      </c>
    </row>
    <row r="98" spans="1:55" x14ac:dyDescent="0.2">
      <c r="A98" s="13" t="s">
        <v>78</v>
      </c>
      <c r="B98" s="1">
        <v>3756620</v>
      </c>
      <c r="C98" s="1">
        <v>3727343</v>
      </c>
      <c r="D98" s="1">
        <v>3698066</v>
      </c>
      <c r="E98" s="1">
        <v>3815371</v>
      </c>
      <c r="F98" s="1">
        <v>3786094</v>
      </c>
      <c r="G98" s="1">
        <v>3756817</v>
      </c>
      <c r="H98" s="1">
        <v>4155716</v>
      </c>
      <c r="I98" s="1">
        <v>4126439</v>
      </c>
      <c r="J98" s="1">
        <v>4097162</v>
      </c>
      <c r="K98" s="1">
        <v>4355265</v>
      </c>
      <c r="L98" s="1">
        <v>4325988</v>
      </c>
      <c r="M98" s="1">
        <v>4296711</v>
      </c>
      <c r="N98" s="1">
        <v>4433621</v>
      </c>
      <c r="O98" s="1">
        <v>52331211</v>
      </c>
      <c r="P98" s="1">
        <v>4025478</v>
      </c>
      <c r="Q98" s="5" t="s">
        <v>136</v>
      </c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</row>
    <row r="99" spans="1:55" x14ac:dyDescent="0.2">
      <c r="B99" s="16" t="s">
        <v>27</v>
      </c>
      <c r="C99" s="16" t="s">
        <v>27</v>
      </c>
      <c r="D99" s="16" t="s">
        <v>27</v>
      </c>
      <c r="E99" s="16" t="s">
        <v>27</v>
      </c>
      <c r="F99" s="16" t="s">
        <v>27</v>
      </c>
      <c r="G99" s="16" t="s">
        <v>27</v>
      </c>
      <c r="H99" s="16" t="s">
        <v>27</v>
      </c>
      <c r="I99" s="16" t="s">
        <v>27</v>
      </c>
      <c r="J99" s="16" t="s">
        <v>27</v>
      </c>
      <c r="K99" s="16" t="s">
        <v>27</v>
      </c>
      <c r="L99" s="16" t="s">
        <v>27</v>
      </c>
      <c r="M99" s="16" t="s">
        <v>27</v>
      </c>
      <c r="N99" s="16" t="s">
        <v>27</v>
      </c>
      <c r="O99" s="16" t="s">
        <v>27</v>
      </c>
      <c r="P99" s="16" t="s">
        <v>27</v>
      </c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</row>
    <row r="100" spans="1:55" x14ac:dyDescent="0.2">
      <c r="A100" s="13" t="s">
        <v>79</v>
      </c>
      <c r="B100" s="1">
        <v>58178614</v>
      </c>
      <c r="C100" s="1">
        <v>59592737</v>
      </c>
      <c r="D100" s="1">
        <v>60477942</v>
      </c>
      <c r="E100" s="1">
        <v>60928405</v>
      </c>
      <c r="F100" s="1">
        <v>61673307</v>
      </c>
      <c r="G100" s="1">
        <v>61556081</v>
      </c>
      <c r="H100" s="1">
        <v>62036704</v>
      </c>
      <c r="I100" s="1">
        <v>61618654</v>
      </c>
      <c r="J100" s="1">
        <v>60766516</v>
      </c>
      <c r="K100" s="1">
        <v>60914774</v>
      </c>
      <c r="L100" s="1">
        <v>60006997</v>
      </c>
      <c r="M100" s="1">
        <v>58473751</v>
      </c>
      <c r="N100" s="1">
        <v>59190849</v>
      </c>
      <c r="O100" s="1">
        <v>785415332</v>
      </c>
      <c r="P100" s="1">
        <v>60416564</v>
      </c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</row>
    <row r="101" spans="1:55" x14ac:dyDescent="0.2">
      <c r="B101" s="16" t="s">
        <v>27</v>
      </c>
      <c r="C101" s="16" t="s">
        <v>27</v>
      </c>
      <c r="D101" s="16" t="s">
        <v>27</v>
      </c>
      <c r="E101" s="16" t="s">
        <v>27</v>
      </c>
      <c r="F101" s="16" t="s">
        <v>27</v>
      </c>
      <c r="G101" s="16" t="s">
        <v>27</v>
      </c>
      <c r="H101" s="16" t="s">
        <v>27</v>
      </c>
      <c r="I101" s="16" t="s">
        <v>27</v>
      </c>
      <c r="J101" s="16" t="s">
        <v>27</v>
      </c>
      <c r="K101" s="16" t="s">
        <v>27</v>
      </c>
      <c r="L101" s="16" t="s">
        <v>27</v>
      </c>
      <c r="M101" s="16" t="s">
        <v>27</v>
      </c>
      <c r="N101" s="16" t="s">
        <v>27</v>
      </c>
      <c r="O101" s="16" t="s">
        <v>27</v>
      </c>
      <c r="P101" s="16" t="s">
        <v>27</v>
      </c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</row>
    <row r="102" spans="1:55" x14ac:dyDescent="0.2"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</row>
    <row r="103" spans="1:55" ht="15.75" x14ac:dyDescent="0.25">
      <c r="A103" s="22" t="s">
        <v>80</v>
      </c>
      <c r="B103" s="23">
        <v>241480876</v>
      </c>
      <c r="C103" s="23">
        <v>244796017</v>
      </c>
      <c r="D103" s="23">
        <v>246563151</v>
      </c>
      <c r="E103" s="23">
        <v>247871832</v>
      </c>
      <c r="F103" s="23">
        <v>249799664</v>
      </c>
      <c r="G103" s="23">
        <v>251606385</v>
      </c>
      <c r="H103" s="23">
        <v>250928759</v>
      </c>
      <c r="I103" s="23">
        <v>252031116</v>
      </c>
      <c r="J103" s="23">
        <v>253528737</v>
      </c>
      <c r="K103" s="23">
        <v>254247249</v>
      </c>
      <c r="L103" s="23">
        <v>255446225</v>
      </c>
      <c r="M103" s="23">
        <v>254123461</v>
      </c>
      <c r="N103" s="23">
        <v>257140667</v>
      </c>
      <c r="O103" s="23">
        <v>3259564138</v>
      </c>
      <c r="P103" s="23">
        <v>250735703</v>
      </c>
    </row>
    <row r="104" spans="1:55" x14ac:dyDescent="0.2">
      <c r="B104" s="16" t="s">
        <v>50</v>
      </c>
      <c r="C104" s="16" t="s">
        <v>50</v>
      </c>
      <c r="D104" s="16" t="s">
        <v>50</v>
      </c>
      <c r="E104" s="16" t="s">
        <v>50</v>
      </c>
      <c r="F104" s="16" t="s">
        <v>50</v>
      </c>
      <c r="G104" s="16" t="s">
        <v>50</v>
      </c>
      <c r="H104" s="16" t="s">
        <v>50</v>
      </c>
      <c r="I104" s="16" t="s">
        <v>50</v>
      </c>
      <c r="J104" s="16" t="s">
        <v>50</v>
      </c>
      <c r="K104" s="16" t="s">
        <v>50</v>
      </c>
      <c r="L104" s="16" t="s">
        <v>50</v>
      </c>
      <c r="M104" s="16" t="s">
        <v>50</v>
      </c>
      <c r="N104" s="16" t="s">
        <v>50</v>
      </c>
      <c r="O104" s="16" t="s">
        <v>50</v>
      </c>
      <c r="P104" s="16" t="s">
        <v>50</v>
      </c>
    </row>
    <row r="105" spans="1:55" x14ac:dyDescent="0.2">
      <c r="A105" s="13" t="s">
        <v>81</v>
      </c>
    </row>
    <row r="106" spans="1:55" x14ac:dyDescent="0.2">
      <c r="A106" s="13" t="s">
        <v>82</v>
      </c>
      <c r="B106" s="1">
        <v>1908383</v>
      </c>
      <c r="C106" s="1">
        <v>1908383</v>
      </c>
      <c r="D106" s="1">
        <v>1908383</v>
      </c>
      <c r="E106" s="1">
        <v>1677920</v>
      </c>
      <c r="F106" s="1">
        <v>1677920</v>
      </c>
      <c r="G106" s="1">
        <v>1677920</v>
      </c>
      <c r="H106" s="1">
        <v>1677920</v>
      </c>
      <c r="I106" s="1">
        <v>1677920</v>
      </c>
      <c r="J106" s="1">
        <v>1677920</v>
      </c>
      <c r="K106" s="1">
        <v>1677920</v>
      </c>
      <c r="L106" s="1">
        <v>1677920</v>
      </c>
      <c r="M106" s="1">
        <v>1677920</v>
      </c>
      <c r="N106" s="1">
        <v>1677920</v>
      </c>
      <c r="O106" s="1">
        <v>22504347</v>
      </c>
      <c r="P106" s="1">
        <v>1731104</v>
      </c>
    </row>
    <row r="107" spans="1:55" x14ac:dyDescent="0.2">
      <c r="B107" s="16" t="s">
        <v>27</v>
      </c>
      <c r="C107" s="16" t="s">
        <v>27</v>
      </c>
      <c r="D107" s="16" t="s">
        <v>27</v>
      </c>
      <c r="E107" s="16" t="s">
        <v>27</v>
      </c>
      <c r="F107" s="16" t="s">
        <v>27</v>
      </c>
      <c r="G107" s="16" t="s">
        <v>27</v>
      </c>
      <c r="H107" s="16" t="s">
        <v>27</v>
      </c>
      <c r="I107" s="16" t="s">
        <v>27</v>
      </c>
      <c r="J107" s="16" t="s">
        <v>27</v>
      </c>
      <c r="K107" s="16" t="s">
        <v>27</v>
      </c>
      <c r="L107" s="16" t="s">
        <v>27</v>
      </c>
      <c r="M107" s="16" t="s">
        <v>27</v>
      </c>
      <c r="N107" s="16" t="s">
        <v>27</v>
      </c>
      <c r="O107" s="16" t="s">
        <v>27</v>
      </c>
      <c r="P107" s="16" t="s">
        <v>27</v>
      </c>
    </row>
    <row r="108" spans="1:55" x14ac:dyDescent="0.2">
      <c r="A108" s="13" t="s">
        <v>83</v>
      </c>
      <c r="B108" s="1">
        <v>1908383</v>
      </c>
      <c r="C108" s="1">
        <v>1908383</v>
      </c>
      <c r="D108" s="1">
        <v>1908383</v>
      </c>
      <c r="E108" s="1">
        <v>1677920</v>
      </c>
      <c r="F108" s="1">
        <v>1677920</v>
      </c>
      <c r="G108" s="1">
        <v>1677920</v>
      </c>
      <c r="H108" s="1">
        <v>1677920</v>
      </c>
      <c r="I108" s="1">
        <v>1677920</v>
      </c>
      <c r="J108" s="1">
        <v>1677920</v>
      </c>
      <c r="K108" s="1">
        <v>1677920</v>
      </c>
      <c r="L108" s="1">
        <v>1677920</v>
      </c>
      <c r="M108" s="1">
        <v>1677920</v>
      </c>
      <c r="N108" s="1">
        <v>1677920</v>
      </c>
      <c r="O108" s="1">
        <v>22504347</v>
      </c>
      <c r="P108" s="1">
        <v>1731104</v>
      </c>
    </row>
    <row r="109" spans="1:55" x14ac:dyDescent="0.2">
      <c r="B109" s="16" t="s">
        <v>50</v>
      </c>
      <c r="C109" s="16" t="s">
        <v>50</v>
      </c>
      <c r="D109" s="16" t="s">
        <v>50</v>
      </c>
      <c r="E109" s="16" t="s">
        <v>50</v>
      </c>
      <c r="F109" s="16" t="s">
        <v>50</v>
      </c>
      <c r="G109" s="16" t="s">
        <v>50</v>
      </c>
      <c r="H109" s="16" t="s">
        <v>50</v>
      </c>
      <c r="I109" s="16" t="s">
        <v>50</v>
      </c>
      <c r="J109" s="16" t="s">
        <v>50</v>
      </c>
      <c r="K109" s="16" t="s">
        <v>50</v>
      </c>
      <c r="L109" s="16" t="s">
        <v>50</v>
      </c>
      <c r="M109" s="16" t="s">
        <v>50</v>
      </c>
      <c r="N109" s="16" t="s">
        <v>50</v>
      </c>
      <c r="O109" s="16" t="s">
        <v>50</v>
      </c>
      <c r="P109" s="16" t="s">
        <v>50</v>
      </c>
    </row>
    <row r="110" spans="1:55" x14ac:dyDescent="0.2">
      <c r="A110" s="13" t="s">
        <v>84</v>
      </c>
      <c r="B110" s="1">
        <v>-249866</v>
      </c>
      <c r="C110" s="1">
        <v>-288010</v>
      </c>
      <c r="D110" s="1">
        <v>-326260</v>
      </c>
      <c r="E110" s="1">
        <v>-365010</v>
      </c>
      <c r="F110" s="1">
        <v>-403871</v>
      </c>
      <c r="G110" s="1">
        <v>-442842</v>
      </c>
      <c r="H110" s="1">
        <v>-481924</v>
      </c>
      <c r="I110" s="1">
        <v>-521119</v>
      </c>
      <c r="J110" s="1">
        <v>-560428</v>
      </c>
      <c r="K110" s="1">
        <v>-599852</v>
      </c>
      <c r="L110" s="1">
        <v>-639392</v>
      </c>
      <c r="M110" s="1">
        <v>-679048</v>
      </c>
      <c r="N110" s="1">
        <v>-718820</v>
      </c>
      <c r="O110" s="1">
        <v>-6276442</v>
      </c>
      <c r="P110" s="1">
        <v>-482803</v>
      </c>
    </row>
    <row r="115" spans="1:258" x14ac:dyDescent="0.2">
      <c r="A115" s="13" t="s">
        <v>51</v>
      </c>
      <c r="P115" s="24" t="s">
        <v>52</v>
      </c>
    </row>
    <row r="116" spans="1:258" x14ac:dyDescent="0.2">
      <c r="A116" s="13" t="s">
        <v>53</v>
      </c>
      <c r="P116" s="24" t="s">
        <v>54</v>
      </c>
    </row>
    <row r="119" spans="1:258" x14ac:dyDescent="0.2">
      <c r="A119" s="31" t="s">
        <v>100</v>
      </c>
      <c r="B119" s="1">
        <f>+B73+B75</f>
        <v>662950</v>
      </c>
      <c r="C119" s="1">
        <f t="shared" ref="C119:H119" si="47">+C73+C75</f>
        <v>663450</v>
      </c>
      <c r="D119" s="1">
        <f t="shared" si="47"/>
        <v>663950</v>
      </c>
      <c r="E119" s="1">
        <f t="shared" si="47"/>
        <v>664450</v>
      </c>
      <c r="F119" s="1">
        <f t="shared" si="47"/>
        <v>664950</v>
      </c>
      <c r="G119" s="1">
        <f t="shared" si="47"/>
        <v>665450</v>
      </c>
      <c r="H119" s="1">
        <f t="shared" si="47"/>
        <v>679697</v>
      </c>
      <c r="I119" s="1">
        <f t="shared" ref="I119:N119" si="48">+I73+I75</f>
        <v>676071</v>
      </c>
      <c r="J119" s="1">
        <f t="shared" si="48"/>
        <v>687045</v>
      </c>
      <c r="K119" s="1">
        <f t="shared" si="48"/>
        <v>697934</v>
      </c>
      <c r="L119" s="1">
        <f t="shared" si="48"/>
        <v>709005</v>
      </c>
      <c r="M119" s="1">
        <f t="shared" si="48"/>
        <v>705567</v>
      </c>
      <c r="N119" s="1">
        <f t="shared" si="48"/>
        <v>700152</v>
      </c>
      <c r="O119" s="1">
        <f t="shared" ref="O119:P119" si="49">+O73+O75</f>
        <v>8840672</v>
      </c>
      <c r="P119" s="1">
        <f t="shared" si="49"/>
        <v>680052</v>
      </c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  <c r="IX119" s="31"/>
    </row>
    <row r="120" spans="1:258" x14ac:dyDescent="0.2">
      <c r="A120" s="31" t="s">
        <v>101</v>
      </c>
      <c r="B120" s="1">
        <f>+B12+B14</f>
        <v>338841800</v>
      </c>
      <c r="C120" s="1">
        <f>+C12+C14</f>
        <v>341294819</v>
      </c>
      <c r="D120" s="1">
        <f>+D12+D14</f>
        <v>343820077</v>
      </c>
      <c r="E120" s="1">
        <f t="shared" ref="E120:N120" si="50">+E12+E14</f>
        <v>348173268</v>
      </c>
      <c r="F120" s="1">
        <f t="shared" si="50"/>
        <v>350136478</v>
      </c>
      <c r="G120" s="1">
        <f t="shared" si="50"/>
        <v>352124234</v>
      </c>
      <c r="H120" s="1">
        <f t="shared" si="50"/>
        <v>356403813</v>
      </c>
      <c r="I120" s="1">
        <f t="shared" si="50"/>
        <v>357991457</v>
      </c>
      <c r="J120" s="1">
        <f t="shared" si="50"/>
        <v>362662264</v>
      </c>
      <c r="K120" s="1">
        <f t="shared" si="50"/>
        <v>364398557</v>
      </c>
      <c r="L120" s="1">
        <f t="shared" si="50"/>
        <v>365922550</v>
      </c>
      <c r="M120" s="1">
        <f t="shared" si="50"/>
        <v>368063338</v>
      </c>
      <c r="N120" s="1">
        <f t="shared" si="50"/>
        <v>374740818</v>
      </c>
      <c r="O120" s="1">
        <f t="shared" ref="O120:P120" si="51">+O12+O14</f>
        <v>4624573475</v>
      </c>
      <c r="P120" s="1">
        <f t="shared" si="51"/>
        <v>355736421</v>
      </c>
      <c r="Q120" s="5" t="s">
        <v>129</v>
      </c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  <c r="IX120" s="31"/>
    </row>
    <row r="122" spans="1:258" x14ac:dyDescent="0.2">
      <c r="A122" s="32" t="s">
        <v>45</v>
      </c>
    </row>
    <row r="123" spans="1:258" x14ac:dyDescent="0.2">
      <c r="A123" s="1" t="str">
        <f>[1]FN!A$182</f>
        <v>GRIP Clearing - Miscellaneous Deferred Debits GRIP</v>
      </c>
      <c r="B123" s="1">
        <f>[1]FN!C$182</f>
        <v>0</v>
      </c>
      <c r="C123" s="1">
        <f>[1]FN!D$182</f>
        <v>0</v>
      </c>
      <c r="D123" s="1">
        <f>[1]FN!E$182</f>
        <v>0</v>
      </c>
      <c r="E123" s="1">
        <f>[1]FN!F$182</f>
        <v>0</v>
      </c>
      <c r="F123" s="1">
        <f>[1]FN!G$182</f>
        <v>0</v>
      </c>
      <c r="G123" s="1">
        <f>[1]FN!H$182</f>
        <v>0</v>
      </c>
      <c r="H123" s="1">
        <f>[1]FN!I$182</f>
        <v>0</v>
      </c>
      <c r="I123" s="1">
        <f>[1]FN!J$182</f>
        <v>246006</v>
      </c>
      <c r="J123" s="1">
        <f>[1]FN!K$182</f>
        <v>657100</v>
      </c>
      <c r="K123" s="1">
        <f>[1]FN!L$182</f>
        <v>1028609</v>
      </c>
      <c r="L123" s="1">
        <f>[1]FN!M$182</f>
        <v>1430062</v>
      </c>
      <c r="M123" s="1">
        <f>[1]FN!N$182</f>
        <v>1688294</v>
      </c>
      <c r="N123" s="1">
        <f>[1]FN!O$182</f>
        <v>1786752</v>
      </c>
      <c r="O123" s="1">
        <f>[1]FN!P$182</f>
        <v>6836823</v>
      </c>
      <c r="P123" s="1">
        <f>[1]FN!Q$182</f>
        <v>525909</v>
      </c>
      <c r="V123" s="33" t="s">
        <v>169</v>
      </c>
      <c r="W123" s="33"/>
    </row>
    <row r="124" spans="1:258" x14ac:dyDescent="0.2">
      <c r="A124" s="1" t="str">
        <f>[1]FN!A$183</f>
        <v>Unrecovered PGC-DB CLR - Miscellaneous Deferred Debits</v>
      </c>
      <c r="B124" s="1">
        <f>[1]FN!C$183</f>
        <v>179296</v>
      </c>
      <c r="C124" s="1">
        <f>[1]FN!D$183</f>
        <v>0</v>
      </c>
      <c r="D124" s="1">
        <f>[1]FN!E$183</f>
        <v>0</v>
      </c>
      <c r="E124" s="1">
        <f>[1]FN!F$183</f>
        <v>0</v>
      </c>
      <c r="F124" s="1">
        <f>[1]FN!G$183</f>
        <v>0</v>
      </c>
      <c r="G124" s="1">
        <f>[1]FN!H$183</f>
        <v>0</v>
      </c>
      <c r="H124" s="1">
        <f>[1]FN!I$183</f>
        <v>0</v>
      </c>
      <c r="I124" s="1">
        <f>[1]FN!J$183</f>
        <v>0</v>
      </c>
      <c r="J124" s="1">
        <f>[1]FN!K$183</f>
        <v>0</v>
      </c>
      <c r="K124" s="1">
        <f>[1]FN!L$183</f>
        <v>0</v>
      </c>
      <c r="L124" s="1">
        <f>[1]FN!M$183</f>
        <v>0</v>
      </c>
      <c r="M124" s="1">
        <f>[1]FN!N$183</f>
        <v>0</v>
      </c>
      <c r="N124" s="1">
        <f>[1]FN!O$183</f>
        <v>1378445</v>
      </c>
      <c r="O124" s="1">
        <f>[1]FN!P$183</f>
        <v>1557741</v>
      </c>
      <c r="P124" s="1">
        <f>[1]FN!Q$183</f>
        <v>119826</v>
      </c>
      <c r="V124" s="33" t="s">
        <v>169</v>
      </c>
      <c r="W124" s="33"/>
    </row>
    <row r="125" spans="1:258" x14ac:dyDescent="0.2">
      <c r="A125" s="1" t="str">
        <f>[1]FN!A$193</f>
        <v>Deferred Rate Case - Miscellaneous Deferred Debits</v>
      </c>
      <c r="B125" s="1">
        <f>[1]FN!C$193</f>
        <v>0</v>
      </c>
      <c r="C125" s="1">
        <f>[1]FN!D$193</f>
        <v>701</v>
      </c>
      <c r="D125" s="1">
        <f>[1]FN!E$193</f>
        <v>7198</v>
      </c>
      <c r="E125" s="1">
        <f>[1]FN!F$193</f>
        <v>20113</v>
      </c>
      <c r="F125" s="1">
        <f>[1]FN!G$193</f>
        <v>25354</v>
      </c>
      <c r="G125" s="1">
        <f>[1]FN!H$193</f>
        <v>28441</v>
      </c>
      <c r="H125" s="1">
        <f>[1]FN!I$193</f>
        <v>34488</v>
      </c>
      <c r="I125" s="1">
        <f>[1]FN!J$193</f>
        <v>39304</v>
      </c>
      <c r="J125" s="1">
        <f>[1]FN!K$193</f>
        <v>66450</v>
      </c>
      <c r="K125" s="1">
        <f>[1]FN!L$193</f>
        <v>74394</v>
      </c>
      <c r="L125" s="1">
        <f>[1]FN!M$193</f>
        <v>108375</v>
      </c>
      <c r="M125" s="1">
        <f>[1]FN!N$193</f>
        <v>135703</v>
      </c>
      <c r="N125" s="1">
        <f>[1]FN!O$193</f>
        <v>289795</v>
      </c>
      <c r="O125" s="1">
        <f>[1]FN!P$193</f>
        <v>830315</v>
      </c>
      <c r="P125" s="1">
        <f>[1]FN!Q$193</f>
        <v>63870</v>
      </c>
      <c r="Q125" s="5" t="s">
        <v>127</v>
      </c>
      <c r="V125" s="33" t="s">
        <v>169</v>
      </c>
      <c r="W125" s="33"/>
    </row>
    <row r="126" spans="1:258" x14ac:dyDescent="0.2">
      <c r="A126" s="1" t="str">
        <f>[1]FN!A$194</f>
        <v>Unrecovered Piping &amp; Conversion - Miscellaneous Deferred Debits</v>
      </c>
      <c r="B126" s="1">
        <f>[1]FN!C$194</f>
        <v>838066</v>
      </c>
      <c r="C126" s="1">
        <f>[1]FN!D$194</f>
        <v>831653</v>
      </c>
      <c r="D126" s="1">
        <f>[1]FN!E$194</f>
        <v>839270</v>
      </c>
      <c r="E126" s="1">
        <f>[1]FN!F$194</f>
        <v>849797</v>
      </c>
      <c r="F126" s="1">
        <f>[1]FN!G$194</f>
        <v>845906</v>
      </c>
      <c r="G126" s="1">
        <f>[1]FN!H$194</f>
        <v>848124</v>
      </c>
      <c r="H126" s="1">
        <f>[1]FN!I$194</f>
        <v>836174</v>
      </c>
      <c r="I126" s="1">
        <f>[1]FN!J$194</f>
        <v>833053</v>
      </c>
      <c r="J126" s="1">
        <f>[1]FN!K$194</f>
        <v>820396</v>
      </c>
      <c r="K126" s="1">
        <f>[1]FN!L$194</f>
        <v>808954</v>
      </c>
      <c r="L126" s="1">
        <f>[1]FN!M$194</f>
        <v>801912</v>
      </c>
      <c r="M126" s="1">
        <f>[1]FN!N$194</f>
        <v>797380</v>
      </c>
      <c r="N126" s="1">
        <f>[1]FN!O$194</f>
        <v>783396</v>
      </c>
      <c r="O126" s="1">
        <f>[1]FN!P$194</f>
        <v>10734082</v>
      </c>
      <c r="P126" s="1">
        <f>[1]FN!Q$194</f>
        <v>825699</v>
      </c>
      <c r="V126" s="33" t="s">
        <v>169</v>
      </c>
      <c r="W126" s="33"/>
    </row>
    <row r="127" spans="1:258" x14ac:dyDescent="0.2">
      <c r="A127" s="1" t="str">
        <f>[1]FN!A$212</f>
        <v>Goodwill - Intangibles</v>
      </c>
      <c r="B127" s="1">
        <f>[1]FN!C$212</f>
        <v>2469682</v>
      </c>
      <c r="C127" s="1">
        <f>[1]FN!D$212</f>
        <v>2469682</v>
      </c>
      <c r="D127" s="1">
        <f>[1]FN!E$212</f>
        <v>2469682</v>
      </c>
      <c r="E127" s="1">
        <f>[1]FN!F$212</f>
        <v>2469682</v>
      </c>
      <c r="F127" s="1">
        <f>[1]FN!G$212</f>
        <v>2469682</v>
      </c>
      <c r="G127" s="1">
        <f>[1]FN!H$212</f>
        <v>2469682</v>
      </c>
      <c r="H127" s="1">
        <f>[1]FN!I$212</f>
        <v>2469682</v>
      </c>
      <c r="I127" s="1">
        <f>[1]FN!J$212</f>
        <v>2469682</v>
      </c>
      <c r="J127" s="1">
        <f>[1]FN!K$212</f>
        <v>2469682</v>
      </c>
      <c r="K127" s="1">
        <f>[1]FN!L$212</f>
        <v>2469682</v>
      </c>
      <c r="L127" s="1">
        <f>[1]FN!M$212</f>
        <v>2469682</v>
      </c>
      <c r="M127" s="1">
        <f>[1]FN!N$212</f>
        <v>2469682</v>
      </c>
      <c r="N127" s="1">
        <f>[1]FN!O$212</f>
        <v>2469682</v>
      </c>
      <c r="O127" s="1">
        <f>[1]FN!P$212</f>
        <v>32105863</v>
      </c>
      <c r="P127" s="1">
        <f>[1]FN!Q$212</f>
        <v>2469682</v>
      </c>
      <c r="Q127" s="5" t="s">
        <v>127</v>
      </c>
      <c r="V127" s="33" t="s">
        <v>169</v>
      </c>
      <c r="W127" s="33"/>
    </row>
    <row r="128" spans="1:258" x14ac:dyDescent="0.2">
      <c r="A128" s="40" t="s">
        <v>18</v>
      </c>
      <c r="B128" s="41">
        <f>SUM(B123:B127)</f>
        <v>3487044</v>
      </c>
      <c r="C128" s="41">
        <f t="shared" ref="C128:P128" si="52">SUM(C123:C127)</f>
        <v>3302036</v>
      </c>
      <c r="D128" s="41">
        <f t="shared" si="52"/>
        <v>3316150</v>
      </c>
      <c r="E128" s="41">
        <f t="shared" si="52"/>
        <v>3339592</v>
      </c>
      <c r="F128" s="41">
        <f t="shared" si="52"/>
        <v>3340942</v>
      </c>
      <c r="G128" s="41">
        <f t="shared" si="52"/>
        <v>3346247</v>
      </c>
      <c r="H128" s="41">
        <f t="shared" si="52"/>
        <v>3340344</v>
      </c>
      <c r="I128" s="41">
        <f t="shared" si="52"/>
        <v>3588045</v>
      </c>
      <c r="J128" s="41">
        <f t="shared" si="52"/>
        <v>4013628</v>
      </c>
      <c r="K128" s="41">
        <f t="shared" si="52"/>
        <v>4381639</v>
      </c>
      <c r="L128" s="41">
        <f t="shared" si="52"/>
        <v>4810031</v>
      </c>
      <c r="M128" s="41">
        <f t="shared" si="52"/>
        <v>5091059</v>
      </c>
      <c r="N128" s="41">
        <f t="shared" si="52"/>
        <v>6708070</v>
      </c>
      <c r="O128" s="41">
        <f t="shared" si="52"/>
        <v>52064824</v>
      </c>
      <c r="P128" s="41">
        <f t="shared" si="52"/>
        <v>4004986</v>
      </c>
    </row>
    <row r="129" spans="1:17" x14ac:dyDescent="0.2">
      <c r="A129" s="5" t="s">
        <v>168</v>
      </c>
      <c r="B129" s="1">
        <f>+B125+B127</f>
        <v>2469682</v>
      </c>
      <c r="C129" s="1">
        <f>+C125+C127</f>
        <v>2470383</v>
      </c>
      <c r="D129" s="1">
        <f>+D125+D127</f>
        <v>2476880</v>
      </c>
      <c r="E129" s="1">
        <f t="shared" ref="E129:G129" si="53">+E125+E127</f>
        <v>2489795</v>
      </c>
      <c r="F129" s="1">
        <f t="shared" si="53"/>
        <v>2495036</v>
      </c>
      <c r="G129" s="1">
        <f t="shared" si="53"/>
        <v>2498123</v>
      </c>
      <c r="H129" s="1">
        <f>+H125+H127</f>
        <v>2504170</v>
      </c>
      <c r="I129" s="1">
        <f t="shared" ref="I129:P129" si="54">+I125+I127</f>
        <v>2508986</v>
      </c>
      <c r="J129" s="1">
        <f t="shared" si="54"/>
        <v>2536132</v>
      </c>
      <c r="K129" s="1">
        <f t="shared" si="54"/>
        <v>2544076</v>
      </c>
      <c r="L129" s="1">
        <f t="shared" si="54"/>
        <v>2578057</v>
      </c>
      <c r="M129" s="1">
        <f t="shared" si="54"/>
        <v>2605385</v>
      </c>
      <c r="N129" s="1">
        <f>+N125+N127</f>
        <v>2759477</v>
      </c>
      <c r="O129" s="1">
        <f t="shared" si="54"/>
        <v>32936178</v>
      </c>
      <c r="P129" s="1">
        <f t="shared" si="54"/>
        <v>2533552</v>
      </c>
      <c r="Q129" s="5" t="s">
        <v>127</v>
      </c>
    </row>
    <row r="130" spans="1:17" x14ac:dyDescent="0.2">
      <c r="A130" s="5" t="s">
        <v>130</v>
      </c>
      <c r="B130" s="1">
        <f>+B128-B129</f>
        <v>1017362</v>
      </c>
      <c r="C130" s="1">
        <f t="shared" ref="C130:P130" si="55">+C128-C129</f>
        <v>831653</v>
      </c>
      <c r="D130" s="1">
        <f t="shared" si="55"/>
        <v>839270</v>
      </c>
      <c r="E130" s="1">
        <f t="shared" si="55"/>
        <v>849797</v>
      </c>
      <c r="F130" s="1">
        <f t="shared" si="55"/>
        <v>845906</v>
      </c>
      <c r="G130" s="1">
        <f t="shared" si="55"/>
        <v>848124</v>
      </c>
      <c r="H130" s="1">
        <f t="shared" si="55"/>
        <v>836174</v>
      </c>
      <c r="I130" s="1">
        <f t="shared" si="55"/>
        <v>1079059</v>
      </c>
      <c r="J130" s="1">
        <f t="shared" si="55"/>
        <v>1477496</v>
      </c>
      <c r="K130" s="1">
        <f t="shared" si="55"/>
        <v>1837563</v>
      </c>
      <c r="L130" s="1">
        <f t="shared" si="55"/>
        <v>2231974</v>
      </c>
      <c r="M130" s="1">
        <f t="shared" si="55"/>
        <v>2485674</v>
      </c>
      <c r="N130" s="1">
        <f>+N128-N129</f>
        <v>3948593</v>
      </c>
      <c r="O130" s="1">
        <f t="shared" si="55"/>
        <v>19128646</v>
      </c>
      <c r="P130" s="1">
        <f t="shared" si="55"/>
        <v>1471434</v>
      </c>
      <c r="Q130" s="5" t="s">
        <v>127</v>
      </c>
    </row>
    <row r="133" spans="1:17" ht="15" x14ac:dyDescent="0.35">
      <c r="A133" s="36" t="s">
        <v>126</v>
      </c>
    </row>
    <row r="134" spans="1:17" x14ac:dyDescent="0.2">
      <c r="A134" s="28" t="str">
        <f>+A16</f>
        <v xml:space="preserve">  108 - Accumulated depr &amp; amort</v>
      </c>
      <c r="B134" s="28">
        <f>B16</f>
        <v>-81786804</v>
      </c>
      <c r="C134" s="28">
        <f t="shared" ref="C134:P134" si="56">C16</f>
        <v>-82416477</v>
      </c>
      <c r="D134" s="28">
        <f t="shared" si="56"/>
        <v>-83162699</v>
      </c>
      <c r="E134" s="28">
        <f t="shared" si="56"/>
        <v>-83759100</v>
      </c>
      <c r="F134" s="28">
        <f t="shared" si="56"/>
        <v>-84345828</v>
      </c>
      <c r="G134" s="28">
        <f t="shared" si="56"/>
        <v>-85108751</v>
      </c>
      <c r="H134" s="28">
        <f t="shared" si="56"/>
        <v>-85730712</v>
      </c>
      <c r="I134" s="28">
        <f t="shared" si="56"/>
        <v>-86452323</v>
      </c>
      <c r="J134" s="28">
        <f t="shared" si="56"/>
        <v>-87163389</v>
      </c>
      <c r="K134" s="28">
        <f t="shared" si="56"/>
        <v>-87558091</v>
      </c>
      <c r="L134" s="28">
        <f t="shared" si="56"/>
        <v>-88230210</v>
      </c>
      <c r="M134" s="28">
        <f t="shared" si="56"/>
        <v>-88827253</v>
      </c>
      <c r="N134" s="28">
        <f t="shared" si="56"/>
        <v>-88528685</v>
      </c>
      <c r="O134" s="28">
        <f t="shared" si="56"/>
        <v>-1113070323</v>
      </c>
      <c r="P134" s="28">
        <f t="shared" si="56"/>
        <v>-85620794</v>
      </c>
    </row>
    <row r="135" spans="1:17" x14ac:dyDescent="0.2">
      <c r="A135" s="19" t="str">
        <f>+[2]FN!A$207</f>
        <v>Lease Amort-RoU Asset 101.1 - Capital Leases</v>
      </c>
      <c r="B135" s="1">
        <f>[1]FN!C$207</f>
        <v>-249866</v>
      </c>
      <c r="C135" s="1">
        <f>[1]FN!D$207</f>
        <v>-288010</v>
      </c>
      <c r="D135" s="1">
        <f>[1]FN!E$207</f>
        <v>-326260</v>
      </c>
      <c r="E135" s="1">
        <f>[1]FN!F$207</f>
        <v>-365010</v>
      </c>
      <c r="F135" s="1">
        <f>[1]FN!G$207</f>
        <v>-403871</v>
      </c>
      <c r="G135" s="1">
        <f>[1]FN!H$207</f>
        <v>-442842</v>
      </c>
      <c r="H135" s="1">
        <f>[1]FN!I$207</f>
        <v>-481924</v>
      </c>
      <c r="I135" s="1">
        <f>[1]FN!J$207</f>
        <v>-521119</v>
      </c>
      <c r="J135" s="1">
        <f>[1]FN!K$207</f>
        <v>-560428</v>
      </c>
      <c r="K135" s="1">
        <f>[1]FN!L$207</f>
        <v>-599852</v>
      </c>
      <c r="L135" s="1">
        <f>[1]FN!M$207</f>
        <v>-639392</v>
      </c>
      <c r="M135" s="1">
        <f>[1]FN!N$207</f>
        <v>-679048</v>
      </c>
      <c r="N135" s="1">
        <f>[1]FN!O$207</f>
        <v>-718820</v>
      </c>
      <c r="O135" s="1">
        <f>[1]FN!P$207</f>
        <v>-6276442</v>
      </c>
      <c r="P135" s="1">
        <f>[1]FN!Q$207</f>
        <v>-482803</v>
      </c>
    </row>
    <row r="136" spans="1:17" x14ac:dyDescent="0.2">
      <c r="A136" s="19" t="str">
        <f>+[2]FN!A$108</f>
        <v>RWIP - Retirement Work in Progress</v>
      </c>
      <c r="B136" s="19">
        <f>SUM([1]FN!C$108:C$110)</f>
        <v>319315</v>
      </c>
      <c r="C136" s="19">
        <f>SUM([1]FN!D$108:D$110)</f>
        <v>332796</v>
      </c>
      <c r="D136" s="19">
        <f>SUM([1]FN!E$108:E$110)</f>
        <v>345394</v>
      </c>
      <c r="E136" s="19">
        <f>SUM([1]FN!F$108:F$110)</f>
        <v>413665</v>
      </c>
      <c r="F136" s="19">
        <f>SUM([1]FN!G$108:G$110)</f>
        <v>508245</v>
      </c>
      <c r="G136" s="19">
        <f>SUM([1]FN!H$108:H$110)</f>
        <v>555559</v>
      </c>
      <c r="H136" s="19">
        <f>SUM([1]FN!I$108:I$110)</f>
        <v>589946</v>
      </c>
      <c r="I136" s="19">
        <f>SUM([1]FN!J$108:J$110)</f>
        <v>652914</v>
      </c>
      <c r="J136" s="19">
        <f>SUM([1]FN!K$108:K$110)</f>
        <v>719237</v>
      </c>
      <c r="K136" s="19">
        <f>SUM([1]FN!L$108:L$110)</f>
        <v>820897</v>
      </c>
      <c r="L136" s="19">
        <f>SUM([1]FN!M$108:M$110)</f>
        <v>884648</v>
      </c>
      <c r="M136" s="19">
        <f>SUM([1]FN!N$108:N$110)</f>
        <v>1043871</v>
      </c>
      <c r="N136" s="19">
        <f>SUM([1]FN!O$108:O$110)</f>
        <v>849226</v>
      </c>
      <c r="O136" s="19">
        <f>SUM([1]FN!P$108:P$110)</f>
        <v>8035712</v>
      </c>
      <c r="P136" s="19">
        <f>SUM([1]FN!Q$108:Q$110)</f>
        <v>618132</v>
      </c>
      <c r="Q136" s="5" t="s">
        <v>127</v>
      </c>
    </row>
    <row r="137" spans="1:17" ht="13.5" thickBot="1" x14ac:dyDescent="0.25">
      <c r="A137" s="19"/>
      <c r="B137" s="42">
        <f>+B134-B135-B136</f>
        <v>-81856253</v>
      </c>
      <c r="C137" s="42">
        <f t="shared" ref="C137:P137" si="57">+C134-C135-C136</f>
        <v>-82461263</v>
      </c>
      <c r="D137" s="42">
        <f t="shared" si="57"/>
        <v>-83181833</v>
      </c>
      <c r="E137" s="42">
        <f t="shared" si="57"/>
        <v>-83807755</v>
      </c>
      <c r="F137" s="42">
        <f t="shared" si="57"/>
        <v>-84450202</v>
      </c>
      <c r="G137" s="42">
        <f t="shared" si="57"/>
        <v>-85221468</v>
      </c>
      <c r="H137" s="42">
        <f t="shared" si="57"/>
        <v>-85838734</v>
      </c>
      <c r="I137" s="42">
        <f t="shared" si="57"/>
        <v>-86584118</v>
      </c>
      <c r="J137" s="42">
        <f t="shared" si="57"/>
        <v>-87322198</v>
      </c>
      <c r="K137" s="42">
        <f t="shared" si="57"/>
        <v>-87779136</v>
      </c>
      <c r="L137" s="42">
        <f t="shared" si="57"/>
        <v>-88475466</v>
      </c>
      <c r="M137" s="42">
        <f t="shared" si="57"/>
        <v>-89192076</v>
      </c>
      <c r="N137" s="42">
        <f t="shared" si="57"/>
        <v>-88659091</v>
      </c>
      <c r="O137" s="42">
        <f t="shared" si="57"/>
        <v>-1114829593</v>
      </c>
      <c r="P137" s="42">
        <f t="shared" si="57"/>
        <v>-85756123</v>
      </c>
      <c r="Q137" s="5" t="s">
        <v>127</v>
      </c>
    </row>
    <row r="138" spans="1:17" ht="13.5" thickTop="1" x14ac:dyDescent="0.2">
      <c r="A138" s="19"/>
    </row>
    <row r="139" spans="1:17" ht="15" x14ac:dyDescent="0.35">
      <c r="A139" s="36" t="s">
        <v>123</v>
      </c>
    </row>
    <row r="140" spans="1:17" x14ac:dyDescent="0.2">
      <c r="A140" s="19" t="str">
        <f>+A106</f>
        <v xml:space="preserve">  101L**** (operating leases)</v>
      </c>
      <c r="B140" s="1">
        <f>+B106</f>
        <v>1908383</v>
      </c>
      <c r="C140" s="1">
        <f t="shared" ref="C140:P140" si="58">+C106</f>
        <v>1908383</v>
      </c>
      <c r="D140" s="1">
        <f t="shared" si="58"/>
        <v>1908383</v>
      </c>
      <c r="E140" s="1">
        <f t="shared" si="58"/>
        <v>1677920</v>
      </c>
      <c r="F140" s="1">
        <f t="shared" si="58"/>
        <v>1677920</v>
      </c>
      <c r="G140" s="1">
        <f t="shared" si="58"/>
        <v>1677920</v>
      </c>
      <c r="H140" s="1">
        <f t="shared" si="58"/>
        <v>1677920</v>
      </c>
      <c r="I140" s="1">
        <f t="shared" si="58"/>
        <v>1677920</v>
      </c>
      <c r="J140" s="1">
        <f t="shared" si="58"/>
        <v>1677920</v>
      </c>
      <c r="K140" s="1">
        <f t="shared" si="58"/>
        <v>1677920</v>
      </c>
      <c r="L140" s="1">
        <f t="shared" si="58"/>
        <v>1677920</v>
      </c>
      <c r="M140" s="1">
        <f t="shared" si="58"/>
        <v>1677920</v>
      </c>
      <c r="N140" s="1">
        <f t="shared" si="58"/>
        <v>1677920</v>
      </c>
      <c r="O140" s="1">
        <f t="shared" si="58"/>
        <v>22504347</v>
      </c>
      <c r="P140" s="1">
        <f t="shared" si="58"/>
        <v>1731104</v>
      </c>
    </row>
    <row r="141" spans="1:17" x14ac:dyDescent="0.2">
      <c r="A141" s="26" t="str">
        <f>+A110</f>
        <v xml:space="preserve">  Lease amort in 108</v>
      </c>
      <c r="B141" s="1">
        <f>+B110</f>
        <v>-249866</v>
      </c>
      <c r="C141" s="1">
        <f t="shared" ref="C141:P141" si="59">+C110</f>
        <v>-288010</v>
      </c>
      <c r="D141" s="1">
        <f t="shared" si="59"/>
        <v>-326260</v>
      </c>
      <c r="E141" s="1">
        <f t="shared" si="59"/>
        <v>-365010</v>
      </c>
      <c r="F141" s="1">
        <f t="shared" si="59"/>
        <v>-403871</v>
      </c>
      <c r="G141" s="1">
        <f t="shared" si="59"/>
        <v>-442842</v>
      </c>
      <c r="H141" s="1">
        <f t="shared" si="59"/>
        <v>-481924</v>
      </c>
      <c r="I141" s="1">
        <f t="shared" si="59"/>
        <v>-521119</v>
      </c>
      <c r="J141" s="1">
        <f t="shared" si="59"/>
        <v>-560428</v>
      </c>
      <c r="K141" s="1">
        <f t="shared" si="59"/>
        <v>-599852</v>
      </c>
      <c r="L141" s="1">
        <f t="shared" si="59"/>
        <v>-639392</v>
      </c>
      <c r="M141" s="1">
        <f t="shared" si="59"/>
        <v>-679048</v>
      </c>
      <c r="N141" s="1">
        <f t="shared" si="59"/>
        <v>-718820</v>
      </c>
      <c r="O141" s="1">
        <f t="shared" si="59"/>
        <v>-6276442</v>
      </c>
      <c r="P141" s="1">
        <f t="shared" si="59"/>
        <v>-482803</v>
      </c>
    </row>
    <row r="142" spans="1:17" ht="13.5" thickBot="1" x14ac:dyDescent="0.25">
      <c r="A142" s="19" t="s">
        <v>128</v>
      </c>
      <c r="B142" s="42">
        <f>SUM(B140:B141)</f>
        <v>1658517</v>
      </c>
      <c r="C142" s="42">
        <f t="shared" ref="C142:P142" si="60">SUM(C140:C141)</f>
        <v>1620373</v>
      </c>
      <c r="D142" s="42">
        <f t="shared" si="60"/>
        <v>1582123</v>
      </c>
      <c r="E142" s="42">
        <f t="shared" si="60"/>
        <v>1312910</v>
      </c>
      <c r="F142" s="42">
        <f t="shared" si="60"/>
        <v>1274049</v>
      </c>
      <c r="G142" s="42">
        <f t="shared" si="60"/>
        <v>1235078</v>
      </c>
      <c r="H142" s="42">
        <f t="shared" si="60"/>
        <v>1195996</v>
      </c>
      <c r="I142" s="42">
        <f t="shared" si="60"/>
        <v>1156801</v>
      </c>
      <c r="J142" s="42">
        <f t="shared" si="60"/>
        <v>1117492</v>
      </c>
      <c r="K142" s="42">
        <f t="shared" si="60"/>
        <v>1078068</v>
      </c>
      <c r="L142" s="42">
        <f t="shared" si="60"/>
        <v>1038528</v>
      </c>
      <c r="M142" s="42">
        <f t="shared" si="60"/>
        <v>998872</v>
      </c>
      <c r="N142" s="42">
        <f t="shared" si="60"/>
        <v>959100</v>
      </c>
      <c r="O142" s="42">
        <f t="shared" si="60"/>
        <v>16227905</v>
      </c>
      <c r="P142" s="42">
        <f t="shared" si="60"/>
        <v>1248301</v>
      </c>
      <c r="Q142" s="5" t="s">
        <v>127</v>
      </c>
    </row>
    <row r="143" spans="1:17" ht="13.5" thickTop="1" x14ac:dyDescent="0.2"/>
    <row r="145" spans="1:22" x14ac:dyDescent="0.2">
      <c r="A145" s="5" t="s">
        <v>202</v>
      </c>
      <c r="B145" s="1">
        <f>+B97+B98</f>
        <v>31625044</v>
      </c>
      <c r="C145" s="1">
        <f t="shared" ref="C145:P145" si="61">+C97+C98</f>
        <v>31597199</v>
      </c>
      <c r="D145" s="1">
        <f t="shared" si="61"/>
        <v>31569353</v>
      </c>
      <c r="E145" s="1">
        <f t="shared" si="61"/>
        <v>31955448</v>
      </c>
      <c r="F145" s="1">
        <f t="shared" si="61"/>
        <v>31927603</v>
      </c>
      <c r="G145" s="1">
        <f t="shared" si="61"/>
        <v>31899757</v>
      </c>
      <c r="H145" s="1">
        <f t="shared" si="61"/>
        <v>32567446</v>
      </c>
      <c r="I145" s="1">
        <f t="shared" si="61"/>
        <v>32539601</v>
      </c>
      <c r="J145" s="1">
        <f t="shared" si="61"/>
        <v>32511756</v>
      </c>
      <c r="K145" s="1">
        <f t="shared" si="61"/>
        <v>32671507</v>
      </c>
      <c r="L145" s="1">
        <f t="shared" si="61"/>
        <v>32643662</v>
      </c>
      <c r="M145" s="1">
        <f t="shared" si="61"/>
        <v>32615817</v>
      </c>
      <c r="N145" s="1">
        <f t="shared" si="61"/>
        <v>33622093</v>
      </c>
      <c r="O145" s="1">
        <f t="shared" si="61"/>
        <v>419746283</v>
      </c>
      <c r="P145" s="1">
        <f t="shared" si="61"/>
        <v>32288176</v>
      </c>
    </row>
    <row r="146" spans="1:22" x14ac:dyDescent="0.2">
      <c r="A146" s="5" t="s">
        <v>134</v>
      </c>
      <c r="B146" s="1">
        <v>-6617716</v>
      </c>
      <c r="C146" s="1">
        <v>-6588434</v>
      </c>
      <c r="D146" s="1">
        <v>-6559152</v>
      </c>
      <c r="E146" s="1">
        <v>-6529870</v>
      </c>
      <c r="F146" s="1">
        <f>+E146+29282</f>
        <v>-6500588</v>
      </c>
      <c r="G146" s="1">
        <f t="shared" ref="G146:N146" si="62">+F146+29282</f>
        <v>-6471306</v>
      </c>
      <c r="H146" s="1">
        <f t="shared" si="62"/>
        <v>-6442024</v>
      </c>
      <c r="I146" s="1">
        <f t="shared" si="62"/>
        <v>-6412742</v>
      </c>
      <c r="J146" s="1">
        <f t="shared" si="62"/>
        <v>-6383460</v>
      </c>
      <c r="K146" s="1">
        <f t="shared" si="62"/>
        <v>-6354178</v>
      </c>
      <c r="L146" s="1">
        <f t="shared" si="62"/>
        <v>-6324896</v>
      </c>
      <c r="M146" s="1">
        <f t="shared" si="62"/>
        <v>-6295614</v>
      </c>
      <c r="N146" s="1">
        <f t="shared" si="62"/>
        <v>-6266332</v>
      </c>
      <c r="O146" s="1">
        <f>+SUM(B146:N146)</f>
        <v>-83746312</v>
      </c>
      <c r="P146" s="1">
        <f>+O146/13</f>
        <v>-6442024</v>
      </c>
    </row>
    <row r="147" spans="1:22" ht="13.5" thickBot="1" x14ac:dyDescent="0.25">
      <c r="A147" s="19" t="s">
        <v>135</v>
      </c>
      <c r="B147" s="42">
        <f>SUM(B145:B146)</f>
        <v>25007328</v>
      </c>
      <c r="C147" s="42">
        <f t="shared" ref="C147:F147" si="63">SUM(C145:C146)</f>
        <v>25008765</v>
      </c>
      <c r="D147" s="42">
        <f t="shared" si="63"/>
        <v>25010201</v>
      </c>
      <c r="E147" s="42">
        <f t="shared" si="63"/>
        <v>25425578</v>
      </c>
      <c r="F147" s="42">
        <f t="shared" si="63"/>
        <v>25427015</v>
      </c>
      <c r="G147" s="42">
        <f t="shared" ref="G147" si="64">SUM(G145:G146)</f>
        <v>25428451</v>
      </c>
      <c r="H147" s="42">
        <f t="shared" ref="H147" si="65">SUM(H145:H146)</f>
        <v>26125422</v>
      </c>
      <c r="I147" s="42">
        <f t="shared" ref="I147" si="66">SUM(I145:I146)</f>
        <v>26126859</v>
      </c>
      <c r="J147" s="42">
        <f t="shared" ref="J147" si="67">SUM(J145:J146)</f>
        <v>26128296</v>
      </c>
      <c r="K147" s="42">
        <f t="shared" ref="K147" si="68">SUM(K145:K146)</f>
        <v>26317329</v>
      </c>
      <c r="L147" s="42">
        <f t="shared" ref="L147" si="69">SUM(L145:L146)</f>
        <v>26318766</v>
      </c>
      <c r="M147" s="42">
        <f t="shared" ref="M147" si="70">SUM(M145:M146)</f>
        <v>26320203</v>
      </c>
      <c r="N147" s="42">
        <f t="shared" ref="N147" si="71">SUM(N145:N146)</f>
        <v>27355761</v>
      </c>
      <c r="O147" s="42">
        <f t="shared" ref="O147" si="72">SUM(O145:O146)</f>
        <v>335999971</v>
      </c>
      <c r="P147" s="42">
        <f t="shared" ref="P147" si="73">SUM(P145:P146)</f>
        <v>25846152</v>
      </c>
      <c r="Q147" s="5" t="s">
        <v>127</v>
      </c>
    </row>
    <row r="148" spans="1:22" ht="13.5" thickTop="1" x14ac:dyDescent="0.2"/>
    <row r="149" spans="1:22" x14ac:dyDescent="0.2">
      <c r="C149" s="1">
        <f>+C146-B146</f>
        <v>29282</v>
      </c>
      <c r="D149" s="1">
        <f>+D146-C146</f>
        <v>29282</v>
      </c>
      <c r="E149" s="1">
        <f>+E146-D146</f>
        <v>29282</v>
      </c>
    </row>
    <row r="154" spans="1:22" x14ac:dyDescent="0.2">
      <c r="B154" s="7" t="s">
        <v>4</v>
      </c>
      <c r="C154" s="7" t="s">
        <v>5</v>
      </c>
      <c r="D154" s="7" t="s">
        <v>6</v>
      </c>
      <c r="E154" s="7" t="s">
        <v>7</v>
      </c>
      <c r="F154" s="7" t="s">
        <v>8</v>
      </c>
      <c r="G154" s="7" t="s">
        <v>9</v>
      </c>
      <c r="H154" s="7" t="s">
        <v>10</v>
      </c>
      <c r="I154" s="7" t="s">
        <v>11</v>
      </c>
      <c r="J154" s="7" t="s">
        <v>12</v>
      </c>
      <c r="K154" s="7" t="s">
        <v>13</v>
      </c>
      <c r="L154" s="7" t="s">
        <v>14</v>
      </c>
      <c r="M154" s="7" t="s">
        <v>15</v>
      </c>
      <c r="N154" s="7" t="s">
        <v>4</v>
      </c>
    </row>
    <row r="155" spans="1:22" ht="15" x14ac:dyDescent="0.35">
      <c r="A155" s="36" t="s">
        <v>160</v>
      </c>
      <c r="B155" s="8" t="s">
        <v>16</v>
      </c>
      <c r="C155" s="8" t="s">
        <v>17</v>
      </c>
      <c r="D155" s="8" t="s">
        <v>17</v>
      </c>
      <c r="E155" s="8" t="s">
        <v>17</v>
      </c>
      <c r="F155" s="8" t="s">
        <v>17</v>
      </c>
      <c r="G155" s="8" t="s">
        <v>17</v>
      </c>
      <c r="H155" s="8" t="s">
        <v>17</v>
      </c>
      <c r="I155" s="8" t="s">
        <v>17</v>
      </c>
      <c r="J155" s="8" t="s">
        <v>17</v>
      </c>
      <c r="K155" s="8" t="s">
        <v>17</v>
      </c>
      <c r="L155" s="8" t="s">
        <v>17</v>
      </c>
      <c r="M155" s="8" t="s">
        <v>17</v>
      </c>
      <c r="N155" s="8" t="s">
        <v>17</v>
      </c>
      <c r="O155" s="9" t="s">
        <v>18</v>
      </c>
      <c r="P155" s="9" t="s">
        <v>19</v>
      </c>
      <c r="V155" s="5" t="s">
        <v>161</v>
      </c>
    </row>
    <row r="156" spans="1:22" x14ac:dyDescent="0.2">
      <c r="A156" s="5">
        <v>2021</v>
      </c>
    </row>
    <row r="157" spans="1:22" x14ac:dyDescent="0.2">
      <c r="A157" s="5">
        <v>12201420</v>
      </c>
      <c r="B157" s="1">
        <v>9856457</v>
      </c>
      <c r="C157" s="1">
        <v>12165956</v>
      </c>
      <c r="D157" s="1">
        <v>11585385</v>
      </c>
      <c r="E157" s="1">
        <v>9475045</v>
      </c>
      <c r="F157" s="1">
        <v>8109345</v>
      </c>
      <c r="G157" s="1">
        <v>7883752</v>
      </c>
      <c r="H157" s="1">
        <v>6563643</v>
      </c>
      <c r="I157" s="1">
        <v>6423684</v>
      </c>
      <c r="J157" s="1">
        <v>5632735</v>
      </c>
      <c r="K157" s="1">
        <v>6203491</v>
      </c>
      <c r="L157" s="1">
        <v>6525048</v>
      </c>
      <c r="M157" s="1">
        <v>7261409</v>
      </c>
      <c r="N157" s="1">
        <v>8281213</v>
      </c>
      <c r="O157" s="1">
        <v>105967164</v>
      </c>
      <c r="P157" s="1">
        <v>8151321</v>
      </c>
    </row>
    <row r="158" spans="1:22" x14ac:dyDescent="0.2">
      <c r="A158" s="5">
        <v>17741420</v>
      </c>
      <c r="B158" s="1">
        <v>2717505</v>
      </c>
      <c r="C158" s="1">
        <v>2706544</v>
      </c>
      <c r="D158" s="1">
        <v>2695230</v>
      </c>
      <c r="E158" s="1">
        <v>2683122</v>
      </c>
      <c r="F158" s="1">
        <v>2669714</v>
      </c>
      <c r="G158" s="1">
        <v>3055872</v>
      </c>
      <c r="H158" s="1">
        <v>3040816</v>
      </c>
      <c r="I158" s="1">
        <v>3641450</v>
      </c>
      <c r="J158" s="1">
        <v>3633655</v>
      </c>
      <c r="K158" s="1">
        <v>3624332</v>
      </c>
      <c r="L158" s="1">
        <v>3612286</v>
      </c>
      <c r="M158" s="1">
        <v>3598780</v>
      </c>
      <c r="N158" s="1">
        <v>3645883</v>
      </c>
      <c r="O158" s="1">
        <v>41325190</v>
      </c>
      <c r="P158" s="1">
        <v>3178861</v>
      </c>
    </row>
    <row r="159" spans="1:22" x14ac:dyDescent="0.2">
      <c r="B159" s="34">
        <f>SUM(B157:B158)</f>
        <v>12573962</v>
      </c>
      <c r="C159" s="34">
        <f t="shared" ref="C159:P159" si="74">SUM(C157:C158)</f>
        <v>14872500</v>
      </c>
      <c r="D159" s="34">
        <f t="shared" si="74"/>
        <v>14280615</v>
      </c>
      <c r="E159" s="34">
        <f t="shared" si="74"/>
        <v>12158167</v>
      </c>
      <c r="F159" s="34">
        <f t="shared" si="74"/>
        <v>10779059</v>
      </c>
      <c r="G159" s="34">
        <f t="shared" si="74"/>
        <v>10939624</v>
      </c>
      <c r="H159" s="34">
        <f t="shared" si="74"/>
        <v>9604459</v>
      </c>
      <c r="I159" s="34">
        <f t="shared" si="74"/>
        <v>10065134</v>
      </c>
      <c r="J159" s="34">
        <f t="shared" si="74"/>
        <v>9266390</v>
      </c>
      <c r="K159" s="34">
        <f t="shared" si="74"/>
        <v>9827823</v>
      </c>
      <c r="L159" s="34">
        <f t="shared" si="74"/>
        <v>10137334</v>
      </c>
      <c r="M159" s="34">
        <f t="shared" si="74"/>
        <v>10860189</v>
      </c>
      <c r="N159" s="34">
        <f t="shared" si="74"/>
        <v>11927096</v>
      </c>
      <c r="O159" s="34">
        <f t="shared" si="74"/>
        <v>147292354</v>
      </c>
      <c r="P159" s="34">
        <f t="shared" si="74"/>
        <v>11330182</v>
      </c>
    </row>
    <row r="161" spans="1:23" x14ac:dyDescent="0.2">
      <c r="B161" s="7" t="s">
        <v>4</v>
      </c>
      <c r="C161" s="7" t="s">
        <v>5</v>
      </c>
      <c r="D161" s="7" t="s">
        <v>6</v>
      </c>
      <c r="E161" s="7" t="s">
        <v>7</v>
      </c>
      <c r="F161" s="7" t="s">
        <v>8</v>
      </c>
      <c r="G161" s="7" t="s">
        <v>9</v>
      </c>
      <c r="H161" s="7" t="s">
        <v>10</v>
      </c>
      <c r="I161" s="7" t="s">
        <v>11</v>
      </c>
      <c r="J161" s="7" t="s">
        <v>12</v>
      </c>
      <c r="K161" s="7" t="s">
        <v>13</v>
      </c>
      <c r="L161" s="7" t="s">
        <v>14</v>
      </c>
      <c r="M161" s="7" t="s">
        <v>15</v>
      </c>
      <c r="N161" s="7" t="s">
        <v>4</v>
      </c>
    </row>
    <row r="162" spans="1:23" x14ac:dyDescent="0.2">
      <c r="B162" s="8" t="s">
        <v>17</v>
      </c>
      <c r="C162" s="8" t="s">
        <v>156</v>
      </c>
      <c r="D162" s="8" t="s">
        <v>156</v>
      </c>
      <c r="E162" s="8" t="s">
        <v>156</v>
      </c>
      <c r="F162" s="8" t="s">
        <v>156</v>
      </c>
      <c r="G162" s="8" t="s">
        <v>156</v>
      </c>
      <c r="H162" s="8" t="s">
        <v>156</v>
      </c>
      <c r="I162" s="8" t="s">
        <v>156</v>
      </c>
      <c r="J162" s="8" t="s">
        <v>156</v>
      </c>
      <c r="K162" s="8" t="s">
        <v>156</v>
      </c>
      <c r="L162" s="8" t="s">
        <v>156</v>
      </c>
      <c r="M162" s="8" t="s">
        <v>156</v>
      </c>
      <c r="N162" s="8" t="s">
        <v>156</v>
      </c>
      <c r="O162" s="9" t="s">
        <v>18</v>
      </c>
      <c r="P162" s="9" t="s">
        <v>19</v>
      </c>
    </row>
    <row r="163" spans="1:23" x14ac:dyDescent="0.2">
      <c r="A163" s="5">
        <v>2022</v>
      </c>
    </row>
    <row r="164" spans="1:23" x14ac:dyDescent="0.2">
      <c r="A164" s="5">
        <v>12201420</v>
      </c>
      <c r="B164" s="1">
        <f>+N157</f>
        <v>8281213</v>
      </c>
      <c r="C164" s="1">
        <f t="shared" ref="C164:N164" si="75">($U$164-$B$164)/12</f>
        <v>8844295.3073416669</v>
      </c>
      <c r="D164" s="1">
        <f t="shared" si="75"/>
        <v>8844295.3073416669</v>
      </c>
      <c r="E164" s="1">
        <f t="shared" si="75"/>
        <v>8844295.3073416669</v>
      </c>
      <c r="F164" s="1">
        <f t="shared" si="75"/>
        <v>8844295.3073416669</v>
      </c>
      <c r="G164" s="1">
        <f t="shared" si="75"/>
        <v>8844295.3073416669</v>
      </c>
      <c r="H164" s="1">
        <f t="shared" si="75"/>
        <v>8844295.3073416669</v>
      </c>
      <c r="I164" s="1">
        <f t="shared" si="75"/>
        <v>8844295.3073416669</v>
      </c>
      <c r="J164" s="1">
        <f t="shared" si="75"/>
        <v>8844295.3073416669</v>
      </c>
      <c r="K164" s="1">
        <f t="shared" si="75"/>
        <v>8844295.3073416669</v>
      </c>
      <c r="L164" s="1">
        <f t="shared" si="75"/>
        <v>8844295.3073416669</v>
      </c>
      <c r="M164" s="1">
        <f t="shared" si="75"/>
        <v>8844295.3073416669</v>
      </c>
      <c r="N164" s="1">
        <f t="shared" si="75"/>
        <v>8844295.3073416669</v>
      </c>
      <c r="O164" s="1">
        <f>SUM(B164:N164)</f>
        <v>114412756.68809998</v>
      </c>
      <c r="P164" s="1">
        <f>+O164/13</f>
        <v>8800981.2836999986</v>
      </c>
      <c r="U164" s="18">
        <f>(P157*$V$82)*13</f>
        <v>114412756.68810001</v>
      </c>
      <c r="V164" s="5" t="s">
        <v>162</v>
      </c>
      <c r="W164" s="18"/>
    </row>
    <row r="165" spans="1:23" x14ac:dyDescent="0.2">
      <c r="A165" s="5">
        <v>17741420</v>
      </c>
      <c r="B165" s="1">
        <f>+N158</f>
        <v>3645883</v>
      </c>
      <c r="C165" s="1">
        <v>3644388.07</v>
      </c>
      <c r="D165" s="1">
        <v>3642893.5999999996</v>
      </c>
      <c r="E165" s="1">
        <v>3641399.1299999994</v>
      </c>
      <c r="F165" s="1">
        <v>3639904.6599999992</v>
      </c>
      <c r="G165" s="1">
        <v>3638410.189999999</v>
      </c>
      <c r="H165" s="1">
        <v>3636915.7199999988</v>
      </c>
      <c r="I165" s="1">
        <v>3635421.2499999986</v>
      </c>
      <c r="J165" s="1">
        <v>3633926.7799999984</v>
      </c>
      <c r="K165" s="1">
        <v>3632432.3099999982</v>
      </c>
      <c r="L165" s="1">
        <v>3630937.839999998</v>
      </c>
      <c r="M165" s="1">
        <v>3629443.3699999978</v>
      </c>
      <c r="N165" s="1">
        <v>4080866</v>
      </c>
      <c r="O165" s="1">
        <f>SUM(B165:N165)</f>
        <v>47732821.919999979</v>
      </c>
      <c r="P165" s="1">
        <f>+O165/13</f>
        <v>3671755.5323076909</v>
      </c>
      <c r="U165" s="5" t="s">
        <v>201</v>
      </c>
      <c r="V165" s="18"/>
      <c r="W165" s="18"/>
    </row>
    <row r="166" spans="1:23" x14ac:dyDescent="0.2">
      <c r="B166" s="34">
        <f>SUM(B164:B165)</f>
        <v>11927096</v>
      </c>
      <c r="C166" s="34">
        <f t="shared" ref="C166" si="76">SUM(C164:C165)</f>
        <v>12488683.377341667</v>
      </c>
      <c r="D166" s="34">
        <f t="shared" ref="D166" si="77">SUM(D164:D165)</f>
        <v>12487188.907341667</v>
      </c>
      <c r="E166" s="34">
        <f t="shared" ref="E166" si="78">SUM(E164:E165)</f>
        <v>12485694.437341666</v>
      </c>
      <c r="F166" s="34">
        <f t="shared" ref="F166" si="79">SUM(F164:F165)</f>
        <v>12484199.967341665</v>
      </c>
      <c r="G166" s="34">
        <f t="shared" ref="G166" si="80">SUM(G164:G165)</f>
        <v>12482705.497341666</v>
      </c>
      <c r="H166" s="34">
        <f t="shared" ref="H166" si="81">SUM(H164:H165)</f>
        <v>12481211.027341666</v>
      </c>
      <c r="I166" s="34">
        <f t="shared" ref="I166" si="82">SUM(I164:I165)</f>
        <v>12479716.557341665</v>
      </c>
      <c r="J166" s="34">
        <f t="shared" ref="J166" si="83">SUM(J164:J165)</f>
        <v>12478222.087341666</v>
      </c>
      <c r="K166" s="34">
        <f t="shared" ref="K166" si="84">SUM(K164:K165)</f>
        <v>12476727.617341666</v>
      </c>
      <c r="L166" s="34">
        <f t="shared" ref="L166" si="85">SUM(L164:L165)</f>
        <v>12475233.147341665</v>
      </c>
      <c r="M166" s="34">
        <f t="shared" ref="M166" si="86">SUM(M164:M165)</f>
        <v>12473738.677341664</v>
      </c>
      <c r="N166" s="34">
        <f t="shared" ref="N166" si="87">SUM(N164:N165)</f>
        <v>12925161.307341667</v>
      </c>
      <c r="O166" s="34">
        <f t="shared" ref="O166" si="88">SUM(O164:O165)</f>
        <v>162145578.60809997</v>
      </c>
      <c r="P166" s="34">
        <f t="shared" ref="P166" si="89">SUM(P164:P165)</f>
        <v>12472736.816007689</v>
      </c>
    </row>
    <row r="167" spans="1:23" x14ac:dyDescent="0.2">
      <c r="B167" s="7" t="s">
        <v>4</v>
      </c>
      <c r="C167" s="7" t="s">
        <v>5</v>
      </c>
      <c r="D167" s="7" t="s">
        <v>6</v>
      </c>
      <c r="E167" s="7" t="s">
        <v>7</v>
      </c>
      <c r="F167" s="7" t="s">
        <v>8</v>
      </c>
      <c r="G167" s="7" t="s">
        <v>9</v>
      </c>
      <c r="H167" s="7" t="s">
        <v>10</v>
      </c>
      <c r="I167" s="7" t="s">
        <v>11</v>
      </c>
      <c r="J167" s="7" t="s">
        <v>12</v>
      </c>
      <c r="K167" s="7" t="s">
        <v>13</v>
      </c>
      <c r="L167" s="7" t="s">
        <v>14</v>
      </c>
      <c r="M167" s="7" t="s">
        <v>15</v>
      </c>
      <c r="N167" s="7" t="s">
        <v>4</v>
      </c>
    </row>
    <row r="168" spans="1:23" x14ac:dyDescent="0.2">
      <c r="B168" s="8" t="s">
        <v>156</v>
      </c>
      <c r="C168" s="8" t="s">
        <v>157</v>
      </c>
      <c r="D168" s="8" t="s">
        <v>157</v>
      </c>
      <c r="E168" s="8" t="s">
        <v>157</v>
      </c>
      <c r="F168" s="8" t="s">
        <v>157</v>
      </c>
      <c r="G168" s="8" t="s">
        <v>157</v>
      </c>
      <c r="H168" s="8" t="s">
        <v>157</v>
      </c>
      <c r="I168" s="8" t="s">
        <v>157</v>
      </c>
      <c r="J168" s="8" t="s">
        <v>157</v>
      </c>
      <c r="K168" s="8" t="s">
        <v>157</v>
      </c>
      <c r="L168" s="8" t="s">
        <v>157</v>
      </c>
      <c r="M168" s="8" t="s">
        <v>157</v>
      </c>
      <c r="N168" s="8" t="s">
        <v>157</v>
      </c>
      <c r="O168" s="9" t="s">
        <v>18</v>
      </c>
      <c r="P168" s="9" t="s">
        <v>19</v>
      </c>
    </row>
    <row r="169" spans="1:23" x14ac:dyDescent="0.2">
      <c r="A169" s="5">
        <v>2023</v>
      </c>
    </row>
    <row r="170" spans="1:23" x14ac:dyDescent="0.2">
      <c r="A170" s="5">
        <v>12201420</v>
      </c>
      <c r="B170" s="1">
        <f>+N164</f>
        <v>8844295.3073416669</v>
      </c>
      <c r="C170" s="1">
        <f t="shared" ref="C170:N170" si="90">+($U$170-$B$170)/12</f>
        <v>9314371.4761274252</v>
      </c>
      <c r="D170" s="1">
        <f t="shared" si="90"/>
        <v>9314371.4761274252</v>
      </c>
      <c r="E170" s="1">
        <f t="shared" si="90"/>
        <v>9314371.4761274252</v>
      </c>
      <c r="F170" s="1">
        <f t="shared" si="90"/>
        <v>9314371.4761274252</v>
      </c>
      <c r="G170" s="1">
        <f t="shared" si="90"/>
        <v>9314371.4761274252</v>
      </c>
      <c r="H170" s="1">
        <f t="shared" si="90"/>
        <v>9314371.4761274252</v>
      </c>
      <c r="I170" s="1">
        <f t="shared" si="90"/>
        <v>9314371.4761274252</v>
      </c>
      <c r="J170" s="1">
        <f t="shared" si="90"/>
        <v>9314371.4761274252</v>
      </c>
      <c r="K170" s="1">
        <f t="shared" si="90"/>
        <v>9314371.4761274252</v>
      </c>
      <c r="L170" s="1">
        <f t="shared" si="90"/>
        <v>9314371.4761274252</v>
      </c>
      <c r="M170" s="1">
        <f t="shared" si="90"/>
        <v>9314371.4761274252</v>
      </c>
      <c r="N170" s="1">
        <f t="shared" si="90"/>
        <v>9314371.4761274252</v>
      </c>
      <c r="O170" s="1">
        <f>SUM(B170:N170)</f>
        <v>120616753.02087079</v>
      </c>
      <c r="P170" s="1">
        <f>+O170/13</f>
        <v>9278211.7708362155</v>
      </c>
      <c r="U170" s="18">
        <f>(P157*$W$82)*13</f>
        <v>120616753.02087077</v>
      </c>
      <c r="V170" s="5" t="s">
        <v>163</v>
      </c>
      <c r="W170" s="18"/>
    </row>
    <row r="171" spans="1:23" x14ac:dyDescent="0.2">
      <c r="A171" s="5">
        <v>17741420</v>
      </c>
      <c r="B171" s="1">
        <f>+N165</f>
        <v>4080866</v>
      </c>
      <c r="C171" s="1">
        <f>+B171</f>
        <v>4080866</v>
      </c>
      <c r="D171" s="1">
        <f>+C171</f>
        <v>4080866</v>
      </c>
      <c r="E171" s="1">
        <f t="shared" ref="E171:N171" si="91">+D171</f>
        <v>4080866</v>
      </c>
      <c r="F171" s="1">
        <f t="shared" si="91"/>
        <v>4080866</v>
      </c>
      <c r="G171" s="1">
        <f t="shared" si="91"/>
        <v>4080866</v>
      </c>
      <c r="H171" s="1">
        <f t="shared" si="91"/>
        <v>4080866</v>
      </c>
      <c r="I171" s="1">
        <f t="shared" si="91"/>
        <v>4080866</v>
      </c>
      <c r="J171" s="1">
        <f t="shared" si="91"/>
        <v>4080866</v>
      </c>
      <c r="K171" s="1">
        <f t="shared" si="91"/>
        <v>4080866</v>
      </c>
      <c r="L171" s="1">
        <f t="shared" si="91"/>
        <v>4080866</v>
      </c>
      <c r="M171" s="1">
        <f t="shared" si="91"/>
        <v>4080866</v>
      </c>
      <c r="N171" s="1">
        <f t="shared" si="91"/>
        <v>4080866</v>
      </c>
      <c r="O171" s="1">
        <f t="shared" ref="O171" si="92">SUM(B171:N171)</f>
        <v>53051258</v>
      </c>
      <c r="P171" s="1">
        <f>+O171/13</f>
        <v>4080866</v>
      </c>
      <c r="U171" s="5" t="s">
        <v>201</v>
      </c>
    </row>
    <row r="172" spans="1:23" x14ac:dyDescent="0.2">
      <c r="B172" s="34">
        <f>SUM(B170:B171)</f>
        <v>12925161.307341667</v>
      </c>
      <c r="C172" s="34">
        <f t="shared" ref="C172" si="93">SUM(C170:C171)</f>
        <v>13395237.476127425</v>
      </c>
      <c r="D172" s="34">
        <f t="shared" ref="D172" si="94">SUM(D170:D171)</f>
        <v>13395237.476127425</v>
      </c>
      <c r="E172" s="34">
        <f t="shared" ref="E172" si="95">SUM(E170:E171)</f>
        <v>13395237.476127425</v>
      </c>
      <c r="F172" s="34">
        <f t="shared" ref="F172" si="96">SUM(F170:F171)</f>
        <v>13395237.476127425</v>
      </c>
      <c r="G172" s="34">
        <f t="shared" ref="G172" si="97">SUM(G170:G171)</f>
        <v>13395237.476127425</v>
      </c>
      <c r="H172" s="34">
        <f t="shared" ref="H172" si="98">SUM(H170:H171)</f>
        <v>13395237.476127425</v>
      </c>
      <c r="I172" s="34">
        <f t="shared" ref="I172" si="99">SUM(I170:I171)</f>
        <v>13395237.476127425</v>
      </c>
      <c r="J172" s="34">
        <f t="shared" ref="J172" si="100">SUM(J170:J171)</f>
        <v>13395237.476127425</v>
      </c>
      <c r="K172" s="34">
        <f t="shared" ref="K172" si="101">SUM(K170:K171)</f>
        <v>13395237.476127425</v>
      </c>
      <c r="L172" s="34">
        <f t="shared" ref="L172" si="102">SUM(L170:L171)</f>
        <v>13395237.476127425</v>
      </c>
      <c r="M172" s="34">
        <f t="shared" ref="M172" si="103">SUM(M170:M171)</f>
        <v>13395237.476127425</v>
      </c>
      <c r="N172" s="34">
        <f t="shared" ref="N172" si="104">SUM(N170:N171)</f>
        <v>13395237.476127425</v>
      </c>
      <c r="O172" s="34">
        <f t="shared" ref="O172" si="105">SUM(O170:O171)</f>
        <v>173668011.0208708</v>
      </c>
      <c r="P172" s="34">
        <f t="shared" ref="P172" si="106">SUM(P170:P171)</f>
        <v>13359077.770836215</v>
      </c>
    </row>
  </sheetData>
  <pageMargins left="0.5" right="0.5" top="1" bottom="0.5" header="0.5" footer="0.5"/>
  <pageSetup orientation="landscape" r:id="rId1"/>
  <headerFooter alignWithMargins="0"/>
  <rowBreaks count="1" manualBreakCount="1">
    <brk id="55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144"/>
  <sheetViews>
    <sheetView zoomScale="85" zoomScaleNormal="85" workbookViewId="0">
      <pane xSplit="1" ySplit="8" topLeftCell="AT33" activePane="bottomRight" state="frozen"/>
      <selection pane="topRight" activeCell="B1" sqref="B1"/>
      <selection pane="bottomLeft" activeCell="A9" sqref="A9"/>
      <selection pane="bottomRight" sqref="A1:XFD1048576"/>
    </sheetView>
  </sheetViews>
  <sheetFormatPr defaultRowHeight="12.75" x14ac:dyDescent="0.2"/>
  <cols>
    <col min="1" max="1" width="40.7109375" style="5" customWidth="1"/>
    <col min="2" max="14" width="13.7109375" style="1" customWidth="1"/>
    <col min="15" max="15" width="14.7109375" style="1" customWidth="1"/>
    <col min="16" max="16" width="13.7109375" style="1" customWidth="1"/>
    <col min="17" max="17" width="20.42578125" style="5" customWidth="1"/>
    <col min="18" max="18" width="9.140625" style="5"/>
    <col min="19" max="19" width="11.140625" style="5" bestFit="1" customWidth="1"/>
    <col min="20" max="21" width="14" style="5" bestFit="1" customWidth="1"/>
    <col min="22" max="35" width="12.7109375" style="5" customWidth="1"/>
    <col min="36" max="36" width="14.28515625" style="5" customWidth="1"/>
    <col min="37" max="38" width="9.140625" style="5"/>
    <col min="39" max="39" width="13.85546875" style="5" customWidth="1"/>
    <col min="40" max="40" width="18.7109375" style="5" bestFit="1" customWidth="1"/>
    <col min="41" max="51" width="12.85546875" style="5" bestFit="1" customWidth="1"/>
    <col min="52" max="52" width="14" style="5" bestFit="1" customWidth="1"/>
    <col min="53" max="53" width="12.85546875" style="5" bestFit="1" customWidth="1"/>
    <col min="54" max="16384" width="9.140625" style="5"/>
  </cols>
  <sheetData>
    <row r="1" spans="1:55" ht="22.5" x14ac:dyDescent="0.45">
      <c r="A1" s="4" t="s">
        <v>0</v>
      </c>
      <c r="V1" s="4" t="s">
        <v>0</v>
      </c>
      <c r="AM1" s="4" t="s">
        <v>0</v>
      </c>
    </row>
    <row r="2" spans="1:55" ht="19.5" x14ac:dyDescent="0.4">
      <c r="A2" s="6" t="s">
        <v>1</v>
      </c>
      <c r="V2" s="6" t="s">
        <v>1</v>
      </c>
      <c r="AM2" s="6" t="s">
        <v>1</v>
      </c>
    </row>
    <row r="3" spans="1:55" ht="19.5" x14ac:dyDescent="0.4">
      <c r="A3" s="6" t="s">
        <v>2</v>
      </c>
      <c r="V3" s="6" t="s">
        <v>2</v>
      </c>
      <c r="AM3" s="6" t="s">
        <v>2</v>
      </c>
    </row>
    <row r="4" spans="1:55" ht="19.5" x14ac:dyDescent="0.4">
      <c r="A4" s="6" t="s">
        <v>3</v>
      </c>
      <c r="V4" s="6" t="s">
        <v>170</v>
      </c>
      <c r="AM4" s="6" t="s">
        <v>171</v>
      </c>
    </row>
    <row r="5" spans="1:55" x14ac:dyDescent="0.2">
      <c r="V5" s="5" t="s">
        <v>154</v>
      </c>
    </row>
    <row r="6" spans="1:55" x14ac:dyDescent="0.2"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4</v>
      </c>
      <c r="V6" s="7" t="s">
        <v>4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9</v>
      </c>
      <c r="AB6" s="7" t="s">
        <v>10</v>
      </c>
      <c r="AC6" s="7" t="s">
        <v>11</v>
      </c>
      <c r="AD6" s="7" t="s">
        <v>12</v>
      </c>
      <c r="AE6" s="7" t="s">
        <v>13</v>
      </c>
      <c r="AF6" s="7" t="s">
        <v>14</v>
      </c>
      <c r="AG6" s="7" t="s">
        <v>15</v>
      </c>
      <c r="AH6" s="7" t="s">
        <v>4</v>
      </c>
      <c r="AI6" s="1"/>
      <c r="AJ6" s="1"/>
      <c r="AM6" s="7" t="s">
        <v>4</v>
      </c>
      <c r="AN6" s="7" t="s">
        <v>5</v>
      </c>
      <c r="AO6" s="7" t="s">
        <v>6</v>
      </c>
      <c r="AP6" s="7" t="s">
        <v>7</v>
      </c>
      <c r="AQ6" s="7" t="s">
        <v>8</v>
      </c>
      <c r="AR6" s="7" t="s">
        <v>9</v>
      </c>
      <c r="AS6" s="7" t="s">
        <v>10</v>
      </c>
      <c r="AT6" s="7" t="s">
        <v>11</v>
      </c>
      <c r="AU6" s="7" t="s">
        <v>12</v>
      </c>
      <c r="AV6" s="7" t="s">
        <v>13</v>
      </c>
      <c r="AW6" s="7" t="s">
        <v>14</v>
      </c>
      <c r="AX6" s="7" t="s">
        <v>15</v>
      </c>
      <c r="AY6" s="7" t="s">
        <v>4</v>
      </c>
      <c r="AZ6" s="1"/>
      <c r="BA6" s="1"/>
      <c r="BC6" s="5" t="s">
        <v>158</v>
      </c>
    </row>
    <row r="7" spans="1:55" x14ac:dyDescent="0.2">
      <c r="B7" s="8" t="s">
        <v>16</v>
      </c>
      <c r="C7" s="8" t="s">
        <v>17</v>
      </c>
      <c r="D7" s="8" t="s">
        <v>17</v>
      </c>
      <c r="E7" s="8" t="s">
        <v>17</v>
      </c>
      <c r="F7" s="8" t="s">
        <v>17</v>
      </c>
      <c r="G7" s="8" t="s">
        <v>17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8" t="s">
        <v>17</v>
      </c>
      <c r="N7" s="8" t="s">
        <v>17</v>
      </c>
      <c r="O7" s="9" t="s">
        <v>18</v>
      </c>
      <c r="P7" s="9" t="s">
        <v>19</v>
      </c>
      <c r="V7" s="8" t="s">
        <v>17</v>
      </c>
      <c r="W7" s="8" t="s">
        <v>156</v>
      </c>
      <c r="X7" s="8" t="s">
        <v>156</v>
      </c>
      <c r="Y7" s="8" t="s">
        <v>156</v>
      </c>
      <c r="Z7" s="8" t="s">
        <v>156</v>
      </c>
      <c r="AA7" s="8" t="s">
        <v>156</v>
      </c>
      <c r="AB7" s="8" t="s">
        <v>156</v>
      </c>
      <c r="AC7" s="8" t="s">
        <v>156</v>
      </c>
      <c r="AD7" s="8" t="s">
        <v>156</v>
      </c>
      <c r="AE7" s="8" t="s">
        <v>156</v>
      </c>
      <c r="AF7" s="8" t="s">
        <v>156</v>
      </c>
      <c r="AG7" s="8" t="s">
        <v>156</v>
      </c>
      <c r="AH7" s="8" t="s">
        <v>156</v>
      </c>
      <c r="AI7" s="9" t="s">
        <v>18</v>
      </c>
      <c r="AJ7" s="9" t="s">
        <v>19</v>
      </c>
      <c r="AM7" s="8" t="s">
        <v>156</v>
      </c>
      <c r="AN7" s="8" t="s">
        <v>157</v>
      </c>
      <c r="AO7" s="8" t="s">
        <v>157</v>
      </c>
      <c r="AP7" s="8" t="s">
        <v>157</v>
      </c>
      <c r="AQ7" s="8" t="s">
        <v>157</v>
      </c>
      <c r="AR7" s="8" t="s">
        <v>157</v>
      </c>
      <c r="AS7" s="8" t="s">
        <v>157</v>
      </c>
      <c r="AT7" s="8" t="s">
        <v>157</v>
      </c>
      <c r="AU7" s="8" t="s">
        <v>157</v>
      </c>
      <c r="AV7" s="8" t="s">
        <v>157</v>
      </c>
      <c r="AW7" s="8" t="s">
        <v>157</v>
      </c>
      <c r="AX7" s="8" t="s">
        <v>157</v>
      </c>
      <c r="AY7" s="8" t="s">
        <v>157</v>
      </c>
      <c r="AZ7" s="9" t="s">
        <v>18</v>
      </c>
      <c r="BA7" s="9" t="s">
        <v>19</v>
      </c>
    </row>
    <row r="9" spans="1:55" ht="22.5" x14ac:dyDescent="0.45">
      <c r="A9" s="4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1" spans="1:55" x14ac:dyDescent="0.2">
      <c r="A11" s="11" t="s">
        <v>21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55" x14ac:dyDescent="0.2">
      <c r="A12" s="13" t="s">
        <v>22</v>
      </c>
      <c r="B12" s="14">
        <v>139537024</v>
      </c>
      <c r="C12" s="14">
        <v>139874031</v>
      </c>
      <c r="D12" s="14">
        <v>140137358</v>
      </c>
      <c r="E12" s="14">
        <v>140390749</v>
      </c>
      <c r="F12" s="14">
        <v>140652353</v>
      </c>
      <c r="G12" s="14">
        <v>140741975</v>
      </c>
      <c r="H12" s="14">
        <v>140895807</v>
      </c>
      <c r="I12" s="14">
        <v>141155416</v>
      </c>
      <c r="J12" s="14">
        <v>141420031</v>
      </c>
      <c r="K12" s="14">
        <v>141667353</v>
      </c>
      <c r="L12" s="14">
        <v>141858949</v>
      </c>
      <c r="M12" s="14">
        <v>143158615</v>
      </c>
      <c r="N12" s="14">
        <v>143349974</v>
      </c>
      <c r="O12" s="14">
        <v>1834839636</v>
      </c>
      <c r="P12" s="14">
        <v>141141510</v>
      </c>
      <c r="Q12" s="15" t="s">
        <v>124</v>
      </c>
      <c r="R12" s="5" t="s">
        <v>125</v>
      </c>
      <c r="S12" s="15">
        <f>+P12+P14</f>
        <v>147926566</v>
      </c>
      <c r="V12" s="5" t="s">
        <v>159</v>
      </c>
    </row>
    <row r="13" spans="1:55" x14ac:dyDescent="0.2">
      <c r="A13" s="13" t="s">
        <v>23</v>
      </c>
      <c r="B13" s="1">
        <v>568090</v>
      </c>
      <c r="C13" s="1">
        <v>568090</v>
      </c>
      <c r="D13" s="1">
        <v>568090</v>
      </c>
      <c r="E13" s="1">
        <v>568090</v>
      </c>
      <c r="F13" s="1">
        <v>568090</v>
      </c>
      <c r="G13" s="1">
        <v>568090</v>
      </c>
      <c r="H13" s="1">
        <v>568090</v>
      </c>
      <c r="I13" s="1">
        <v>568090</v>
      </c>
      <c r="J13" s="1">
        <v>568090</v>
      </c>
      <c r="K13" s="1">
        <v>568090</v>
      </c>
      <c r="L13" s="1">
        <v>568090</v>
      </c>
      <c r="M13" s="1">
        <v>568090</v>
      </c>
      <c r="N13" s="1">
        <v>568090</v>
      </c>
      <c r="O13" s="1">
        <v>7385166</v>
      </c>
      <c r="P13" s="1">
        <v>568090</v>
      </c>
      <c r="Q13" s="5" t="s">
        <v>121</v>
      </c>
      <c r="V13" s="5" t="s">
        <v>179</v>
      </c>
    </row>
    <row r="14" spans="1:55" x14ac:dyDescent="0.2">
      <c r="A14" s="13" t="s">
        <v>24</v>
      </c>
      <c r="B14" s="1">
        <v>3924106</v>
      </c>
      <c r="C14" s="1">
        <v>4095055</v>
      </c>
      <c r="D14" s="1">
        <v>4156786</v>
      </c>
      <c r="E14" s="1">
        <v>4220693</v>
      </c>
      <c r="F14" s="1">
        <v>4599349</v>
      </c>
      <c r="G14" s="1">
        <v>6295228</v>
      </c>
      <c r="H14" s="1">
        <v>7662861</v>
      </c>
      <c r="I14" s="1">
        <v>8267002</v>
      </c>
      <c r="J14" s="1">
        <v>8630782</v>
      </c>
      <c r="K14" s="1">
        <v>9036208</v>
      </c>
      <c r="L14" s="1">
        <v>9677657</v>
      </c>
      <c r="M14" s="1">
        <v>8777499</v>
      </c>
      <c r="N14" s="1">
        <v>8862505</v>
      </c>
      <c r="O14" s="1">
        <v>88205732</v>
      </c>
      <c r="P14" s="1">
        <v>6785056</v>
      </c>
      <c r="Q14" s="5" t="s">
        <v>124</v>
      </c>
      <c r="V14" s="5" t="s">
        <v>159</v>
      </c>
      <c r="AN14" s="15"/>
    </row>
    <row r="15" spans="1:55" x14ac:dyDescent="0.2">
      <c r="A15" s="13" t="s">
        <v>25</v>
      </c>
      <c r="B15" s="1">
        <v>2829541</v>
      </c>
      <c r="C15" s="1">
        <v>3024754</v>
      </c>
      <c r="D15" s="1">
        <v>3146600</v>
      </c>
      <c r="E15" s="1">
        <v>3558376</v>
      </c>
      <c r="F15" s="1">
        <v>3479331</v>
      </c>
      <c r="G15" s="1">
        <v>2197780</v>
      </c>
      <c r="H15" s="1">
        <v>1439186</v>
      </c>
      <c r="I15" s="1">
        <v>1122324</v>
      </c>
      <c r="J15" s="1">
        <v>1286736</v>
      </c>
      <c r="K15" s="1">
        <v>1072950</v>
      </c>
      <c r="L15" s="1">
        <v>590851</v>
      </c>
      <c r="M15" s="1">
        <v>680730</v>
      </c>
      <c r="N15" s="1">
        <v>1002408</v>
      </c>
      <c r="O15" s="1">
        <v>25431566</v>
      </c>
      <c r="P15" s="1">
        <v>1956274</v>
      </c>
      <c r="Q15" s="5" t="s">
        <v>105</v>
      </c>
      <c r="V15" s="5" t="s">
        <v>159</v>
      </c>
    </row>
    <row r="16" spans="1:55" x14ac:dyDescent="0.2">
      <c r="A16" s="13" t="s">
        <v>26</v>
      </c>
      <c r="B16" s="1">
        <v>-36390518</v>
      </c>
      <c r="C16" s="1">
        <v>-36670967</v>
      </c>
      <c r="D16" s="1">
        <v>-36950368</v>
      </c>
      <c r="E16" s="1">
        <v>-37189190</v>
      </c>
      <c r="F16" s="1">
        <v>-37524016</v>
      </c>
      <c r="G16" s="1">
        <v>-37787751</v>
      </c>
      <c r="H16" s="1">
        <v>-38156271</v>
      </c>
      <c r="I16" s="1">
        <v>-38380534</v>
      </c>
      <c r="J16" s="1">
        <v>-38683992</v>
      </c>
      <c r="K16" s="1">
        <v>-38935744</v>
      </c>
      <c r="L16" s="1">
        <v>-39247141</v>
      </c>
      <c r="M16" s="1">
        <v>-39564506</v>
      </c>
      <c r="N16" s="1">
        <v>-39765153</v>
      </c>
      <c r="O16" s="1">
        <v>-495246152</v>
      </c>
      <c r="P16" s="1">
        <v>-38095858</v>
      </c>
      <c r="Q16" s="5" t="s">
        <v>122</v>
      </c>
      <c r="V16" s="5" t="s">
        <v>159</v>
      </c>
    </row>
    <row r="17" spans="1:55" x14ac:dyDescent="0.2">
      <c r="B17" s="16" t="s">
        <v>27</v>
      </c>
      <c r="C17" s="16" t="s">
        <v>27</v>
      </c>
      <c r="D17" s="16" t="s">
        <v>27</v>
      </c>
      <c r="E17" s="16" t="s">
        <v>27</v>
      </c>
      <c r="F17" s="16" t="s">
        <v>27</v>
      </c>
      <c r="G17" s="16" t="s">
        <v>27</v>
      </c>
      <c r="H17" s="16" t="s">
        <v>27</v>
      </c>
      <c r="I17" s="16" t="s">
        <v>27</v>
      </c>
      <c r="J17" s="16" t="s">
        <v>27</v>
      </c>
      <c r="K17" s="16" t="s">
        <v>27</v>
      </c>
      <c r="L17" s="16" t="s">
        <v>27</v>
      </c>
      <c r="M17" s="16" t="s">
        <v>27</v>
      </c>
      <c r="N17" s="16" t="s">
        <v>27</v>
      </c>
      <c r="O17" s="16" t="s">
        <v>27</v>
      </c>
      <c r="P17" s="16" t="s">
        <v>27</v>
      </c>
    </row>
    <row r="18" spans="1:55" x14ac:dyDescent="0.2">
      <c r="A18" s="13" t="s">
        <v>28</v>
      </c>
      <c r="B18" s="1">
        <v>110468243</v>
      </c>
      <c r="C18" s="1">
        <v>110890962</v>
      </c>
      <c r="D18" s="1">
        <v>111058465</v>
      </c>
      <c r="E18" s="1">
        <v>111548718</v>
      </c>
      <c r="F18" s="1">
        <v>111775107</v>
      </c>
      <c r="G18" s="1">
        <v>112015321</v>
      </c>
      <c r="H18" s="1">
        <v>112409672</v>
      </c>
      <c r="I18" s="1">
        <v>112732299</v>
      </c>
      <c r="J18" s="1">
        <v>113221647</v>
      </c>
      <c r="K18" s="1">
        <v>113408857</v>
      </c>
      <c r="L18" s="1">
        <v>113448406</v>
      </c>
      <c r="M18" s="1">
        <v>113620428</v>
      </c>
      <c r="N18" s="1">
        <v>114017824</v>
      </c>
      <c r="O18" s="1">
        <v>1460615948</v>
      </c>
      <c r="P18" s="1">
        <v>112355073</v>
      </c>
      <c r="Q18" s="1"/>
      <c r="R18" s="1"/>
      <c r="T18" s="2">
        <v>2022</v>
      </c>
      <c r="U18" s="2">
        <v>2023</v>
      </c>
      <c r="BA18" s="15"/>
    </row>
    <row r="19" spans="1:55" x14ac:dyDescent="0.2">
      <c r="B19" s="16" t="s">
        <v>27</v>
      </c>
      <c r="C19" s="16" t="s">
        <v>27</v>
      </c>
      <c r="D19" s="16" t="s">
        <v>27</v>
      </c>
      <c r="E19" s="16" t="s">
        <v>27</v>
      </c>
      <c r="F19" s="16" t="s">
        <v>27</v>
      </c>
      <c r="G19" s="16" t="s">
        <v>27</v>
      </c>
      <c r="H19" s="16" t="s">
        <v>27</v>
      </c>
      <c r="I19" s="16" t="s">
        <v>27</v>
      </c>
      <c r="J19" s="16" t="s">
        <v>27</v>
      </c>
      <c r="K19" s="16" t="s">
        <v>27</v>
      </c>
      <c r="L19" s="16" t="s">
        <v>27</v>
      </c>
      <c r="M19" s="16" t="s">
        <v>27</v>
      </c>
      <c r="N19" s="16" t="s">
        <v>27</v>
      </c>
      <c r="O19" s="16" t="s">
        <v>27</v>
      </c>
      <c r="P19" s="16" t="s">
        <v>27</v>
      </c>
      <c r="Q19" s="17"/>
      <c r="R19" s="5" t="s">
        <v>155</v>
      </c>
      <c r="T19" s="17">
        <v>1.0733598358827501</v>
      </c>
      <c r="U19" s="17">
        <v>1.1234825778704063</v>
      </c>
    </row>
    <row r="20" spans="1:55" x14ac:dyDescent="0.2">
      <c r="A20" s="11" t="s">
        <v>29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55" x14ac:dyDescent="0.2">
      <c r="A21" s="13" t="s">
        <v>30</v>
      </c>
      <c r="B21" s="1">
        <v>2403</v>
      </c>
      <c r="C21" s="1">
        <v>11159</v>
      </c>
      <c r="D21" s="1">
        <v>321039</v>
      </c>
      <c r="E21" s="1">
        <v>14429</v>
      </c>
      <c r="F21" s="1">
        <v>2865</v>
      </c>
      <c r="G21" s="1">
        <v>11778</v>
      </c>
      <c r="H21" s="1">
        <v>6487</v>
      </c>
      <c r="I21" s="1">
        <v>5089</v>
      </c>
      <c r="J21" s="1">
        <v>7695</v>
      </c>
      <c r="K21" s="1">
        <v>253903</v>
      </c>
      <c r="L21" s="1">
        <v>6185</v>
      </c>
      <c r="M21" s="1">
        <v>36239</v>
      </c>
      <c r="N21" s="1">
        <v>10323</v>
      </c>
      <c r="O21" s="1">
        <v>689594</v>
      </c>
      <c r="P21" s="1">
        <v>53046</v>
      </c>
      <c r="Q21" s="5" t="s">
        <v>105</v>
      </c>
      <c r="V21" s="15">
        <f>+N21</f>
        <v>10323</v>
      </c>
      <c r="W21" s="15">
        <f>+V21</f>
        <v>10323</v>
      </c>
      <c r="X21" s="15">
        <f t="shared" ref="X21" si="0">+W21</f>
        <v>10323</v>
      </c>
      <c r="Y21" s="15">
        <f t="shared" ref="Y21" si="1">+X21</f>
        <v>10323</v>
      </c>
      <c r="Z21" s="15">
        <f t="shared" ref="Z21" si="2">+Y21</f>
        <v>10323</v>
      </c>
      <c r="AA21" s="15">
        <f t="shared" ref="AA21" si="3">+Z21</f>
        <v>10323</v>
      </c>
      <c r="AB21" s="15">
        <f t="shared" ref="AB21" si="4">+AA21</f>
        <v>10323</v>
      </c>
      <c r="AC21" s="15">
        <f t="shared" ref="AC21" si="5">+AB21</f>
        <v>10323</v>
      </c>
      <c r="AD21" s="15">
        <f t="shared" ref="AD21" si="6">+AC21</f>
        <v>10323</v>
      </c>
      <c r="AE21" s="15">
        <f t="shared" ref="AE21" si="7">+AD21</f>
        <v>10323</v>
      </c>
      <c r="AF21" s="15">
        <f t="shared" ref="AF21" si="8">+AE21</f>
        <v>10323</v>
      </c>
      <c r="AG21" s="15">
        <f t="shared" ref="AG21" si="9">+AF21</f>
        <v>10323</v>
      </c>
      <c r="AH21" s="15">
        <f t="shared" ref="AH21" si="10">+AG21</f>
        <v>10323</v>
      </c>
      <c r="AI21" s="15">
        <f>+SUM(V21:AH21)</f>
        <v>134199</v>
      </c>
      <c r="AJ21" s="15">
        <f>+AI21/13</f>
        <v>10323</v>
      </c>
      <c r="AM21" s="15">
        <f>+AH21</f>
        <v>10323</v>
      </c>
      <c r="AN21" s="15">
        <f>+AM21</f>
        <v>10323</v>
      </c>
      <c r="AO21" s="15">
        <f t="shared" ref="AO21" si="11">+AN21</f>
        <v>10323</v>
      </c>
      <c r="AP21" s="15">
        <f t="shared" ref="AP21" si="12">+AO21</f>
        <v>10323</v>
      </c>
      <c r="AQ21" s="15">
        <f t="shared" ref="AQ21" si="13">+AP21</f>
        <v>10323</v>
      </c>
      <c r="AR21" s="15">
        <f t="shared" ref="AR21" si="14">+AQ21</f>
        <v>10323</v>
      </c>
      <c r="AS21" s="15">
        <f t="shared" ref="AS21" si="15">+AR21</f>
        <v>10323</v>
      </c>
      <c r="AT21" s="15">
        <f t="shared" ref="AT21" si="16">+AS21</f>
        <v>10323</v>
      </c>
      <c r="AU21" s="15">
        <f t="shared" ref="AU21" si="17">+AT21</f>
        <v>10323</v>
      </c>
      <c r="AV21" s="15">
        <f t="shared" ref="AV21" si="18">+AU21</f>
        <v>10323</v>
      </c>
      <c r="AW21" s="15">
        <f t="shared" ref="AW21" si="19">+AV21</f>
        <v>10323</v>
      </c>
      <c r="AX21" s="15">
        <f t="shared" ref="AX21" si="20">+AW21</f>
        <v>10323</v>
      </c>
      <c r="AY21" s="15">
        <f t="shared" ref="AY21" si="21">+AX21</f>
        <v>10323</v>
      </c>
      <c r="AZ21" s="15">
        <f>SUM(AM21:AY21)</f>
        <v>134199</v>
      </c>
      <c r="BA21" s="15">
        <f>AZ21/13</f>
        <v>10323</v>
      </c>
      <c r="BC21" s="5" t="s">
        <v>164</v>
      </c>
    </row>
    <row r="22" spans="1:55" x14ac:dyDescent="0.2">
      <c r="A22" s="13" t="s">
        <v>31</v>
      </c>
      <c r="B22" s="1">
        <v>650</v>
      </c>
      <c r="C22" s="1">
        <v>650</v>
      </c>
      <c r="D22" s="1">
        <v>650</v>
      </c>
      <c r="E22" s="1">
        <v>650</v>
      </c>
      <c r="F22" s="1">
        <v>650</v>
      </c>
      <c r="G22" s="1">
        <v>650</v>
      </c>
      <c r="H22" s="1">
        <v>650</v>
      </c>
      <c r="I22" s="1">
        <v>650</v>
      </c>
      <c r="J22" s="1">
        <v>650</v>
      </c>
      <c r="K22" s="1">
        <v>650</v>
      </c>
      <c r="L22" s="1">
        <v>650</v>
      </c>
      <c r="M22" s="1">
        <v>650</v>
      </c>
      <c r="N22" s="1">
        <v>650</v>
      </c>
      <c r="O22" s="1">
        <v>8450</v>
      </c>
      <c r="P22" s="1">
        <v>650</v>
      </c>
      <c r="Q22" s="5" t="s">
        <v>105</v>
      </c>
      <c r="U22" s="18"/>
      <c r="V22" s="18">
        <f>+N22</f>
        <v>650</v>
      </c>
      <c r="W22" s="18">
        <f>V22</f>
        <v>650</v>
      </c>
      <c r="X22" s="18">
        <f t="shared" ref="X22:AH22" si="22">W22</f>
        <v>650</v>
      </c>
      <c r="Y22" s="18">
        <f t="shared" si="22"/>
        <v>650</v>
      </c>
      <c r="Z22" s="18">
        <f t="shared" si="22"/>
        <v>650</v>
      </c>
      <c r="AA22" s="18">
        <f t="shared" si="22"/>
        <v>650</v>
      </c>
      <c r="AB22" s="18">
        <f t="shared" si="22"/>
        <v>650</v>
      </c>
      <c r="AC22" s="18">
        <f t="shared" si="22"/>
        <v>650</v>
      </c>
      <c r="AD22" s="18">
        <f t="shared" si="22"/>
        <v>650</v>
      </c>
      <c r="AE22" s="18">
        <f t="shared" si="22"/>
        <v>650</v>
      </c>
      <c r="AF22" s="18">
        <f t="shared" si="22"/>
        <v>650</v>
      </c>
      <c r="AG22" s="18">
        <f t="shared" si="22"/>
        <v>650</v>
      </c>
      <c r="AH22" s="18">
        <f t="shared" si="22"/>
        <v>650</v>
      </c>
      <c r="AI22" s="15">
        <f>+SUM(V22:AH22)</f>
        <v>8450</v>
      </c>
      <c r="AJ22" s="15">
        <f>+AI22/13</f>
        <v>650</v>
      </c>
      <c r="AM22" s="38">
        <f>+AH22</f>
        <v>650</v>
      </c>
      <c r="AN22" s="15">
        <f>AM22</f>
        <v>650</v>
      </c>
      <c r="AO22" s="15">
        <f t="shared" ref="AO22:AY22" si="23">AN22</f>
        <v>650</v>
      </c>
      <c r="AP22" s="15">
        <f t="shared" si="23"/>
        <v>650</v>
      </c>
      <c r="AQ22" s="15">
        <f t="shared" si="23"/>
        <v>650</v>
      </c>
      <c r="AR22" s="15">
        <f t="shared" si="23"/>
        <v>650</v>
      </c>
      <c r="AS22" s="15">
        <f t="shared" si="23"/>
        <v>650</v>
      </c>
      <c r="AT22" s="15">
        <f t="shared" si="23"/>
        <v>650</v>
      </c>
      <c r="AU22" s="15">
        <f t="shared" si="23"/>
        <v>650</v>
      </c>
      <c r="AV22" s="15">
        <f t="shared" si="23"/>
        <v>650</v>
      </c>
      <c r="AW22" s="15">
        <f t="shared" si="23"/>
        <v>650</v>
      </c>
      <c r="AX22" s="15">
        <f t="shared" si="23"/>
        <v>650</v>
      </c>
      <c r="AY22" s="15">
        <f t="shared" si="23"/>
        <v>650</v>
      </c>
      <c r="AZ22" s="15">
        <f>SUM(AM22:AY22)</f>
        <v>8450</v>
      </c>
      <c r="BA22" s="15">
        <f>AZ22/13</f>
        <v>650</v>
      </c>
      <c r="BC22" s="5" t="s">
        <v>164</v>
      </c>
    </row>
    <row r="23" spans="1:55" x14ac:dyDescent="0.2">
      <c r="A23" s="13" t="s">
        <v>32</v>
      </c>
      <c r="B23" s="1">
        <v>4508125</v>
      </c>
      <c r="C23" s="1">
        <v>4847010</v>
      </c>
      <c r="D23" s="1">
        <v>5240488</v>
      </c>
      <c r="E23" s="1">
        <v>4573957</v>
      </c>
      <c r="F23" s="1">
        <v>3912401</v>
      </c>
      <c r="G23" s="1">
        <v>3845571</v>
      </c>
      <c r="H23" s="1">
        <v>3669822</v>
      </c>
      <c r="I23" s="1">
        <v>3373064</v>
      </c>
      <c r="J23" s="1">
        <v>3730539</v>
      </c>
      <c r="K23" s="1">
        <v>2856317</v>
      </c>
      <c r="L23" s="1">
        <v>3999857</v>
      </c>
      <c r="M23" s="1">
        <v>5162795</v>
      </c>
      <c r="N23" s="1">
        <v>5088973</v>
      </c>
      <c r="O23" s="1">
        <v>54808918</v>
      </c>
      <c r="P23" s="1">
        <v>4216071</v>
      </c>
      <c r="Q23" s="5" t="s">
        <v>105</v>
      </c>
      <c r="T23" s="15">
        <f>P23*T19*13</f>
        <v>58829696.596190281</v>
      </c>
      <c r="U23" s="15">
        <f>P23*U19*13</f>
        <v>61576870.102340594</v>
      </c>
      <c r="V23" s="15">
        <f>+N23</f>
        <v>5088973</v>
      </c>
      <c r="W23" s="15">
        <f>($T$23-$V$23)/12-904840</f>
        <v>3573553.6330158571</v>
      </c>
      <c r="X23" s="15">
        <f t="shared" ref="X23:AH23" si="24">($T$23-$V$23)/12-904840</f>
        <v>3573553.6330158571</v>
      </c>
      <c r="Y23" s="15">
        <f t="shared" si="24"/>
        <v>3573553.6330158571</v>
      </c>
      <c r="Z23" s="15">
        <f t="shared" si="24"/>
        <v>3573553.6330158571</v>
      </c>
      <c r="AA23" s="15">
        <f t="shared" si="24"/>
        <v>3573553.6330158571</v>
      </c>
      <c r="AB23" s="15">
        <f t="shared" si="24"/>
        <v>3573553.6330158571</v>
      </c>
      <c r="AC23" s="15">
        <f t="shared" si="24"/>
        <v>3573553.6330158571</v>
      </c>
      <c r="AD23" s="15">
        <f t="shared" si="24"/>
        <v>3573553.6330158571</v>
      </c>
      <c r="AE23" s="15">
        <f t="shared" si="24"/>
        <v>3573553.6330158571</v>
      </c>
      <c r="AF23" s="15">
        <f t="shared" si="24"/>
        <v>3573553.6330158571</v>
      </c>
      <c r="AG23" s="15">
        <f t="shared" si="24"/>
        <v>3573553.6330158571</v>
      </c>
      <c r="AH23" s="15">
        <f t="shared" si="24"/>
        <v>3573553.6330158571</v>
      </c>
      <c r="AI23" s="15">
        <f>+SUM(V23:AH23)</f>
        <v>47971616.596190274</v>
      </c>
      <c r="AJ23" s="15">
        <f>+AI23/13</f>
        <v>3690124.3535530982</v>
      </c>
      <c r="AM23" s="15">
        <f>+AH23</f>
        <v>3573553.6330158571</v>
      </c>
      <c r="AN23" s="15">
        <f>($U$23-$AM$23)/12-947072</f>
        <v>3886537.7057770612</v>
      </c>
      <c r="AO23" s="15">
        <f t="shared" ref="AO23:AY23" si="25">($U$23-$AM$23)/12-947072</f>
        <v>3886537.7057770612</v>
      </c>
      <c r="AP23" s="15">
        <f t="shared" si="25"/>
        <v>3886537.7057770612</v>
      </c>
      <c r="AQ23" s="15">
        <f t="shared" si="25"/>
        <v>3886537.7057770612</v>
      </c>
      <c r="AR23" s="15">
        <f t="shared" si="25"/>
        <v>3886537.7057770612</v>
      </c>
      <c r="AS23" s="15">
        <f t="shared" si="25"/>
        <v>3886537.7057770612</v>
      </c>
      <c r="AT23" s="15">
        <f t="shared" si="25"/>
        <v>3886537.7057770612</v>
      </c>
      <c r="AU23" s="15">
        <f t="shared" si="25"/>
        <v>3886537.7057770612</v>
      </c>
      <c r="AV23" s="15">
        <f t="shared" si="25"/>
        <v>3886537.7057770612</v>
      </c>
      <c r="AW23" s="15">
        <f t="shared" si="25"/>
        <v>3886537.7057770612</v>
      </c>
      <c r="AX23" s="15">
        <f t="shared" si="25"/>
        <v>3886537.7057770612</v>
      </c>
      <c r="AY23" s="15">
        <f t="shared" si="25"/>
        <v>3886537.7057770612</v>
      </c>
      <c r="AZ23" s="15">
        <f>SUM(AM23:AY23)</f>
        <v>50212006.102340601</v>
      </c>
      <c r="BA23" s="15">
        <f>AZ23/13</f>
        <v>3862462.0078723538</v>
      </c>
      <c r="BC23" s="5" t="s">
        <v>176</v>
      </c>
    </row>
    <row r="24" spans="1:55" x14ac:dyDescent="0.2">
      <c r="A24" s="13" t="s">
        <v>33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45868</v>
      </c>
      <c r="I24" s="1">
        <v>45868</v>
      </c>
      <c r="J24" s="1">
        <v>45868</v>
      </c>
      <c r="K24" s="1">
        <v>45868</v>
      </c>
      <c r="L24" s="1">
        <v>45868</v>
      </c>
      <c r="M24" s="1">
        <v>45868</v>
      </c>
      <c r="N24" s="1">
        <v>45868</v>
      </c>
      <c r="O24" s="1">
        <v>321079</v>
      </c>
      <c r="P24" s="1">
        <v>24698</v>
      </c>
      <c r="Q24" s="5" t="s">
        <v>105</v>
      </c>
      <c r="V24" s="15">
        <f>+N24</f>
        <v>45868</v>
      </c>
      <c r="W24" s="15">
        <f>+V24</f>
        <v>45868</v>
      </c>
      <c r="X24" s="15">
        <f t="shared" ref="X24:X25" si="26">+W24</f>
        <v>45868</v>
      </c>
      <c r="Y24" s="15">
        <f t="shared" ref="Y24:Y25" si="27">+X24</f>
        <v>45868</v>
      </c>
      <c r="Z24" s="15">
        <f t="shared" ref="Z24:Z25" si="28">+Y24</f>
        <v>45868</v>
      </c>
      <c r="AA24" s="15">
        <f t="shared" ref="AA24:AA25" si="29">+Z24</f>
        <v>45868</v>
      </c>
      <c r="AB24" s="15">
        <f t="shared" ref="AB24:AB25" si="30">+AA24</f>
        <v>45868</v>
      </c>
      <c r="AC24" s="15">
        <f t="shared" ref="AC24:AC25" si="31">+AB24</f>
        <v>45868</v>
      </c>
      <c r="AD24" s="15">
        <f t="shared" ref="AD24:AD25" si="32">+AC24</f>
        <v>45868</v>
      </c>
      <c r="AE24" s="15">
        <f t="shared" ref="AE24:AE25" si="33">+AD24</f>
        <v>45868</v>
      </c>
      <c r="AF24" s="15">
        <f t="shared" ref="AF24:AF25" si="34">+AE24</f>
        <v>45868</v>
      </c>
      <c r="AG24" s="15">
        <f t="shared" ref="AG24:AG25" si="35">+AF24</f>
        <v>45868</v>
      </c>
      <c r="AH24" s="15">
        <f t="shared" ref="AH24:AH25" si="36">+AG24</f>
        <v>45868</v>
      </c>
      <c r="AI24" s="15">
        <f>+SUM(V24:AH24)</f>
        <v>596284</v>
      </c>
      <c r="AJ24" s="15">
        <f>+AI24/13</f>
        <v>45868</v>
      </c>
      <c r="AM24" s="15">
        <f>+AH24</f>
        <v>45868</v>
      </c>
      <c r="AN24" s="15">
        <f>+AM24</f>
        <v>45868</v>
      </c>
      <c r="AO24" s="15">
        <f t="shared" ref="AO24:AO25" si="37">+AN24</f>
        <v>45868</v>
      </c>
      <c r="AP24" s="15">
        <f t="shared" ref="AP24:AP25" si="38">+AO24</f>
        <v>45868</v>
      </c>
      <c r="AQ24" s="15">
        <f t="shared" ref="AQ24:AQ25" si="39">+AP24</f>
        <v>45868</v>
      </c>
      <c r="AR24" s="15">
        <f t="shared" ref="AR24:AR25" si="40">+AQ24</f>
        <v>45868</v>
      </c>
      <c r="AS24" s="15">
        <f t="shared" ref="AS24:AS25" si="41">+AR24</f>
        <v>45868</v>
      </c>
      <c r="AT24" s="15">
        <f t="shared" ref="AT24:AT25" si="42">+AS24</f>
        <v>45868</v>
      </c>
      <c r="AU24" s="15">
        <f t="shared" ref="AU24:AU25" si="43">+AT24</f>
        <v>45868</v>
      </c>
      <c r="AV24" s="15">
        <f t="shared" ref="AV24:AV25" si="44">+AU24</f>
        <v>45868</v>
      </c>
      <c r="AW24" s="15">
        <f t="shared" ref="AW24:AW25" si="45">+AV24</f>
        <v>45868</v>
      </c>
      <c r="AX24" s="15">
        <f t="shared" ref="AX24:AX25" si="46">+AW24</f>
        <v>45868</v>
      </c>
      <c r="AY24" s="15">
        <f t="shared" ref="AY24:AY25" si="47">+AX24</f>
        <v>45868</v>
      </c>
      <c r="AZ24" s="15">
        <f>SUM(AM24:AY24)</f>
        <v>596284</v>
      </c>
      <c r="BA24" s="15">
        <f>AZ24/13</f>
        <v>45868</v>
      </c>
      <c r="BC24" s="5" t="s">
        <v>164</v>
      </c>
    </row>
    <row r="25" spans="1:55" x14ac:dyDescent="0.2">
      <c r="A25" s="13" t="s">
        <v>34</v>
      </c>
      <c r="B25" s="1">
        <v>-257023</v>
      </c>
      <c r="C25" s="1">
        <v>-260853</v>
      </c>
      <c r="D25" s="1">
        <v>-265111</v>
      </c>
      <c r="E25" s="1">
        <v>-248345</v>
      </c>
      <c r="F25" s="1">
        <v>-246585</v>
      </c>
      <c r="G25" s="1">
        <v>-245644</v>
      </c>
      <c r="H25" s="1">
        <v>-198632</v>
      </c>
      <c r="I25" s="1">
        <v>-193415</v>
      </c>
      <c r="J25" s="1">
        <v>-174279</v>
      </c>
      <c r="K25" s="1">
        <v>-109771</v>
      </c>
      <c r="L25" s="1">
        <v>-101582</v>
      </c>
      <c r="M25" s="1">
        <v>-96301</v>
      </c>
      <c r="N25" s="1">
        <v>-73861</v>
      </c>
      <c r="O25" s="1">
        <v>-2471401</v>
      </c>
      <c r="P25" s="1">
        <v>-190108</v>
      </c>
      <c r="Q25" s="5" t="s">
        <v>105</v>
      </c>
      <c r="V25" s="15">
        <f>+N25</f>
        <v>-73861</v>
      </c>
      <c r="W25" s="15">
        <f>+V25</f>
        <v>-73861</v>
      </c>
      <c r="X25" s="15">
        <f t="shared" si="26"/>
        <v>-73861</v>
      </c>
      <c r="Y25" s="15">
        <f t="shared" si="27"/>
        <v>-73861</v>
      </c>
      <c r="Z25" s="15">
        <f t="shared" si="28"/>
        <v>-73861</v>
      </c>
      <c r="AA25" s="15">
        <f t="shared" si="29"/>
        <v>-73861</v>
      </c>
      <c r="AB25" s="15">
        <f t="shared" si="30"/>
        <v>-73861</v>
      </c>
      <c r="AC25" s="15">
        <f t="shared" si="31"/>
        <v>-73861</v>
      </c>
      <c r="AD25" s="15">
        <f t="shared" si="32"/>
        <v>-73861</v>
      </c>
      <c r="AE25" s="15">
        <f t="shared" si="33"/>
        <v>-73861</v>
      </c>
      <c r="AF25" s="15">
        <f t="shared" si="34"/>
        <v>-73861</v>
      </c>
      <c r="AG25" s="15">
        <f t="shared" si="35"/>
        <v>-73861</v>
      </c>
      <c r="AH25" s="15">
        <f t="shared" si="36"/>
        <v>-73861</v>
      </c>
      <c r="AI25" s="15">
        <f>+SUM(V25:AH25)</f>
        <v>-960193</v>
      </c>
      <c r="AJ25" s="15">
        <f>+AI25/13</f>
        <v>-73861</v>
      </c>
      <c r="AM25" s="15">
        <f>+AH25</f>
        <v>-73861</v>
      </c>
      <c r="AN25" s="15">
        <f>+AM25</f>
        <v>-73861</v>
      </c>
      <c r="AO25" s="15">
        <f t="shared" si="37"/>
        <v>-73861</v>
      </c>
      <c r="AP25" s="15">
        <f t="shared" si="38"/>
        <v>-73861</v>
      </c>
      <c r="AQ25" s="15">
        <f t="shared" si="39"/>
        <v>-73861</v>
      </c>
      <c r="AR25" s="15">
        <f t="shared" si="40"/>
        <v>-73861</v>
      </c>
      <c r="AS25" s="15">
        <f t="shared" si="41"/>
        <v>-73861</v>
      </c>
      <c r="AT25" s="15">
        <f t="shared" si="42"/>
        <v>-73861</v>
      </c>
      <c r="AU25" s="15">
        <f t="shared" si="43"/>
        <v>-73861</v>
      </c>
      <c r="AV25" s="15">
        <f t="shared" si="44"/>
        <v>-73861</v>
      </c>
      <c r="AW25" s="15">
        <f t="shared" si="45"/>
        <v>-73861</v>
      </c>
      <c r="AX25" s="15">
        <f t="shared" si="46"/>
        <v>-73861</v>
      </c>
      <c r="AY25" s="15">
        <f t="shared" si="47"/>
        <v>-73861</v>
      </c>
      <c r="AZ25" s="15">
        <f>SUM(AM25:AY25)</f>
        <v>-960193</v>
      </c>
      <c r="BA25" s="15">
        <f>AZ25/13</f>
        <v>-73861</v>
      </c>
      <c r="BC25" s="5" t="s">
        <v>164</v>
      </c>
    </row>
    <row r="26" spans="1:55" x14ac:dyDescent="0.2">
      <c r="A26" s="13" t="s">
        <v>35</v>
      </c>
    </row>
    <row r="27" spans="1:55" x14ac:dyDescent="0.2">
      <c r="A27" s="13" t="s">
        <v>36</v>
      </c>
      <c r="B27" s="1">
        <v>-33323736</v>
      </c>
      <c r="C27" s="1">
        <v>-33332935</v>
      </c>
      <c r="D27" s="1">
        <v>-33913780</v>
      </c>
      <c r="E27" s="1">
        <v>-33545157</v>
      </c>
      <c r="F27" s="1">
        <v>-32202215</v>
      </c>
      <c r="G27" s="1">
        <v>-31981176</v>
      </c>
      <c r="H27" s="1">
        <v>-31407979</v>
      </c>
      <c r="I27" s="1">
        <v>-30574349</v>
      </c>
      <c r="J27" s="1">
        <v>-30566874</v>
      </c>
      <c r="K27" s="1">
        <v>-29943420</v>
      </c>
      <c r="L27" s="1">
        <v>-30474647</v>
      </c>
      <c r="M27" s="1">
        <v>-32616553</v>
      </c>
      <c r="N27" s="1">
        <v>-31487364</v>
      </c>
      <c r="O27" s="1">
        <v>-415370186</v>
      </c>
      <c r="P27" s="1">
        <v>-31951553</v>
      </c>
      <c r="Q27" s="5" t="s">
        <v>105</v>
      </c>
    </row>
    <row r="28" spans="1:55" x14ac:dyDescent="0.2">
      <c r="A28" s="13" t="s">
        <v>37</v>
      </c>
      <c r="B28" s="1">
        <v>31278</v>
      </c>
      <c r="C28" s="1">
        <v>31278</v>
      </c>
      <c r="D28" s="1">
        <v>37991</v>
      </c>
      <c r="E28" s="1">
        <v>37991</v>
      </c>
      <c r="F28" s="1">
        <v>37991</v>
      </c>
      <c r="G28" s="1">
        <v>36466</v>
      </c>
      <c r="H28" s="1">
        <v>36466</v>
      </c>
      <c r="I28" s="1">
        <v>36466</v>
      </c>
      <c r="J28" s="1">
        <v>36466</v>
      </c>
      <c r="K28" s="1">
        <v>36466</v>
      </c>
      <c r="L28" s="1">
        <v>36466</v>
      </c>
      <c r="M28" s="1">
        <v>36466</v>
      </c>
      <c r="N28" s="1">
        <v>36466</v>
      </c>
      <c r="O28" s="1">
        <v>468255</v>
      </c>
      <c r="P28" s="1">
        <v>36020</v>
      </c>
      <c r="Q28" s="5" t="s">
        <v>105</v>
      </c>
      <c r="V28" s="15">
        <f>+N28</f>
        <v>36466</v>
      </c>
      <c r="W28" s="15">
        <f>+V28</f>
        <v>36466</v>
      </c>
      <c r="X28" s="15">
        <f t="shared" ref="X28:X29" si="48">+W28</f>
        <v>36466</v>
      </c>
      <c r="Y28" s="15">
        <f t="shared" ref="Y28:Y29" si="49">+X28</f>
        <v>36466</v>
      </c>
      <c r="Z28" s="15">
        <f t="shared" ref="Z28:Z29" si="50">+Y28</f>
        <v>36466</v>
      </c>
      <c r="AA28" s="15">
        <f t="shared" ref="AA28:AA29" si="51">+Z28</f>
        <v>36466</v>
      </c>
      <c r="AB28" s="15">
        <f t="shared" ref="AB28:AB29" si="52">+AA28</f>
        <v>36466</v>
      </c>
      <c r="AC28" s="15">
        <f t="shared" ref="AC28:AC29" si="53">+AB28</f>
        <v>36466</v>
      </c>
      <c r="AD28" s="15">
        <f t="shared" ref="AD28:AD29" si="54">+AC28</f>
        <v>36466</v>
      </c>
      <c r="AE28" s="15">
        <f t="shared" ref="AE28:AE29" si="55">+AD28</f>
        <v>36466</v>
      </c>
      <c r="AF28" s="15">
        <f t="shared" ref="AF28:AF29" si="56">+AE28</f>
        <v>36466</v>
      </c>
      <c r="AG28" s="15">
        <f t="shared" ref="AG28:AG29" si="57">+AF28</f>
        <v>36466</v>
      </c>
      <c r="AH28" s="15">
        <f t="shared" ref="AH28:AH29" si="58">+AG28</f>
        <v>36466</v>
      </c>
      <c r="AI28" s="15">
        <f>+SUM(V28:AH28)</f>
        <v>474058</v>
      </c>
      <c r="AJ28" s="15">
        <f>+AI28/13</f>
        <v>36466</v>
      </c>
      <c r="AM28" s="15">
        <f>+AH28</f>
        <v>36466</v>
      </c>
      <c r="AN28" s="15">
        <f>+AM28</f>
        <v>36466</v>
      </c>
      <c r="AO28" s="15">
        <f t="shared" ref="AO28:AO29" si="59">+AN28</f>
        <v>36466</v>
      </c>
      <c r="AP28" s="15">
        <f t="shared" ref="AP28:AP29" si="60">+AO28</f>
        <v>36466</v>
      </c>
      <c r="AQ28" s="15">
        <f t="shared" ref="AQ28:AQ29" si="61">+AP28</f>
        <v>36466</v>
      </c>
      <c r="AR28" s="15">
        <f t="shared" ref="AR28:AR29" si="62">+AQ28</f>
        <v>36466</v>
      </c>
      <c r="AS28" s="15">
        <f t="shared" ref="AS28:AS29" si="63">+AR28</f>
        <v>36466</v>
      </c>
      <c r="AT28" s="15">
        <f t="shared" ref="AT28:AT29" si="64">+AS28</f>
        <v>36466</v>
      </c>
      <c r="AU28" s="15">
        <f t="shared" ref="AU28:AU29" si="65">+AT28</f>
        <v>36466</v>
      </c>
      <c r="AV28" s="15">
        <f t="shared" ref="AV28:AV29" si="66">+AU28</f>
        <v>36466</v>
      </c>
      <c r="AW28" s="15">
        <f t="shared" ref="AW28:AW29" si="67">+AV28</f>
        <v>36466</v>
      </c>
      <c r="AX28" s="15">
        <f t="shared" ref="AX28:AX29" si="68">+AW28</f>
        <v>36466</v>
      </c>
      <c r="AY28" s="15">
        <f t="shared" ref="AY28:AY29" si="69">+AX28</f>
        <v>36466</v>
      </c>
      <c r="AZ28" s="15">
        <f>SUM(AM28:AY28)</f>
        <v>474058</v>
      </c>
      <c r="BA28" s="15">
        <f>AZ28/13</f>
        <v>36466</v>
      </c>
      <c r="BC28" s="5" t="s">
        <v>164</v>
      </c>
    </row>
    <row r="29" spans="1:55" x14ac:dyDescent="0.2">
      <c r="A29" s="13" t="s">
        <v>38</v>
      </c>
      <c r="B29" s="1">
        <v>-122614</v>
      </c>
      <c r="C29" s="1">
        <v>-465438</v>
      </c>
      <c r="D29" s="1">
        <v>-497551</v>
      </c>
      <c r="E29" s="1">
        <v>-7729</v>
      </c>
      <c r="F29" s="1">
        <v>-51295</v>
      </c>
      <c r="G29" s="1">
        <v>-83661</v>
      </c>
      <c r="H29" s="1">
        <v>-65251</v>
      </c>
      <c r="I29" s="1">
        <v>-50554</v>
      </c>
      <c r="J29" s="1">
        <v>-61724</v>
      </c>
      <c r="K29" s="1">
        <v>-28434</v>
      </c>
      <c r="L29" s="1">
        <v>0</v>
      </c>
      <c r="M29" s="1">
        <v>-309699</v>
      </c>
      <c r="N29" s="1">
        <v>-376770</v>
      </c>
      <c r="O29" s="1">
        <v>-2120719</v>
      </c>
      <c r="P29" s="1">
        <v>-163132</v>
      </c>
      <c r="Q29" s="5" t="s">
        <v>105</v>
      </c>
      <c r="V29" s="15">
        <f>+N29</f>
        <v>-376770</v>
      </c>
      <c r="W29" s="15">
        <f>V29+376770</f>
        <v>0</v>
      </c>
      <c r="X29" s="15">
        <f t="shared" si="48"/>
        <v>0</v>
      </c>
      <c r="Y29" s="15">
        <f t="shared" si="49"/>
        <v>0</v>
      </c>
      <c r="Z29" s="15">
        <f t="shared" si="50"/>
        <v>0</v>
      </c>
      <c r="AA29" s="15">
        <f t="shared" si="51"/>
        <v>0</v>
      </c>
      <c r="AB29" s="15">
        <f t="shared" si="52"/>
        <v>0</v>
      </c>
      <c r="AC29" s="15">
        <f t="shared" si="53"/>
        <v>0</v>
      </c>
      <c r="AD29" s="15">
        <f t="shared" si="54"/>
        <v>0</v>
      </c>
      <c r="AE29" s="15">
        <f t="shared" si="55"/>
        <v>0</v>
      </c>
      <c r="AF29" s="15">
        <f t="shared" si="56"/>
        <v>0</v>
      </c>
      <c r="AG29" s="15">
        <f t="shared" si="57"/>
        <v>0</v>
      </c>
      <c r="AH29" s="15">
        <f t="shared" si="58"/>
        <v>0</v>
      </c>
      <c r="AI29" s="15">
        <f>+SUM(V29:AH29)</f>
        <v>-376770</v>
      </c>
      <c r="AJ29" s="15">
        <f>+AI29/13</f>
        <v>-28982.307692307691</v>
      </c>
      <c r="AM29" s="15">
        <f>+AH29</f>
        <v>0</v>
      </c>
      <c r="AN29" s="15">
        <f>+AM29</f>
        <v>0</v>
      </c>
      <c r="AO29" s="15">
        <f t="shared" si="59"/>
        <v>0</v>
      </c>
      <c r="AP29" s="15">
        <f t="shared" si="60"/>
        <v>0</v>
      </c>
      <c r="AQ29" s="15">
        <f t="shared" si="61"/>
        <v>0</v>
      </c>
      <c r="AR29" s="15">
        <f t="shared" si="62"/>
        <v>0</v>
      </c>
      <c r="AS29" s="15">
        <f t="shared" si="63"/>
        <v>0</v>
      </c>
      <c r="AT29" s="15">
        <f t="shared" si="64"/>
        <v>0</v>
      </c>
      <c r="AU29" s="15">
        <f t="shared" si="65"/>
        <v>0</v>
      </c>
      <c r="AV29" s="15">
        <f t="shared" si="66"/>
        <v>0</v>
      </c>
      <c r="AW29" s="15">
        <f t="shared" si="67"/>
        <v>0</v>
      </c>
      <c r="AX29" s="15">
        <f t="shared" si="68"/>
        <v>0</v>
      </c>
      <c r="AY29" s="15">
        <f t="shared" si="69"/>
        <v>0</v>
      </c>
      <c r="AZ29" s="15">
        <f>SUM(AM29:AY29)</f>
        <v>0</v>
      </c>
      <c r="BA29" s="15">
        <f>AZ29/13</f>
        <v>0</v>
      </c>
      <c r="BC29" s="5" t="s">
        <v>178</v>
      </c>
    </row>
    <row r="30" spans="1:55" x14ac:dyDescent="0.2">
      <c r="A30" s="13" t="s">
        <v>39</v>
      </c>
      <c r="B30" s="1">
        <v>483644</v>
      </c>
      <c r="C30" s="1">
        <v>373850</v>
      </c>
      <c r="D30" s="1">
        <v>328155</v>
      </c>
      <c r="E30" s="1">
        <v>282690</v>
      </c>
      <c r="F30" s="1">
        <v>232352</v>
      </c>
      <c r="G30" s="1">
        <v>186845</v>
      </c>
      <c r="H30" s="1">
        <v>135540</v>
      </c>
      <c r="I30" s="1">
        <v>110631</v>
      </c>
      <c r="J30" s="1">
        <v>64116</v>
      </c>
      <c r="K30" s="1">
        <v>358477</v>
      </c>
      <c r="L30" s="1">
        <v>314865</v>
      </c>
      <c r="M30" s="1">
        <v>461693</v>
      </c>
      <c r="N30" s="1">
        <v>310516</v>
      </c>
      <c r="O30" s="1">
        <v>3643376</v>
      </c>
      <c r="P30" s="1">
        <v>280260</v>
      </c>
      <c r="Q30" s="5" t="s">
        <v>105</v>
      </c>
      <c r="V30" s="15">
        <f>+N30</f>
        <v>310516</v>
      </c>
      <c r="W30" s="15">
        <v>310516</v>
      </c>
      <c r="X30" s="15">
        <v>310516</v>
      </c>
      <c r="Y30" s="15">
        <v>310516</v>
      </c>
      <c r="Z30" s="15">
        <v>310516</v>
      </c>
      <c r="AA30" s="15">
        <v>310516</v>
      </c>
      <c r="AB30" s="15">
        <v>310516</v>
      </c>
      <c r="AC30" s="15">
        <v>325828.5</v>
      </c>
      <c r="AD30" s="15">
        <v>325391</v>
      </c>
      <c r="AE30" s="15">
        <v>324953.5</v>
      </c>
      <c r="AF30" s="15">
        <v>324516</v>
      </c>
      <c r="AG30" s="15">
        <v>324078.5</v>
      </c>
      <c r="AH30" s="15">
        <v>323641</v>
      </c>
      <c r="AI30" s="15">
        <f>+SUM(V30:AH30)</f>
        <v>4122020.5</v>
      </c>
      <c r="AJ30" s="15">
        <f>+AI30/13</f>
        <v>317078.5</v>
      </c>
      <c r="AM30" s="15">
        <f>+AH30</f>
        <v>323641</v>
      </c>
      <c r="AN30" s="15">
        <v>323203.5</v>
      </c>
      <c r="AO30" s="15">
        <v>322766</v>
      </c>
      <c r="AP30" s="15">
        <v>322328.5</v>
      </c>
      <c r="AQ30" s="15">
        <v>321891</v>
      </c>
      <c r="AR30" s="15">
        <v>321453.5</v>
      </c>
      <c r="AS30" s="15">
        <v>321016</v>
      </c>
      <c r="AT30" s="15">
        <v>335891</v>
      </c>
      <c r="AU30" s="15">
        <v>335016</v>
      </c>
      <c r="AV30" s="15">
        <v>334141</v>
      </c>
      <c r="AW30" s="15">
        <v>333266</v>
      </c>
      <c r="AX30" s="15">
        <v>332391</v>
      </c>
      <c r="AY30" s="15">
        <v>331516</v>
      </c>
      <c r="AZ30" s="15">
        <f>SUM(AM30:AY30)</f>
        <v>4258520.5</v>
      </c>
      <c r="BA30" s="15">
        <f>AZ30/13</f>
        <v>327578.5</v>
      </c>
      <c r="BC30" s="5" t="s">
        <v>166</v>
      </c>
    </row>
    <row r="31" spans="1:55" x14ac:dyDescent="0.2">
      <c r="A31" s="13" t="s">
        <v>40</v>
      </c>
      <c r="B31" s="1">
        <v>49955</v>
      </c>
      <c r="C31" s="1">
        <v>35555</v>
      </c>
      <c r="D31" s="1">
        <v>35555</v>
      </c>
      <c r="E31" s="1">
        <v>17555</v>
      </c>
      <c r="F31" s="1">
        <v>17555</v>
      </c>
      <c r="G31" s="1">
        <v>15155</v>
      </c>
      <c r="H31" s="1">
        <v>13955</v>
      </c>
      <c r="I31" s="1">
        <v>12755</v>
      </c>
      <c r="J31" s="1">
        <v>11555</v>
      </c>
      <c r="K31" s="1">
        <v>10355</v>
      </c>
      <c r="L31" s="1">
        <v>9155</v>
      </c>
      <c r="M31" s="1">
        <v>7955</v>
      </c>
      <c r="N31" s="1">
        <v>6755</v>
      </c>
      <c r="O31" s="1">
        <v>243812</v>
      </c>
      <c r="P31" s="1">
        <v>18755</v>
      </c>
      <c r="Q31" s="5" t="s">
        <v>105</v>
      </c>
      <c r="V31" s="15">
        <f>+N31</f>
        <v>6755</v>
      </c>
      <c r="W31" s="15">
        <f>+V31</f>
        <v>6755</v>
      </c>
      <c r="X31" s="15">
        <f t="shared" ref="X31" si="70">+W31</f>
        <v>6755</v>
      </c>
      <c r="Y31" s="15">
        <f t="shared" ref="Y31" si="71">+X31</f>
        <v>6755</v>
      </c>
      <c r="Z31" s="15">
        <f t="shared" ref="Z31" si="72">+Y31</f>
        <v>6755</v>
      </c>
      <c r="AA31" s="15">
        <f t="shared" ref="AA31" si="73">+Z31</f>
        <v>6755</v>
      </c>
      <c r="AB31" s="15">
        <f t="shared" ref="AB31" si="74">+AA31</f>
        <v>6755</v>
      </c>
      <c r="AC31" s="15">
        <f t="shared" ref="AC31" si="75">+AB31</f>
        <v>6755</v>
      </c>
      <c r="AD31" s="15">
        <f t="shared" ref="AD31" si="76">+AC31</f>
        <v>6755</v>
      </c>
      <c r="AE31" s="15">
        <f t="shared" ref="AE31" si="77">+AD31</f>
        <v>6755</v>
      </c>
      <c r="AF31" s="15">
        <f t="shared" ref="AF31" si="78">+AE31</f>
        <v>6755</v>
      </c>
      <c r="AG31" s="15">
        <f t="shared" ref="AG31" si="79">+AF31</f>
        <v>6755</v>
      </c>
      <c r="AH31" s="15">
        <f t="shared" ref="AH31" si="80">+AG31</f>
        <v>6755</v>
      </c>
      <c r="AI31" s="15">
        <f>+SUM(V31:AH31)</f>
        <v>87815</v>
      </c>
      <c r="AJ31" s="15">
        <f>+AI31/13</f>
        <v>6755</v>
      </c>
      <c r="AM31" s="15">
        <f>+AH31</f>
        <v>6755</v>
      </c>
      <c r="AN31" s="15">
        <f>+AM31</f>
        <v>6755</v>
      </c>
      <c r="AO31" s="15">
        <f t="shared" ref="AO31" si="81">+AN31</f>
        <v>6755</v>
      </c>
      <c r="AP31" s="15">
        <f t="shared" ref="AP31" si="82">+AO31</f>
        <v>6755</v>
      </c>
      <c r="AQ31" s="15">
        <f t="shared" ref="AQ31" si="83">+AP31</f>
        <v>6755</v>
      </c>
      <c r="AR31" s="15">
        <f t="shared" ref="AR31" si="84">+AQ31</f>
        <v>6755</v>
      </c>
      <c r="AS31" s="15">
        <f t="shared" ref="AS31" si="85">+AR31</f>
        <v>6755</v>
      </c>
      <c r="AT31" s="15">
        <f t="shared" ref="AT31" si="86">+AS31</f>
        <v>6755</v>
      </c>
      <c r="AU31" s="15">
        <f t="shared" ref="AU31" si="87">+AT31</f>
        <v>6755</v>
      </c>
      <c r="AV31" s="15">
        <f t="shared" ref="AV31" si="88">+AU31</f>
        <v>6755</v>
      </c>
      <c r="AW31" s="15">
        <f t="shared" ref="AW31" si="89">+AV31</f>
        <v>6755</v>
      </c>
      <c r="AX31" s="15">
        <f t="shared" ref="AX31" si="90">+AW31</f>
        <v>6755</v>
      </c>
      <c r="AY31" s="15">
        <f t="shared" ref="AY31" si="91">+AX31</f>
        <v>6755</v>
      </c>
      <c r="AZ31" s="15">
        <f>SUM(AM31:AY31)</f>
        <v>87815</v>
      </c>
      <c r="BA31" s="15">
        <f>AZ31/13</f>
        <v>6755</v>
      </c>
      <c r="BC31" s="5" t="s">
        <v>166</v>
      </c>
    </row>
    <row r="32" spans="1:55" x14ac:dyDescent="0.2">
      <c r="A32" s="20" t="s">
        <v>123</v>
      </c>
      <c r="B32" s="1">
        <f>B135</f>
        <v>497857</v>
      </c>
      <c r="C32" s="1">
        <f t="shared" ref="C32:N32" si="92">C135</f>
        <v>490213</v>
      </c>
      <c r="D32" s="1">
        <f t="shared" si="92"/>
        <v>482573</v>
      </c>
      <c r="E32" s="1">
        <f t="shared" si="92"/>
        <v>474937</v>
      </c>
      <c r="F32" s="1">
        <f t="shared" si="92"/>
        <v>467304</v>
      </c>
      <c r="G32" s="1">
        <f t="shared" si="92"/>
        <v>459675</v>
      </c>
      <c r="H32" s="1">
        <f t="shared" si="92"/>
        <v>452049</v>
      </c>
      <c r="I32" s="1">
        <f t="shared" si="92"/>
        <v>444427</v>
      </c>
      <c r="J32" s="1">
        <f t="shared" si="92"/>
        <v>436808</v>
      </c>
      <c r="K32" s="1">
        <f t="shared" si="92"/>
        <v>429193</v>
      </c>
      <c r="L32" s="1">
        <f t="shared" si="92"/>
        <v>421173</v>
      </c>
      <c r="M32" s="1">
        <f t="shared" si="92"/>
        <v>413156</v>
      </c>
      <c r="N32" s="1">
        <f t="shared" si="92"/>
        <v>405142</v>
      </c>
      <c r="O32" s="1">
        <f>SUM(B32:N32)</f>
        <v>5874507</v>
      </c>
      <c r="P32" s="1">
        <f>O32/13</f>
        <v>451885.15384615387</v>
      </c>
      <c r="V32" s="15">
        <f>+N32</f>
        <v>405142</v>
      </c>
      <c r="W32" s="15">
        <v>397129.11000000004</v>
      </c>
      <c r="X32" s="15">
        <v>389119.22</v>
      </c>
      <c r="Y32" s="15">
        <v>378627.23</v>
      </c>
      <c r="Z32" s="15">
        <v>368213.29</v>
      </c>
      <c r="AA32" s="15">
        <v>357776.27999999997</v>
      </c>
      <c r="AB32" s="15">
        <v>347367.04</v>
      </c>
      <c r="AC32" s="15">
        <v>336934.58999999997</v>
      </c>
      <c r="AD32" s="15">
        <v>326530.07999999996</v>
      </c>
      <c r="AE32" s="15">
        <v>316127.98</v>
      </c>
      <c r="AF32" s="15">
        <v>305702.46999999997</v>
      </c>
      <c r="AG32" s="15">
        <v>294896.98</v>
      </c>
      <c r="AH32" s="15">
        <v>284079.93</v>
      </c>
      <c r="AI32" s="15">
        <f>+SUM(V32:AH32)</f>
        <v>4507646.1999999993</v>
      </c>
      <c r="AJ32" s="15">
        <f>+AI32/13</f>
        <v>346742.01538461534</v>
      </c>
      <c r="AM32" s="15">
        <f>+AH32</f>
        <v>284079.93</v>
      </c>
      <c r="AN32" s="15">
        <v>172612.38</v>
      </c>
      <c r="AO32" s="15">
        <v>164218.80000000002</v>
      </c>
      <c r="AP32" s="15">
        <v>155826.42000000001</v>
      </c>
      <c r="AQ32" s="15">
        <v>147435.25</v>
      </c>
      <c r="AR32" s="15">
        <v>139045.29999999999</v>
      </c>
      <c r="AS32" s="15">
        <v>130656.57</v>
      </c>
      <c r="AT32" s="15">
        <v>122269.06</v>
      </c>
      <c r="AU32" s="15">
        <v>113882.77</v>
      </c>
      <c r="AV32" s="15">
        <v>105497.72</v>
      </c>
      <c r="AW32" s="15">
        <v>96706.240000000005</v>
      </c>
      <c r="AX32" s="15">
        <v>87914.76</v>
      </c>
      <c r="AY32" s="15">
        <v>79123.28</v>
      </c>
      <c r="AZ32" s="15">
        <f>SUM(AM32:AY32)</f>
        <v>1799268.4800000002</v>
      </c>
      <c r="BA32" s="15">
        <f>AZ32/13</f>
        <v>138405.26769230771</v>
      </c>
      <c r="BC32" s="5" t="s">
        <v>179</v>
      </c>
    </row>
    <row r="33" spans="1:55" x14ac:dyDescent="0.2">
      <c r="B33" s="16" t="s">
        <v>27</v>
      </c>
      <c r="C33" s="16" t="s">
        <v>27</v>
      </c>
      <c r="D33" s="16" t="s">
        <v>27</v>
      </c>
      <c r="E33" s="16" t="s">
        <v>27</v>
      </c>
      <c r="F33" s="16" t="s">
        <v>27</v>
      </c>
      <c r="G33" s="16" t="s">
        <v>27</v>
      </c>
      <c r="H33" s="16" t="s">
        <v>27</v>
      </c>
      <c r="I33" s="16" t="s">
        <v>27</v>
      </c>
      <c r="J33" s="16" t="s">
        <v>27</v>
      </c>
      <c r="K33" s="16" t="s">
        <v>27</v>
      </c>
      <c r="L33" s="16" t="s">
        <v>27</v>
      </c>
      <c r="M33" s="16" t="s">
        <v>27</v>
      </c>
      <c r="N33" s="16" t="s">
        <v>27</v>
      </c>
      <c r="O33" s="16" t="s">
        <v>27</v>
      </c>
      <c r="P33" s="16" t="s">
        <v>27</v>
      </c>
    </row>
    <row r="34" spans="1:55" x14ac:dyDescent="0.2">
      <c r="A34" s="13" t="s">
        <v>41</v>
      </c>
      <c r="B34" s="1">
        <f>SUM(B21:B32)</f>
        <v>-28129461</v>
      </c>
      <c r="C34" s="1">
        <f t="shared" ref="C34:P34" si="93">SUM(C21:C32)</f>
        <v>-28269511</v>
      </c>
      <c r="D34" s="1">
        <f t="shared" si="93"/>
        <v>-28229991</v>
      </c>
      <c r="E34" s="1">
        <f t="shared" si="93"/>
        <v>-28399022</v>
      </c>
      <c r="F34" s="1">
        <f t="shared" si="93"/>
        <v>-27828977</v>
      </c>
      <c r="G34" s="1">
        <f t="shared" si="93"/>
        <v>-27754341</v>
      </c>
      <c r="H34" s="1">
        <f t="shared" si="93"/>
        <v>-27311025</v>
      </c>
      <c r="I34" s="1">
        <f t="shared" si="93"/>
        <v>-26789368</v>
      </c>
      <c r="J34" s="1">
        <f t="shared" si="93"/>
        <v>-26469180</v>
      </c>
      <c r="K34" s="1">
        <f t="shared" si="93"/>
        <v>-26090396</v>
      </c>
      <c r="L34" s="1">
        <f t="shared" si="93"/>
        <v>-25742010</v>
      </c>
      <c r="M34" s="1">
        <f t="shared" si="93"/>
        <v>-26857731</v>
      </c>
      <c r="N34" s="1">
        <f t="shared" si="93"/>
        <v>-26033302</v>
      </c>
      <c r="O34" s="1">
        <f t="shared" si="93"/>
        <v>-353904315</v>
      </c>
      <c r="P34" s="1">
        <f t="shared" si="93"/>
        <v>-27223407.846153848</v>
      </c>
    </row>
    <row r="35" spans="1:55" x14ac:dyDescent="0.2">
      <c r="B35" s="16" t="s">
        <v>27</v>
      </c>
      <c r="C35" s="16" t="s">
        <v>27</v>
      </c>
      <c r="D35" s="16" t="s">
        <v>27</v>
      </c>
      <c r="E35" s="16" t="s">
        <v>27</v>
      </c>
      <c r="F35" s="16" t="s">
        <v>27</v>
      </c>
      <c r="G35" s="16" t="s">
        <v>27</v>
      </c>
      <c r="H35" s="16" t="s">
        <v>27</v>
      </c>
      <c r="I35" s="16" t="s">
        <v>27</v>
      </c>
      <c r="J35" s="16" t="s">
        <v>27</v>
      </c>
      <c r="K35" s="16" t="s">
        <v>27</v>
      </c>
      <c r="L35" s="16" t="s">
        <v>27</v>
      </c>
      <c r="M35" s="16" t="s">
        <v>27</v>
      </c>
      <c r="N35" s="16" t="s">
        <v>27</v>
      </c>
      <c r="O35" s="16" t="s">
        <v>27</v>
      </c>
      <c r="P35" s="16" t="s">
        <v>27</v>
      </c>
      <c r="AI35" s="15"/>
      <c r="AJ35" s="15"/>
    </row>
    <row r="36" spans="1:55" x14ac:dyDescent="0.2">
      <c r="A36" s="11" t="s">
        <v>42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55" x14ac:dyDescent="0.2">
      <c r="A37" s="13" t="s">
        <v>43</v>
      </c>
      <c r="B37" s="1">
        <v>105738</v>
      </c>
      <c r="C37" s="1">
        <v>114536</v>
      </c>
      <c r="D37" s="1">
        <v>122465</v>
      </c>
      <c r="E37" s="1">
        <v>107341</v>
      </c>
      <c r="F37" s="1">
        <v>112322</v>
      </c>
      <c r="G37" s="1">
        <v>116962</v>
      </c>
      <c r="H37" s="1">
        <v>73451</v>
      </c>
      <c r="I37" s="1">
        <v>149438</v>
      </c>
      <c r="J37" s="1">
        <v>149438</v>
      </c>
      <c r="K37" s="1">
        <v>149438</v>
      </c>
      <c r="L37" s="1">
        <v>149438</v>
      </c>
      <c r="M37" s="1">
        <v>149438</v>
      </c>
      <c r="N37" s="1">
        <v>149438</v>
      </c>
      <c r="O37" s="1">
        <v>1649441</v>
      </c>
      <c r="P37" s="1">
        <v>126880</v>
      </c>
      <c r="Q37" s="5" t="s">
        <v>105</v>
      </c>
      <c r="V37" s="19">
        <v>149438</v>
      </c>
      <c r="W37" s="19">
        <v>143211.42000000001</v>
      </c>
      <c r="X37" s="19">
        <v>136984.84000000003</v>
      </c>
      <c r="Y37" s="19">
        <v>130758.26000000002</v>
      </c>
      <c r="Z37" s="19">
        <v>124531.68000000002</v>
      </c>
      <c r="AA37" s="19">
        <v>118305.10000000002</v>
      </c>
      <c r="AB37" s="19">
        <v>112078.52000000002</v>
      </c>
      <c r="AC37" s="19">
        <v>105851.94000000002</v>
      </c>
      <c r="AD37" s="19">
        <v>99625.360000000015</v>
      </c>
      <c r="AE37" s="19">
        <v>93398.780000000013</v>
      </c>
      <c r="AF37" s="19">
        <v>87172.200000000012</v>
      </c>
      <c r="AG37" s="19">
        <v>80945.62000000001</v>
      </c>
      <c r="AH37" s="19">
        <v>74719.040000000008</v>
      </c>
      <c r="AI37" s="19">
        <f>+SUM(V37:AH37)</f>
        <v>1457020.7600000005</v>
      </c>
      <c r="AJ37" s="19">
        <f>+AI37/13</f>
        <v>112078.52000000003</v>
      </c>
      <c r="AK37" s="19"/>
      <c r="AL37" s="19"/>
      <c r="AM37" s="19">
        <f t="shared" ref="AM37" si="94">+AH37</f>
        <v>74719.040000000008</v>
      </c>
      <c r="AN37" s="19">
        <v>68492.460000000006</v>
      </c>
      <c r="AO37" s="19">
        <v>62265.880000000005</v>
      </c>
      <c r="AP37" s="19">
        <v>56039.3</v>
      </c>
      <c r="AQ37" s="19">
        <v>49812.72</v>
      </c>
      <c r="AR37" s="19">
        <v>43586.14</v>
      </c>
      <c r="AS37" s="19">
        <v>37359.56</v>
      </c>
      <c r="AT37" s="19">
        <v>31132.979999999996</v>
      </c>
      <c r="AU37" s="19">
        <v>24906.399999999994</v>
      </c>
      <c r="AV37" s="19">
        <v>18679.819999999992</v>
      </c>
      <c r="AW37" s="19">
        <v>12453.239999999993</v>
      </c>
      <c r="AX37" s="19">
        <v>6226.6599999999926</v>
      </c>
      <c r="AY37" s="19">
        <v>0</v>
      </c>
      <c r="AZ37" s="19">
        <f>SUM(AM37:AY37)</f>
        <v>485674.19999999995</v>
      </c>
      <c r="BA37" s="19">
        <f>AZ37/13</f>
        <v>37359.553846153845</v>
      </c>
      <c r="BC37" s="21" t="s">
        <v>182</v>
      </c>
    </row>
    <row r="38" spans="1:55" x14ac:dyDescent="0.2">
      <c r="A38" s="13" t="s">
        <v>44</v>
      </c>
      <c r="B38" s="1">
        <v>56512</v>
      </c>
      <c r="C38" s="1">
        <v>57692</v>
      </c>
      <c r="D38" s="1">
        <v>54213</v>
      </c>
      <c r="E38" s="1">
        <v>37672</v>
      </c>
      <c r="F38" s="1">
        <v>25814</v>
      </c>
      <c r="G38" s="1">
        <v>15300</v>
      </c>
      <c r="H38" s="1">
        <v>12300</v>
      </c>
      <c r="I38" s="1">
        <v>17831</v>
      </c>
      <c r="J38" s="1">
        <v>16133</v>
      </c>
      <c r="K38" s="1">
        <v>17647</v>
      </c>
      <c r="L38" s="1">
        <v>27534</v>
      </c>
      <c r="M38" s="1">
        <v>27096</v>
      </c>
      <c r="N38" s="1">
        <v>28724</v>
      </c>
      <c r="O38" s="1">
        <v>394469</v>
      </c>
      <c r="P38" s="1">
        <v>30344</v>
      </c>
      <c r="Q38" s="5" t="s">
        <v>105</v>
      </c>
      <c r="V38" s="19">
        <f>+N38</f>
        <v>28724</v>
      </c>
      <c r="W38" s="19">
        <f>+V38</f>
        <v>28724</v>
      </c>
      <c r="X38" s="19">
        <f t="shared" ref="X38" si="95">+W38</f>
        <v>28724</v>
      </c>
      <c r="Y38" s="19">
        <f t="shared" ref="Y38" si="96">+X38</f>
        <v>28724</v>
      </c>
      <c r="Z38" s="19">
        <f t="shared" ref="Z38" si="97">+Y38</f>
        <v>28724</v>
      </c>
      <c r="AA38" s="19">
        <f t="shared" ref="AA38" si="98">+Z38</f>
        <v>28724</v>
      </c>
      <c r="AB38" s="19">
        <f t="shared" ref="AB38" si="99">+AA38</f>
        <v>28724</v>
      </c>
      <c r="AC38" s="19">
        <f t="shared" ref="AC38" si="100">+AB38</f>
        <v>28724</v>
      </c>
      <c r="AD38" s="19">
        <f t="shared" ref="AD38" si="101">+AC38</f>
        <v>28724</v>
      </c>
      <c r="AE38" s="19">
        <f t="shared" ref="AE38" si="102">+AD38</f>
        <v>28724</v>
      </c>
      <c r="AF38" s="19">
        <f t="shared" ref="AF38" si="103">+AE38</f>
        <v>28724</v>
      </c>
      <c r="AG38" s="19">
        <f t="shared" ref="AG38" si="104">+AF38</f>
        <v>28724</v>
      </c>
      <c r="AH38" s="19">
        <f t="shared" ref="AH38" si="105">+AG38</f>
        <v>28724</v>
      </c>
      <c r="AI38" s="19">
        <f t="shared" ref="AI38" si="106">+SUM(V38:AH38)</f>
        <v>373412</v>
      </c>
      <c r="AJ38" s="19">
        <f t="shared" ref="AJ38" si="107">+AI38/13</f>
        <v>28724</v>
      </c>
      <c r="AK38" s="19"/>
      <c r="AL38" s="19"/>
      <c r="AM38" s="19">
        <f>+AH38</f>
        <v>28724</v>
      </c>
      <c r="AN38" s="19">
        <f>+AM38</f>
        <v>28724</v>
      </c>
      <c r="AO38" s="19">
        <f t="shared" ref="AO38" si="108">+AN38</f>
        <v>28724</v>
      </c>
      <c r="AP38" s="19">
        <f t="shared" ref="AP38" si="109">+AO38</f>
        <v>28724</v>
      </c>
      <c r="AQ38" s="19">
        <f t="shared" ref="AQ38" si="110">+AP38</f>
        <v>28724</v>
      </c>
      <c r="AR38" s="19">
        <f t="shared" ref="AR38" si="111">+AQ38</f>
        <v>28724</v>
      </c>
      <c r="AS38" s="19">
        <f t="shared" ref="AS38" si="112">+AR38</f>
        <v>28724</v>
      </c>
      <c r="AT38" s="19">
        <f t="shared" ref="AT38" si="113">+AS38</f>
        <v>28724</v>
      </c>
      <c r="AU38" s="19">
        <f t="shared" ref="AU38" si="114">+AT38</f>
        <v>28724</v>
      </c>
      <c r="AV38" s="19">
        <f t="shared" ref="AV38" si="115">+AU38</f>
        <v>28724</v>
      </c>
      <c r="AW38" s="19">
        <f t="shared" ref="AW38" si="116">+AV38</f>
        <v>28724</v>
      </c>
      <c r="AX38" s="19">
        <f t="shared" ref="AX38" si="117">+AW38</f>
        <v>28724</v>
      </c>
      <c r="AY38" s="19">
        <f t="shared" ref="AY38" si="118">+AX38</f>
        <v>28724</v>
      </c>
      <c r="AZ38" s="19">
        <f t="shared" ref="AZ38" si="119">SUM(AM38:AY38)</f>
        <v>373412</v>
      </c>
      <c r="BA38" s="19">
        <f t="shared" ref="BA38" si="120">AZ38/13</f>
        <v>28724</v>
      </c>
      <c r="BC38" s="5" t="s">
        <v>164</v>
      </c>
    </row>
    <row r="39" spans="1:55" x14ac:dyDescent="0.2">
      <c r="A39" s="13" t="s">
        <v>45</v>
      </c>
      <c r="B39" s="1">
        <f>680276-B42</f>
        <v>680276</v>
      </c>
      <c r="C39" s="1">
        <f>678916-C42</f>
        <v>678776</v>
      </c>
      <c r="D39" s="1">
        <f>600773-D42</f>
        <v>593635</v>
      </c>
      <c r="E39" s="1">
        <f>545697-E42</f>
        <v>534471</v>
      </c>
      <c r="F39" s="1">
        <f>519418-F42</f>
        <v>505529</v>
      </c>
      <c r="G39" s="1">
        <f>559357-G42</f>
        <v>545379</v>
      </c>
      <c r="H39" s="1">
        <f>610969-H42</f>
        <v>592745</v>
      </c>
      <c r="I39" s="1">
        <f>642910-I42</f>
        <v>622473</v>
      </c>
      <c r="J39" s="1">
        <f>683055-J42</f>
        <v>660251</v>
      </c>
      <c r="K39" s="1">
        <f>749787-K42</f>
        <v>726283</v>
      </c>
      <c r="L39" s="1">
        <f>794037-L42</f>
        <v>769870</v>
      </c>
      <c r="M39" s="1">
        <f>799208-M42</f>
        <v>775440</v>
      </c>
      <c r="N39" s="1">
        <f>772519-N42</f>
        <v>746506</v>
      </c>
      <c r="O39" s="1">
        <f>SUM(B39:N39)</f>
        <v>8431634</v>
      </c>
      <c r="P39" s="1">
        <f>O39/13</f>
        <v>648587.23076923075</v>
      </c>
      <c r="V39" s="19">
        <f>+N123</f>
        <v>746506</v>
      </c>
      <c r="W39" s="19">
        <v>681794.29471803561</v>
      </c>
      <c r="X39" s="19">
        <v>674555.17899865471</v>
      </c>
      <c r="Y39" s="19">
        <v>666899.13797140634</v>
      </c>
      <c r="Z39" s="19">
        <v>658825.17163629038</v>
      </c>
      <c r="AA39" s="19">
        <v>650334.27999330708</v>
      </c>
      <c r="AB39" s="19">
        <v>641426.46304245642</v>
      </c>
      <c r="AC39" s="19">
        <v>632100.7207837383</v>
      </c>
      <c r="AD39" s="19">
        <v>622358.05321715272</v>
      </c>
      <c r="AE39" s="19">
        <v>612197.46034269966</v>
      </c>
      <c r="AF39" s="19">
        <v>601619.94216037937</v>
      </c>
      <c r="AG39" s="19">
        <v>590624.4986701915</v>
      </c>
      <c r="AH39" s="19">
        <v>579212.12987213605</v>
      </c>
      <c r="AI39" s="19">
        <f t="shared" ref="AI39" si="121">+SUM(V39:AH39)</f>
        <v>8358453.331406448</v>
      </c>
      <c r="AJ39" s="19">
        <f t="shared" ref="AJ39" si="122">+AI39/13</f>
        <v>642957.94856972678</v>
      </c>
      <c r="AK39" s="19"/>
      <c r="AL39" s="19"/>
      <c r="AM39" s="19">
        <f t="shared" ref="AM39:AM41" si="123">+AH39</f>
        <v>579212.12987213605</v>
      </c>
      <c r="AN39" s="19">
        <v>559944.45238279144</v>
      </c>
      <c r="AO39" s="19">
        <v>540676.77489344683</v>
      </c>
      <c r="AP39" s="19">
        <v>521409.0974041021</v>
      </c>
      <c r="AQ39" s="19">
        <v>502141.41991475743</v>
      </c>
      <c r="AR39" s="19">
        <v>482873.74242541275</v>
      </c>
      <c r="AS39" s="19">
        <v>463606.06493606808</v>
      </c>
      <c r="AT39" s="19">
        <v>444338.38744672341</v>
      </c>
      <c r="AU39" s="19">
        <v>425070.70995737874</v>
      </c>
      <c r="AV39" s="19">
        <v>405803.03246803407</v>
      </c>
      <c r="AW39" s="19">
        <v>386535.3549786894</v>
      </c>
      <c r="AX39" s="19">
        <v>367267.67748934473</v>
      </c>
      <c r="AY39" s="19">
        <v>349500.00000000006</v>
      </c>
      <c r="AZ39" s="19">
        <f t="shared" ref="AZ39" si="124">SUM(AM39:AY39)</f>
        <v>6028378.8441688847</v>
      </c>
      <c r="BA39" s="19">
        <f t="shared" ref="BA39" si="125">AZ39/13</f>
        <v>463721.44955145265</v>
      </c>
      <c r="BC39" s="5" t="s">
        <v>183</v>
      </c>
    </row>
    <row r="40" spans="1:55" x14ac:dyDescent="0.2">
      <c r="A40" s="13" t="s">
        <v>46</v>
      </c>
      <c r="B40" s="1">
        <v>26540</v>
      </c>
      <c r="C40" s="1">
        <v>26540</v>
      </c>
      <c r="D40" s="1">
        <v>26540</v>
      </c>
      <c r="E40" s="1">
        <v>51179</v>
      </c>
      <c r="F40" s="1">
        <v>51179</v>
      </c>
      <c r="G40" s="1">
        <v>51179</v>
      </c>
      <c r="H40" s="1">
        <v>34731</v>
      </c>
      <c r="I40" s="1">
        <v>34731</v>
      </c>
      <c r="J40" s="1">
        <v>34731</v>
      </c>
      <c r="K40" s="1">
        <v>38827</v>
      </c>
      <c r="L40" s="1">
        <v>38827</v>
      </c>
      <c r="M40" s="1">
        <v>38827</v>
      </c>
      <c r="N40" s="1">
        <v>35831</v>
      </c>
      <c r="O40" s="1">
        <v>489665</v>
      </c>
      <c r="P40" s="1">
        <v>37667</v>
      </c>
      <c r="Q40" s="5" t="s">
        <v>105</v>
      </c>
      <c r="V40" s="19">
        <f>N40</f>
        <v>35831</v>
      </c>
      <c r="W40" s="19">
        <f>V40</f>
        <v>35831</v>
      </c>
      <c r="X40" s="19">
        <f t="shared" ref="X40:AH40" si="126">W40</f>
        <v>35831</v>
      </c>
      <c r="Y40" s="19">
        <f t="shared" si="126"/>
        <v>35831</v>
      </c>
      <c r="Z40" s="19">
        <f t="shared" si="126"/>
        <v>35831</v>
      </c>
      <c r="AA40" s="19">
        <f t="shared" si="126"/>
        <v>35831</v>
      </c>
      <c r="AB40" s="19">
        <f t="shared" si="126"/>
        <v>35831</v>
      </c>
      <c r="AC40" s="19">
        <f t="shared" si="126"/>
        <v>35831</v>
      </c>
      <c r="AD40" s="19">
        <f t="shared" si="126"/>
        <v>35831</v>
      </c>
      <c r="AE40" s="19">
        <f t="shared" si="126"/>
        <v>35831</v>
      </c>
      <c r="AF40" s="19">
        <f t="shared" si="126"/>
        <v>35831</v>
      </c>
      <c r="AG40" s="19">
        <f t="shared" si="126"/>
        <v>35831</v>
      </c>
      <c r="AH40" s="19">
        <f t="shared" si="126"/>
        <v>35831</v>
      </c>
      <c r="AI40" s="19">
        <f t="shared" ref="AI40:AI41" si="127">+SUM(V40:AH40)</f>
        <v>465803</v>
      </c>
      <c r="AJ40" s="19">
        <f t="shared" ref="AJ40:AJ41" si="128">+AI40/13</f>
        <v>35831</v>
      </c>
      <c r="AK40" s="19"/>
      <c r="AL40" s="19"/>
      <c r="AM40" s="19">
        <f t="shared" si="123"/>
        <v>35831</v>
      </c>
      <c r="AN40" s="19">
        <f>+AM40</f>
        <v>35831</v>
      </c>
      <c r="AO40" s="19">
        <f>AN40</f>
        <v>35831</v>
      </c>
      <c r="AP40" s="19">
        <f t="shared" ref="AP40:AY40" si="129">AO40</f>
        <v>35831</v>
      </c>
      <c r="AQ40" s="19">
        <f t="shared" si="129"/>
        <v>35831</v>
      </c>
      <c r="AR40" s="19">
        <f t="shared" si="129"/>
        <v>35831</v>
      </c>
      <c r="AS40" s="19">
        <f t="shared" si="129"/>
        <v>35831</v>
      </c>
      <c r="AT40" s="19">
        <f t="shared" si="129"/>
        <v>35831</v>
      </c>
      <c r="AU40" s="19">
        <f t="shared" si="129"/>
        <v>35831</v>
      </c>
      <c r="AV40" s="19">
        <f t="shared" si="129"/>
        <v>35831</v>
      </c>
      <c r="AW40" s="19">
        <f t="shared" si="129"/>
        <v>35831</v>
      </c>
      <c r="AX40" s="19">
        <f t="shared" si="129"/>
        <v>35831</v>
      </c>
      <c r="AY40" s="19">
        <f t="shared" si="129"/>
        <v>35831</v>
      </c>
      <c r="AZ40" s="19">
        <f t="shared" ref="AZ40" si="130">SUM(AM40:AY40)</f>
        <v>465803</v>
      </c>
      <c r="BA40" s="19">
        <f t="shared" ref="BA40" si="131">AZ40/13</f>
        <v>35831</v>
      </c>
      <c r="BC40" s="5" t="s">
        <v>164</v>
      </c>
    </row>
    <row r="41" spans="1:55" x14ac:dyDescent="0.2">
      <c r="A41" s="13" t="s">
        <v>47</v>
      </c>
      <c r="B41" s="1">
        <v>39681</v>
      </c>
      <c r="C41" s="1">
        <v>28112</v>
      </c>
      <c r="D41" s="1">
        <v>-49117</v>
      </c>
      <c r="E41" s="1">
        <v>-228313</v>
      </c>
      <c r="F41" s="1">
        <v>141366</v>
      </c>
      <c r="G41" s="1">
        <v>266155</v>
      </c>
      <c r="H41" s="1">
        <v>-8358</v>
      </c>
      <c r="I41" s="1">
        <v>-173322</v>
      </c>
      <c r="J41" s="1">
        <v>-387227</v>
      </c>
      <c r="K41" s="1">
        <v>-497930</v>
      </c>
      <c r="L41" s="1">
        <v>-163523</v>
      </c>
      <c r="M41" s="1">
        <v>-170829</v>
      </c>
      <c r="N41" s="1">
        <v>-291411</v>
      </c>
      <c r="O41" s="1">
        <v>-1494716</v>
      </c>
      <c r="P41" s="1">
        <v>-114978</v>
      </c>
      <c r="Q41" s="5" t="s">
        <v>105</v>
      </c>
      <c r="V41" s="19">
        <f>+N41</f>
        <v>-291411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f t="shared" si="127"/>
        <v>-291411</v>
      </c>
      <c r="AJ41" s="19">
        <f t="shared" si="128"/>
        <v>-22416.23076923077</v>
      </c>
      <c r="AK41" s="19"/>
      <c r="AL41" s="19"/>
      <c r="AM41" s="19">
        <f t="shared" si="123"/>
        <v>0</v>
      </c>
      <c r="AN41" s="19">
        <f>+AM41</f>
        <v>0</v>
      </c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>
        <f t="shared" ref="AZ41" si="132">SUM(AM41:AY41)</f>
        <v>0</v>
      </c>
      <c r="BA41" s="19">
        <f t="shared" ref="BA41" si="133">AZ41/13</f>
        <v>0</v>
      </c>
    </row>
    <row r="42" spans="1:55" x14ac:dyDescent="0.2">
      <c r="A42" s="20" t="s">
        <v>167</v>
      </c>
      <c r="B42" s="1">
        <f>B118</f>
        <v>0</v>
      </c>
      <c r="C42" s="1">
        <f t="shared" ref="C42:N42" si="134">C118</f>
        <v>140</v>
      </c>
      <c r="D42" s="1">
        <f t="shared" si="134"/>
        <v>7138</v>
      </c>
      <c r="E42" s="1">
        <f t="shared" si="134"/>
        <v>11226</v>
      </c>
      <c r="F42" s="1">
        <f t="shared" si="134"/>
        <v>13889</v>
      </c>
      <c r="G42" s="1">
        <f t="shared" si="134"/>
        <v>13978</v>
      </c>
      <c r="H42" s="1">
        <f t="shared" si="134"/>
        <v>18224</v>
      </c>
      <c r="I42" s="1">
        <f t="shared" si="134"/>
        <v>20437</v>
      </c>
      <c r="J42" s="1">
        <f t="shared" si="134"/>
        <v>22804</v>
      </c>
      <c r="K42" s="1">
        <f t="shared" si="134"/>
        <v>23504</v>
      </c>
      <c r="L42" s="1">
        <f t="shared" si="134"/>
        <v>24167</v>
      </c>
      <c r="M42" s="1">
        <f t="shared" si="134"/>
        <v>23768</v>
      </c>
      <c r="N42" s="1">
        <f t="shared" si="134"/>
        <v>26013</v>
      </c>
      <c r="O42" s="1">
        <f>SUM(B42:N42)</f>
        <v>205288</v>
      </c>
      <c r="P42" s="1">
        <f>O42/13</f>
        <v>15791.384615384615</v>
      </c>
      <c r="V42" s="19">
        <f>+N124</f>
        <v>26013</v>
      </c>
      <c r="W42" s="19">
        <v>26013</v>
      </c>
      <c r="X42" s="19">
        <v>112263</v>
      </c>
      <c r="Y42" s="19">
        <v>284763</v>
      </c>
      <c r="Z42" s="19">
        <v>457263</v>
      </c>
      <c r="AA42" s="19">
        <v>716013</v>
      </c>
      <c r="AB42" s="19">
        <v>888513</v>
      </c>
      <c r="AC42" s="19">
        <v>944766</v>
      </c>
      <c r="AD42" s="19">
        <v>964766</v>
      </c>
      <c r="AE42" s="19">
        <v>974766</v>
      </c>
      <c r="AF42" s="19">
        <v>974766</v>
      </c>
      <c r="AG42" s="19">
        <v>974766</v>
      </c>
      <c r="AH42" s="19">
        <v>974766</v>
      </c>
      <c r="AI42" s="19">
        <f>+SUM(V42:AH42)</f>
        <v>8319437</v>
      </c>
      <c r="AJ42" s="19">
        <f>+AI42/13</f>
        <v>639956.69230769225</v>
      </c>
      <c r="AK42" s="19"/>
      <c r="AL42" s="19"/>
      <c r="AM42" s="19">
        <f>+AH42</f>
        <v>974766</v>
      </c>
      <c r="AN42" s="19">
        <v>958953</v>
      </c>
      <c r="AO42" s="19">
        <v>943140</v>
      </c>
      <c r="AP42" s="19">
        <v>927327</v>
      </c>
      <c r="AQ42" s="19">
        <v>911514</v>
      </c>
      <c r="AR42" s="19">
        <v>895701</v>
      </c>
      <c r="AS42" s="19">
        <v>879888</v>
      </c>
      <c r="AT42" s="19">
        <v>864075</v>
      </c>
      <c r="AU42" s="19">
        <v>848262</v>
      </c>
      <c r="AV42" s="19">
        <v>832449</v>
      </c>
      <c r="AW42" s="19">
        <v>816636</v>
      </c>
      <c r="AX42" s="19">
        <v>800823</v>
      </c>
      <c r="AY42" s="19">
        <v>785010</v>
      </c>
      <c r="AZ42" s="19">
        <f>SUM(AM42:AY42)</f>
        <v>11438544</v>
      </c>
      <c r="BA42" s="19">
        <f>AZ42/13</f>
        <v>879888</v>
      </c>
      <c r="BC42" s="5" t="s">
        <v>184</v>
      </c>
    </row>
    <row r="43" spans="1:55" x14ac:dyDescent="0.2">
      <c r="A43" s="20"/>
      <c r="B43" s="16" t="s">
        <v>27</v>
      </c>
      <c r="C43" s="16" t="s">
        <v>27</v>
      </c>
      <c r="D43" s="16" t="s">
        <v>27</v>
      </c>
      <c r="E43" s="16" t="s">
        <v>27</v>
      </c>
      <c r="F43" s="16" t="s">
        <v>27</v>
      </c>
      <c r="G43" s="16" t="s">
        <v>27</v>
      </c>
      <c r="H43" s="16" t="s">
        <v>27</v>
      </c>
      <c r="I43" s="16" t="s">
        <v>27</v>
      </c>
      <c r="J43" s="16" t="s">
        <v>27</v>
      </c>
      <c r="K43" s="16" t="s">
        <v>27</v>
      </c>
      <c r="L43" s="16" t="s">
        <v>27</v>
      </c>
      <c r="M43" s="16" t="s">
        <v>27</v>
      </c>
      <c r="N43" s="16" t="s">
        <v>27</v>
      </c>
      <c r="O43" s="16" t="s">
        <v>27</v>
      </c>
      <c r="P43" s="16" t="s">
        <v>27</v>
      </c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</row>
    <row r="44" spans="1:55" x14ac:dyDescent="0.2">
      <c r="A44" s="13" t="s">
        <v>48</v>
      </c>
      <c r="B44" s="1">
        <v>908748</v>
      </c>
      <c r="C44" s="1">
        <v>905796</v>
      </c>
      <c r="D44" s="1">
        <v>754874</v>
      </c>
      <c r="E44" s="1">
        <v>513576</v>
      </c>
      <c r="F44" s="1">
        <v>850100</v>
      </c>
      <c r="G44" s="1">
        <v>1008953</v>
      </c>
      <c r="H44" s="1">
        <v>723092</v>
      </c>
      <c r="I44" s="1">
        <v>671589</v>
      </c>
      <c r="J44" s="1">
        <v>496131</v>
      </c>
      <c r="K44" s="1">
        <v>457770</v>
      </c>
      <c r="L44" s="1">
        <v>846313</v>
      </c>
      <c r="M44" s="1">
        <v>843740</v>
      </c>
      <c r="N44" s="1">
        <v>695101</v>
      </c>
      <c r="O44" s="1">
        <v>9675782</v>
      </c>
      <c r="P44" s="1">
        <v>744291</v>
      </c>
      <c r="AI44" s="15"/>
      <c r="AJ44" s="15"/>
    </row>
    <row r="45" spans="1:55" x14ac:dyDescent="0.2">
      <c r="B45" s="16" t="s">
        <v>27</v>
      </c>
      <c r="C45" s="16" t="s">
        <v>27</v>
      </c>
      <c r="D45" s="16" t="s">
        <v>27</v>
      </c>
      <c r="E45" s="16" t="s">
        <v>27</v>
      </c>
      <c r="F45" s="16" t="s">
        <v>27</v>
      </c>
      <c r="G45" s="16" t="s">
        <v>27</v>
      </c>
      <c r="H45" s="16" t="s">
        <v>27</v>
      </c>
      <c r="I45" s="16" t="s">
        <v>27</v>
      </c>
      <c r="J45" s="16" t="s">
        <v>27</v>
      </c>
      <c r="K45" s="16" t="s">
        <v>27</v>
      </c>
      <c r="L45" s="16" t="s">
        <v>27</v>
      </c>
      <c r="M45" s="16" t="s">
        <v>27</v>
      </c>
      <c r="N45" s="16" t="s">
        <v>27</v>
      </c>
      <c r="O45" s="16" t="s">
        <v>27</v>
      </c>
      <c r="P45" s="16" t="s">
        <v>27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M45" s="15"/>
      <c r="AZ45" s="15"/>
      <c r="BA45" s="15"/>
    </row>
    <row r="46" spans="1:55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</row>
    <row r="47" spans="1:55" ht="15.75" x14ac:dyDescent="0.25">
      <c r="A47" s="22" t="s">
        <v>49</v>
      </c>
      <c r="B47" s="23">
        <v>82749672</v>
      </c>
      <c r="C47" s="23">
        <v>83037035</v>
      </c>
      <c r="D47" s="23">
        <v>83100775</v>
      </c>
      <c r="E47" s="23">
        <v>83188335</v>
      </c>
      <c r="F47" s="23">
        <v>84328925</v>
      </c>
      <c r="G47" s="23">
        <v>84810258</v>
      </c>
      <c r="H47" s="23">
        <v>85369691</v>
      </c>
      <c r="I47" s="23">
        <v>86170093</v>
      </c>
      <c r="J47" s="23">
        <v>86811789</v>
      </c>
      <c r="K47" s="23">
        <v>87347037</v>
      </c>
      <c r="L47" s="23">
        <v>88131536</v>
      </c>
      <c r="M47" s="23">
        <v>87193281</v>
      </c>
      <c r="N47" s="23">
        <v>88274481</v>
      </c>
      <c r="O47" s="23">
        <v>1110512909</v>
      </c>
      <c r="P47" s="23">
        <v>85424070</v>
      </c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M47" s="15"/>
      <c r="AZ47" s="15"/>
      <c r="BA47" s="15"/>
    </row>
    <row r="48" spans="1:55" x14ac:dyDescent="0.2">
      <c r="B48" s="16" t="s">
        <v>50</v>
      </c>
      <c r="C48" s="16" t="s">
        <v>50</v>
      </c>
      <c r="D48" s="16" t="s">
        <v>50</v>
      </c>
      <c r="E48" s="16" t="s">
        <v>50</v>
      </c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  <c r="L48" s="16" t="s">
        <v>50</v>
      </c>
      <c r="M48" s="16" t="s">
        <v>50</v>
      </c>
      <c r="N48" s="16" t="s">
        <v>50</v>
      </c>
      <c r="O48" s="16" t="s">
        <v>50</v>
      </c>
      <c r="P48" s="16" t="s">
        <v>50</v>
      </c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M48" s="15"/>
      <c r="AZ48" s="15"/>
      <c r="BA48" s="15"/>
    </row>
    <row r="50" spans="1:22" hidden="1" x14ac:dyDescent="0.2">
      <c r="A50" s="13" t="s">
        <v>51</v>
      </c>
      <c r="P50" s="24" t="s">
        <v>52</v>
      </c>
    </row>
    <row r="51" spans="1:22" hidden="1" x14ac:dyDescent="0.2">
      <c r="A51" s="13" t="s">
        <v>53</v>
      </c>
      <c r="P51" s="24" t="s">
        <v>54</v>
      </c>
    </row>
    <row r="52" spans="1:22" ht="22.5" hidden="1" x14ac:dyDescent="0.45">
      <c r="A52" s="4" t="s">
        <v>0</v>
      </c>
    </row>
    <row r="53" spans="1:22" ht="19.5" hidden="1" x14ac:dyDescent="0.4">
      <c r="A53" s="6" t="s">
        <v>1</v>
      </c>
    </row>
    <row r="54" spans="1:22" ht="19.5" hidden="1" x14ac:dyDescent="0.4">
      <c r="A54" s="6" t="s">
        <v>2</v>
      </c>
    </row>
    <row r="55" spans="1:22" ht="19.5" hidden="1" x14ac:dyDescent="0.4">
      <c r="A55" s="6" t="s">
        <v>3</v>
      </c>
    </row>
    <row r="56" spans="1:22" hidden="1" x14ac:dyDescent="0.2"/>
    <row r="57" spans="1:22" hidden="1" x14ac:dyDescent="0.2">
      <c r="B57" s="7" t="s">
        <v>4</v>
      </c>
      <c r="C57" s="7" t="s">
        <v>5</v>
      </c>
      <c r="D57" s="7" t="s">
        <v>6</v>
      </c>
      <c r="E57" s="7" t="s">
        <v>7</v>
      </c>
      <c r="F57" s="7" t="s">
        <v>8</v>
      </c>
      <c r="G57" s="7" t="s">
        <v>9</v>
      </c>
      <c r="H57" s="7" t="s">
        <v>10</v>
      </c>
      <c r="I57" s="7" t="s">
        <v>11</v>
      </c>
      <c r="J57" s="7" t="s">
        <v>12</v>
      </c>
      <c r="K57" s="7" t="s">
        <v>13</v>
      </c>
      <c r="L57" s="7" t="s">
        <v>14</v>
      </c>
      <c r="M57" s="7" t="s">
        <v>15</v>
      </c>
      <c r="N57" s="7" t="s">
        <v>4</v>
      </c>
    </row>
    <row r="58" spans="1:22" hidden="1" x14ac:dyDescent="0.2">
      <c r="B58" s="8" t="s">
        <v>16</v>
      </c>
      <c r="C58" s="8" t="s">
        <v>17</v>
      </c>
      <c r="D58" s="8" t="s">
        <v>17</v>
      </c>
      <c r="E58" s="8" t="s">
        <v>17</v>
      </c>
      <c r="F58" s="8" t="s">
        <v>17</v>
      </c>
      <c r="G58" s="8" t="s">
        <v>17</v>
      </c>
      <c r="H58" s="8" t="s">
        <v>17</v>
      </c>
      <c r="I58" s="8" t="s">
        <v>17</v>
      </c>
      <c r="J58" s="8" t="s">
        <v>17</v>
      </c>
      <c r="K58" s="8" t="s">
        <v>17</v>
      </c>
      <c r="L58" s="8" t="s">
        <v>17</v>
      </c>
      <c r="M58" s="8" t="s">
        <v>17</v>
      </c>
      <c r="N58" s="8" t="s">
        <v>17</v>
      </c>
      <c r="O58" s="9" t="s">
        <v>18</v>
      </c>
      <c r="P58" s="9" t="s">
        <v>19</v>
      </c>
    </row>
    <row r="59" spans="1:22" hidden="1" x14ac:dyDescent="0.2"/>
    <row r="60" spans="1:22" ht="22.5" hidden="1" x14ac:dyDescent="0.45">
      <c r="A60" s="4" t="s">
        <v>55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22" hidden="1" x14ac:dyDescent="0.2"/>
    <row r="62" spans="1:22" hidden="1" x14ac:dyDescent="0.2">
      <c r="A62" s="11" t="s">
        <v>56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22" hidden="1" x14ac:dyDescent="0.2">
      <c r="A63" s="13" t="s">
        <v>57</v>
      </c>
      <c r="B63" s="14">
        <v>57473696</v>
      </c>
      <c r="C63" s="14">
        <v>57953814</v>
      </c>
      <c r="D63" s="14">
        <v>58422602</v>
      </c>
      <c r="E63" s="14">
        <v>58767331</v>
      </c>
      <c r="F63" s="14">
        <v>59299639</v>
      </c>
      <c r="G63" s="14">
        <v>59580385</v>
      </c>
      <c r="H63" s="14">
        <v>59819350</v>
      </c>
      <c r="I63" s="14">
        <v>60247680</v>
      </c>
      <c r="J63" s="14">
        <v>60649700</v>
      </c>
      <c r="K63" s="14">
        <v>60975760</v>
      </c>
      <c r="L63" s="14">
        <v>61434876</v>
      </c>
      <c r="M63" s="14">
        <v>61656412</v>
      </c>
      <c r="N63" s="14">
        <v>61991708</v>
      </c>
      <c r="O63" s="14">
        <v>778272954</v>
      </c>
      <c r="P63" s="14">
        <v>59867150</v>
      </c>
      <c r="Q63" s="5" t="s">
        <v>138</v>
      </c>
      <c r="V63" s="25"/>
    </row>
    <row r="64" spans="1:22" hidden="1" x14ac:dyDescent="0.2">
      <c r="B64" s="16" t="s">
        <v>27</v>
      </c>
      <c r="C64" s="16" t="s">
        <v>27</v>
      </c>
      <c r="D64" s="16" t="s">
        <v>27</v>
      </c>
      <c r="E64" s="16" t="s">
        <v>27</v>
      </c>
      <c r="F64" s="16" t="s">
        <v>27</v>
      </c>
      <c r="G64" s="16" t="s">
        <v>27</v>
      </c>
      <c r="H64" s="16" t="s">
        <v>27</v>
      </c>
      <c r="I64" s="16" t="s">
        <v>27</v>
      </c>
      <c r="J64" s="16" t="s">
        <v>27</v>
      </c>
      <c r="K64" s="16" t="s">
        <v>27</v>
      </c>
      <c r="L64" s="16" t="s">
        <v>27</v>
      </c>
      <c r="M64" s="16" t="s">
        <v>27</v>
      </c>
      <c r="N64" s="16" t="s">
        <v>27</v>
      </c>
      <c r="O64" s="16" t="s">
        <v>27</v>
      </c>
      <c r="P64" s="16" t="s">
        <v>27</v>
      </c>
    </row>
    <row r="65" spans="1:55" hidden="1" x14ac:dyDescent="0.2">
      <c r="A65" s="13" t="s">
        <v>58</v>
      </c>
      <c r="B65" s="1">
        <v>57473696</v>
      </c>
      <c r="C65" s="1">
        <v>57953814</v>
      </c>
      <c r="D65" s="1">
        <v>58422602</v>
      </c>
      <c r="E65" s="1">
        <v>58767331</v>
      </c>
      <c r="F65" s="1">
        <v>59299639</v>
      </c>
      <c r="G65" s="1">
        <v>59580385</v>
      </c>
      <c r="H65" s="1">
        <v>59819350</v>
      </c>
      <c r="I65" s="1">
        <v>60247680</v>
      </c>
      <c r="J65" s="1">
        <v>60649700</v>
      </c>
      <c r="K65" s="1">
        <v>60975760</v>
      </c>
      <c r="L65" s="1">
        <v>61434876</v>
      </c>
      <c r="M65" s="1">
        <v>61656413</v>
      </c>
      <c r="N65" s="1">
        <v>61991708</v>
      </c>
      <c r="O65" s="1">
        <v>778272954</v>
      </c>
      <c r="P65" s="1">
        <v>59867150</v>
      </c>
    </row>
    <row r="66" spans="1:55" hidden="1" x14ac:dyDescent="0.2">
      <c r="B66" s="16" t="s">
        <v>27</v>
      </c>
      <c r="C66" s="16" t="s">
        <v>27</v>
      </c>
      <c r="D66" s="16" t="s">
        <v>27</v>
      </c>
      <c r="E66" s="16" t="s">
        <v>27</v>
      </c>
      <c r="F66" s="16" t="s">
        <v>27</v>
      </c>
      <c r="G66" s="16" t="s">
        <v>27</v>
      </c>
      <c r="H66" s="16" t="s">
        <v>27</v>
      </c>
      <c r="I66" s="16" t="s">
        <v>27</v>
      </c>
      <c r="J66" s="16" t="s">
        <v>27</v>
      </c>
      <c r="K66" s="16" t="s">
        <v>27</v>
      </c>
      <c r="L66" s="16" t="s">
        <v>27</v>
      </c>
      <c r="M66" s="16" t="s">
        <v>27</v>
      </c>
      <c r="N66" s="16" t="s">
        <v>27</v>
      </c>
      <c r="O66" s="16" t="s">
        <v>27</v>
      </c>
      <c r="P66" s="16" t="s">
        <v>27</v>
      </c>
      <c r="R66" s="1"/>
      <c r="T66" s="2"/>
      <c r="U66" s="2"/>
    </row>
    <row r="67" spans="1:55" x14ac:dyDescent="0.2">
      <c r="A67" s="11" t="s">
        <v>59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T67" s="17"/>
      <c r="U67" s="17"/>
      <c r="W67" s="11"/>
    </row>
    <row r="68" spans="1:55" x14ac:dyDescent="0.2">
      <c r="A68" s="13" t="s">
        <v>60</v>
      </c>
      <c r="B68" s="1">
        <v>391274</v>
      </c>
      <c r="C68" s="1">
        <v>392053</v>
      </c>
      <c r="D68" s="1">
        <v>392835</v>
      </c>
      <c r="E68" s="1">
        <v>259227</v>
      </c>
      <c r="F68" s="1">
        <v>260013</v>
      </c>
      <c r="G68" s="1">
        <v>260802</v>
      </c>
      <c r="H68" s="1">
        <v>261593</v>
      </c>
      <c r="I68" s="1">
        <v>262387</v>
      </c>
      <c r="J68" s="1">
        <v>263182</v>
      </c>
      <c r="K68" s="1">
        <v>263981</v>
      </c>
      <c r="L68" s="1">
        <v>129982</v>
      </c>
      <c r="M68" s="1">
        <v>130376</v>
      </c>
      <c r="N68" s="1">
        <v>130772</v>
      </c>
      <c r="O68" s="1">
        <v>3398476</v>
      </c>
      <c r="P68" s="1">
        <v>261421</v>
      </c>
      <c r="Q68" s="5" t="s">
        <v>138</v>
      </c>
      <c r="V68" s="19">
        <f t="shared" ref="V68:V71" si="135">N68</f>
        <v>130772</v>
      </c>
      <c r="W68" s="26">
        <v>130454.32</v>
      </c>
      <c r="X68" s="19">
        <v>130850.52</v>
      </c>
      <c r="Y68" s="19">
        <v>131247.92000000001</v>
      </c>
      <c r="Z68" s="19">
        <v>131607.9</v>
      </c>
      <c r="AA68" s="19">
        <v>132007.6</v>
      </c>
      <c r="AB68" s="19">
        <v>132395.57</v>
      </c>
      <c r="AC68" s="19">
        <v>132797.66</v>
      </c>
      <c r="AD68" s="19">
        <v>133187.95000000001</v>
      </c>
      <c r="AE68" s="19">
        <v>133592.45000000001</v>
      </c>
      <c r="AF68" s="19">
        <v>133998.18</v>
      </c>
      <c r="AG68" s="19">
        <v>0</v>
      </c>
      <c r="AH68" s="19">
        <v>0</v>
      </c>
      <c r="AI68" s="19">
        <f t="shared" ref="AI68:AI69" si="136">SUM(V68:AH68)</f>
        <v>1452912.0699999998</v>
      </c>
      <c r="AJ68" s="19">
        <f t="shared" ref="AJ68:AJ69" si="137">AI68/13</f>
        <v>111762.46692307691</v>
      </c>
      <c r="AM68" s="19">
        <f t="shared" ref="AM68:AM69" si="138">AH68</f>
        <v>0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37">
        <v>0</v>
      </c>
      <c r="AT68" s="37">
        <v>0</v>
      </c>
      <c r="AU68" s="37">
        <v>0</v>
      </c>
      <c r="AV68" s="37">
        <v>0</v>
      </c>
      <c r="AW68" s="37">
        <v>0</v>
      </c>
      <c r="AX68" s="37">
        <v>0</v>
      </c>
      <c r="AY68" s="37">
        <v>0</v>
      </c>
      <c r="AZ68" s="37">
        <f>SUM(AM68:AY68)</f>
        <v>0</v>
      </c>
      <c r="BA68" s="37">
        <f>AZ68/13</f>
        <v>0</v>
      </c>
      <c r="BC68" s="5" t="s">
        <v>179</v>
      </c>
    </row>
    <row r="69" spans="1:55" x14ac:dyDescent="0.2">
      <c r="A69" s="13" t="s">
        <v>61</v>
      </c>
      <c r="B69" s="1">
        <v>753033</v>
      </c>
      <c r="C69" s="1">
        <v>754771</v>
      </c>
      <c r="D69" s="1">
        <v>751415</v>
      </c>
      <c r="E69" s="1">
        <v>753142</v>
      </c>
      <c r="F69" s="1">
        <v>754869</v>
      </c>
      <c r="G69" s="1">
        <v>756596</v>
      </c>
      <c r="H69" s="1">
        <v>758323</v>
      </c>
      <c r="I69" s="1">
        <v>760050</v>
      </c>
      <c r="J69" s="1">
        <v>761777</v>
      </c>
      <c r="K69" s="1">
        <v>763504</v>
      </c>
      <c r="L69" s="1">
        <v>765231</v>
      </c>
      <c r="M69" s="1">
        <v>939162</v>
      </c>
      <c r="N69" s="1">
        <v>943773</v>
      </c>
      <c r="O69" s="1">
        <v>10215646</v>
      </c>
      <c r="P69" s="1">
        <v>785819</v>
      </c>
      <c r="Q69" s="5" t="s">
        <v>138</v>
      </c>
      <c r="V69" s="19">
        <f t="shared" si="135"/>
        <v>943773</v>
      </c>
      <c r="W69" s="43">
        <f>V69</f>
        <v>943773</v>
      </c>
      <c r="X69" s="37">
        <f>W69</f>
        <v>943773</v>
      </c>
      <c r="Y69" s="37">
        <f t="shared" ref="Y69:AH69" si="139">X69</f>
        <v>943773</v>
      </c>
      <c r="Z69" s="37">
        <f t="shared" si="139"/>
        <v>943773</v>
      </c>
      <c r="AA69" s="37">
        <f t="shared" si="139"/>
        <v>943773</v>
      </c>
      <c r="AB69" s="37">
        <f t="shared" si="139"/>
        <v>943773</v>
      </c>
      <c r="AC69" s="37">
        <f t="shared" si="139"/>
        <v>943773</v>
      </c>
      <c r="AD69" s="37">
        <f t="shared" si="139"/>
        <v>943773</v>
      </c>
      <c r="AE69" s="37">
        <f t="shared" si="139"/>
        <v>943773</v>
      </c>
      <c r="AF69" s="37">
        <f t="shared" si="139"/>
        <v>943773</v>
      </c>
      <c r="AG69" s="37">
        <f t="shared" si="139"/>
        <v>943773</v>
      </c>
      <c r="AH69" s="37">
        <f t="shared" si="139"/>
        <v>943773</v>
      </c>
      <c r="AI69" s="19">
        <f t="shared" si="136"/>
        <v>12269049</v>
      </c>
      <c r="AJ69" s="19">
        <f t="shared" si="137"/>
        <v>943773</v>
      </c>
      <c r="AM69" s="19">
        <f t="shared" si="138"/>
        <v>943773</v>
      </c>
      <c r="AN69" s="37">
        <f>AM69</f>
        <v>943773</v>
      </c>
      <c r="AO69" s="37">
        <f t="shared" ref="AO69:AY69" si="140">AN69</f>
        <v>943773</v>
      </c>
      <c r="AP69" s="37">
        <f t="shared" si="140"/>
        <v>943773</v>
      </c>
      <c r="AQ69" s="37">
        <f t="shared" si="140"/>
        <v>943773</v>
      </c>
      <c r="AR69" s="37">
        <f t="shared" si="140"/>
        <v>943773</v>
      </c>
      <c r="AS69" s="37">
        <f t="shared" si="140"/>
        <v>943773</v>
      </c>
      <c r="AT69" s="37">
        <f t="shared" si="140"/>
        <v>943773</v>
      </c>
      <c r="AU69" s="37">
        <f t="shared" si="140"/>
        <v>943773</v>
      </c>
      <c r="AV69" s="37">
        <f t="shared" si="140"/>
        <v>943773</v>
      </c>
      <c r="AW69" s="37">
        <f t="shared" si="140"/>
        <v>943773</v>
      </c>
      <c r="AX69" s="37">
        <f t="shared" si="140"/>
        <v>943773</v>
      </c>
      <c r="AY69" s="37">
        <f t="shared" si="140"/>
        <v>943773</v>
      </c>
      <c r="AZ69" s="37">
        <f>SUM(AM69:AY69)</f>
        <v>12269049</v>
      </c>
      <c r="BA69" s="37">
        <f>AZ69/13</f>
        <v>943773</v>
      </c>
    </row>
    <row r="70" spans="1:55" x14ac:dyDescent="0.2">
      <c r="A70" s="13" t="s">
        <v>62</v>
      </c>
      <c r="V70" s="19">
        <f t="shared" si="135"/>
        <v>0</v>
      </c>
      <c r="W70" s="13"/>
      <c r="AM70" s="19"/>
    </row>
    <row r="71" spans="1:55" x14ac:dyDescent="0.2">
      <c r="A71" s="13" t="s">
        <v>63</v>
      </c>
      <c r="B71" s="1">
        <v>151833</v>
      </c>
      <c r="C71" s="1">
        <v>158221</v>
      </c>
      <c r="D71" s="1">
        <v>163714</v>
      </c>
      <c r="E71" s="1">
        <v>172580</v>
      </c>
      <c r="F71" s="1">
        <v>29651</v>
      </c>
      <c r="G71" s="1">
        <v>35103</v>
      </c>
      <c r="H71" s="1">
        <v>40090</v>
      </c>
      <c r="I71" s="1">
        <v>47411</v>
      </c>
      <c r="J71" s="1">
        <v>53949</v>
      </c>
      <c r="K71" s="1">
        <v>101734</v>
      </c>
      <c r="L71" s="1">
        <v>0</v>
      </c>
      <c r="M71" s="1">
        <v>0</v>
      </c>
      <c r="N71" s="1">
        <v>0</v>
      </c>
      <c r="O71" s="1">
        <v>954286</v>
      </c>
      <c r="P71" s="1">
        <v>73407</v>
      </c>
      <c r="Q71" s="5" t="s">
        <v>138</v>
      </c>
      <c r="V71" s="19">
        <f t="shared" si="135"/>
        <v>0</v>
      </c>
      <c r="W71" s="13"/>
      <c r="AM71" s="19">
        <f t="shared" ref="AM71" si="141">AH71</f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37">
        <v>0</v>
      </c>
      <c r="AT71" s="37">
        <v>0</v>
      </c>
      <c r="AU71" s="37">
        <v>0</v>
      </c>
      <c r="AV71" s="37">
        <v>0</v>
      </c>
      <c r="AW71" s="37">
        <v>0</v>
      </c>
      <c r="AX71" s="37">
        <v>0</v>
      </c>
      <c r="AY71" s="37">
        <v>0</v>
      </c>
      <c r="AZ71" s="37">
        <f>SUM(AM71:AY71)</f>
        <v>0</v>
      </c>
      <c r="BA71" s="37">
        <f>AZ71/13</f>
        <v>0</v>
      </c>
    </row>
    <row r="72" spans="1:55" x14ac:dyDescent="0.2">
      <c r="B72" s="16" t="s">
        <v>27</v>
      </c>
      <c r="C72" s="16" t="s">
        <v>27</v>
      </c>
      <c r="D72" s="16" t="s">
        <v>27</v>
      </c>
      <c r="E72" s="16" t="s">
        <v>27</v>
      </c>
      <c r="F72" s="16" t="s">
        <v>27</v>
      </c>
      <c r="G72" s="16" t="s">
        <v>27</v>
      </c>
      <c r="H72" s="16" t="s">
        <v>27</v>
      </c>
      <c r="I72" s="16" t="s">
        <v>27</v>
      </c>
      <c r="J72" s="16" t="s">
        <v>27</v>
      </c>
      <c r="K72" s="16" t="s">
        <v>27</v>
      </c>
      <c r="L72" s="16" t="s">
        <v>27</v>
      </c>
      <c r="M72" s="16" t="s">
        <v>27</v>
      </c>
      <c r="N72" s="16" t="s">
        <v>27</v>
      </c>
      <c r="O72" s="16" t="s">
        <v>27</v>
      </c>
      <c r="P72" s="16" t="s">
        <v>27</v>
      </c>
    </row>
    <row r="73" spans="1:55" x14ac:dyDescent="0.2">
      <c r="A73" s="13" t="s">
        <v>64</v>
      </c>
      <c r="B73" s="1">
        <v>1296140</v>
      </c>
      <c r="C73" s="1">
        <v>1305045</v>
      </c>
      <c r="D73" s="1">
        <v>1307964</v>
      </c>
      <c r="E73" s="1">
        <v>1184949</v>
      </c>
      <c r="F73" s="1">
        <v>1044533</v>
      </c>
      <c r="G73" s="1">
        <v>1052501</v>
      </c>
      <c r="H73" s="1">
        <v>1060006</v>
      </c>
      <c r="I73" s="1">
        <v>1069848</v>
      </c>
      <c r="J73" s="1">
        <v>1078908</v>
      </c>
      <c r="K73" s="1">
        <v>1129219</v>
      </c>
      <c r="L73" s="1">
        <v>895213</v>
      </c>
      <c r="M73" s="1">
        <v>1069538</v>
      </c>
      <c r="N73" s="1">
        <v>1074545</v>
      </c>
      <c r="O73" s="1">
        <v>14568409</v>
      </c>
      <c r="P73" s="1">
        <v>1120647</v>
      </c>
      <c r="R73" s="1"/>
      <c r="T73" s="2">
        <v>2022</v>
      </c>
      <c r="U73" s="2">
        <v>2023</v>
      </c>
      <c r="W73" s="13"/>
    </row>
    <row r="74" spans="1:55" x14ac:dyDescent="0.2">
      <c r="B74" s="16" t="s">
        <v>27</v>
      </c>
      <c r="C74" s="16" t="s">
        <v>27</v>
      </c>
      <c r="D74" s="16" t="s">
        <v>27</v>
      </c>
      <c r="E74" s="16" t="s">
        <v>27</v>
      </c>
      <c r="F74" s="16" t="s">
        <v>27</v>
      </c>
      <c r="G74" s="16" t="s">
        <v>27</v>
      </c>
      <c r="H74" s="16" t="s">
        <v>27</v>
      </c>
      <c r="I74" s="16" t="s">
        <v>27</v>
      </c>
      <c r="J74" s="16" t="s">
        <v>27</v>
      </c>
      <c r="K74" s="16" t="s">
        <v>27</v>
      </c>
      <c r="L74" s="16" t="s">
        <v>27</v>
      </c>
      <c r="M74" s="16" t="s">
        <v>27</v>
      </c>
      <c r="N74" s="16" t="s">
        <v>27</v>
      </c>
      <c r="O74" s="16" t="s">
        <v>27</v>
      </c>
      <c r="P74" s="16" t="s">
        <v>27</v>
      </c>
      <c r="R74" s="5" t="s">
        <v>155</v>
      </c>
      <c r="T74" s="17">
        <v>1.0733598358827501</v>
      </c>
      <c r="U74" s="17">
        <v>1.1234825778704063</v>
      </c>
    </row>
    <row r="75" spans="1:55" x14ac:dyDescent="0.2">
      <c r="A75" s="11" t="s">
        <v>65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W75" s="11"/>
    </row>
    <row r="76" spans="1:55" x14ac:dyDescent="0.2">
      <c r="A76" s="13" t="s">
        <v>66</v>
      </c>
      <c r="B76" s="1">
        <v>1285010</v>
      </c>
      <c r="C76" s="1">
        <v>835076</v>
      </c>
      <c r="D76" s="1">
        <v>168849</v>
      </c>
      <c r="E76" s="1">
        <v>-66511</v>
      </c>
      <c r="F76" s="1">
        <v>399391</v>
      </c>
      <c r="G76" s="1">
        <v>428647</v>
      </c>
      <c r="H76" s="1">
        <v>371628</v>
      </c>
      <c r="I76" s="1">
        <v>636197</v>
      </c>
      <c r="J76" s="1">
        <v>635306</v>
      </c>
      <c r="K76" s="1">
        <v>520987</v>
      </c>
      <c r="L76" s="1">
        <v>911694</v>
      </c>
      <c r="M76" s="1">
        <v>412092</v>
      </c>
      <c r="N76" s="1">
        <v>947749</v>
      </c>
      <c r="O76" s="1">
        <v>7486114</v>
      </c>
      <c r="P76" s="1">
        <v>575855</v>
      </c>
      <c r="Q76" s="5" t="s">
        <v>138</v>
      </c>
      <c r="T76" s="5">
        <f>((P76)*T74)*13</f>
        <v>8035295.1677993936</v>
      </c>
      <c r="U76" s="18">
        <f>U74*P76*13</f>
        <v>8410519.7784343176</v>
      </c>
      <c r="V76" s="19">
        <f>N76</f>
        <v>947749</v>
      </c>
      <c r="W76" s="26">
        <f>($T$76-$V$76)/12-502416.68</f>
        <v>88212.167316616105</v>
      </c>
      <c r="X76" s="26">
        <f t="shared" ref="X76:AH76" si="142">($T$76-$V$76)/12-502416.68</f>
        <v>88212.167316616105</v>
      </c>
      <c r="Y76" s="26">
        <f t="shared" si="142"/>
        <v>88212.167316616105</v>
      </c>
      <c r="Z76" s="26">
        <f t="shared" si="142"/>
        <v>88212.167316616105</v>
      </c>
      <c r="AA76" s="26">
        <f t="shared" si="142"/>
        <v>88212.167316616105</v>
      </c>
      <c r="AB76" s="26">
        <f t="shared" si="142"/>
        <v>88212.167316616105</v>
      </c>
      <c r="AC76" s="26">
        <f t="shared" si="142"/>
        <v>88212.167316616105</v>
      </c>
      <c r="AD76" s="26">
        <f t="shared" si="142"/>
        <v>88212.167316616105</v>
      </c>
      <c r="AE76" s="26">
        <f t="shared" si="142"/>
        <v>88212.167316616105</v>
      </c>
      <c r="AF76" s="26">
        <f t="shared" si="142"/>
        <v>88212.167316616105</v>
      </c>
      <c r="AG76" s="26">
        <f t="shared" si="142"/>
        <v>88212.167316616105</v>
      </c>
      <c r="AH76" s="26">
        <f t="shared" si="142"/>
        <v>88212.167316616105</v>
      </c>
      <c r="AI76" s="37">
        <f>SUM(V76:AH76)</f>
        <v>2006295.0077993926</v>
      </c>
      <c r="AJ76" s="27">
        <f>AI76/13</f>
        <v>154330.38521533788</v>
      </c>
      <c r="AK76" s="19"/>
      <c r="AL76" s="19"/>
      <c r="AM76" s="19">
        <f>AH76</f>
        <v>88212.167316616105</v>
      </c>
      <c r="AN76" s="19">
        <f>($U$76-$AM$76)/12-525866.53</f>
        <v>167659.10425980843</v>
      </c>
      <c r="AO76" s="19">
        <f t="shared" ref="AO76:AY76" si="143">($U$76-$AM$76)/12-525866.53</f>
        <v>167659.10425980843</v>
      </c>
      <c r="AP76" s="19">
        <f t="shared" si="143"/>
        <v>167659.10425980843</v>
      </c>
      <c r="AQ76" s="19">
        <f t="shared" si="143"/>
        <v>167659.10425980843</v>
      </c>
      <c r="AR76" s="19">
        <f t="shared" si="143"/>
        <v>167659.10425980843</v>
      </c>
      <c r="AS76" s="19">
        <f t="shared" si="143"/>
        <v>167659.10425980843</v>
      </c>
      <c r="AT76" s="19">
        <f t="shared" si="143"/>
        <v>167659.10425980843</v>
      </c>
      <c r="AU76" s="19">
        <f t="shared" si="143"/>
        <v>167659.10425980843</v>
      </c>
      <c r="AV76" s="19">
        <f t="shared" si="143"/>
        <v>167659.10425980843</v>
      </c>
      <c r="AW76" s="19">
        <f t="shared" si="143"/>
        <v>167659.10425980843</v>
      </c>
      <c r="AX76" s="19">
        <f t="shared" si="143"/>
        <v>167659.10425980843</v>
      </c>
      <c r="AY76" s="19">
        <f t="shared" si="143"/>
        <v>167659.10425980843</v>
      </c>
      <c r="AZ76" s="37">
        <f>SUM(AM76:AY76)</f>
        <v>2100121.4184343182</v>
      </c>
      <c r="BA76" s="19">
        <f>AZ76/13</f>
        <v>161547.80141802446</v>
      </c>
      <c r="BC76" s="5" t="s">
        <v>186</v>
      </c>
    </row>
    <row r="77" spans="1:55" x14ac:dyDescent="0.2">
      <c r="A77" s="13" t="s">
        <v>67</v>
      </c>
      <c r="B77" s="1">
        <v>1430512</v>
      </c>
      <c r="C77" s="1">
        <v>1443726</v>
      </c>
      <c r="D77" s="1">
        <v>1439735</v>
      </c>
      <c r="E77" s="1">
        <v>1445855</v>
      </c>
      <c r="F77" s="1">
        <v>1449059</v>
      </c>
      <c r="G77" s="1">
        <v>1454363</v>
      </c>
      <c r="H77" s="1">
        <v>1523848</v>
      </c>
      <c r="I77" s="1">
        <v>1557599</v>
      </c>
      <c r="J77" s="1">
        <v>1566862</v>
      </c>
      <c r="K77" s="1">
        <v>1571414</v>
      </c>
      <c r="L77" s="1">
        <v>1574292</v>
      </c>
      <c r="M77" s="1">
        <v>1584719</v>
      </c>
      <c r="N77" s="1">
        <v>1595097</v>
      </c>
      <c r="O77" s="1">
        <v>19637081</v>
      </c>
      <c r="P77" s="1">
        <v>1510545</v>
      </c>
      <c r="Q77" s="5" t="s">
        <v>138</v>
      </c>
      <c r="V77" s="19">
        <f>N77</f>
        <v>1595097</v>
      </c>
      <c r="W77" s="26">
        <v>1580657.3585910001</v>
      </c>
      <c r="X77" s="19">
        <v>1567950.2771820002</v>
      </c>
      <c r="Y77" s="19">
        <v>1555243.1957730001</v>
      </c>
      <c r="Z77" s="19">
        <v>1542536.1143640003</v>
      </c>
      <c r="AA77" s="19">
        <v>1529829.0329550004</v>
      </c>
      <c r="AB77" s="19">
        <v>1517121.9515460003</v>
      </c>
      <c r="AC77" s="19">
        <v>1504414.8701370002</v>
      </c>
      <c r="AD77" s="19">
        <v>1491707.7887280001</v>
      </c>
      <c r="AE77" s="19">
        <v>1479000.7073190003</v>
      </c>
      <c r="AF77" s="19">
        <v>1466293.6259100004</v>
      </c>
      <c r="AG77" s="19">
        <v>1453586.5445010001</v>
      </c>
      <c r="AH77" s="19">
        <v>1440879.463092</v>
      </c>
      <c r="AI77" s="19">
        <f t="shared" ref="AI77:AI82" si="144">SUM(V77:AH77)</f>
        <v>19724317.930098001</v>
      </c>
      <c r="AJ77" s="19">
        <f t="shared" ref="AJ77:AJ82" si="145">AI77/13</f>
        <v>1517255.225392154</v>
      </c>
      <c r="AK77" s="19"/>
      <c r="AL77" s="19"/>
      <c r="AM77" s="19">
        <f>AH77</f>
        <v>1440879.463092</v>
      </c>
      <c r="AN77" s="19">
        <v>1443017.2270489999</v>
      </c>
      <c r="AO77" s="19">
        <v>1445154.991006</v>
      </c>
      <c r="AP77" s="19">
        <v>1447292.7549629998</v>
      </c>
      <c r="AQ77" s="19">
        <v>1449430.5189200002</v>
      </c>
      <c r="AR77" s="19">
        <v>1451568.282877</v>
      </c>
      <c r="AS77" s="19">
        <v>1453706.0468340002</v>
      </c>
      <c r="AT77" s="19">
        <v>1455843.810791</v>
      </c>
      <c r="AU77" s="19">
        <v>1457981.5747480001</v>
      </c>
      <c r="AV77" s="19">
        <v>1460119.338705</v>
      </c>
      <c r="AW77" s="19">
        <v>1462257.1026620001</v>
      </c>
      <c r="AX77" s="19">
        <v>1464394.866619</v>
      </c>
      <c r="AY77" s="19">
        <v>1466532.6305759999</v>
      </c>
      <c r="AZ77" s="19">
        <f>SUM(AM77:AY77)</f>
        <v>18898178.608842</v>
      </c>
      <c r="BA77" s="19">
        <f>+AZ77/13</f>
        <v>1453706.0468339999</v>
      </c>
      <c r="BC77" s="18" t="s">
        <v>181</v>
      </c>
    </row>
    <row r="78" spans="1:55" s="19" customFormat="1" x14ac:dyDescent="0.2">
      <c r="A78" s="26" t="s">
        <v>68</v>
      </c>
      <c r="B78" s="28">
        <v>1039323</v>
      </c>
      <c r="C78" s="28">
        <v>1196283</v>
      </c>
      <c r="D78" s="28">
        <v>1349561</v>
      </c>
      <c r="E78" s="28">
        <v>1432309</v>
      </c>
      <c r="F78" s="28">
        <v>1606225</v>
      </c>
      <c r="G78" s="28">
        <v>1698411</v>
      </c>
      <c r="H78" s="28">
        <v>1762563</v>
      </c>
      <c r="I78" s="28">
        <v>1902698</v>
      </c>
      <c r="J78" s="28">
        <v>2034284</v>
      </c>
      <c r="K78" s="28">
        <v>2146321</v>
      </c>
      <c r="L78" s="28">
        <v>2296457</v>
      </c>
      <c r="M78" s="28">
        <v>2369407</v>
      </c>
      <c r="N78" s="28">
        <v>1890182</v>
      </c>
      <c r="O78" s="28">
        <v>22724023</v>
      </c>
      <c r="P78" s="28">
        <v>1748002</v>
      </c>
      <c r="Q78" s="19" t="s">
        <v>138</v>
      </c>
      <c r="V78" s="19">
        <f t="shared" ref="V78:V83" si="146">N78</f>
        <v>1890182</v>
      </c>
      <c r="W78" s="26">
        <v>2020686.4236341298</v>
      </c>
      <c r="X78" s="19">
        <v>2139681.8756360537</v>
      </c>
      <c r="Y78" s="19">
        <v>1890181.5</v>
      </c>
      <c r="Z78" s="19">
        <v>1995781.4858349471</v>
      </c>
      <c r="AA78" s="19">
        <v>2086008.9593252589</v>
      </c>
      <c r="AB78" s="19">
        <v>1890181.5</v>
      </c>
      <c r="AC78" s="19">
        <v>1985700.1998492018</v>
      </c>
      <c r="AD78" s="19">
        <v>2076435.8946984275</v>
      </c>
      <c r="AE78" s="19">
        <v>1890181.5</v>
      </c>
      <c r="AF78" s="19">
        <v>1981681.3587020449</v>
      </c>
      <c r="AG78" s="19">
        <v>1981681.3587020449</v>
      </c>
      <c r="AH78" s="19">
        <v>1981681.3587020449</v>
      </c>
      <c r="AI78" s="19">
        <f t="shared" si="144"/>
        <v>25810065.415084153</v>
      </c>
      <c r="AJ78" s="19">
        <f t="shared" si="145"/>
        <v>1985389.6473141657</v>
      </c>
      <c r="AM78" s="19">
        <f t="shared" ref="AM78" si="147">AH78</f>
        <v>1981681.3587020449</v>
      </c>
      <c r="AN78" s="19">
        <f>AM78</f>
        <v>1981681.3587020449</v>
      </c>
      <c r="AO78" s="19">
        <f>AN78</f>
        <v>1981681.3587020449</v>
      </c>
      <c r="AP78" s="19">
        <f t="shared" ref="AP78:AY78" si="148">AO78</f>
        <v>1981681.3587020449</v>
      </c>
      <c r="AQ78" s="19">
        <f t="shared" si="148"/>
        <v>1981681.3587020449</v>
      </c>
      <c r="AR78" s="19">
        <f t="shared" si="148"/>
        <v>1981681.3587020449</v>
      </c>
      <c r="AS78" s="19">
        <f t="shared" si="148"/>
        <v>1981681.3587020449</v>
      </c>
      <c r="AT78" s="19">
        <f t="shared" si="148"/>
        <v>1981681.3587020449</v>
      </c>
      <c r="AU78" s="19">
        <f t="shared" si="148"/>
        <v>1981681.3587020449</v>
      </c>
      <c r="AV78" s="19">
        <f t="shared" si="148"/>
        <v>1981681.3587020449</v>
      </c>
      <c r="AW78" s="19">
        <f t="shared" si="148"/>
        <v>1981681.3587020449</v>
      </c>
      <c r="AX78" s="19">
        <f t="shared" si="148"/>
        <v>1981681.3587020449</v>
      </c>
      <c r="AY78" s="19">
        <f t="shared" si="148"/>
        <v>1981681.3587020449</v>
      </c>
      <c r="AZ78" s="19">
        <f>SUM(AM78:AY78)</f>
        <v>25761857.663126584</v>
      </c>
      <c r="BA78" s="19">
        <f>+AZ78/13</f>
        <v>1981681.3587020449</v>
      </c>
    </row>
    <row r="79" spans="1:55" x14ac:dyDescent="0.2">
      <c r="A79" s="13" t="s">
        <v>69</v>
      </c>
      <c r="B79" s="1">
        <v>20555</v>
      </c>
      <c r="C79" s="1">
        <v>1789</v>
      </c>
      <c r="D79" s="1">
        <v>4143</v>
      </c>
      <c r="E79" s="1">
        <v>6495</v>
      </c>
      <c r="F79" s="1">
        <v>8916</v>
      </c>
      <c r="G79" s="1">
        <v>11706</v>
      </c>
      <c r="H79" s="1">
        <v>13966</v>
      </c>
      <c r="I79" s="1">
        <v>16133</v>
      </c>
      <c r="J79" s="1">
        <v>18936</v>
      </c>
      <c r="K79" s="1">
        <v>21298</v>
      </c>
      <c r="L79" s="1">
        <v>23976</v>
      </c>
      <c r="M79" s="1">
        <v>26580</v>
      </c>
      <c r="N79" s="1">
        <v>15110</v>
      </c>
      <c r="O79" s="1">
        <v>189602</v>
      </c>
      <c r="P79" s="1">
        <v>14585</v>
      </c>
      <c r="Q79" s="5" t="s">
        <v>138</v>
      </c>
      <c r="V79" s="19">
        <f t="shared" si="146"/>
        <v>15110</v>
      </c>
      <c r="W79" s="19">
        <f>V79</f>
        <v>15110</v>
      </c>
      <c r="X79" s="19">
        <f>W79</f>
        <v>15110</v>
      </c>
      <c r="Y79" s="19">
        <f t="shared" ref="Y79:AH80" si="149">X79</f>
        <v>15110</v>
      </c>
      <c r="Z79" s="19">
        <f t="shared" si="149"/>
        <v>15110</v>
      </c>
      <c r="AA79" s="19">
        <f t="shared" si="149"/>
        <v>15110</v>
      </c>
      <c r="AB79" s="19">
        <f t="shared" si="149"/>
        <v>15110</v>
      </c>
      <c r="AC79" s="19">
        <f t="shared" si="149"/>
        <v>15110</v>
      </c>
      <c r="AD79" s="19">
        <f t="shared" si="149"/>
        <v>15110</v>
      </c>
      <c r="AE79" s="19">
        <f t="shared" si="149"/>
        <v>15110</v>
      </c>
      <c r="AF79" s="19">
        <f t="shared" si="149"/>
        <v>15110</v>
      </c>
      <c r="AG79" s="19">
        <f t="shared" si="149"/>
        <v>15110</v>
      </c>
      <c r="AH79" s="19">
        <f t="shared" si="149"/>
        <v>15110</v>
      </c>
      <c r="AI79" s="19">
        <f t="shared" si="144"/>
        <v>196430</v>
      </c>
      <c r="AJ79" s="19">
        <f t="shared" si="145"/>
        <v>15110</v>
      </c>
      <c r="AK79" s="19"/>
      <c r="AL79" s="19"/>
      <c r="AM79" s="19">
        <f>AH79</f>
        <v>15110</v>
      </c>
      <c r="AN79" s="19">
        <f>AM79</f>
        <v>15110</v>
      </c>
      <c r="AO79" s="19">
        <f t="shared" ref="AO79:AY80" si="150">AN79</f>
        <v>15110</v>
      </c>
      <c r="AP79" s="19">
        <f t="shared" si="150"/>
        <v>15110</v>
      </c>
      <c r="AQ79" s="19">
        <f t="shared" si="150"/>
        <v>15110</v>
      </c>
      <c r="AR79" s="19">
        <f t="shared" si="150"/>
        <v>15110</v>
      </c>
      <c r="AS79" s="19">
        <f t="shared" si="150"/>
        <v>15110</v>
      </c>
      <c r="AT79" s="19">
        <f t="shared" si="150"/>
        <v>15110</v>
      </c>
      <c r="AU79" s="19">
        <f t="shared" si="150"/>
        <v>15110</v>
      </c>
      <c r="AV79" s="19">
        <f t="shared" si="150"/>
        <v>15110</v>
      </c>
      <c r="AW79" s="19">
        <f t="shared" si="150"/>
        <v>15110</v>
      </c>
      <c r="AX79" s="19">
        <f t="shared" si="150"/>
        <v>15110</v>
      </c>
      <c r="AY79" s="19">
        <f t="shared" si="150"/>
        <v>15110</v>
      </c>
      <c r="AZ79" s="19">
        <f>SUM(AM79:AY79)</f>
        <v>196430</v>
      </c>
      <c r="BA79" s="19">
        <f>+AZ79/13</f>
        <v>15110</v>
      </c>
      <c r="BC79" s="5" t="s">
        <v>172</v>
      </c>
    </row>
    <row r="80" spans="1:55" x14ac:dyDescent="0.2">
      <c r="A80" s="13" t="s">
        <v>70</v>
      </c>
      <c r="B80" s="1">
        <v>309708</v>
      </c>
      <c r="C80" s="1">
        <v>436535</v>
      </c>
      <c r="D80" s="1">
        <v>607761</v>
      </c>
      <c r="E80" s="1">
        <v>519577</v>
      </c>
      <c r="F80" s="1">
        <v>646542</v>
      </c>
      <c r="G80" s="1">
        <v>759958</v>
      </c>
      <c r="H80" s="1">
        <v>974506</v>
      </c>
      <c r="I80" s="1">
        <v>921668</v>
      </c>
      <c r="J80" s="1">
        <v>1087661</v>
      </c>
      <c r="K80" s="1">
        <v>1262728</v>
      </c>
      <c r="L80" s="1">
        <v>1299612</v>
      </c>
      <c r="M80" s="1">
        <v>242179</v>
      </c>
      <c r="N80" s="1">
        <v>333050</v>
      </c>
      <c r="O80" s="1">
        <v>9401485</v>
      </c>
      <c r="P80" s="1">
        <v>723191</v>
      </c>
      <c r="Q80" s="5" t="s">
        <v>138</v>
      </c>
      <c r="V80" s="19">
        <f t="shared" si="146"/>
        <v>333050</v>
      </c>
      <c r="W80" s="26">
        <f>V80</f>
        <v>333050</v>
      </c>
      <c r="X80" s="19">
        <f>W80</f>
        <v>333050</v>
      </c>
      <c r="Y80" s="19">
        <f t="shared" si="149"/>
        <v>333050</v>
      </c>
      <c r="Z80" s="19">
        <f t="shared" si="149"/>
        <v>333050</v>
      </c>
      <c r="AA80" s="19">
        <f t="shared" si="149"/>
        <v>333050</v>
      </c>
      <c r="AB80" s="19">
        <f t="shared" si="149"/>
        <v>333050</v>
      </c>
      <c r="AC80" s="19">
        <f t="shared" si="149"/>
        <v>333050</v>
      </c>
      <c r="AD80" s="19">
        <f t="shared" si="149"/>
        <v>333050</v>
      </c>
      <c r="AE80" s="19">
        <f t="shared" si="149"/>
        <v>333050</v>
      </c>
      <c r="AF80" s="19">
        <f t="shared" si="149"/>
        <v>333050</v>
      </c>
      <c r="AG80" s="19">
        <f t="shared" si="149"/>
        <v>333050</v>
      </c>
      <c r="AH80" s="19">
        <f t="shared" si="149"/>
        <v>333050</v>
      </c>
      <c r="AI80" s="19">
        <f t="shared" si="144"/>
        <v>4329650</v>
      </c>
      <c r="AJ80" s="19">
        <f t="shared" si="145"/>
        <v>333050</v>
      </c>
      <c r="AK80" s="19"/>
      <c r="AL80" s="19"/>
      <c r="AM80" s="19">
        <f>AH80</f>
        <v>333050</v>
      </c>
      <c r="AN80" s="19">
        <f>AM80</f>
        <v>333050</v>
      </c>
      <c r="AO80" s="19">
        <f t="shared" si="150"/>
        <v>333050</v>
      </c>
      <c r="AP80" s="19">
        <f t="shared" si="150"/>
        <v>333050</v>
      </c>
      <c r="AQ80" s="19">
        <f t="shared" si="150"/>
        <v>333050</v>
      </c>
      <c r="AR80" s="19">
        <f t="shared" si="150"/>
        <v>333050</v>
      </c>
      <c r="AS80" s="19">
        <f t="shared" si="150"/>
        <v>333050</v>
      </c>
      <c r="AT80" s="19">
        <f t="shared" si="150"/>
        <v>333050</v>
      </c>
      <c r="AU80" s="19">
        <f t="shared" si="150"/>
        <v>333050</v>
      </c>
      <c r="AV80" s="19">
        <f t="shared" si="150"/>
        <v>333050</v>
      </c>
      <c r="AW80" s="19">
        <f t="shared" si="150"/>
        <v>333050</v>
      </c>
      <c r="AX80" s="19">
        <f t="shared" si="150"/>
        <v>333050</v>
      </c>
      <c r="AY80" s="19">
        <f t="shared" si="150"/>
        <v>333050</v>
      </c>
      <c r="AZ80" s="19">
        <f>SUM(AM80:AY80)</f>
        <v>4329650</v>
      </c>
      <c r="BA80" s="19">
        <f>+AZ80/13</f>
        <v>333050</v>
      </c>
      <c r="BC80" s="5" t="s">
        <v>172</v>
      </c>
    </row>
    <row r="81" spans="1:55" x14ac:dyDescent="0.2">
      <c r="A81" s="13" t="s">
        <v>71</v>
      </c>
      <c r="B81" s="1">
        <v>93462</v>
      </c>
      <c r="C81" s="1">
        <v>80266</v>
      </c>
      <c r="D81" s="1">
        <v>81469</v>
      </c>
      <c r="E81" s="1">
        <v>64671</v>
      </c>
      <c r="F81" s="1">
        <v>59705</v>
      </c>
      <c r="G81" s="1">
        <v>53651</v>
      </c>
      <c r="H81" s="1">
        <v>49143</v>
      </c>
      <c r="I81" s="1">
        <v>44548</v>
      </c>
      <c r="J81" s="1">
        <v>40133</v>
      </c>
      <c r="K81" s="1">
        <v>35670</v>
      </c>
      <c r="L81" s="1">
        <v>30899</v>
      </c>
      <c r="M81" s="1">
        <v>25586</v>
      </c>
      <c r="N81" s="1">
        <v>18730</v>
      </c>
      <c r="O81" s="1">
        <v>677935</v>
      </c>
      <c r="P81" s="1">
        <v>52149</v>
      </c>
      <c r="Q81" s="5" t="s">
        <v>138</v>
      </c>
      <c r="V81" s="19">
        <f t="shared" si="146"/>
        <v>18730</v>
      </c>
      <c r="W81" s="19">
        <v>17412</v>
      </c>
      <c r="X81" s="19">
        <v>16094</v>
      </c>
      <c r="Y81" s="19">
        <v>14776</v>
      </c>
      <c r="Z81" s="19">
        <v>13458</v>
      </c>
      <c r="AA81" s="19">
        <v>12140</v>
      </c>
      <c r="AB81" s="19">
        <v>10822</v>
      </c>
      <c r="AC81" s="19">
        <v>9504</v>
      </c>
      <c r="AD81" s="19">
        <v>8186</v>
      </c>
      <c r="AE81" s="19">
        <v>6868</v>
      </c>
      <c r="AF81" s="19">
        <v>5550</v>
      </c>
      <c r="AG81" s="19">
        <v>4232</v>
      </c>
      <c r="AH81" s="19">
        <v>2914</v>
      </c>
      <c r="AI81" s="19">
        <f t="shared" si="144"/>
        <v>140686</v>
      </c>
      <c r="AJ81" s="19">
        <f t="shared" si="145"/>
        <v>10822</v>
      </c>
      <c r="AK81" s="19"/>
      <c r="AL81" s="19"/>
      <c r="AM81" s="19">
        <f>AH81</f>
        <v>2914</v>
      </c>
      <c r="AN81" s="19">
        <v>1513</v>
      </c>
      <c r="AO81" s="19">
        <v>109</v>
      </c>
      <c r="AP81" s="19">
        <v>-1296</v>
      </c>
      <c r="AQ81" s="19">
        <v>-2700</v>
      </c>
      <c r="AR81" s="19">
        <v>-4105</v>
      </c>
      <c r="AS81" s="19">
        <v>-5510</v>
      </c>
      <c r="AT81" s="19">
        <v>-6914</v>
      </c>
      <c r="AU81" s="19">
        <v>-8319</v>
      </c>
      <c r="AV81" s="19">
        <v>-9723</v>
      </c>
      <c r="AW81" s="19">
        <v>-11128</v>
      </c>
      <c r="AX81" s="19">
        <v>-12532</v>
      </c>
      <c r="AY81" s="19">
        <v>-13937</v>
      </c>
      <c r="AZ81" s="19">
        <f t="shared" ref="AZ81" si="151">SUM(AM81:AY81)</f>
        <v>-71628</v>
      </c>
      <c r="BA81" s="19">
        <f t="shared" ref="BA81:BA82" si="152">+AZ81/13</f>
        <v>-5509.8461538461543</v>
      </c>
      <c r="BC81" s="5" t="s">
        <v>180</v>
      </c>
    </row>
    <row r="82" spans="1:55" x14ac:dyDescent="0.2">
      <c r="A82" s="13" t="s">
        <v>72</v>
      </c>
      <c r="B82" s="1">
        <v>121365</v>
      </c>
      <c r="C82" s="1">
        <v>-12658</v>
      </c>
      <c r="D82" s="1">
        <v>-12288</v>
      </c>
      <c r="E82" s="1">
        <v>122475</v>
      </c>
      <c r="F82" s="1">
        <v>122848</v>
      </c>
      <c r="G82" s="1">
        <v>123221</v>
      </c>
      <c r="H82" s="1">
        <v>123596</v>
      </c>
      <c r="I82" s="1">
        <v>123971</v>
      </c>
      <c r="J82" s="1">
        <v>124348</v>
      </c>
      <c r="K82" s="1">
        <v>124726</v>
      </c>
      <c r="L82" s="1">
        <v>125105</v>
      </c>
      <c r="M82" s="1">
        <v>125485</v>
      </c>
      <c r="N82" s="1">
        <v>125867</v>
      </c>
      <c r="O82" s="1">
        <v>1338062</v>
      </c>
      <c r="P82" s="1">
        <v>102928</v>
      </c>
      <c r="Q82" s="5" t="s">
        <v>138</v>
      </c>
      <c r="V82" s="19">
        <f t="shared" si="146"/>
        <v>125867</v>
      </c>
      <c r="W82" s="26">
        <v>126657.13</v>
      </c>
      <c r="X82" s="19">
        <v>127041.79</v>
      </c>
      <c r="Y82" s="19">
        <v>127351.72999999998</v>
      </c>
      <c r="Z82" s="19">
        <v>127777.14000000001</v>
      </c>
      <c r="AA82" s="19">
        <v>128139.75999999998</v>
      </c>
      <c r="AB82" s="19">
        <v>128541.88</v>
      </c>
      <c r="AC82" s="19">
        <v>128906.66999999998</v>
      </c>
      <c r="AD82" s="19">
        <v>129311.20000000001</v>
      </c>
      <c r="AE82" s="19">
        <v>129703.93</v>
      </c>
      <c r="AF82" s="19">
        <v>129703.93</v>
      </c>
      <c r="AG82" s="19">
        <v>130072.04</v>
      </c>
      <c r="AH82" s="19">
        <v>130454.32</v>
      </c>
      <c r="AI82" s="19">
        <f t="shared" si="144"/>
        <v>1669528.52</v>
      </c>
      <c r="AJ82" s="19">
        <f t="shared" si="145"/>
        <v>128425.27076923077</v>
      </c>
      <c r="AK82" s="19"/>
      <c r="AL82" s="19"/>
      <c r="AM82" s="19">
        <f>AH82</f>
        <v>130454.32</v>
      </c>
      <c r="AN82" s="19">
        <v>131174.82</v>
      </c>
      <c r="AO82" s="19">
        <v>131572.72</v>
      </c>
      <c r="AP82" s="19">
        <v>131971.82</v>
      </c>
      <c r="AQ82" s="19">
        <v>132372.14000000001</v>
      </c>
      <c r="AR82" s="19">
        <v>132773.67000000001</v>
      </c>
      <c r="AS82" s="19">
        <v>133176.41</v>
      </c>
      <c r="AT82" s="19">
        <v>133580.38</v>
      </c>
      <c r="AU82" s="19">
        <v>133985.58000000002</v>
      </c>
      <c r="AV82" s="19">
        <v>134392</v>
      </c>
      <c r="AW82" s="19">
        <v>0</v>
      </c>
      <c r="AX82" s="19">
        <v>0</v>
      </c>
      <c r="AY82" s="19">
        <v>0</v>
      </c>
      <c r="AZ82" s="19">
        <f t="shared" ref="AZ82" si="153">SUM(AM82:AY82)</f>
        <v>1325453.8600000001</v>
      </c>
      <c r="BA82" s="19">
        <f t="shared" si="152"/>
        <v>101957.98923076924</v>
      </c>
      <c r="BC82" s="5" t="s">
        <v>179</v>
      </c>
    </row>
    <row r="83" spans="1:55" x14ac:dyDescent="0.2">
      <c r="B83" s="16" t="s">
        <v>27</v>
      </c>
      <c r="C83" s="16" t="s">
        <v>27</v>
      </c>
      <c r="D83" s="16" t="s">
        <v>27</v>
      </c>
      <c r="E83" s="16" t="s">
        <v>27</v>
      </c>
      <c r="F83" s="16" t="s">
        <v>27</v>
      </c>
      <c r="G83" s="16" t="s">
        <v>27</v>
      </c>
      <c r="H83" s="16" t="s">
        <v>27</v>
      </c>
      <c r="I83" s="16" t="s">
        <v>27</v>
      </c>
      <c r="J83" s="16" t="s">
        <v>27</v>
      </c>
      <c r="K83" s="16" t="s">
        <v>27</v>
      </c>
      <c r="L83" s="16" t="s">
        <v>27</v>
      </c>
      <c r="M83" s="16" t="s">
        <v>27</v>
      </c>
      <c r="N83" s="16" t="s">
        <v>27</v>
      </c>
      <c r="O83" s="16" t="s">
        <v>27</v>
      </c>
      <c r="P83" s="16" t="s">
        <v>27</v>
      </c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</row>
    <row r="84" spans="1:55" x14ac:dyDescent="0.2">
      <c r="A84" s="13" t="s">
        <v>73</v>
      </c>
      <c r="B84" s="1">
        <v>4299936</v>
      </c>
      <c r="C84" s="1">
        <v>3981018</v>
      </c>
      <c r="D84" s="1">
        <v>3639232</v>
      </c>
      <c r="E84" s="1">
        <v>3524872</v>
      </c>
      <c r="F84" s="1">
        <v>4292685</v>
      </c>
      <c r="G84" s="1">
        <v>4529958</v>
      </c>
      <c r="H84" s="1">
        <v>4819250</v>
      </c>
      <c r="I84" s="1">
        <v>5202813</v>
      </c>
      <c r="J84" s="1">
        <v>5507529</v>
      </c>
      <c r="K84" s="1">
        <v>5683143</v>
      </c>
      <c r="L84" s="1">
        <v>6262035</v>
      </c>
      <c r="M84" s="1">
        <v>4786049</v>
      </c>
      <c r="N84" s="1">
        <v>4925784</v>
      </c>
      <c r="O84" s="1">
        <v>61454302</v>
      </c>
      <c r="P84" s="1">
        <v>4727254</v>
      </c>
      <c r="V84" s="19"/>
      <c r="W84" s="26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</row>
    <row r="85" spans="1:55" x14ac:dyDescent="0.2">
      <c r="B85" s="16" t="s">
        <v>27</v>
      </c>
      <c r="C85" s="16" t="s">
        <v>27</v>
      </c>
      <c r="D85" s="16" t="s">
        <v>27</v>
      </c>
      <c r="E85" s="16" t="s">
        <v>27</v>
      </c>
      <c r="F85" s="16" t="s">
        <v>27</v>
      </c>
      <c r="G85" s="16" t="s">
        <v>27</v>
      </c>
      <c r="H85" s="16" t="s">
        <v>27</v>
      </c>
      <c r="I85" s="16" t="s">
        <v>27</v>
      </c>
      <c r="J85" s="16" t="s">
        <v>27</v>
      </c>
      <c r="K85" s="16" t="s">
        <v>27</v>
      </c>
      <c r="L85" s="16" t="s">
        <v>27</v>
      </c>
      <c r="M85" s="16" t="s">
        <v>27</v>
      </c>
      <c r="N85" s="16" t="s">
        <v>27</v>
      </c>
      <c r="O85" s="16" t="s">
        <v>27</v>
      </c>
      <c r="P85" s="16" t="s">
        <v>27</v>
      </c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</row>
    <row r="86" spans="1:55" x14ac:dyDescent="0.2">
      <c r="A86" s="11" t="s">
        <v>74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V86" s="19"/>
      <c r="W86" s="2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>
        <f t="shared" ref="AM86:AM91" si="154">AH86</f>
        <v>0</v>
      </c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</row>
    <row r="87" spans="1:55" x14ac:dyDescent="0.2">
      <c r="A87" s="13" t="s">
        <v>75</v>
      </c>
      <c r="B87" s="1">
        <v>-2057146</v>
      </c>
      <c r="C87" s="1">
        <v>-1930424</v>
      </c>
      <c r="D87" s="1">
        <v>-1987139</v>
      </c>
      <c r="E87" s="1">
        <v>-2054526</v>
      </c>
      <c r="F87" s="1">
        <v>-2064177</v>
      </c>
      <c r="G87" s="1">
        <v>-2099366</v>
      </c>
      <c r="H87" s="1">
        <v>-2065725</v>
      </c>
      <c r="I87" s="1">
        <v>-2077594</v>
      </c>
      <c r="J87" s="1">
        <v>-2142230</v>
      </c>
      <c r="K87" s="1">
        <v>-2108108</v>
      </c>
      <c r="L87" s="1">
        <v>-2118146</v>
      </c>
      <c r="M87" s="1">
        <v>-1966813</v>
      </c>
      <c r="N87" s="1">
        <v>-1984745</v>
      </c>
      <c r="O87" s="1">
        <v>-26656139</v>
      </c>
      <c r="P87" s="1">
        <v>-2050472</v>
      </c>
      <c r="Q87" s="5" t="s">
        <v>138</v>
      </c>
      <c r="V87" s="19">
        <f t="shared" ref="V87:V89" si="155">N87</f>
        <v>-1984745</v>
      </c>
      <c r="W87" s="19">
        <v>-1950024.1188252601</v>
      </c>
      <c r="X87" s="19">
        <v>-1953999.447196628</v>
      </c>
      <c r="Y87" s="19">
        <v>-1963027.6604036852</v>
      </c>
      <c r="Z87" s="19">
        <v>-1972341.7955606701</v>
      </c>
      <c r="AA87" s="19">
        <v>-1996148.0657413509</v>
      </c>
      <c r="AB87" s="19">
        <v>-2128105</v>
      </c>
      <c r="AC87" s="19">
        <v>-2147588</v>
      </c>
      <c r="AD87" s="19">
        <v>-2167072</v>
      </c>
      <c r="AE87" s="19">
        <v>-2186556</v>
      </c>
      <c r="AF87" s="19">
        <v>-2206042</v>
      </c>
      <c r="AG87" s="19">
        <v>-2225529</v>
      </c>
      <c r="AH87" s="19">
        <v>-2236083</v>
      </c>
      <c r="AI87" s="19">
        <f>SUM(V87:AH87)</f>
        <v>-27117261.087727591</v>
      </c>
      <c r="AJ87" s="27">
        <f>AI87/13</f>
        <v>-2085943.1605944301</v>
      </c>
      <c r="AK87" s="19"/>
      <c r="AL87" s="19"/>
      <c r="AM87" s="19">
        <f t="shared" si="154"/>
        <v>-2236083</v>
      </c>
      <c r="AN87" s="19">
        <f>AM87</f>
        <v>-2236083</v>
      </c>
      <c r="AO87" s="19">
        <f>AN87</f>
        <v>-2236083</v>
      </c>
      <c r="AP87" s="19">
        <f t="shared" ref="AP87:AY87" si="156">AO87</f>
        <v>-2236083</v>
      </c>
      <c r="AQ87" s="19">
        <f t="shared" si="156"/>
        <v>-2236083</v>
      </c>
      <c r="AR87" s="19">
        <f t="shared" si="156"/>
        <v>-2236083</v>
      </c>
      <c r="AS87" s="19">
        <f t="shared" si="156"/>
        <v>-2236083</v>
      </c>
      <c r="AT87" s="19">
        <f t="shared" si="156"/>
        <v>-2236083</v>
      </c>
      <c r="AU87" s="19">
        <f t="shared" si="156"/>
        <v>-2236083</v>
      </c>
      <c r="AV87" s="19">
        <f t="shared" si="156"/>
        <v>-2236083</v>
      </c>
      <c r="AW87" s="19">
        <f t="shared" si="156"/>
        <v>-2236083</v>
      </c>
      <c r="AX87" s="19">
        <f t="shared" si="156"/>
        <v>-2236083</v>
      </c>
      <c r="AY87" s="19">
        <f t="shared" si="156"/>
        <v>-2236083</v>
      </c>
      <c r="AZ87" s="19">
        <f t="shared" ref="AZ87:AZ91" si="157">SUM(AM87:AY87)</f>
        <v>-29069079</v>
      </c>
      <c r="BA87" s="19">
        <f t="shared" ref="BA87:BA91" si="158">+AZ87/13</f>
        <v>-2236083</v>
      </c>
    </row>
    <row r="88" spans="1:55" x14ac:dyDescent="0.2">
      <c r="A88" s="13" t="s">
        <v>76</v>
      </c>
      <c r="B88" s="1">
        <f>10604331-B89</f>
        <v>8184331</v>
      </c>
      <c r="C88" s="1">
        <f>10591653-C89</f>
        <v>8171653</v>
      </c>
      <c r="D88" s="1">
        <f>10578975-D89</f>
        <v>8158975</v>
      </c>
      <c r="E88" s="1">
        <f>10566297-E89</f>
        <v>8146297</v>
      </c>
      <c r="F88" s="1">
        <f>10553619-F89</f>
        <v>8133619</v>
      </c>
      <c r="G88" s="1">
        <v>10540941</v>
      </c>
      <c r="H88" s="1">
        <f>10528263-H89</f>
        <v>8108263</v>
      </c>
      <c r="I88" s="1">
        <f>10515585-I89</f>
        <v>8095585</v>
      </c>
      <c r="J88" s="1">
        <f>10502907-J89</f>
        <v>8082907</v>
      </c>
      <c r="K88" s="1">
        <f>10490229-K89</f>
        <v>8070229</v>
      </c>
      <c r="L88" s="1">
        <f>10477551-L89</f>
        <v>8057551</v>
      </c>
      <c r="M88" s="1">
        <f>10464873-M89</f>
        <v>8044873</v>
      </c>
      <c r="N88" s="1">
        <f>10452195-N89</f>
        <v>8032195</v>
      </c>
      <c r="O88" s="1">
        <f>SUM(B88:N88)</f>
        <v>107827419</v>
      </c>
      <c r="P88" s="1">
        <f>O88/13</f>
        <v>8294416.846153846</v>
      </c>
      <c r="V88" s="19">
        <f t="shared" si="155"/>
        <v>8032195</v>
      </c>
      <c r="W88" s="26">
        <v>8016649.9166666567</v>
      </c>
      <c r="X88" s="19">
        <v>8003971.5833333228</v>
      </c>
      <c r="Y88" s="19">
        <v>7991293.2499999888</v>
      </c>
      <c r="Z88" s="19">
        <v>7978614.9166666549</v>
      </c>
      <c r="AA88" s="19">
        <v>7965936.5833333209</v>
      </c>
      <c r="AB88" s="19">
        <v>7953258.249999987</v>
      </c>
      <c r="AC88" s="19">
        <v>7940579.916666653</v>
      </c>
      <c r="AD88" s="19">
        <v>7927901.5833333191</v>
      </c>
      <c r="AE88" s="19">
        <v>7915223.2499999851</v>
      </c>
      <c r="AF88" s="19">
        <v>7902544.9166666511</v>
      </c>
      <c r="AG88" s="19">
        <v>7889866.5833333172</v>
      </c>
      <c r="AH88" s="19">
        <v>7877188.2499999832</v>
      </c>
      <c r="AI88" s="19">
        <f>SUM(V88:AH88)</f>
        <v>103395223.99999984</v>
      </c>
      <c r="AJ88" s="27">
        <f>AI88/13</f>
        <v>7953478.7692307569</v>
      </c>
      <c r="AK88" s="19"/>
      <c r="AL88" s="19"/>
      <c r="AM88" s="19">
        <f t="shared" si="154"/>
        <v>7877188.2499999832</v>
      </c>
      <c r="AN88" s="19">
        <v>7864509.9166666493</v>
      </c>
      <c r="AO88" s="19">
        <v>7851831.5833333163</v>
      </c>
      <c r="AP88" s="19">
        <v>7839153.2499999832</v>
      </c>
      <c r="AQ88" s="19">
        <v>7826474.9166666502</v>
      </c>
      <c r="AR88" s="19">
        <v>7813796.5833333172</v>
      </c>
      <c r="AS88" s="19">
        <v>7801118.2499999842</v>
      </c>
      <c r="AT88" s="19">
        <v>7788439.9166666511</v>
      </c>
      <c r="AU88" s="19">
        <v>7775761.5833333181</v>
      </c>
      <c r="AV88" s="19">
        <v>7763083.2499999851</v>
      </c>
      <c r="AW88" s="19">
        <v>7750404.9166666521</v>
      </c>
      <c r="AX88" s="19">
        <v>7737726.5833333191</v>
      </c>
      <c r="AY88" s="19">
        <v>7725048.249999986</v>
      </c>
      <c r="AZ88" s="19">
        <f t="shared" si="157"/>
        <v>101414537.24999979</v>
      </c>
      <c r="BA88" s="19">
        <f t="shared" si="158"/>
        <v>7801118.2499999842</v>
      </c>
    </row>
    <row r="89" spans="1:55" x14ac:dyDescent="0.2">
      <c r="A89" s="30" t="s">
        <v>177</v>
      </c>
      <c r="B89" s="1">
        <v>2420000</v>
      </c>
      <c r="C89" s="1">
        <f>B89</f>
        <v>2420000</v>
      </c>
      <c r="D89" s="1">
        <f t="shared" ref="D89:N89" si="159">C89</f>
        <v>2420000</v>
      </c>
      <c r="E89" s="1">
        <f t="shared" si="159"/>
        <v>2420000</v>
      </c>
      <c r="F89" s="1">
        <f t="shared" si="159"/>
        <v>2420000</v>
      </c>
      <c r="G89" s="1">
        <f t="shared" si="159"/>
        <v>2420000</v>
      </c>
      <c r="H89" s="1">
        <f t="shared" si="159"/>
        <v>2420000</v>
      </c>
      <c r="I89" s="1">
        <f t="shared" si="159"/>
        <v>2420000</v>
      </c>
      <c r="J89" s="1">
        <f t="shared" si="159"/>
        <v>2420000</v>
      </c>
      <c r="K89" s="1">
        <f t="shared" si="159"/>
        <v>2420000</v>
      </c>
      <c r="L89" s="1">
        <f t="shared" si="159"/>
        <v>2420000</v>
      </c>
      <c r="M89" s="1">
        <f t="shared" si="159"/>
        <v>2420000</v>
      </c>
      <c r="N89" s="1">
        <f t="shared" si="159"/>
        <v>2420000</v>
      </c>
      <c r="O89" s="1">
        <f>SUM(B89:N89)</f>
        <v>31460000</v>
      </c>
      <c r="P89" s="1">
        <f>O89/13</f>
        <v>2420000</v>
      </c>
      <c r="V89" s="19">
        <f t="shared" si="155"/>
        <v>2420000</v>
      </c>
      <c r="W89" s="26">
        <f>V89</f>
        <v>2420000</v>
      </c>
      <c r="X89" s="19">
        <f>W89</f>
        <v>2420000</v>
      </c>
      <c r="Y89" s="19">
        <f t="shared" ref="Y89:AH89" si="160">X89</f>
        <v>2420000</v>
      </c>
      <c r="Z89" s="19">
        <f t="shared" si="160"/>
        <v>2420000</v>
      </c>
      <c r="AA89" s="19">
        <f t="shared" si="160"/>
        <v>2420000</v>
      </c>
      <c r="AB89" s="19">
        <f t="shared" si="160"/>
        <v>2420000</v>
      </c>
      <c r="AC89" s="19">
        <f t="shared" si="160"/>
        <v>2420000</v>
      </c>
      <c r="AD89" s="19">
        <f t="shared" si="160"/>
        <v>2420000</v>
      </c>
      <c r="AE89" s="19">
        <f t="shared" si="160"/>
        <v>2420000</v>
      </c>
      <c r="AF89" s="19">
        <f t="shared" si="160"/>
        <v>2420000</v>
      </c>
      <c r="AG89" s="19">
        <f t="shared" si="160"/>
        <v>2420000</v>
      </c>
      <c r="AH89" s="19">
        <f t="shared" si="160"/>
        <v>2420000</v>
      </c>
      <c r="AI89" s="19">
        <f>SUM(V89:AH89)</f>
        <v>31460000</v>
      </c>
      <c r="AJ89" s="19">
        <f>AI89/13</f>
        <v>2420000</v>
      </c>
      <c r="AK89" s="19"/>
      <c r="AL89" s="19"/>
      <c r="AM89" s="19">
        <f t="shared" si="154"/>
        <v>2420000</v>
      </c>
      <c r="AN89" s="19">
        <f>AM89</f>
        <v>2420000</v>
      </c>
      <c r="AO89" s="19">
        <f>AN89</f>
        <v>2420000</v>
      </c>
      <c r="AP89" s="19">
        <f t="shared" ref="AP89:AY89" si="161">AO89</f>
        <v>2420000</v>
      </c>
      <c r="AQ89" s="19">
        <f t="shared" si="161"/>
        <v>2420000</v>
      </c>
      <c r="AR89" s="19">
        <f t="shared" si="161"/>
        <v>2420000</v>
      </c>
      <c r="AS89" s="19">
        <f t="shared" si="161"/>
        <v>2420000</v>
      </c>
      <c r="AT89" s="19">
        <f t="shared" si="161"/>
        <v>2420000</v>
      </c>
      <c r="AU89" s="19">
        <f t="shared" si="161"/>
        <v>2420000</v>
      </c>
      <c r="AV89" s="19">
        <f t="shared" si="161"/>
        <v>2420000</v>
      </c>
      <c r="AW89" s="19">
        <f t="shared" si="161"/>
        <v>2420000</v>
      </c>
      <c r="AX89" s="19">
        <f t="shared" si="161"/>
        <v>2420000</v>
      </c>
      <c r="AY89" s="19">
        <f t="shared" si="161"/>
        <v>2420000</v>
      </c>
      <c r="AZ89" s="19">
        <f t="shared" si="157"/>
        <v>31460000</v>
      </c>
      <c r="BA89" s="19">
        <f t="shared" si="158"/>
        <v>2420000</v>
      </c>
    </row>
    <row r="90" spans="1:55" x14ac:dyDescent="0.2">
      <c r="A90" s="13" t="s">
        <v>77</v>
      </c>
      <c r="B90" s="1">
        <v>11746979</v>
      </c>
      <c r="C90" s="1">
        <v>11750192</v>
      </c>
      <c r="D90" s="1">
        <v>11753406</v>
      </c>
      <c r="E90" s="1">
        <v>11802801</v>
      </c>
      <c r="F90" s="1">
        <v>11806014</v>
      </c>
      <c r="G90" s="1">
        <v>11809227</v>
      </c>
      <c r="H90" s="1">
        <v>11858622</v>
      </c>
      <c r="I90" s="1">
        <v>11861835</v>
      </c>
      <c r="J90" s="1">
        <v>11865048</v>
      </c>
      <c r="K90" s="1">
        <v>11844775</v>
      </c>
      <c r="L90" s="1">
        <v>11847988</v>
      </c>
      <c r="M90" s="1">
        <v>11851201</v>
      </c>
      <c r="N90" s="1">
        <v>12251861</v>
      </c>
      <c r="O90" s="1">
        <v>154049947</v>
      </c>
      <c r="P90" s="1">
        <v>11849996</v>
      </c>
      <c r="Q90" s="5" t="s">
        <v>124</v>
      </c>
      <c r="R90" s="5" t="s">
        <v>125</v>
      </c>
      <c r="S90" s="15">
        <f>+P90+P91</f>
        <v>11231228</v>
      </c>
      <c r="T90" s="5" t="s">
        <v>138</v>
      </c>
      <c r="V90" s="19">
        <f>+N90+N91</f>
        <v>11814994</v>
      </c>
      <c r="W90" s="26">
        <v>11801510.310000001</v>
      </c>
      <c r="X90" s="19">
        <v>11823857.310000001</v>
      </c>
      <c r="Y90" s="19">
        <v>11846204.310000001</v>
      </c>
      <c r="Z90" s="19">
        <v>11868551.310000001</v>
      </c>
      <c r="AA90" s="19">
        <v>11890898.310000001</v>
      </c>
      <c r="AB90" s="19">
        <v>11913245.310000001</v>
      </c>
      <c r="AC90" s="19">
        <v>11935592.310000001</v>
      </c>
      <c r="AD90" s="19">
        <v>11957939.310000001</v>
      </c>
      <c r="AE90" s="19">
        <v>11980286.310000001</v>
      </c>
      <c r="AF90" s="19">
        <v>12002633.310000001</v>
      </c>
      <c r="AG90" s="19">
        <v>12024980.310000001</v>
      </c>
      <c r="AH90" s="19">
        <v>12047327.310000001</v>
      </c>
      <c r="AI90" s="19">
        <f>SUM(V90:AH90)</f>
        <v>154908019.72000003</v>
      </c>
      <c r="AJ90" s="27">
        <f>AI90/13</f>
        <v>11916001.516923079</v>
      </c>
      <c r="AK90" s="19"/>
      <c r="AL90" s="19"/>
      <c r="AM90" s="19">
        <f t="shared" si="154"/>
        <v>12047327.310000001</v>
      </c>
      <c r="AN90" s="19">
        <v>12065508.310000001</v>
      </c>
      <c r="AO90" s="19">
        <v>12083689.310000001</v>
      </c>
      <c r="AP90" s="19">
        <v>12101870.310000001</v>
      </c>
      <c r="AQ90" s="19">
        <v>12120051.310000001</v>
      </c>
      <c r="AR90" s="19">
        <v>12138232.310000001</v>
      </c>
      <c r="AS90" s="19">
        <v>12156413.310000001</v>
      </c>
      <c r="AT90" s="19">
        <v>12174594.310000001</v>
      </c>
      <c r="AU90" s="19">
        <v>12192775.310000001</v>
      </c>
      <c r="AV90" s="19">
        <v>12210956.310000001</v>
      </c>
      <c r="AW90" s="19">
        <v>12229137.310000001</v>
      </c>
      <c r="AX90" s="19">
        <v>12247318.310000001</v>
      </c>
      <c r="AY90" s="19">
        <v>12265499.310000001</v>
      </c>
      <c r="AZ90" s="19">
        <f t="shared" si="157"/>
        <v>158033373.03</v>
      </c>
      <c r="BA90" s="19">
        <f t="shared" si="158"/>
        <v>12156413.310000001</v>
      </c>
    </row>
    <row r="91" spans="1:55" x14ac:dyDescent="0.2">
      <c r="A91" s="13" t="s">
        <v>78</v>
      </c>
      <c r="B91" s="1">
        <v>-614264</v>
      </c>
      <c r="C91" s="1">
        <v>-614264</v>
      </c>
      <c r="D91" s="1">
        <v>-614264</v>
      </c>
      <c r="E91" s="1">
        <v>-603388</v>
      </c>
      <c r="F91" s="1">
        <v>-603388</v>
      </c>
      <c r="G91" s="1">
        <v>-603388</v>
      </c>
      <c r="H91" s="1">
        <v>-650074</v>
      </c>
      <c r="I91" s="1">
        <v>-650074</v>
      </c>
      <c r="J91" s="1">
        <v>-650074</v>
      </c>
      <c r="K91" s="1">
        <v>-667980</v>
      </c>
      <c r="L91" s="1">
        <v>-667980</v>
      </c>
      <c r="M91" s="1">
        <v>-667980</v>
      </c>
      <c r="N91" s="1">
        <v>-436867</v>
      </c>
      <c r="O91" s="1">
        <v>-8043985</v>
      </c>
      <c r="P91" s="1">
        <v>-618768</v>
      </c>
      <c r="Q91" s="5" t="s">
        <v>124</v>
      </c>
      <c r="V91" s="15"/>
      <c r="W91" s="13"/>
      <c r="AI91" s="19">
        <f t="shared" ref="AI91" si="162">SUM(V91:AH91)</f>
        <v>0</v>
      </c>
      <c r="AM91" s="19">
        <f t="shared" si="154"/>
        <v>0</v>
      </c>
      <c r="AZ91" s="19">
        <f t="shared" si="157"/>
        <v>0</v>
      </c>
      <c r="BA91" s="19">
        <f t="shared" si="158"/>
        <v>0</v>
      </c>
    </row>
    <row r="92" spans="1:55" x14ac:dyDescent="0.2">
      <c r="B92" s="16" t="s">
        <v>27</v>
      </c>
      <c r="C92" s="16" t="s">
        <v>27</v>
      </c>
      <c r="D92" s="16" t="s">
        <v>27</v>
      </c>
      <c r="E92" s="16" t="s">
        <v>27</v>
      </c>
      <c r="F92" s="16" t="s">
        <v>27</v>
      </c>
      <c r="G92" s="16" t="s">
        <v>27</v>
      </c>
      <c r="H92" s="16" t="s">
        <v>27</v>
      </c>
      <c r="I92" s="16" t="s">
        <v>27</v>
      </c>
      <c r="J92" s="16" t="s">
        <v>27</v>
      </c>
      <c r="K92" s="16" t="s">
        <v>27</v>
      </c>
      <c r="L92" s="16" t="s">
        <v>27</v>
      </c>
      <c r="M92" s="16" t="s">
        <v>27</v>
      </c>
      <c r="N92" s="16" t="s">
        <v>27</v>
      </c>
      <c r="O92" s="16" t="s">
        <v>27</v>
      </c>
      <c r="P92" s="16" t="s">
        <v>27</v>
      </c>
      <c r="AN92" s="19"/>
    </row>
    <row r="93" spans="1:55" x14ac:dyDescent="0.2">
      <c r="A93" s="13" t="s">
        <v>79</v>
      </c>
      <c r="B93" s="1">
        <v>19679901</v>
      </c>
      <c r="C93" s="1">
        <v>19797158</v>
      </c>
      <c r="D93" s="1">
        <v>19730978</v>
      </c>
      <c r="E93" s="1">
        <v>19711183</v>
      </c>
      <c r="F93" s="1">
        <v>19692068</v>
      </c>
      <c r="G93" s="1">
        <v>19647414</v>
      </c>
      <c r="H93" s="1">
        <v>19671085</v>
      </c>
      <c r="I93" s="1">
        <v>19649751</v>
      </c>
      <c r="J93" s="1">
        <v>19575651</v>
      </c>
      <c r="K93" s="1">
        <v>19558916</v>
      </c>
      <c r="L93" s="1">
        <v>19539413</v>
      </c>
      <c r="M93" s="1">
        <v>19681282</v>
      </c>
      <c r="N93" s="1">
        <v>20282445</v>
      </c>
      <c r="O93" s="1">
        <v>256217244</v>
      </c>
      <c r="P93" s="1">
        <v>19709019</v>
      </c>
      <c r="W93" s="13"/>
    </row>
    <row r="94" spans="1:55" x14ac:dyDescent="0.2">
      <c r="B94" s="16" t="s">
        <v>27</v>
      </c>
      <c r="C94" s="16" t="s">
        <v>27</v>
      </c>
      <c r="D94" s="16" t="s">
        <v>27</v>
      </c>
      <c r="E94" s="16" t="s">
        <v>27</v>
      </c>
      <c r="F94" s="16" t="s">
        <v>27</v>
      </c>
      <c r="G94" s="16" t="s">
        <v>27</v>
      </c>
      <c r="H94" s="16" t="s">
        <v>27</v>
      </c>
      <c r="I94" s="16" t="s">
        <v>27</v>
      </c>
      <c r="J94" s="16" t="s">
        <v>27</v>
      </c>
      <c r="K94" s="16" t="s">
        <v>27</v>
      </c>
      <c r="L94" s="16" t="s">
        <v>27</v>
      </c>
      <c r="M94" s="16" t="s">
        <v>27</v>
      </c>
      <c r="N94" s="16" t="s">
        <v>27</v>
      </c>
      <c r="O94" s="16" t="s">
        <v>27</v>
      </c>
      <c r="P94" s="16" t="s">
        <v>27</v>
      </c>
    </row>
    <row r="96" spans="1:55" ht="15.75" x14ac:dyDescent="0.25">
      <c r="A96" s="22" t="s">
        <v>80</v>
      </c>
      <c r="B96" s="23">
        <v>82749672</v>
      </c>
      <c r="C96" s="23">
        <v>83037035</v>
      </c>
      <c r="D96" s="23">
        <v>83100775</v>
      </c>
      <c r="E96" s="23">
        <v>83188335</v>
      </c>
      <c r="F96" s="23">
        <v>84328925</v>
      </c>
      <c r="G96" s="23">
        <v>84810258</v>
      </c>
      <c r="H96" s="23">
        <v>85369691</v>
      </c>
      <c r="I96" s="23">
        <v>86170093</v>
      </c>
      <c r="J96" s="23">
        <v>86811789</v>
      </c>
      <c r="K96" s="23">
        <v>87347037</v>
      </c>
      <c r="L96" s="23">
        <v>88131536</v>
      </c>
      <c r="M96" s="23">
        <v>87193281</v>
      </c>
      <c r="N96" s="23">
        <v>88274481</v>
      </c>
      <c r="O96" s="23">
        <v>1110512909</v>
      </c>
      <c r="P96" s="23">
        <v>85424070</v>
      </c>
    </row>
    <row r="97" spans="1:256" x14ac:dyDescent="0.2">
      <c r="B97" s="16" t="s">
        <v>50</v>
      </c>
      <c r="C97" s="16" t="s">
        <v>50</v>
      </c>
      <c r="D97" s="16" t="s">
        <v>50</v>
      </c>
      <c r="E97" s="16" t="s">
        <v>50</v>
      </c>
      <c r="F97" s="16" t="s">
        <v>50</v>
      </c>
      <c r="G97" s="16" t="s">
        <v>50</v>
      </c>
      <c r="H97" s="16" t="s">
        <v>50</v>
      </c>
      <c r="I97" s="16" t="s">
        <v>50</v>
      </c>
      <c r="J97" s="16" t="s">
        <v>50</v>
      </c>
      <c r="K97" s="16" t="s">
        <v>50</v>
      </c>
      <c r="L97" s="16" t="s">
        <v>50</v>
      </c>
      <c r="M97" s="16" t="s">
        <v>50</v>
      </c>
      <c r="N97" s="16" t="s">
        <v>50</v>
      </c>
      <c r="O97" s="16" t="s">
        <v>50</v>
      </c>
      <c r="P97" s="16" t="s">
        <v>50</v>
      </c>
    </row>
    <row r="98" spans="1:256" x14ac:dyDescent="0.2">
      <c r="A98" s="13" t="s">
        <v>81</v>
      </c>
    </row>
    <row r="99" spans="1:256" x14ac:dyDescent="0.2">
      <c r="A99" s="13" t="s">
        <v>82</v>
      </c>
      <c r="B99" s="1">
        <v>568090</v>
      </c>
      <c r="C99" s="1">
        <v>568090</v>
      </c>
      <c r="D99" s="1">
        <v>568090</v>
      </c>
      <c r="E99" s="1">
        <v>568090</v>
      </c>
      <c r="F99" s="1">
        <v>568090</v>
      </c>
      <c r="G99" s="1">
        <v>568090</v>
      </c>
      <c r="H99" s="1">
        <v>568090</v>
      </c>
      <c r="I99" s="1">
        <v>568090</v>
      </c>
      <c r="J99" s="1">
        <v>568090</v>
      </c>
      <c r="K99" s="1">
        <v>568090</v>
      </c>
      <c r="L99" s="1">
        <v>568090</v>
      </c>
      <c r="M99" s="1">
        <v>568090</v>
      </c>
      <c r="N99" s="1">
        <v>568090</v>
      </c>
      <c r="O99" s="1">
        <v>7385166</v>
      </c>
      <c r="P99" s="1">
        <v>568090</v>
      </c>
    </row>
    <row r="100" spans="1:256" x14ac:dyDescent="0.2">
      <c r="B100" s="16" t="s">
        <v>27</v>
      </c>
      <c r="C100" s="16" t="s">
        <v>27</v>
      </c>
      <c r="D100" s="16" t="s">
        <v>27</v>
      </c>
      <c r="E100" s="16" t="s">
        <v>27</v>
      </c>
      <c r="F100" s="16" t="s">
        <v>27</v>
      </c>
      <c r="G100" s="16" t="s">
        <v>27</v>
      </c>
      <c r="H100" s="16" t="s">
        <v>27</v>
      </c>
      <c r="I100" s="16" t="s">
        <v>27</v>
      </c>
      <c r="J100" s="16" t="s">
        <v>27</v>
      </c>
      <c r="K100" s="16" t="s">
        <v>27</v>
      </c>
      <c r="L100" s="16" t="s">
        <v>27</v>
      </c>
      <c r="M100" s="16" t="s">
        <v>27</v>
      </c>
      <c r="N100" s="16" t="s">
        <v>27</v>
      </c>
      <c r="O100" s="16" t="s">
        <v>27</v>
      </c>
      <c r="P100" s="16" t="s">
        <v>27</v>
      </c>
    </row>
    <row r="101" spans="1:256" x14ac:dyDescent="0.2">
      <c r="A101" s="13" t="s">
        <v>83</v>
      </c>
      <c r="B101" s="1">
        <v>568090</v>
      </c>
      <c r="C101" s="1">
        <v>568090</v>
      </c>
      <c r="D101" s="1">
        <v>568090</v>
      </c>
      <c r="E101" s="1">
        <v>568090</v>
      </c>
      <c r="F101" s="1">
        <v>568090</v>
      </c>
      <c r="G101" s="1">
        <v>568090</v>
      </c>
      <c r="H101" s="1">
        <v>568090</v>
      </c>
      <c r="I101" s="1">
        <v>568090</v>
      </c>
      <c r="J101" s="1">
        <v>568090</v>
      </c>
      <c r="K101" s="1">
        <v>568090</v>
      </c>
      <c r="L101" s="1">
        <v>568090</v>
      </c>
      <c r="M101" s="1">
        <v>568090</v>
      </c>
      <c r="N101" s="1">
        <v>568090</v>
      </c>
      <c r="O101" s="1">
        <v>7385166</v>
      </c>
      <c r="P101" s="1">
        <v>568090</v>
      </c>
    </row>
    <row r="102" spans="1:256" x14ac:dyDescent="0.2">
      <c r="B102" s="16" t="s">
        <v>50</v>
      </c>
      <c r="C102" s="16" t="s">
        <v>50</v>
      </c>
      <c r="D102" s="16" t="s">
        <v>50</v>
      </c>
      <c r="E102" s="16" t="s">
        <v>50</v>
      </c>
      <c r="F102" s="16" t="s">
        <v>50</v>
      </c>
      <c r="G102" s="16" t="s">
        <v>50</v>
      </c>
      <c r="H102" s="16" t="s">
        <v>50</v>
      </c>
      <c r="I102" s="16" t="s">
        <v>50</v>
      </c>
      <c r="J102" s="16" t="s">
        <v>50</v>
      </c>
      <c r="K102" s="16" t="s">
        <v>50</v>
      </c>
      <c r="L102" s="16" t="s">
        <v>50</v>
      </c>
      <c r="M102" s="16" t="s">
        <v>50</v>
      </c>
      <c r="N102" s="16" t="s">
        <v>50</v>
      </c>
      <c r="O102" s="16" t="s">
        <v>50</v>
      </c>
      <c r="P102" s="16" t="s">
        <v>50</v>
      </c>
    </row>
    <row r="103" spans="1:256" x14ac:dyDescent="0.2">
      <c r="A103" s="13" t="s">
        <v>84</v>
      </c>
      <c r="B103" s="1">
        <v>-70233</v>
      </c>
      <c r="C103" s="1">
        <v>-77877</v>
      </c>
      <c r="D103" s="1">
        <v>-85517</v>
      </c>
      <c r="E103" s="1">
        <v>-93153</v>
      </c>
      <c r="F103" s="1">
        <v>-100786</v>
      </c>
      <c r="G103" s="1">
        <v>-108415</v>
      </c>
      <c r="H103" s="1">
        <v>-116041</v>
      </c>
      <c r="I103" s="1">
        <v>-123663</v>
      </c>
      <c r="J103" s="1">
        <v>-131282</v>
      </c>
      <c r="K103" s="1">
        <v>-138897</v>
      </c>
      <c r="L103" s="1">
        <v>-146917</v>
      </c>
      <c r="M103" s="1">
        <v>-154934</v>
      </c>
      <c r="N103" s="1">
        <v>-162948</v>
      </c>
      <c r="O103" s="1">
        <v>-1510664</v>
      </c>
      <c r="P103" s="1">
        <v>-116205</v>
      </c>
    </row>
    <row r="108" spans="1:256" x14ac:dyDescent="0.2">
      <c r="A108" s="13" t="s">
        <v>51</v>
      </c>
      <c r="P108" s="24" t="s">
        <v>52</v>
      </c>
    </row>
    <row r="109" spans="1:256" x14ac:dyDescent="0.2">
      <c r="A109" s="13" t="s">
        <v>53</v>
      </c>
      <c r="P109" s="24" t="s">
        <v>54</v>
      </c>
    </row>
    <row r="111" spans="1:256" x14ac:dyDescent="0.2">
      <c r="A111" s="31" t="s">
        <v>101</v>
      </c>
      <c r="B111" s="1">
        <f>+B12+B14</f>
        <v>143461130</v>
      </c>
      <c r="C111" s="1">
        <f>+C12+C14</f>
        <v>143969086</v>
      </c>
      <c r="D111" s="1">
        <f>+D12+D14</f>
        <v>144294144</v>
      </c>
      <c r="E111" s="1">
        <f t="shared" ref="E111:N111" si="163">+E12+E14</f>
        <v>144611442</v>
      </c>
      <c r="F111" s="1">
        <f t="shared" si="163"/>
        <v>145251702</v>
      </c>
      <c r="G111" s="1">
        <f t="shared" si="163"/>
        <v>147037203</v>
      </c>
      <c r="H111" s="1">
        <f t="shared" si="163"/>
        <v>148558668</v>
      </c>
      <c r="I111" s="1">
        <f t="shared" si="163"/>
        <v>149422418</v>
      </c>
      <c r="J111" s="1">
        <f t="shared" si="163"/>
        <v>150050813</v>
      </c>
      <c r="K111" s="1">
        <f t="shared" si="163"/>
        <v>150703561</v>
      </c>
      <c r="L111" s="1">
        <f t="shared" si="163"/>
        <v>151536606</v>
      </c>
      <c r="M111" s="1">
        <f t="shared" si="163"/>
        <v>151936114</v>
      </c>
      <c r="N111" s="1">
        <f t="shared" si="163"/>
        <v>152212479</v>
      </c>
      <c r="O111" s="1">
        <f t="shared" ref="O111:P111" si="164">+O12+O14</f>
        <v>1923045368</v>
      </c>
      <c r="P111" s="1">
        <f t="shared" si="164"/>
        <v>147926566</v>
      </c>
      <c r="Q111" s="5" t="s">
        <v>105</v>
      </c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</row>
    <row r="112" spans="1:256" x14ac:dyDescent="0.2">
      <c r="A112" s="31" t="s">
        <v>102</v>
      </c>
      <c r="B112" s="1">
        <f t="shared" ref="B112:P112" si="165">+B90+B91</f>
        <v>11132715</v>
      </c>
      <c r="C112" s="1">
        <f t="shared" si="165"/>
        <v>11135928</v>
      </c>
      <c r="D112" s="1">
        <f t="shared" si="165"/>
        <v>11139142</v>
      </c>
      <c r="E112" s="1">
        <f t="shared" si="165"/>
        <v>11199413</v>
      </c>
      <c r="F112" s="1">
        <f t="shared" si="165"/>
        <v>11202626</v>
      </c>
      <c r="G112" s="1">
        <f t="shared" si="165"/>
        <v>11205839</v>
      </c>
      <c r="H112" s="1">
        <f t="shared" si="165"/>
        <v>11208548</v>
      </c>
      <c r="I112" s="1">
        <f t="shared" si="165"/>
        <v>11211761</v>
      </c>
      <c r="J112" s="1">
        <f t="shared" si="165"/>
        <v>11214974</v>
      </c>
      <c r="K112" s="1">
        <f t="shared" si="165"/>
        <v>11176795</v>
      </c>
      <c r="L112" s="1">
        <f t="shared" si="165"/>
        <v>11180008</v>
      </c>
      <c r="M112" s="1">
        <f t="shared" si="165"/>
        <v>11183221</v>
      </c>
      <c r="N112" s="1">
        <f t="shared" si="165"/>
        <v>11814994</v>
      </c>
      <c r="O112" s="1">
        <f t="shared" si="165"/>
        <v>146005962</v>
      </c>
      <c r="P112" s="1">
        <f t="shared" si="165"/>
        <v>11231228</v>
      </c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</row>
    <row r="113" spans="1:17" x14ac:dyDescent="0.2">
      <c r="A113" s="32" t="s">
        <v>45</v>
      </c>
    </row>
    <row r="114" spans="1:17" x14ac:dyDescent="0.2">
      <c r="A114" s="5" t="s">
        <v>106</v>
      </c>
      <c r="B114" s="1">
        <f>[1]CF!C$175</f>
        <v>18000</v>
      </c>
      <c r="C114" s="1">
        <f>[1]CF!D$175</f>
        <v>18000</v>
      </c>
      <c r="D114" s="1">
        <f>[1]CF!E$175</f>
        <v>18000</v>
      </c>
      <c r="E114" s="1">
        <f>[1]CF!F$175</f>
        <v>18000</v>
      </c>
      <c r="F114" s="1">
        <f>[1]CF!G$175</f>
        <v>18000</v>
      </c>
      <c r="G114" s="1">
        <f>[1]CF!H$175</f>
        <v>18000</v>
      </c>
      <c r="H114" s="1">
        <f>[1]CF!I$175</f>
        <v>18000</v>
      </c>
      <c r="I114" s="1">
        <f>[1]CF!J$175</f>
        <v>18000</v>
      </c>
      <c r="J114" s="1">
        <f>[1]CF!K$175</f>
        <v>18000</v>
      </c>
      <c r="K114" s="1">
        <f>[1]CF!L$175</f>
        <v>18000</v>
      </c>
      <c r="L114" s="1">
        <f>[1]CF!M$175</f>
        <v>18000</v>
      </c>
      <c r="M114" s="1">
        <f>[1]CF!N$175</f>
        <v>18000</v>
      </c>
      <c r="N114" s="1">
        <f>[1]CF!O$175</f>
        <v>18000</v>
      </c>
      <c r="O114" s="1">
        <f>[1]CF!P$175</f>
        <v>234000</v>
      </c>
      <c r="P114" s="1" t="s">
        <v>107</v>
      </c>
      <c r="Q114" s="33" t="s">
        <v>169</v>
      </c>
    </row>
    <row r="115" spans="1:17" x14ac:dyDescent="0.2">
      <c r="A115" s="5" t="s">
        <v>108</v>
      </c>
      <c r="B115" s="1">
        <f>[1]CF!C$180</f>
        <v>278276</v>
      </c>
      <c r="C115" s="1">
        <f>[1]CF!D$180</f>
        <v>278276</v>
      </c>
      <c r="D115" s="1">
        <f>[1]CF!E$180</f>
        <v>194635</v>
      </c>
      <c r="E115" s="1">
        <f>[1]CF!F$180</f>
        <v>136971</v>
      </c>
      <c r="F115" s="1">
        <f>[1]CF!G$180</f>
        <v>106287</v>
      </c>
      <c r="G115" s="1">
        <f>[1]CF!H$180</f>
        <v>129524</v>
      </c>
      <c r="H115" s="1">
        <f>[1]CF!I$180</f>
        <v>178389</v>
      </c>
      <c r="I115" s="1">
        <f>[1]CF!J$180</f>
        <v>209618</v>
      </c>
      <c r="J115" s="1">
        <f>[1]CF!K$180</f>
        <v>244590</v>
      </c>
      <c r="K115" s="1">
        <f>[1]CF!L$180</f>
        <v>309111</v>
      </c>
      <c r="L115" s="1">
        <f>[1]CF!M$180</f>
        <v>342238</v>
      </c>
      <c r="M115" s="1">
        <f>[1]CF!N$180</f>
        <v>349131</v>
      </c>
      <c r="N115" s="1">
        <f>[1]CF!O$180</f>
        <v>314117</v>
      </c>
      <c r="O115" s="1">
        <f>[1]CF!P$180</f>
        <v>3071164</v>
      </c>
      <c r="P115" s="1" t="s">
        <v>109</v>
      </c>
      <c r="Q115" s="33" t="s">
        <v>169</v>
      </c>
    </row>
    <row r="116" spans="1:17" x14ac:dyDescent="0.2">
      <c r="A116" s="5" t="s">
        <v>110</v>
      </c>
      <c r="B116" s="1">
        <f>[1]CF!C$192</f>
        <v>2420000</v>
      </c>
      <c r="C116" s="1">
        <f>[1]CF!D$192</f>
        <v>2420000</v>
      </c>
      <c r="D116" s="1">
        <f>[1]CF!E$192</f>
        <v>2420000</v>
      </c>
      <c r="E116" s="1">
        <f>[1]CF!F$192</f>
        <v>2420000</v>
      </c>
      <c r="F116" s="1">
        <f>[1]CF!G$192</f>
        <v>2420000</v>
      </c>
      <c r="G116" s="1">
        <f>[1]CF!H$192</f>
        <v>2438113</v>
      </c>
      <c r="H116" s="1">
        <f>[1]CF!I$192</f>
        <v>2438113</v>
      </c>
      <c r="I116" s="1">
        <f>[1]CF!J$192</f>
        <v>2441355</v>
      </c>
      <c r="J116" s="1">
        <f>[1]CF!K$192</f>
        <v>2445662</v>
      </c>
      <c r="K116" s="1">
        <f>[1]CF!L$192</f>
        <v>2448672</v>
      </c>
      <c r="L116" s="1">
        <f>[1]CF!M$192</f>
        <v>2460632</v>
      </c>
      <c r="M116" s="1">
        <f>[1]CF!N$192</f>
        <v>2460809</v>
      </c>
      <c r="N116" s="1">
        <f>[1]CF!O$192</f>
        <v>2468389</v>
      </c>
      <c r="O116" s="1">
        <f>[1]CF!P$192</f>
        <v>31701744</v>
      </c>
      <c r="P116" s="1" t="s">
        <v>111</v>
      </c>
      <c r="Q116" s="33" t="s">
        <v>169</v>
      </c>
    </row>
    <row r="117" spans="1:17" x14ac:dyDescent="0.2">
      <c r="A117" s="5" t="s">
        <v>112</v>
      </c>
      <c r="B117" s="1">
        <f>[1]CF!C$193</f>
        <v>-2420000</v>
      </c>
      <c r="C117" s="1">
        <f>[1]CF!D$193</f>
        <v>-2420000</v>
      </c>
      <c r="D117" s="1">
        <f>[1]CF!E$193</f>
        <v>-2420000</v>
      </c>
      <c r="E117" s="1">
        <f>[1]CF!F$193</f>
        <v>-2420000</v>
      </c>
      <c r="F117" s="1">
        <f>[1]CF!G$193</f>
        <v>-2416757</v>
      </c>
      <c r="G117" s="1">
        <f>[1]CF!H$193</f>
        <v>-2416757</v>
      </c>
      <c r="H117" s="1">
        <f>[1]CF!I$193</f>
        <v>-2416757</v>
      </c>
      <c r="I117" s="1">
        <f>[1]CF!J$193</f>
        <v>-2420000</v>
      </c>
      <c r="J117" s="1">
        <f>[1]CF!K$193</f>
        <v>-2420000</v>
      </c>
      <c r="K117" s="1">
        <f>[1]CF!L$193</f>
        <v>-2420000</v>
      </c>
      <c r="L117" s="1">
        <f>[1]CF!M$193</f>
        <v>-2420000</v>
      </c>
      <c r="M117" s="1">
        <f>[1]CF!N$193</f>
        <v>-2420000</v>
      </c>
      <c r="N117" s="1">
        <f>[1]CF!O$193</f>
        <v>-2420000</v>
      </c>
      <c r="O117" s="1">
        <f>[1]CF!P$193</f>
        <v>-31450272</v>
      </c>
      <c r="P117" s="1" t="s">
        <v>113</v>
      </c>
      <c r="Q117" s="33" t="s">
        <v>169</v>
      </c>
    </row>
    <row r="118" spans="1:17" x14ac:dyDescent="0.2">
      <c r="A118" s="5" t="s">
        <v>114</v>
      </c>
      <c r="B118" s="1">
        <f>[1]CF!C$194</f>
        <v>0</v>
      </c>
      <c r="C118" s="1">
        <f>[1]CF!D$194</f>
        <v>140</v>
      </c>
      <c r="D118" s="1">
        <f>[1]CF!E$194</f>
        <v>7138</v>
      </c>
      <c r="E118" s="1">
        <f>[1]CF!F$194</f>
        <v>11226</v>
      </c>
      <c r="F118" s="1">
        <f>[1]CF!G$194</f>
        <v>13889</v>
      </c>
      <c r="G118" s="1">
        <f>[1]CF!H$194</f>
        <v>13978</v>
      </c>
      <c r="H118" s="1">
        <f>[1]CF!I$194</f>
        <v>18224</v>
      </c>
      <c r="I118" s="1">
        <f>[1]CF!J$194</f>
        <v>20437</v>
      </c>
      <c r="J118" s="1">
        <f>[1]CF!K$194</f>
        <v>22804</v>
      </c>
      <c r="K118" s="1">
        <f>[1]CF!L$194</f>
        <v>23504</v>
      </c>
      <c r="L118" s="1">
        <f>[1]CF!M$194</f>
        <v>24167</v>
      </c>
      <c r="M118" s="1">
        <f>[1]CF!N$194</f>
        <v>23768</v>
      </c>
      <c r="N118" s="1">
        <f>[1]CF!O$194</f>
        <v>26013</v>
      </c>
      <c r="O118" s="1">
        <f>[1]CF!P$194</f>
        <v>205288</v>
      </c>
      <c r="P118" s="1" t="s">
        <v>115</v>
      </c>
      <c r="Q118" s="33" t="s">
        <v>169</v>
      </c>
    </row>
    <row r="119" spans="1:17" x14ac:dyDescent="0.2">
      <c r="A119" s="5" t="s">
        <v>116</v>
      </c>
      <c r="B119" s="1">
        <f>[1]CF!C$213</f>
        <v>384000</v>
      </c>
      <c r="C119" s="1">
        <f>[1]CF!D$213</f>
        <v>382500</v>
      </c>
      <c r="D119" s="1">
        <f>[1]CF!E$213</f>
        <v>381000</v>
      </c>
      <c r="E119" s="1">
        <f>[1]CF!F$213</f>
        <v>379500</v>
      </c>
      <c r="F119" s="1">
        <f>[1]CF!G$213</f>
        <v>378000</v>
      </c>
      <c r="G119" s="1">
        <f>[1]CF!H$213</f>
        <v>376500</v>
      </c>
      <c r="H119" s="1">
        <f>[1]CF!I$213</f>
        <v>375000</v>
      </c>
      <c r="I119" s="1">
        <f>[1]CF!J$213</f>
        <v>373500</v>
      </c>
      <c r="J119" s="1">
        <f>[1]CF!K$213</f>
        <v>372000</v>
      </c>
      <c r="K119" s="1">
        <f>[1]CF!L$213</f>
        <v>370500</v>
      </c>
      <c r="L119" s="1">
        <f>[1]CF!M$213</f>
        <v>369000</v>
      </c>
      <c r="M119" s="1">
        <f>[1]CF!N$213</f>
        <v>367500</v>
      </c>
      <c r="N119" s="1">
        <f>[1]CF!O$213</f>
        <v>366000</v>
      </c>
      <c r="O119" s="1">
        <f>[1]CF!P$213</f>
        <v>4875000</v>
      </c>
      <c r="P119" s="1" t="s">
        <v>117</v>
      </c>
      <c r="Q119" s="33" t="s">
        <v>169</v>
      </c>
    </row>
    <row r="120" spans="1:17" x14ac:dyDescent="0.2">
      <c r="B120" s="34">
        <f>SUM(B114:B119)</f>
        <v>680276</v>
      </c>
      <c r="C120" s="34">
        <f>SUM(C114:C119)</f>
        <v>678916</v>
      </c>
      <c r="D120" s="34">
        <f t="shared" ref="D120:O120" si="166">SUM(D114:D119)</f>
        <v>600773</v>
      </c>
      <c r="E120" s="34">
        <f t="shared" si="166"/>
        <v>545697</v>
      </c>
      <c r="F120" s="34">
        <f t="shared" si="166"/>
        <v>519419</v>
      </c>
      <c r="G120" s="34">
        <f t="shared" si="166"/>
        <v>559358</v>
      </c>
      <c r="H120" s="34">
        <f t="shared" si="166"/>
        <v>610969</v>
      </c>
      <c r="I120" s="34">
        <f t="shared" si="166"/>
        <v>642910</v>
      </c>
      <c r="J120" s="34">
        <f t="shared" si="166"/>
        <v>683056</v>
      </c>
      <c r="K120" s="34">
        <f t="shared" si="166"/>
        <v>749787</v>
      </c>
      <c r="L120" s="34">
        <f t="shared" si="166"/>
        <v>794037</v>
      </c>
      <c r="M120" s="34">
        <f t="shared" si="166"/>
        <v>799208</v>
      </c>
      <c r="N120" s="34">
        <f t="shared" si="166"/>
        <v>772519</v>
      </c>
      <c r="O120" s="34">
        <f t="shared" si="166"/>
        <v>8636924</v>
      </c>
      <c r="Q120" s="33" t="s">
        <v>169</v>
      </c>
    </row>
    <row r="121" spans="1:17" x14ac:dyDescent="0.2">
      <c r="Q121" s="33"/>
    </row>
    <row r="122" spans="1:17" x14ac:dyDescent="0.2">
      <c r="Q122" s="33"/>
    </row>
    <row r="123" spans="1:17" s="19" customFormat="1" x14ac:dyDescent="0.2">
      <c r="A123" s="19" t="s">
        <v>118</v>
      </c>
      <c r="B123" s="28">
        <f>+SUM(B114,B115,B116,B117,B119)</f>
        <v>680276</v>
      </c>
      <c r="C123" s="28">
        <f>+SUM(C114,C115,C116,C117,C119)</f>
        <v>678776</v>
      </c>
      <c r="D123" s="28">
        <f>+SUM(D114,D115,D116,D117,D119)</f>
        <v>593635</v>
      </c>
      <c r="E123" s="28">
        <f t="shared" ref="E123:M123" si="167">+SUM(E114,E115,E116,E117,E119)</f>
        <v>534471</v>
      </c>
      <c r="F123" s="28">
        <f t="shared" si="167"/>
        <v>505530</v>
      </c>
      <c r="G123" s="28">
        <f t="shared" si="167"/>
        <v>545380</v>
      </c>
      <c r="H123" s="28">
        <f t="shared" si="167"/>
        <v>592745</v>
      </c>
      <c r="I123" s="28">
        <f t="shared" si="167"/>
        <v>622473</v>
      </c>
      <c r="J123" s="28">
        <f t="shared" si="167"/>
        <v>660252</v>
      </c>
      <c r="K123" s="28">
        <f t="shared" si="167"/>
        <v>726283</v>
      </c>
      <c r="L123" s="28">
        <f t="shared" si="167"/>
        <v>769870</v>
      </c>
      <c r="M123" s="28">
        <f t="shared" si="167"/>
        <v>775440</v>
      </c>
      <c r="N123" s="28">
        <f>+SUM(N114,N115,N116,N117,N119)</f>
        <v>746506</v>
      </c>
      <c r="P123" s="28"/>
      <c r="Q123" s="33"/>
    </row>
    <row r="124" spans="1:17" s="19" customFormat="1" x14ac:dyDescent="0.2">
      <c r="A124" s="19" t="s">
        <v>119</v>
      </c>
      <c r="B124" s="28">
        <f t="shared" ref="B124:N124" si="168">+B118</f>
        <v>0</v>
      </c>
      <c r="C124" s="28">
        <f>+C118</f>
        <v>140</v>
      </c>
      <c r="D124" s="28">
        <f t="shared" si="168"/>
        <v>7138</v>
      </c>
      <c r="E124" s="28">
        <f t="shared" si="168"/>
        <v>11226</v>
      </c>
      <c r="F124" s="28">
        <f t="shared" si="168"/>
        <v>13889</v>
      </c>
      <c r="G124" s="28">
        <f t="shared" si="168"/>
        <v>13978</v>
      </c>
      <c r="H124" s="28">
        <f t="shared" si="168"/>
        <v>18224</v>
      </c>
      <c r="I124" s="28">
        <f t="shared" si="168"/>
        <v>20437</v>
      </c>
      <c r="J124" s="28">
        <f t="shared" si="168"/>
        <v>22804</v>
      </c>
      <c r="K124" s="28">
        <f t="shared" si="168"/>
        <v>23504</v>
      </c>
      <c r="L124" s="28">
        <f t="shared" si="168"/>
        <v>24167</v>
      </c>
      <c r="M124" s="28">
        <f t="shared" si="168"/>
        <v>23768</v>
      </c>
      <c r="N124" s="28">
        <f t="shared" si="168"/>
        <v>26013</v>
      </c>
      <c r="P124" s="28"/>
      <c r="Q124" s="33"/>
    </row>
    <row r="125" spans="1:17" s="19" customFormat="1" ht="13.5" thickBot="1" x14ac:dyDescent="0.25">
      <c r="B125" s="35">
        <f>+B123+B124</f>
        <v>680276</v>
      </c>
      <c r="C125" s="35">
        <f>+C123+C124</f>
        <v>678916</v>
      </c>
      <c r="D125" s="35">
        <f t="shared" ref="D125:N125" si="169">+D123+D124</f>
        <v>600773</v>
      </c>
      <c r="E125" s="35">
        <f t="shared" si="169"/>
        <v>545697</v>
      </c>
      <c r="F125" s="35">
        <f t="shared" si="169"/>
        <v>519419</v>
      </c>
      <c r="G125" s="35">
        <f t="shared" si="169"/>
        <v>559358</v>
      </c>
      <c r="H125" s="35">
        <f t="shared" si="169"/>
        <v>610969</v>
      </c>
      <c r="I125" s="35">
        <f t="shared" si="169"/>
        <v>642910</v>
      </c>
      <c r="J125" s="35">
        <f t="shared" si="169"/>
        <v>683056</v>
      </c>
      <c r="K125" s="35">
        <f t="shared" si="169"/>
        <v>749787</v>
      </c>
      <c r="L125" s="35">
        <f t="shared" si="169"/>
        <v>794037</v>
      </c>
      <c r="M125" s="35">
        <f t="shared" si="169"/>
        <v>799208</v>
      </c>
      <c r="N125" s="35">
        <f t="shared" si="169"/>
        <v>772519</v>
      </c>
      <c r="P125" s="28"/>
    </row>
    <row r="126" spans="1:17" s="19" customFormat="1" ht="15.75" thickTop="1" x14ac:dyDescent="0.35">
      <c r="A126" s="36" t="s">
        <v>126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</row>
    <row r="127" spans="1:17" s="19" customFormat="1" x14ac:dyDescent="0.2">
      <c r="A127" s="28" t="str">
        <f>+A16</f>
        <v xml:space="preserve">  108 - Accumulated depr &amp; amort</v>
      </c>
      <c r="B127" s="28">
        <f>+B16</f>
        <v>-36390518</v>
      </c>
      <c r="C127" s="28">
        <f t="shared" ref="C127:P127" si="170">+C16</f>
        <v>-36670967</v>
      </c>
      <c r="D127" s="28">
        <f t="shared" si="170"/>
        <v>-36950368</v>
      </c>
      <c r="E127" s="28">
        <f t="shared" si="170"/>
        <v>-37189190</v>
      </c>
      <c r="F127" s="28">
        <f t="shared" si="170"/>
        <v>-37524016</v>
      </c>
      <c r="G127" s="28">
        <f t="shared" si="170"/>
        <v>-37787751</v>
      </c>
      <c r="H127" s="28">
        <f t="shared" si="170"/>
        <v>-38156271</v>
      </c>
      <c r="I127" s="28">
        <f t="shared" si="170"/>
        <v>-38380534</v>
      </c>
      <c r="J127" s="28">
        <f t="shared" si="170"/>
        <v>-38683992</v>
      </c>
      <c r="K127" s="28">
        <f t="shared" si="170"/>
        <v>-38935744</v>
      </c>
      <c r="L127" s="28">
        <f t="shared" si="170"/>
        <v>-39247141</v>
      </c>
      <c r="M127" s="28">
        <f t="shared" si="170"/>
        <v>-39564506</v>
      </c>
      <c r="N127" s="28">
        <f t="shared" si="170"/>
        <v>-39765153</v>
      </c>
      <c r="O127" s="28">
        <f t="shared" si="170"/>
        <v>-495246152</v>
      </c>
      <c r="P127" s="28">
        <f t="shared" si="170"/>
        <v>-38095858</v>
      </c>
    </row>
    <row r="128" spans="1:17" s="19" customFormat="1" x14ac:dyDescent="0.2">
      <c r="A128" s="19" t="str">
        <f>+[2]CF!A$202</f>
        <v>Lease Amort-RoU Asset 101.1 - Capital Leases</v>
      </c>
      <c r="B128" s="1">
        <f>[1]CF!C$202</f>
        <v>-70233</v>
      </c>
      <c r="C128" s="1">
        <f>[1]CF!D$202</f>
        <v>-77877</v>
      </c>
      <c r="D128" s="1">
        <f>[1]CF!E$202</f>
        <v>-85517</v>
      </c>
      <c r="E128" s="1">
        <f>[1]CF!F$202</f>
        <v>-93153</v>
      </c>
      <c r="F128" s="1">
        <f>[1]CF!G$202</f>
        <v>-100786</v>
      </c>
      <c r="G128" s="1">
        <f>[1]CF!H$202</f>
        <v>-108415</v>
      </c>
      <c r="H128" s="1">
        <f>[1]CF!I$202</f>
        <v>-116041</v>
      </c>
      <c r="I128" s="1">
        <f>[1]CF!J$202</f>
        <v>-123663</v>
      </c>
      <c r="J128" s="1">
        <f>[1]CF!K$202</f>
        <v>-131282</v>
      </c>
      <c r="K128" s="1">
        <f>[1]CF!L$202</f>
        <v>-138897</v>
      </c>
      <c r="L128" s="1">
        <f>[1]CF!M$202</f>
        <v>-146917</v>
      </c>
      <c r="M128" s="1">
        <f>[1]CF!N$202</f>
        <v>-154934</v>
      </c>
      <c r="N128" s="1">
        <f>[1]CF!O$202</f>
        <v>-162948</v>
      </c>
      <c r="O128" s="19">
        <f>+[2]CF!P$202</f>
        <v>-1510664</v>
      </c>
      <c r="P128" s="19">
        <f>+[2]CF!Q$202</f>
        <v>-116205</v>
      </c>
    </row>
    <row r="129" spans="1:17" s="19" customFormat="1" x14ac:dyDescent="0.2">
      <c r="A129" s="19" t="str">
        <f>+[2]CF!A$104</f>
        <v>RWIP - Retirement Work in Progress</v>
      </c>
      <c r="B129" s="1">
        <f>[1]CF!C$104</f>
        <v>403170</v>
      </c>
      <c r="C129" s="1">
        <f>[1]CF!D$104</f>
        <v>418407</v>
      </c>
      <c r="D129" s="1">
        <f>[1]CF!E$104</f>
        <v>432152</v>
      </c>
      <c r="E129" s="1">
        <f>[1]CF!F$104</f>
        <v>484334</v>
      </c>
      <c r="F129" s="1">
        <f>[1]CF!G$104</f>
        <v>437589</v>
      </c>
      <c r="G129" s="1">
        <f>[1]CF!H$104</f>
        <v>392261</v>
      </c>
      <c r="H129" s="1">
        <f>[1]CF!I$104</f>
        <v>406403</v>
      </c>
      <c r="I129" s="1">
        <f>[1]CF!J$104</f>
        <v>488380</v>
      </c>
      <c r="J129" s="1">
        <f>[1]CF!K$104</f>
        <v>497866</v>
      </c>
      <c r="K129" s="1">
        <f>[1]CF!L$104</f>
        <v>504750</v>
      </c>
      <c r="L129" s="1">
        <f>[1]CF!M$104</f>
        <v>511266</v>
      </c>
      <c r="M129" s="1">
        <f>[1]CF!N$104</f>
        <v>415882</v>
      </c>
      <c r="N129" s="1">
        <f>[1]CF!O$104</f>
        <v>256882</v>
      </c>
      <c r="O129" s="19">
        <f>+[2]CF!P$104</f>
        <v>5649343</v>
      </c>
      <c r="P129" s="19">
        <f>+[2]CF!Q$104</f>
        <v>434565</v>
      </c>
      <c r="Q129" s="5" t="s">
        <v>105</v>
      </c>
    </row>
    <row r="130" spans="1:17" s="19" customFormat="1" ht="13.5" thickBot="1" x14ac:dyDescent="0.25">
      <c r="B130" s="35">
        <f>+B127-B128-B129</f>
        <v>-36723455</v>
      </c>
      <c r="C130" s="35">
        <f t="shared" ref="C130:P130" si="171">+C127-C128-C129</f>
        <v>-37011497</v>
      </c>
      <c r="D130" s="35">
        <f t="shared" si="171"/>
        <v>-37297003</v>
      </c>
      <c r="E130" s="35">
        <f t="shared" si="171"/>
        <v>-37580371</v>
      </c>
      <c r="F130" s="35">
        <f t="shared" si="171"/>
        <v>-37860819</v>
      </c>
      <c r="G130" s="35">
        <f t="shared" si="171"/>
        <v>-38071597</v>
      </c>
      <c r="H130" s="35">
        <f t="shared" si="171"/>
        <v>-38446633</v>
      </c>
      <c r="I130" s="35">
        <f t="shared" si="171"/>
        <v>-38745251</v>
      </c>
      <c r="J130" s="35">
        <f t="shared" si="171"/>
        <v>-39050576</v>
      </c>
      <c r="K130" s="35">
        <f t="shared" si="171"/>
        <v>-39301597</v>
      </c>
      <c r="L130" s="35">
        <f t="shared" si="171"/>
        <v>-39611490</v>
      </c>
      <c r="M130" s="35">
        <f t="shared" si="171"/>
        <v>-39825454</v>
      </c>
      <c r="N130" s="35">
        <f t="shared" si="171"/>
        <v>-39859087</v>
      </c>
      <c r="O130" s="35">
        <f t="shared" si="171"/>
        <v>-499384831</v>
      </c>
      <c r="P130" s="35">
        <f t="shared" si="171"/>
        <v>-38414218</v>
      </c>
      <c r="Q130" s="5" t="s">
        <v>105</v>
      </c>
    </row>
    <row r="131" spans="1:17" s="19" customFormat="1" ht="13.5" thickTop="1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</row>
    <row r="132" spans="1:17" s="19" customFormat="1" ht="15" x14ac:dyDescent="0.35">
      <c r="A132" s="36" t="s">
        <v>123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1:17" s="19" customFormat="1" x14ac:dyDescent="0.2">
      <c r="A133" s="19" t="str">
        <f t="shared" ref="A133:P133" si="172">+A13</f>
        <v xml:space="preserve">  101.1 - Property under capital leases</v>
      </c>
      <c r="B133" s="19">
        <f t="shared" si="172"/>
        <v>568090</v>
      </c>
      <c r="C133" s="19">
        <f t="shared" si="172"/>
        <v>568090</v>
      </c>
      <c r="D133" s="19">
        <f t="shared" si="172"/>
        <v>568090</v>
      </c>
      <c r="E133" s="19">
        <f t="shared" si="172"/>
        <v>568090</v>
      </c>
      <c r="F133" s="19">
        <f t="shared" si="172"/>
        <v>568090</v>
      </c>
      <c r="G133" s="19">
        <f t="shared" si="172"/>
        <v>568090</v>
      </c>
      <c r="H133" s="19">
        <f t="shared" si="172"/>
        <v>568090</v>
      </c>
      <c r="I133" s="19">
        <f t="shared" si="172"/>
        <v>568090</v>
      </c>
      <c r="J133" s="19">
        <f t="shared" si="172"/>
        <v>568090</v>
      </c>
      <c r="K133" s="19">
        <f t="shared" si="172"/>
        <v>568090</v>
      </c>
      <c r="L133" s="19">
        <f t="shared" si="172"/>
        <v>568090</v>
      </c>
      <c r="M133" s="19">
        <f t="shared" si="172"/>
        <v>568090</v>
      </c>
      <c r="N133" s="19">
        <f t="shared" si="172"/>
        <v>568090</v>
      </c>
      <c r="O133" s="19">
        <f t="shared" si="172"/>
        <v>7385166</v>
      </c>
      <c r="P133" s="19">
        <f t="shared" si="172"/>
        <v>568090</v>
      </c>
    </row>
    <row r="134" spans="1:17" s="19" customFormat="1" x14ac:dyDescent="0.2">
      <c r="A134" s="26" t="s">
        <v>120</v>
      </c>
      <c r="B134" s="1">
        <f>[1]CF!C$202</f>
        <v>-70233</v>
      </c>
      <c r="C134" s="1">
        <f>[1]CF!D$202</f>
        <v>-77877</v>
      </c>
      <c r="D134" s="1">
        <f>[1]CF!E$202</f>
        <v>-85517</v>
      </c>
      <c r="E134" s="1">
        <f>[1]CF!F$202</f>
        <v>-93153</v>
      </c>
      <c r="F134" s="1">
        <f>[1]CF!G$202</f>
        <v>-100786</v>
      </c>
      <c r="G134" s="1">
        <f>[1]CF!H$202</f>
        <v>-108415</v>
      </c>
      <c r="H134" s="1">
        <f>[1]CF!I$202</f>
        <v>-116041</v>
      </c>
      <c r="I134" s="1">
        <f>[1]CF!J$202</f>
        <v>-123663</v>
      </c>
      <c r="J134" s="1">
        <f>[1]CF!K$202</f>
        <v>-131282</v>
      </c>
      <c r="K134" s="1">
        <f>[1]CF!L$202</f>
        <v>-138897</v>
      </c>
      <c r="L134" s="1">
        <f>[1]CF!M$202</f>
        <v>-146917</v>
      </c>
      <c r="M134" s="1">
        <f>[1]CF!N$202</f>
        <v>-154934</v>
      </c>
      <c r="N134" s="1">
        <f>[1]CF!O$202</f>
        <v>-162948</v>
      </c>
      <c r="O134" s="1">
        <f>[1]CF!P$202</f>
        <v>-1510664</v>
      </c>
      <c r="P134" s="1">
        <f>[1]CF!Q$202</f>
        <v>-116205</v>
      </c>
    </row>
    <row r="135" spans="1:17" s="19" customFormat="1" ht="13.5" thickBot="1" x14ac:dyDescent="0.25">
      <c r="A135" s="19" t="s">
        <v>123</v>
      </c>
      <c r="B135" s="35">
        <f>SUM(B133:B134)</f>
        <v>497857</v>
      </c>
      <c r="C135" s="35">
        <f t="shared" ref="C135:P135" si="173">SUM(C133:C134)</f>
        <v>490213</v>
      </c>
      <c r="D135" s="35">
        <f t="shared" si="173"/>
        <v>482573</v>
      </c>
      <c r="E135" s="35">
        <f t="shared" si="173"/>
        <v>474937</v>
      </c>
      <c r="F135" s="35">
        <f t="shared" si="173"/>
        <v>467304</v>
      </c>
      <c r="G135" s="35">
        <f t="shared" si="173"/>
        <v>459675</v>
      </c>
      <c r="H135" s="35">
        <f t="shared" si="173"/>
        <v>452049</v>
      </c>
      <c r="I135" s="35">
        <f t="shared" si="173"/>
        <v>444427</v>
      </c>
      <c r="J135" s="35">
        <f t="shared" si="173"/>
        <v>436808</v>
      </c>
      <c r="K135" s="35">
        <f t="shared" si="173"/>
        <v>429193</v>
      </c>
      <c r="L135" s="35">
        <f t="shared" si="173"/>
        <v>421173</v>
      </c>
      <c r="M135" s="35">
        <f t="shared" si="173"/>
        <v>413156</v>
      </c>
      <c r="N135" s="35">
        <f t="shared" si="173"/>
        <v>405142</v>
      </c>
      <c r="O135" s="35">
        <f t="shared" si="173"/>
        <v>5874502</v>
      </c>
      <c r="P135" s="35">
        <f t="shared" si="173"/>
        <v>451885</v>
      </c>
      <c r="Q135" s="5" t="s">
        <v>105</v>
      </c>
    </row>
    <row r="136" spans="1:17" ht="13.5" thickTop="1" x14ac:dyDescent="0.2"/>
    <row r="139" spans="1:17" x14ac:dyDescent="0.2">
      <c r="A139" s="5" t="s">
        <v>104</v>
      </c>
      <c r="B139" s="1">
        <f>+B90+B91</f>
        <v>11132715</v>
      </c>
      <c r="C139" s="1">
        <f t="shared" ref="C139:P139" si="174">+C90+C91</f>
        <v>11135928</v>
      </c>
      <c r="D139" s="1">
        <f t="shared" si="174"/>
        <v>11139142</v>
      </c>
      <c r="E139" s="1">
        <f t="shared" si="174"/>
        <v>11199413</v>
      </c>
      <c r="F139" s="1">
        <f t="shared" si="174"/>
        <v>11202626</v>
      </c>
      <c r="G139" s="1">
        <f t="shared" si="174"/>
        <v>11205839</v>
      </c>
      <c r="H139" s="1">
        <f t="shared" si="174"/>
        <v>11208548</v>
      </c>
      <c r="I139" s="1">
        <f t="shared" si="174"/>
        <v>11211761</v>
      </c>
      <c r="J139" s="1">
        <f t="shared" si="174"/>
        <v>11214974</v>
      </c>
      <c r="K139" s="1">
        <f t="shared" si="174"/>
        <v>11176795</v>
      </c>
      <c r="L139" s="1">
        <f t="shared" si="174"/>
        <v>11180008</v>
      </c>
      <c r="M139" s="1">
        <f t="shared" si="174"/>
        <v>11183221</v>
      </c>
      <c r="N139" s="1">
        <f t="shared" si="174"/>
        <v>11814994</v>
      </c>
      <c r="O139" s="1">
        <f t="shared" si="174"/>
        <v>146005962</v>
      </c>
      <c r="P139" s="1">
        <f t="shared" si="174"/>
        <v>11231228</v>
      </c>
      <c r="Q139" s="5" t="s">
        <v>105</v>
      </c>
    </row>
    <row r="141" spans="1:17" x14ac:dyDescent="0.2">
      <c r="A141" s="1" t="str">
        <f>+A88</f>
        <v xml:space="preserve">  254 - Other regulatory liabilities</v>
      </c>
      <c r="B141" s="1">
        <f>+B88</f>
        <v>8184331</v>
      </c>
      <c r="C141" s="1">
        <f t="shared" ref="C141:P141" si="175">+C88</f>
        <v>8171653</v>
      </c>
      <c r="D141" s="1">
        <f t="shared" si="175"/>
        <v>8158975</v>
      </c>
      <c r="E141" s="1">
        <f t="shared" si="175"/>
        <v>8146297</v>
      </c>
      <c r="F141" s="1">
        <f t="shared" si="175"/>
        <v>8133619</v>
      </c>
      <c r="G141" s="1">
        <f t="shared" si="175"/>
        <v>10540941</v>
      </c>
      <c r="H141" s="1">
        <f t="shared" si="175"/>
        <v>8108263</v>
      </c>
      <c r="I141" s="1">
        <f t="shared" si="175"/>
        <v>8095585</v>
      </c>
      <c r="J141" s="1">
        <f t="shared" si="175"/>
        <v>8082907</v>
      </c>
      <c r="K141" s="1">
        <f t="shared" si="175"/>
        <v>8070229</v>
      </c>
      <c r="L141" s="1">
        <f t="shared" si="175"/>
        <v>8057551</v>
      </c>
      <c r="M141" s="1">
        <f t="shared" si="175"/>
        <v>8044873</v>
      </c>
      <c r="N141" s="1">
        <f t="shared" si="175"/>
        <v>8032195</v>
      </c>
      <c r="O141" s="1">
        <f t="shared" si="175"/>
        <v>107827419</v>
      </c>
      <c r="P141" s="1">
        <f t="shared" si="175"/>
        <v>8294416.846153846</v>
      </c>
    </row>
    <row r="142" spans="1:17" x14ac:dyDescent="0.2">
      <c r="A142" s="5" t="s">
        <v>139</v>
      </c>
      <c r="B142" s="1">
        <f>+[3]CF!C$323</f>
        <v>2420000</v>
      </c>
      <c r="C142" s="1">
        <f>+[3]CF!D$323</f>
        <v>2420000</v>
      </c>
      <c r="D142" s="1">
        <f>+[3]CF!E$323</f>
        <v>2420000</v>
      </c>
      <c r="E142" s="1">
        <f>+[3]CF!F$323</f>
        <v>2420000</v>
      </c>
      <c r="F142" s="1">
        <f>+[3]CF!G$323</f>
        <v>2420000</v>
      </c>
      <c r="G142" s="1">
        <f>+[3]CF!H$323</f>
        <v>2420000</v>
      </c>
      <c r="H142" s="1">
        <f>+[3]CF!I$323</f>
        <v>2420000</v>
      </c>
      <c r="I142" s="1">
        <f>+[3]CF!J$323</f>
        <v>2420000</v>
      </c>
      <c r="J142" s="1">
        <f>+[3]CF!K$323</f>
        <v>2420000</v>
      </c>
      <c r="K142" s="1">
        <f>+[3]CF!L$323</f>
        <v>2420000</v>
      </c>
      <c r="L142" s="1">
        <f>+[3]CF!M$323</f>
        <v>2420000</v>
      </c>
      <c r="M142" s="1">
        <f>+[3]CF!N$323</f>
        <v>2420000</v>
      </c>
      <c r="N142" s="1">
        <f>+[3]CF!O$323</f>
        <v>2420000</v>
      </c>
      <c r="O142" s="1">
        <f>+[3]CF!P$323</f>
        <v>31460000</v>
      </c>
      <c r="P142" s="1">
        <f>+[3]CF!Q$323</f>
        <v>2420000</v>
      </c>
    </row>
    <row r="143" spans="1:17" ht="13.5" thickBot="1" x14ac:dyDescent="0.25">
      <c r="B143" s="35">
        <f>+B141-B142</f>
        <v>5764331</v>
      </c>
      <c r="C143" s="35">
        <f t="shared" ref="C143:P143" si="176">+C141-C142</f>
        <v>5751653</v>
      </c>
      <c r="D143" s="35">
        <f t="shared" si="176"/>
        <v>5738975</v>
      </c>
      <c r="E143" s="35">
        <f t="shared" si="176"/>
        <v>5726297</v>
      </c>
      <c r="F143" s="35">
        <f t="shared" si="176"/>
        <v>5713619</v>
      </c>
      <c r="G143" s="35">
        <f t="shared" si="176"/>
        <v>8120941</v>
      </c>
      <c r="H143" s="35">
        <f t="shared" si="176"/>
        <v>5688263</v>
      </c>
      <c r="I143" s="35">
        <f t="shared" si="176"/>
        <v>5675585</v>
      </c>
      <c r="J143" s="35">
        <f t="shared" si="176"/>
        <v>5662907</v>
      </c>
      <c r="K143" s="35">
        <f t="shared" si="176"/>
        <v>5650229</v>
      </c>
      <c r="L143" s="35">
        <f t="shared" si="176"/>
        <v>5637551</v>
      </c>
      <c r="M143" s="35">
        <f t="shared" si="176"/>
        <v>5624873</v>
      </c>
      <c r="N143" s="35">
        <f t="shared" si="176"/>
        <v>5612195</v>
      </c>
      <c r="O143" s="35">
        <f t="shared" si="176"/>
        <v>76367419</v>
      </c>
      <c r="P143" s="35">
        <f t="shared" si="176"/>
        <v>5874416.846153846</v>
      </c>
      <c r="Q143" s="5" t="s">
        <v>105</v>
      </c>
    </row>
    <row r="144" spans="1:17" ht="13.5" thickTop="1" x14ac:dyDescent="0.2"/>
  </sheetData>
  <pageMargins left="0.5" right="0.5" top="1" bottom="0.5" header="0.5" footer="0.5"/>
  <pageSetup orientation="landscape" r:id="rId1"/>
  <headerFooter alignWithMargins="0"/>
  <rowBreaks count="1" manualBreakCount="1">
    <brk id="51" min="1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0"/>
  <sheetViews>
    <sheetView zoomScale="85" zoomScaleNormal="85" workbookViewId="0">
      <pane xSplit="1" ySplit="11" topLeftCell="T72" activePane="bottomRight" state="frozen"/>
      <selection pane="topRight" activeCell="B1" sqref="B1"/>
      <selection pane="bottomLeft" activeCell="A12" sqref="A12"/>
      <selection pane="bottomRight" activeCell="AM12" sqref="AM12"/>
    </sheetView>
  </sheetViews>
  <sheetFormatPr defaultRowHeight="12.75" x14ac:dyDescent="0.2"/>
  <cols>
    <col min="1" max="1" width="40.7109375" style="5" customWidth="1"/>
    <col min="2" max="14" width="13.7109375" style="1" customWidth="1"/>
    <col min="15" max="15" width="14.7109375" style="1" customWidth="1"/>
    <col min="16" max="16" width="13.7109375" style="1" customWidth="1"/>
    <col min="17" max="22" width="9.140625" style="5"/>
    <col min="23" max="23" width="9.5703125" style="5" bestFit="1" customWidth="1"/>
    <col min="24" max="36" width="11.28515625" style="5" bestFit="1" customWidth="1"/>
    <col min="37" max="37" width="11.140625" style="5" customWidth="1"/>
    <col min="38" max="38" width="12.28515625" style="5" bestFit="1" customWidth="1"/>
    <col min="39" max="40" width="9.5703125" style="5" bestFit="1" customWidth="1"/>
    <col min="41" max="41" width="11.85546875" style="5" customWidth="1"/>
    <col min="42" max="53" width="12.28515625" style="5" bestFit="1" customWidth="1"/>
    <col min="54" max="54" width="13.85546875" style="5" bestFit="1" customWidth="1"/>
    <col min="55" max="55" width="12.28515625" style="5" bestFit="1" customWidth="1"/>
    <col min="56" max="16384" width="9.140625" style="5"/>
  </cols>
  <sheetData>
    <row r="1" spans="1:57" ht="22.5" x14ac:dyDescent="0.45">
      <c r="A1" s="4" t="s">
        <v>98</v>
      </c>
      <c r="V1" s="4" t="s">
        <v>98</v>
      </c>
      <c r="X1" s="4"/>
      <c r="AO1" s="4" t="s">
        <v>98</v>
      </c>
    </row>
    <row r="2" spans="1:57" ht="19.5" x14ac:dyDescent="0.4">
      <c r="A2" s="6" t="s">
        <v>1</v>
      </c>
      <c r="V2" s="6" t="s">
        <v>1</v>
      </c>
      <c r="X2" s="6"/>
      <c r="AO2" s="6" t="s">
        <v>1</v>
      </c>
    </row>
    <row r="3" spans="1:57" ht="19.5" x14ac:dyDescent="0.4">
      <c r="A3" s="6" t="s">
        <v>2</v>
      </c>
      <c r="V3" s="6" t="s">
        <v>2</v>
      </c>
      <c r="X3" s="6"/>
      <c r="AO3" s="6" t="s">
        <v>2</v>
      </c>
    </row>
    <row r="4" spans="1:57" ht="19.5" x14ac:dyDescent="0.4">
      <c r="A4" s="6" t="s">
        <v>3</v>
      </c>
      <c r="V4" s="6" t="s">
        <v>170</v>
      </c>
      <c r="X4" s="6"/>
      <c r="AO4" s="6" t="s">
        <v>171</v>
      </c>
    </row>
    <row r="5" spans="1:57" x14ac:dyDescent="0.2">
      <c r="X5" s="5" t="s">
        <v>154</v>
      </c>
    </row>
    <row r="6" spans="1:57" x14ac:dyDescent="0.2"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4</v>
      </c>
      <c r="X6" s="7" t="s">
        <v>4</v>
      </c>
      <c r="Y6" s="7" t="s">
        <v>5</v>
      </c>
      <c r="Z6" s="7" t="s">
        <v>6</v>
      </c>
      <c r="AA6" s="7" t="s">
        <v>7</v>
      </c>
      <c r="AB6" s="7" t="s">
        <v>8</v>
      </c>
      <c r="AC6" s="7" t="s">
        <v>9</v>
      </c>
      <c r="AD6" s="7" t="s">
        <v>10</v>
      </c>
      <c r="AE6" s="7" t="s">
        <v>11</v>
      </c>
      <c r="AF6" s="7" t="s">
        <v>12</v>
      </c>
      <c r="AG6" s="7" t="s">
        <v>13</v>
      </c>
      <c r="AH6" s="7" t="s">
        <v>14</v>
      </c>
      <c r="AI6" s="7" t="s">
        <v>15</v>
      </c>
      <c r="AJ6" s="7" t="s">
        <v>4</v>
      </c>
      <c r="AK6" s="1"/>
      <c r="AL6" s="1"/>
      <c r="AO6" s="7" t="s">
        <v>4</v>
      </c>
      <c r="AP6" s="7" t="s">
        <v>5</v>
      </c>
      <c r="AQ6" s="7" t="s">
        <v>6</v>
      </c>
      <c r="AR6" s="7" t="s">
        <v>7</v>
      </c>
      <c r="AS6" s="7" t="s">
        <v>8</v>
      </c>
      <c r="AT6" s="7" t="s">
        <v>9</v>
      </c>
      <c r="AU6" s="7" t="s">
        <v>10</v>
      </c>
      <c r="AV6" s="7" t="s">
        <v>11</v>
      </c>
      <c r="AW6" s="7" t="s">
        <v>12</v>
      </c>
      <c r="AX6" s="7" t="s">
        <v>13</v>
      </c>
      <c r="AY6" s="7" t="s">
        <v>14</v>
      </c>
      <c r="AZ6" s="7" t="s">
        <v>15</v>
      </c>
      <c r="BA6" s="7" t="s">
        <v>4</v>
      </c>
      <c r="BB6" s="1"/>
      <c r="BC6" s="1"/>
    </row>
    <row r="7" spans="1:57" x14ac:dyDescent="0.2">
      <c r="B7" s="8" t="s">
        <v>16</v>
      </c>
      <c r="C7" s="8" t="s">
        <v>17</v>
      </c>
      <c r="D7" s="8" t="s">
        <v>17</v>
      </c>
      <c r="E7" s="8" t="s">
        <v>17</v>
      </c>
      <c r="F7" s="8" t="s">
        <v>17</v>
      </c>
      <c r="G7" s="8" t="s">
        <v>17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8" t="s">
        <v>17</v>
      </c>
      <c r="N7" s="8" t="s">
        <v>17</v>
      </c>
      <c r="O7" s="9" t="s">
        <v>18</v>
      </c>
      <c r="P7" s="9" t="s">
        <v>19</v>
      </c>
      <c r="X7" s="8" t="s">
        <v>17</v>
      </c>
      <c r="Y7" s="8" t="s">
        <v>156</v>
      </c>
      <c r="Z7" s="8" t="s">
        <v>156</v>
      </c>
      <c r="AA7" s="8" t="s">
        <v>156</v>
      </c>
      <c r="AB7" s="8" t="s">
        <v>156</v>
      </c>
      <c r="AC7" s="8" t="s">
        <v>156</v>
      </c>
      <c r="AD7" s="8" t="s">
        <v>156</v>
      </c>
      <c r="AE7" s="8" t="s">
        <v>156</v>
      </c>
      <c r="AF7" s="8" t="s">
        <v>156</v>
      </c>
      <c r="AG7" s="8" t="s">
        <v>156</v>
      </c>
      <c r="AH7" s="8" t="s">
        <v>156</v>
      </c>
      <c r="AI7" s="8" t="s">
        <v>156</v>
      </c>
      <c r="AJ7" s="8" t="s">
        <v>156</v>
      </c>
      <c r="AK7" s="9" t="s">
        <v>18</v>
      </c>
      <c r="AL7" s="9" t="s">
        <v>19</v>
      </c>
      <c r="AO7" s="8" t="s">
        <v>156</v>
      </c>
      <c r="AP7" s="8" t="s">
        <v>157</v>
      </c>
      <c r="AQ7" s="8" t="s">
        <v>157</v>
      </c>
      <c r="AR7" s="8" t="s">
        <v>157</v>
      </c>
      <c r="AS7" s="8" t="s">
        <v>157</v>
      </c>
      <c r="AT7" s="8" t="s">
        <v>157</v>
      </c>
      <c r="AU7" s="8" t="s">
        <v>157</v>
      </c>
      <c r="AV7" s="8" t="s">
        <v>157</v>
      </c>
      <c r="AW7" s="8" t="s">
        <v>157</v>
      </c>
      <c r="AX7" s="8" t="s">
        <v>157</v>
      </c>
      <c r="AY7" s="8" t="s">
        <v>157</v>
      </c>
      <c r="AZ7" s="8" t="s">
        <v>157</v>
      </c>
      <c r="BA7" s="8" t="s">
        <v>157</v>
      </c>
      <c r="BB7" s="9" t="s">
        <v>18</v>
      </c>
      <c r="BC7" s="9" t="s">
        <v>19</v>
      </c>
      <c r="BE7" s="5" t="s">
        <v>158</v>
      </c>
    </row>
    <row r="9" spans="1:57" ht="22.5" x14ac:dyDescent="0.45">
      <c r="A9" s="4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1" spans="1:57" x14ac:dyDescent="0.2">
      <c r="A11" s="11" t="s">
        <v>21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57" x14ac:dyDescent="0.2">
      <c r="A12" s="13" t="s">
        <v>22</v>
      </c>
      <c r="B12" s="14">
        <v>2812960</v>
      </c>
      <c r="C12" s="14">
        <v>2812960</v>
      </c>
      <c r="D12" s="14">
        <v>2813136</v>
      </c>
      <c r="E12" s="14">
        <v>2795195</v>
      </c>
      <c r="F12" s="14">
        <v>2795365</v>
      </c>
      <c r="G12" s="14">
        <v>2795422</v>
      </c>
      <c r="H12" s="14">
        <v>2796416</v>
      </c>
      <c r="I12" s="14">
        <v>2796416</v>
      </c>
      <c r="J12" s="14">
        <v>2796416</v>
      </c>
      <c r="K12" s="14">
        <v>2796416</v>
      </c>
      <c r="L12" s="14">
        <v>2796416</v>
      </c>
      <c r="M12" s="14">
        <v>2803555</v>
      </c>
      <c r="N12" s="14">
        <v>2803555</v>
      </c>
      <c r="O12" s="14">
        <v>36414226</v>
      </c>
      <c r="P12" s="14">
        <v>2801094</v>
      </c>
      <c r="Q12" s="5" t="s">
        <v>124</v>
      </c>
      <c r="R12" s="5" t="s">
        <v>125</v>
      </c>
      <c r="S12" s="15">
        <f>+P12+P14</f>
        <v>2805422</v>
      </c>
      <c r="T12" s="5" t="s">
        <v>142</v>
      </c>
    </row>
    <row r="13" spans="1:57" x14ac:dyDescent="0.2">
      <c r="A13" s="13" t="s">
        <v>23</v>
      </c>
      <c r="B13" s="1">
        <v>13333</v>
      </c>
      <c r="C13" s="1">
        <v>13333</v>
      </c>
      <c r="D13" s="1">
        <v>13333</v>
      </c>
      <c r="E13" s="1">
        <v>13333</v>
      </c>
      <c r="F13" s="1">
        <v>13333</v>
      </c>
      <c r="G13" s="1">
        <v>13333</v>
      </c>
      <c r="H13" s="1">
        <v>13333</v>
      </c>
      <c r="I13" s="1">
        <v>13333</v>
      </c>
      <c r="J13" s="1">
        <v>13333</v>
      </c>
      <c r="K13" s="1">
        <v>13333</v>
      </c>
      <c r="L13" s="1">
        <v>13333</v>
      </c>
      <c r="M13" s="1">
        <v>13333</v>
      </c>
      <c r="N13" s="1">
        <v>13333</v>
      </c>
      <c r="O13" s="1">
        <v>173323</v>
      </c>
      <c r="P13" s="1">
        <v>13333</v>
      </c>
      <c r="Q13" s="5" t="s">
        <v>146</v>
      </c>
    </row>
    <row r="14" spans="1:57" x14ac:dyDescent="0.2">
      <c r="A14" s="13" t="s">
        <v>24</v>
      </c>
      <c r="B14" s="1">
        <v>3772</v>
      </c>
      <c r="C14" s="1">
        <v>3804</v>
      </c>
      <c r="D14" s="1">
        <v>3806</v>
      </c>
      <c r="E14" s="1">
        <v>3838</v>
      </c>
      <c r="F14" s="1">
        <v>3842</v>
      </c>
      <c r="G14" s="1">
        <v>3849</v>
      </c>
      <c r="H14" s="1">
        <v>3849</v>
      </c>
      <c r="I14" s="1">
        <v>3849</v>
      </c>
      <c r="J14" s="1">
        <v>3849</v>
      </c>
      <c r="K14" s="1">
        <v>3850</v>
      </c>
      <c r="L14" s="1">
        <v>10242</v>
      </c>
      <c r="M14" s="1">
        <v>3854</v>
      </c>
      <c r="N14" s="1">
        <v>3855</v>
      </c>
      <c r="O14" s="1">
        <v>56259</v>
      </c>
      <c r="P14" s="1">
        <v>4328</v>
      </c>
      <c r="Q14" s="5" t="s">
        <v>124</v>
      </c>
    </row>
    <row r="15" spans="1:57" x14ac:dyDescent="0.2">
      <c r="A15" s="13" t="s">
        <v>25</v>
      </c>
      <c r="B15" s="1">
        <v>5442</v>
      </c>
      <c r="C15" s="1">
        <v>5359</v>
      </c>
      <c r="D15" s="1">
        <v>15740</v>
      </c>
      <c r="E15" s="1">
        <v>16062</v>
      </c>
      <c r="F15" s="1">
        <v>15781</v>
      </c>
      <c r="G15" s="1">
        <v>15737</v>
      </c>
      <c r="H15" s="1">
        <v>15801</v>
      </c>
      <c r="I15" s="1">
        <v>15701</v>
      </c>
      <c r="J15" s="1">
        <v>15812</v>
      </c>
      <c r="K15" s="1">
        <v>15833</v>
      </c>
      <c r="L15" s="1">
        <v>9468</v>
      </c>
      <c r="M15" s="1">
        <v>9866</v>
      </c>
      <c r="N15" s="1">
        <v>9540</v>
      </c>
      <c r="O15" s="1">
        <v>166143</v>
      </c>
      <c r="P15" s="1">
        <v>12780</v>
      </c>
      <c r="Q15" s="5" t="s">
        <v>142</v>
      </c>
    </row>
    <row r="16" spans="1:57" x14ac:dyDescent="0.2">
      <c r="A16" s="13" t="s">
        <v>26</v>
      </c>
      <c r="B16" s="1">
        <v>-1166496</v>
      </c>
      <c r="C16" s="1">
        <v>-1173579</v>
      </c>
      <c r="D16" s="1">
        <v>-1180646</v>
      </c>
      <c r="E16" s="1">
        <v>-1169591</v>
      </c>
      <c r="F16" s="1">
        <v>-1176632</v>
      </c>
      <c r="G16" s="1">
        <v>-1183676</v>
      </c>
      <c r="H16" s="1">
        <v>-1190485</v>
      </c>
      <c r="I16" s="1">
        <v>-1197351</v>
      </c>
      <c r="J16" s="1">
        <v>-1204218</v>
      </c>
      <c r="K16" s="1">
        <v>-1211030</v>
      </c>
      <c r="L16" s="1">
        <v>-1217841</v>
      </c>
      <c r="M16" s="1">
        <v>-1224614</v>
      </c>
      <c r="N16" s="1">
        <v>-1231495</v>
      </c>
      <c r="O16" s="1">
        <v>-15527654</v>
      </c>
      <c r="P16" s="1">
        <v>-1194435</v>
      </c>
      <c r="Q16" s="5" t="s">
        <v>145</v>
      </c>
    </row>
    <row r="17" spans="1:56" x14ac:dyDescent="0.2">
      <c r="A17" s="13" t="s">
        <v>86</v>
      </c>
      <c r="B17" s="1">
        <v>745800</v>
      </c>
      <c r="C17" s="1">
        <v>745800</v>
      </c>
      <c r="D17" s="1">
        <v>745800</v>
      </c>
      <c r="E17" s="1">
        <v>745800</v>
      </c>
      <c r="F17" s="1">
        <v>745800</v>
      </c>
      <c r="G17" s="1">
        <v>745800</v>
      </c>
      <c r="H17" s="1">
        <v>745800</v>
      </c>
      <c r="I17" s="1">
        <v>745800</v>
      </c>
      <c r="J17" s="1">
        <v>745800</v>
      </c>
      <c r="K17" s="1">
        <v>745800</v>
      </c>
      <c r="L17" s="1">
        <v>745800</v>
      </c>
      <c r="M17" s="1">
        <v>745800</v>
      </c>
      <c r="N17" s="1">
        <v>745800</v>
      </c>
      <c r="O17" s="1">
        <v>9695394</v>
      </c>
      <c r="P17" s="1">
        <v>745800</v>
      </c>
      <c r="Q17" s="5" t="s">
        <v>142</v>
      </c>
    </row>
    <row r="18" spans="1:56" x14ac:dyDescent="0.2">
      <c r="A18" s="13" t="s">
        <v>87</v>
      </c>
      <c r="B18" s="1">
        <v>-517889</v>
      </c>
      <c r="C18" s="1">
        <v>-522032</v>
      </c>
      <c r="D18" s="1">
        <v>-526175</v>
      </c>
      <c r="E18" s="1">
        <v>-530318</v>
      </c>
      <c r="F18" s="1">
        <v>-534461</v>
      </c>
      <c r="G18" s="1">
        <v>-538604</v>
      </c>
      <c r="H18" s="1">
        <v>-542747</v>
      </c>
      <c r="I18" s="1">
        <v>-546890</v>
      </c>
      <c r="J18" s="1">
        <v>-551033</v>
      </c>
      <c r="K18" s="1">
        <v>-555176</v>
      </c>
      <c r="L18" s="1">
        <v>-559319</v>
      </c>
      <c r="M18" s="1">
        <v>-563462</v>
      </c>
      <c r="N18" s="1">
        <v>-567605</v>
      </c>
      <c r="O18" s="1">
        <v>-7055705</v>
      </c>
      <c r="P18" s="1">
        <v>-542747</v>
      </c>
      <c r="Q18" s="5" t="s">
        <v>142</v>
      </c>
    </row>
    <row r="19" spans="1:56" x14ac:dyDescent="0.2">
      <c r="A19" s="13" t="s">
        <v>88</v>
      </c>
    </row>
    <row r="20" spans="1:56" x14ac:dyDescent="0.2">
      <c r="B20" s="16" t="s">
        <v>27</v>
      </c>
      <c r="C20" s="16" t="s">
        <v>27</v>
      </c>
      <c r="D20" s="16" t="s">
        <v>27</v>
      </c>
      <c r="E20" s="16" t="s">
        <v>27</v>
      </c>
      <c r="F20" s="16" t="s">
        <v>27</v>
      </c>
      <c r="G20" s="16" t="s">
        <v>27</v>
      </c>
      <c r="H20" s="16" t="s">
        <v>27</v>
      </c>
      <c r="I20" s="16" t="s">
        <v>27</v>
      </c>
      <c r="J20" s="16" t="s">
        <v>27</v>
      </c>
      <c r="K20" s="16" t="s">
        <v>27</v>
      </c>
      <c r="L20" s="16" t="s">
        <v>27</v>
      </c>
      <c r="M20" s="16" t="s">
        <v>27</v>
      </c>
      <c r="N20" s="16" t="s">
        <v>27</v>
      </c>
      <c r="O20" s="16" t="s">
        <v>27</v>
      </c>
      <c r="P20" s="16" t="s">
        <v>27</v>
      </c>
    </row>
    <row r="21" spans="1:56" x14ac:dyDescent="0.2">
      <c r="A21" s="13" t="s">
        <v>28</v>
      </c>
      <c r="B21" s="1">
        <v>1896921</v>
      </c>
      <c r="C21" s="1">
        <v>1885644</v>
      </c>
      <c r="D21" s="1">
        <v>1884995</v>
      </c>
      <c r="E21" s="1">
        <v>1874318</v>
      </c>
      <c r="F21" s="1">
        <v>1863027</v>
      </c>
      <c r="G21" s="1">
        <v>1851861</v>
      </c>
      <c r="H21" s="1">
        <v>1841966</v>
      </c>
      <c r="I21" s="1">
        <v>1830856</v>
      </c>
      <c r="J21" s="1">
        <v>1819958</v>
      </c>
      <c r="K21" s="1">
        <v>1809026</v>
      </c>
      <c r="L21" s="1">
        <v>1798099</v>
      </c>
      <c r="M21" s="1">
        <v>1788331</v>
      </c>
      <c r="N21" s="1">
        <v>1776982</v>
      </c>
      <c r="O21" s="1">
        <v>23921984</v>
      </c>
      <c r="P21" s="1">
        <v>1840153</v>
      </c>
    </row>
    <row r="22" spans="1:56" x14ac:dyDescent="0.2">
      <c r="B22" s="16" t="s">
        <v>27</v>
      </c>
      <c r="C22" s="16" t="s">
        <v>27</v>
      </c>
      <c r="D22" s="16" t="s">
        <v>27</v>
      </c>
      <c r="E22" s="16" t="s">
        <v>27</v>
      </c>
      <c r="F22" s="16" t="s">
        <v>27</v>
      </c>
      <c r="G22" s="16" t="s">
        <v>27</v>
      </c>
      <c r="H22" s="16" t="s">
        <v>27</v>
      </c>
      <c r="I22" s="16" t="s">
        <v>27</v>
      </c>
      <c r="J22" s="16" t="s">
        <v>27</v>
      </c>
      <c r="K22" s="16" t="s">
        <v>27</v>
      </c>
      <c r="L22" s="16" t="s">
        <v>27</v>
      </c>
      <c r="M22" s="16" t="s">
        <v>27</v>
      </c>
      <c r="N22" s="16" t="s">
        <v>27</v>
      </c>
      <c r="O22" s="16" t="s">
        <v>27</v>
      </c>
      <c r="P22" s="16" t="s">
        <v>27</v>
      </c>
      <c r="V22" s="5" t="s">
        <v>155</v>
      </c>
    </row>
    <row r="23" spans="1:56" x14ac:dyDescent="0.2">
      <c r="A23" s="11" t="s">
        <v>29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V23" s="5">
        <v>2022</v>
      </c>
      <c r="W23" s="5">
        <v>2023</v>
      </c>
    </row>
    <row r="24" spans="1:56" x14ac:dyDescent="0.2">
      <c r="A24" s="13" t="s">
        <v>32</v>
      </c>
      <c r="B24" s="1">
        <v>72735</v>
      </c>
      <c r="C24" s="1">
        <v>74351</v>
      </c>
      <c r="D24" s="1">
        <v>67268</v>
      </c>
      <c r="E24" s="1">
        <v>64498</v>
      </c>
      <c r="F24" s="1">
        <v>57125</v>
      </c>
      <c r="G24" s="1">
        <v>63104</v>
      </c>
      <c r="H24" s="1">
        <v>61351</v>
      </c>
      <c r="I24" s="1">
        <v>69737</v>
      </c>
      <c r="J24" s="1">
        <v>79317</v>
      </c>
      <c r="K24" s="1">
        <v>86139</v>
      </c>
      <c r="L24" s="1">
        <v>59698</v>
      </c>
      <c r="M24" s="1">
        <v>62976</v>
      </c>
      <c r="N24" s="1">
        <v>68853</v>
      </c>
      <c r="O24" s="1">
        <v>887151</v>
      </c>
      <c r="P24" s="1">
        <v>68242</v>
      </c>
      <c r="Q24" s="5" t="s">
        <v>142</v>
      </c>
      <c r="V24" s="3">
        <v>1.0603</v>
      </c>
      <c r="W24" s="3">
        <v>1.0964</v>
      </c>
      <c r="X24" s="19">
        <f>N24</f>
        <v>68853</v>
      </c>
      <c r="Y24" s="19">
        <f t="shared" ref="Y24:AJ24" si="0">($AK$24-$X$24)/12</f>
        <v>72648.991983333326</v>
      </c>
      <c r="Z24" s="19">
        <f t="shared" si="0"/>
        <v>72648.991983333326</v>
      </c>
      <c r="AA24" s="19">
        <f t="shared" si="0"/>
        <v>72648.991983333326</v>
      </c>
      <c r="AB24" s="19">
        <f t="shared" si="0"/>
        <v>72648.991983333326</v>
      </c>
      <c r="AC24" s="19">
        <f t="shared" si="0"/>
        <v>72648.991983333326</v>
      </c>
      <c r="AD24" s="19">
        <f t="shared" si="0"/>
        <v>72648.991983333326</v>
      </c>
      <c r="AE24" s="19">
        <f t="shared" si="0"/>
        <v>72648.991983333326</v>
      </c>
      <c r="AF24" s="19">
        <f t="shared" si="0"/>
        <v>72648.991983333326</v>
      </c>
      <c r="AG24" s="19">
        <f t="shared" si="0"/>
        <v>72648.991983333326</v>
      </c>
      <c r="AH24" s="19">
        <f t="shared" si="0"/>
        <v>72648.991983333326</v>
      </c>
      <c r="AI24" s="19">
        <f t="shared" si="0"/>
        <v>72648.991983333326</v>
      </c>
      <c r="AJ24" s="19">
        <f t="shared" si="0"/>
        <v>72648.991983333326</v>
      </c>
      <c r="AK24" s="19">
        <f>+P24*V24*13</f>
        <v>940640.90379999997</v>
      </c>
      <c r="AL24" s="19">
        <f>AK24/13</f>
        <v>72356.992599999998</v>
      </c>
      <c r="AM24" s="19"/>
      <c r="AN24" s="19"/>
      <c r="AO24" s="19">
        <f t="shared" ref="AO24:AO29" si="1">+AJ24</f>
        <v>72648.991983333326</v>
      </c>
      <c r="AP24" s="19">
        <f>+($BB$24-$AO$24)/12</f>
        <v>75001.490201388879</v>
      </c>
      <c r="AQ24" s="19">
        <f t="shared" ref="AQ24:BA24" si="2">+($BB$24-$AO$24)/12</f>
        <v>75001.490201388879</v>
      </c>
      <c r="AR24" s="19">
        <f t="shared" si="2"/>
        <v>75001.490201388879</v>
      </c>
      <c r="AS24" s="19">
        <f t="shared" si="2"/>
        <v>75001.490201388879</v>
      </c>
      <c r="AT24" s="19">
        <f t="shared" si="2"/>
        <v>75001.490201388879</v>
      </c>
      <c r="AU24" s="19">
        <f t="shared" si="2"/>
        <v>75001.490201388879</v>
      </c>
      <c r="AV24" s="19">
        <f t="shared" si="2"/>
        <v>75001.490201388879</v>
      </c>
      <c r="AW24" s="19">
        <f t="shared" si="2"/>
        <v>75001.490201388879</v>
      </c>
      <c r="AX24" s="19">
        <f t="shared" si="2"/>
        <v>75001.490201388879</v>
      </c>
      <c r="AY24" s="19">
        <f t="shared" si="2"/>
        <v>75001.490201388879</v>
      </c>
      <c r="AZ24" s="19">
        <f t="shared" si="2"/>
        <v>75001.490201388879</v>
      </c>
      <c r="BA24" s="19">
        <f t="shared" si="2"/>
        <v>75001.490201388879</v>
      </c>
      <c r="BB24" s="19">
        <f>+P24*W24*13</f>
        <v>972666.87439999997</v>
      </c>
      <c r="BC24" s="19">
        <f t="shared" ref="BC24:BC29" si="3">BB24/13</f>
        <v>74820.5288</v>
      </c>
      <c r="BD24" s="19"/>
    </row>
    <row r="25" spans="1:56" x14ac:dyDescent="0.2">
      <c r="A25" s="13" t="s">
        <v>34</v>
      </c>
      <c r="B25" s="1">
        <v>-3648</v>
      </c>
      <c r="C25" s="1">
        <v>-3648</v>
      </c>
      <c r="D25" s="1">
        <v>-3640</v>
      </c>
      <c r="E25" s="1">
        <v>-2293</v>
      </c>
      <c r="F25" s="1">
        <v>-2293</v>
      </c>
      <c r="G25" s="1">
        <v>-2293</v>
      </c>
      <c r="H25" s="1">
        <v>-2226</v>
      </c>
      <c r="I25" s="1">
        <v>-1949</v>
      </c>
      <c r="J25" s="1">
        <v>-1490</v>
      </c>
      <c r="K25" s="1">
        <v>-4596</v>
      </c>
      <c r="L25" s="1">
        <v>-4596</v>
      </c>
      <c r="M25" s="1">
        <v>-4554</v>
      </c>
      <c r="N25" s="1">
        <v>-1930</v>
      </c>
      <c r="O25" s="1">
        <v>-39154</v>
      </c>
      <c r="P25" s="1">
        <v>-3012</v>
      </c>
      <c r="Q25" s="5" t="s">
        <v>142</v>
      </c>
      <c r="X25" s="19">
        <f>N25</f>
        <v>-1930</v>
      </c>
      <c r="Y25" s="19">
        <f>X25</f>
        <v>-1930</v>
      </c>
      <c r="Z25" s="19">
        <f t="shared" ref="Z25:AJ25" si="4">Y25</f>
        <v>-1930</v>
      </c>
      <c r="AA25" s="19">
        <f t="shared" si="4"/>
        <v>-1930</v>
      </c>
      <c r="AB25" s="19">
        <f t="shared" si="4"/>
        <v>-1930</v>
      </c>
      <c r="AC25" s="19">
        <f t="shared" si="4"/>
        <v>-1930</v>
      </c>
      <c r="AD25" s="19">
        <f t="shared" si="4"/>
        <v>-1930</v>
      </c>
      <c r="AE25" s="19">
        <f t="shared" si="4"/>
        <v>-1930</v>
      </c>
      <c r="AF25" s="19">
        <f t="shared" si="4"/>
        <v>-1930</v>
      </c>
      <c r="AG25" s="19">
        <f t="shared" si="4"/>
        <v>-1930</v>
      </c>
      <c r="AH25" s="19">
        <f t="shared" si="4"/>
        <v>-1930</v>
      </c>
      <c r="AI25" s="19">
        <f t="shared" si="4"/>
        <v>-1930</v>
      </c>
      <c r="AJ25" s="19">
        <f t="shared" si="4"/>
        <v>-1930</v>
      </c>
      <c r="AK25" s="19">
        <f>SUM(X25:AJ25)</f>
        <v>-25090</v>
      </c>
      <c r="AL25" s="19">
        <f>AK25/13</f>
        <v>-1930</v>
      </c>
      <c r="AM25" s="19"/>
      <c r="AN25" s="19"/>
      <c r="AO25" s="19">
        <f t="shared" si="1"/>
        <v>-1930</v>
      </c>
      <c r="AP25" s="19">
        <f>AO25</f>
        <v>-1930</v>
      </c>
      <c r="AQ25" s="19">
        <f t="shared" ref="AQ25:BA25" si="5">AP25</f>
        <v>-1930</v>
      </c>
      <c r="AR25" s="19">
        <f t="shared" si="5"/>
        <v>-1930</v>
      </c>
      <c r="AS25" s="19">
        <f t="shared" si="5"/>
        <v>-1930</v>
      </c>
      <c r="AT25" s="19">
        <f t="shared" si="5"/>
        <v>-1930</v>
      </c>
      <c r="AU25" s="19">
        <f t="shared" si="5"/>
        <v>-1930</v>
      </c>
      <c r="AV25" s="19">
        <f t="shared" si="5"/>
        <v>-1930</v>
      </c>
      <c r="AW25" s="19">
        <f t="shared" si="5"/>
        <v>-1930</v>
      </c>
      <c r="AX25" s="19">
        <f t="shared" si="5"/>
        <v>-1930</v>
      </c>
      <c r="AY25" s="19">
        <f t="shared" si="5"/>
        <v>-1930</v>
      </c>
      <c r="AZ25" s="19">
        <f t="shared" si="5"/>
        <v>-1930</v>
      </c>
      <c r="BA25" s="19">
        <f t="shared" si="5"/>
        <v>-1930</v>
      </c>
      <c r="BB25" s="19">
        <f>SUM(AO25:BA25)</f>
        <v>-25090</v>
      </c>
      <c r="BC25" s="19">
        <f t="shared" si="3"/>
        <v>-1930</v>
      </c>
      <c r="BD25" s="19"/>
    </row>
    <row r="26" spans="1:56" x14ac:dyDescent="0.2">
      <c r="A26" s="13" t="s">
        <v>35</v>
      </c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>
        <f t="shared" si="1"/>
        <v>0</v>
      </c>
      <c r="AP26" s="19">
        <f>AO26</f>
        <v>0</v>
      </c>
      <c r="AQ26" s="19">
        <f t="shared" ref="AQ26:BA26" si="6">AP26</f>
        <v>0</v>
      </c>
      <c r="AR26" s="19">
        <f t="shared" si="6"/>
        <v>0</v>
      </c>
      <c r="AS26" s="19">
        <f t="shared" si="6"/>
        <v>0</v>
      </c>
      <c r="AT26" s="19">
        <f t="shared" si="6"/>
        <v>0</v>
      </c>
      <c r="AU26" s="19">
        <f t="shared" si="6"/>
        <v>0</v>
      </c>
      <c r="AV26" s="19">
        <f t="shared" si="6"/>
        <v>0</v>
      </c>
      <c r="AW26" s="19">
        <f t="shared" si="6"/>
        <v>0</v>
      </c>
      <c r="AX26" s="19">
        <f t="shared" si="6"/>
        <v>0</v>
      </c>
      <c r="AY26" s="19">
        <f t="shared" si="6"/>
        <v>0</v>
      </c>
      <c r="AZ26" s="19">
        <f t="shared" si="6"/>
        <v>0</v>
      </c>
      <c r="BA26" s="19">
        <f t="shared" si="6"/>
        <v>0</v>
      </c>
      <c r="BB26" s="19">
        <f t="shared" ref="BB26:BB28" si="7">SUM(AO26:BA26)</f>
        <v>0</v>
      </c>
      <c r="BC26" s="19">
        <f t="shared" si="3"/>
        <v>0</v>
      </c>
      <c r="BD26" s="19"/>
    </row>
    <row r="27" spans="1:56" x14ac:dyDescent="0.2">
      <c r="A27" s="13" t="s">
        <v>36</v>
      </c>
      <c r="B27" s="1">
        <v>-1881160</v>
      </c>
      <c r="C27" s="1">
        <v>-1884593</v>
      </c>
      <c r="D27" s="1">
        <v>-1900463</v>
      </c>
      <c r="E27" s="1">
        <v>-1902592</v>
      </c>
      <c r="F27" s="1">
        <v>-1897638</v>
      </c>
      <c r="G27" s="1">
        <v>-1911163</v>
      </c>
      <c r="H27" s="1">
        <v>-1913676</v>
      </c>
      <c r="I27" s="1">
        <v>-1923739</v>
      </c>
      <c r="J27" s="1">
        <v>-1937387</v>
      </c>
      <c r="K27" s="1">
        <v>-1948594</v>
      </c>
      <c r="L27" s="1">
        <v>-1924071</v>
      </c>
      <c r="M27" s="1">
        <v>-1964780</v>
      </c>
      <c r="N27" s="1">
        <v>-1967897</v>
      </c>
      <c r="O27" s="1">
        <v>-24957752</v>
      </c>
      <c r="P27" s="1">
        <v>-1919827</v>
      </c>
      <c r="Q27" s="5" t="s">
        <v>142</v>
      </c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>
        <f t="shared" si="1"/>
        <v>0</v>
      </c>
      <c r="AP27" s="19">
        <f>AO27</f>
        <v>0</v>
      </c>
      <c r="AQ27" s="19">
        <f t="shared" ref="AQ27:BA27" si="8">AP27</f>
        <v>0</v>
      </c>
      <c r="AR27" s="19">
        <f t="shared" si="8"/>
        <v>0</v>
      </c>
      <c r="AS27" s="19">
        <f t="shared" si="8"/>
        <v>0</v>
      </c>
      <c r="AT27" s="19">
        <f t="shared" si="8"/>
        <v>0</v>
      </c>
      <c r="AU27" s="19">
        <f t="shared" si="8"/>
        <v>0</v>
      </c>
      <c r="AV27" s="19">
        <f t="shared" si="8"/>
        <v>0</v>
      </c>
      <c r="AW27" s="19">
        <f t="shared" si="8"/>
        <v>0</v>
      </c>
      <c r="AX27" s="19">
        <f t="shared" si="8"/>
        <v>0</v>
      </c>
      <c r="AY27" s="19">
        <f t="shared" si="8"/>
        <v>0</v>
      </c>
      <c r="AZ27" s="19">
        <f t="shared" si="8"/>
        <v>0</v>
      </c>
      <c r="BA27" s="19">
        <f t="shared" si="8"/>
        <v>0</v>
      </c>
      <c r="BB27" s="19">
        <f t="shared" si="7"/>
        <v>0</v>
      </c>
      <c r="BC27" s="19">
        <f t="shared" si="3"/>
        <v>0</v>
      </c>
      <c r="BD27" s="19"/>
    </row>
    <row r="28" spans="1:56" x14ac:dyDescent="0.2">
      <c r="A28" s="13" t="s">
        <v>39</v>
      </c>
      <c r="B28" s="1">
        <v>4314</v>
      </c>
      <c r="C28" s="1">
        <v>3806</v>
      </c>
      <c r="D28" s="1">
        <v>3327</v>
      </c>
      <c r="E28" s="1">
        <v>2840</v>
      </c>
      <c r="F28" s="1">
        <v>2326</v>
      </c>
      <c r="G28" s="1">
        <v>1812</v>
      </c>
      <c r="H28" s="1">
        <v>1298</v>
      </c>
      <c r="I28" s="1">
        <v>927</v>
      </c>
      <c r="J28" s="1">
        <v>413</v>
      </c>
      <c r="K28" s="1">
        <v>4385</v>
      </c>
      <c r="L28" s="1">
        <v>3949</v>
      </c>
      <c r="M28" s="1">
        <v>5246</v>
      </c>
      <c r="N28" s="1">
        <v>2972</v>
      </c>
      <c r="O28" s="1">
        <v>37615</v>
      </c>
      <c r="P28" s="1">
        <v>2893</v>
      </c>
      <c r="Q28" s="5" t="s">
        <v>142</v>
      </c>
      <c r="X28" s="19">
        <f>N28</f>
        <v>2972</v>
      </c>
      <c r="Y28" s="19">
        <f>X28</f>
        <v>2972</v>
      </c>
      <c r="Z28" s="19">
        <f t="shared" ref="Z28:AJ28" si="9">Y28</f>
        <v>2972</v>
      </c>
      <c r="AA28" s="19">
        <f t="shared" si="9"/>
        <v>2972</v>
      </c>
      <c r="AB28" s="19">
        <f t="shared" si="9"/>
        <v>2972</v>
      </c>
      <c r="AC28" s="19">
        <f t="shared" si="9"/>
        <v>2972</v>
      </c>
      <c r="AD28" s="19">
        <f t="shared" si="9"/>
        <v>2972</v>
      </c>
      <c r="AE28" s="19">
        <f t="shared" si="9"/>
        <v>2972</v>
      </c>
      <c r="AF28" s="19">
        <f t="shared" si="9"/>
        <v>2972</v>
      </c>
      <c r="AG28" s="19">
        <f t="shared" si="9"/>
        <v>2972</v>
      </c>
      <c r="AH28" s="19">
        <f t="shared" si="9"/>
        <v>2972</v>
      </c>
      <c r="AI28" s="19">
        <f t="shared" si="9"/>
        <v>2972</v>
      </c>
      <c r="AJ28" s="19">
        <f t="shared" si="9"/>
        <v>2972</v>
      </c>
      <c r="AK28" s="19">
        <f>SUM(X28:AJ28)</f>
        <v>38636</v>
      </c>
      <c r="AL28" s="19">
        <f>AK28/13</f>
        <v>2972</v>
      </c>
      <c r="AM28" s="19"/>
      <c r="AN28" s="19"/>
      <c r="AO28" s="19">
        <f t="shared" si="1"/>
        <v>2972</v>
      </c>
      <c r="AP28" s="19">
        <f>AO28</f>
        <v>2972</v>
      </c>
      <c r="AQ28" s="19">
        <f t="shared" ref="AQ28:BA28" si="10">AP28</f>
        <v>2972</v>
      </c>
      <c r="AR28" s="19">
        <f t="shared" si="10"/>
        <v>2972</v>
      </c>
      <c r="AS28" s="19">
        <f t="shared" si="10"/>
        <v>2972</v>
      </c>
      <c r="AT28" s="19">
        <f t="shared" si="10"/>
        <v>2972</v>
      </c>
      <c r="AU28" s="19">
        <f t="shared" si="10"/>
        <v>2972</v>
      </c>
      <c r="AV28" s="19">
        <f t="shared" si="10"/>
        <v>2972</v>
      </c>
      <c r="AW28" s="19">
        <f t="shared" si="10"/>
        <v>2972</v>
      </c>
      <c r="AX28" s="19">
        <f t="shared" si="10"/>
        <v>2972</v>
      </c>
      <c r="AY28" s="19">
        <f t="shared" si="10"/>
        <v>2972</v>
      </c>
      <c r="AZ28" s="19">
        <f t="shared" si="10"/>
        <v>2972</v>
      </c>
      <c r="BA28" s="19">
        <f t="shared" si="10"/>
        <v>2972</v>
      </c>
      <c r="BB28" s="19">
        <f t="shared" si="7"/>
        <v>38636</v>
      </c>
      <c r="BC28" s="19">
        <f t="shared" si="3"/>
        <v>2972</v>
      </c>
      <c r="BD28" s="19"/>
    </row>
    <row r="29" spans="1:56" x14ac:dyDescent="0.2">
      <c r="A29" s="13" t="s">
        <v>123</v>
      </c>
      <c r="B29" s="1">
        <f>B111</f>
        <v>11023</v>
      </c>
      <c r="C29" s="1">
        <f t="shared" ref="C29:N29" si="11">C111</f>
        <v>10639</v>
      </c>
      <c r="D29" s="1">
        <f t="shared" si="11"/>
        <v>10255</v>
      </c>
      <c r="E29" s="1">
        <f t="shared" si="11"/>
        <v>9871</v>
      </c>
      <c r="F29" s="1">
        <f t="shared" si="11"/>
        <v>9488</v>
      </c>
      <c r="G29" s="1">
        <f t="shared" si="11"/>
        <v>9099</v>
      </c>
      <c r="H29" s="1">
        <f t="shared" si="11"/>
        <v>8709</v>
      </c>
      <c r="I29" s="1">
        <f t="shared" si="11"/>
        <v>8320</v>
      </c>
      <c r="J29" s="1">
        <f t="shared" si="11"/>
        <v>7931</v>
      </c>
      <c r="K29" s="1">
        <f t="shared" si="11"/>
        <v>7542</v>
      </c>
      <c r="L29" s="1">
        <f t="shared" si="11"/>
        <v>7153</v>
      </c>
      <c r="M29" s="1">
        <f t="shared" si="11"/>
        <v>6764</v>
      </c>
      <c r="N29" s="1">
        <f t="shared" si="11"/>
        <v>6375</v>
      </c>
      <c r="O29" s="1">
        <f>SUM(B29:N29)</f>
        <v>113169</v>
      </c>
      <c r="P29" s="1">
        <f>O29/13</f>
        <v>8705.3076923076915</v>
      </c>
      <c r="X29" s="19">
        <f>N29</f>
        <v>6375</v>
      </c>
      <c r="Y29" s="19">
        <v>5901.42</v>
      </c>
      <c r="Z29" s="19">
        <v>5512.35</v>
      </c>
      <c r="AA29" s="19">
        <v>5123.29</v>
      </c>
      <c r="AB29" s="19">
        <v>4734.25</v>
      </c>
      <c r="AC29" s="19">
        <v>4339.6900000000005</v>
      </c>
      <c r="AD29" s="19">
        <v>3945.14</v>
      </c>
      <c r="AE29" s="19">
        <v>3550.6</v>
      </c>
      <c r="AF29" s="19">
        <v>3156.06</v>
      </c>
      <c r="AG29" s="19">
        <v>2761.53</v>
      </c>
      <c r="AH29" s="19">
        <v>2367.0100000000002</v>
      </c>
      <c r="AI29" s="19">
        <v>1972.49</v>
      </c>
      <c r="AJ29" s="19">
        <v>1577.98</v>
      </c>
      <c r="AK29" s="19">
        <f>SUM(X29:AJ29)</f>
        <v>51316.81</v>
      </c>
      <c r="AL29" s="19">
        <f>AK29/13</f>
        <v>3947.4469230769228</v>
      </c>
      <c r="AM29" s="19"/>
      <c r="AN29" s="19"/>
      <c r="AO29" s="19">
        <f t="shared" si="1"/>
        <v>1577.98</v>
      </c>
      <c r="AP29" s="19">
        <v>1183.47</v>
      </c>
      <c r="AQ29" s="19">
        <v>788.97</v>
      </c>
      <c r="AR29" s="19">
        <v>394.48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f t="shared" ref="BB29" si="12">SUM(AO29:BA29)</f>
        <v>3944.9</v>
      </c>
      <c r="BC29" s="19">
        <f t="shared" si="3"/>
        <v>303.45384615384614</v>
      </c>
      <c r="BD29" s="19"/>
    </row>
    <row r="30" spans="1:56" x14ac:dyDescent="0.2">
      <c r="B30" s="16" t="s">
        <v>27</v>
      </c>
      <c r="C30" s="16" t="s">
        <v>27</v>
      </c>
      <c r="D30" s="16" t="s">
        <v>27</v>
      </c>
      <c r="E30" s="16" t="s">
        <v>27</v>
      </c>
      <c r="F30" s="16" t="s">
        <v>27</v>
      </c>
      <c r="G30" s="16" t="s">
        <v>27</v>
      </c>
      <c r="H30" s="16" t="s">
        <v>27</v>
      </c>
      <c r="I30" s="16" t="s">
        <v>27</v>
      </c>
      <c r="J30" s="16" t="s">
        <v>27</v>
      </c>
      <c r="K30" s="16" t="s">
        <v>27</v>
      </c>
      <c r="L30" s="16" t="s">
        <v>27</v>
      </c>
      <c r="M30" s="16" t="s">
        <v>27</v>
      </c>
      <c r="N30" s="16" t="s">
        <v>27</v>
      </c>
      <c r="O30" s="16" t="s">
        <v>27</v>
      </c>
      <c r="P30" s="16" t="s">
        <v>27</v>
      </c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</row>
    <row r="31" spans="1:56" x14ac:dyDescent="0.2">
      <c r="A31" s="13" t="s">
        <v>41</v>
      </c>
      <c r="B31" s="1">
        <v>-1807758</v>
      </c>
      <c r="C31" s="1">
        <v>-1810083</v>
      </c>
      <c r="D31" s="1">
        <v>-1833508</v>
      </c>
      <c r="E31" s="1">
        <v>-1837547</v>
      </c>
      <c r="F31" s="1">
        <v>-1840480</v>
      </c>
      <c r="G31" s="1">
        <v>-1848539</v>
      </c>
      <c r="H31" s="1">
        <v>-1853252</v>
      </c>
      <c r="I31" s="1">
        <v>-1855025</v>
      </c>
      <c r="J31" s="1">
        <v>-1859147</v>
      </c>
      <c r="K31" s="1">
        <v>-1862666</v>
      </c>
      <c r="L31" s="1">
        <v>-1865020</v>
      </c>
      <c r="M31" s="1">
        <v>-1901112</v>
      </c>
      <c r="N31" s="1">
        <v>-1898002</v>
      </c>
      <c r="O31" s="1">
        <v>-24072139</v>
      </c>
      <c r="P31" s="1">
        <v>-1851703</v>
      </c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</row>
    <row r="32" spans="1:56" x14ac:dyDescent="0.2">
      <c r="B32" s="16" t="s">
        <v>27</v>
      </c>
      <c r="C32" s="16" t="s">
        <v>27</v>
      </c>
      <c r="D32" s="16" t="s">
        <v>27</v>
      </c>
      <c r="E32" s="16" t="s">
        <v>27</v>
      </c>
      <c r="F32" s="16" t="s">
        <v>27</v>
      </c>
      <c r="G32" s="16" t="s">
        <v>27</v>
      </c>
      <c r="H32" s="16" t="s">
        <v>27</v>
      </c>
      <c r="I32" s="16" t="s">
        <v>27</v>
      </c>
      <c r="J32" s="16" t="s">
        <v>27</v>
      </c>
      <c r="K32" s="16" t="s">
        <v>27</v>
      </c>
      <c r="L32" s="16" t="s">
        <v>27</v>
      </c>
      <c r="M32" s="16" t="s">
        <v>27</v>
      </c>
      <c r="N32" s="16" t="s">
        <v>27</v>
      </c>
      <c r="O32" s="16" t="s">
        <v>27</v>
      </c>
      <c r="P32" s="16" t="s">
        <v>27</v>
      </c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</row>
    <row r="33" spans="1:56" x14ac:dyDescent="0.2">
      <c r="A33" s="11" t="s">
        <v>42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</row>
    <row r="34" spans="1:56" x14ac:dyDescent="0.2">
      <c r="A34" s="13" t="s">
        <v>43</v>
      </c>
      <c r="B34" s="1">
        <v>1534</v>
      </c>
      <c r="C34" s="1">
        <v>1534</v>
      </c>
      <c r="D34" s="1">
        <v>1534</v>
      </c>
      <c r="E34" s="1">
        <v>187</v>
      </c>
      <c r="F34" s="1">
        <v>187</v>
      </c>
      <c r="G34" s="1">
        <v>187</v>
      </c>
      <c r="H34" s="1">
        <v>187</v>
      </c>
      <c r="I34" s="1">
        <v>550</v>
      </c>
      <c r="J34" s="1">
        <v>550</v>
      </c>
      <c r="K34" s="1">
        <v>550</v>
      </c>
      <c r="L34" s="1">
        <v>550</v>
      </c>
      <c r="M34" s="1">
        <v>550</v>
      </c>
      <c r="N34" s="1">
        <v>550</v>
      </c>
      <c r="O34" s="1">
        <v>8652</v>
      </c>
      <c r="P34" s="1">
        <v>666</v>
      </c>
      <c r="Q34" s="5" t="s">
        <v>142</v>
      </c>
      <c r="X34" s="19">
        <f t="shared" ref="X34" si="13">N34</f>
        <v>550</v>
      </c>
      <c r="Y34" s="19">
        <v>527.08000000000004</v>
      </c>
      <c r="Z34" s="19">
        <v>504.16</v>
      </c>
      <c r="AA34" s="19">
        <v>481.24</v>
      </c>
      <c r="AB34" s="19">
        <v>458.32</v>
      </c>
      <c r="AC34" s="19">
        <v>435.4</v>
      </c>
      <c r="AD34" s="19">
        <v>412.47999999999996</v>
      </c>
      <c r="AE34" s="19">
        <v>389.55999999999995</v>
      </c>
      <c r="AF34" s="19">
        <v>366.63999999999993</v>
      </c>
      <c r="AG34" s="19">
        <v>343.71999999999991</v>
      </c>
      <c r="AH34" s="19">
        <v>320.7999999999999</v>
      </c>
      <c r="AI34" s="19">
        <v>297.87999999999988</v>
      </c>
      <c r="AJ34" s="19">
        <v>274.95999999999987</v>
      </c>
      <c r="AK34" s="19">
        <f t="shared" ref="AK34:AK35" si="14">SUM(X34:AJ34)</f>
        <v>5362.2400000000007</v>
      </c>
      <c r="AL34" s="19">
        <f t="shared" ref="AL34:AL35" si="15">AK34/13</f>
        <v>412.48000000000008</v>
      </c>
      <c r="AM34" s="19"/>
      <c r="AN34" s="19"/>
      <c r="AO34" s="19">
        <f t="shared" ref="AO34:AO36" si="16">+AJ34</f>
        <v>274.95999999999987</v>
      </c>
      <c r="AP34" s="19">
        <v>252</v>
      </c>
      <c r="AQ34" s="19">
        <v>229</v>
      </c>
      <c r="AR34" s="19">
        <v>206</v>
      </c>
      <c r="AS34" s="19">
        <v>183</v>
      </c>
      <c r="AT34" s="19">
        <v>160</v>
      </c>
      <c r="AU34" s="19">
        <v>137</v>
      </c>
      <c r="AV34" s="19">
        <v>115</v>
      </c>
      <c r="AW34" s="19">
        <v>92</v>
      </c>
      <c r="AX34" s="19">
        <v>69</v>
      </c>
      <c r="AY34" s="19">
        <v>46</v>
      </c>
      <c r="AZ34" s="19">
        <v>23</v>
      </c>
      <c r="BA34" s="19">
        <v>0</v>
      </c>
      <c r="BB34" s="19">
        <f t="shared" ref="BB34:BB35" si="17">SUM(AO34:BA34)</f>
        <v>1786.9599999999998</v>
      </c>
      <c r="BC34" s="19">
        <f t="shared" ref="BC34:BC36" si="18">BB34/13</f>
        <v>137.45846153846153</v>
      </c>
      <c r="BD34" s="19"/>
    </row>
    <row r="35" spans="1:56" x14ac:dyDescent="0.2">
      <c r="A35" s="13" t="s">
        <v>45</v>
      </c>
      <c r="B35" s="1">
        <v>35140</v>
      </c>
      <c r="C35" s="1">
        <v>35140</v>
      </c>
      <c r="D35" s="1">
        <v>35146</v>
      </c>
      <c r="E35" s="1">
        <v>35265</v>
      </c>
      <c r="F35" s="1">
        <v>35331</v>
      </c>
      <c r="G35" s="1">
        <v>35346</v>
      </c>
      <c r="H35" s="1">
        <v>35389</v>
      </c>
      <c r="I35" s="1">
        <v>35426</v>
      </c>
      <c r="J35" s="1">
        <v>35475</v>
      </c>
      <c r="K35" s="1">
        <v>35522</v>
      </c>
      <c r="L35" s="1">
        <v>35535</v>
      </c>
      <c r="M35" s="1">
        <v>35527</v>
      </c>
      <c r="N35" s="1">
        <v>35543</v>
      </c>
      <c r="O35" s="1">
        <v>459785</v>
      </c>
      <c r="P35" s="1">
        <v>35368</v>
      </c>
      <c r="Q35" s="5" t="s">
        <v>147</v>
      </c>
      <c r="X35" s="19">
        <f>N122</f>
        <v>35140</v>
      </c>
      <c r="Y35" s="19">
        <f t="shared" ref="Y35:AJ35" si="19">X35</f>
        <v>35140</v>
      </c>
      <c r="Z35" s="19">
        <f t="shared" si="19"/>
        <v>35140</v>
      </c>
      <c r="AA35" s="19">
        <f t="shared" si="19"/>
        <v>35140</v>
      </c>
      <c r="AB35" s="19">
        <f t="shared" si="19"/>
        <v>35140</v>
      </c>
      <c r="AC35" s="19">
        <f t="shared" si="19"/>
        <v>35140</v>
      </c>
      <c r="AD35" s="19">
        <f t="shared" si="19"/>
        <v>35140</v>
      </c>
      <c r="AE35" s="19">
        <f t="shared" si="19"/>
        <v>35140</v>
      </c>
      <c r="AF35" s="19">
        <f t="shared" si="19"/>
        <v>35140</v>
      </c>
      <c r="AG35" s="19">
        <f t="shared" si="19"/>
        <v>35140</v>
      </c>
      <c r="AH35" s="19">
        <f t="shared" si="19"/>
        <v>35140</v>
      </c>
      <c r="AI35" s="19">
        <f t="shared" si="19"/>
        <v>35140</v>
      </c>
      <c r="AJ35" s="19">
        <f t="shared" si="19"/>
        <v>35140</v>
      </c>
      <c r="AK35" s="19">
        <f t="shared" si="14"/>
        <v>456820</v>
      </c>
      <c r="AL35" s="19">
        <f t="shared" si="15"/>
        <v>35140</v>
      </c>
      <c r="AM35" s="19"/>
      <c r="AN35" s="19"/>
      <c r="AO35" s="19">
        <f t="shared" si="16"/>
        <v>35140</v>
      </c>
      <c r="AP35" s="19">
        <f t="shared" ref="AP35:BA35" si="20">AO35</f>
        <v>35140</v>
      </c>
      <c r="AQ35" s="19">
        <f t="shared" si="20"/>
        <v>35140</v>
      </c>
      <c r="AR35" s="19">
        <f t="shared" si="20"/>
        <v>35140</v>
      </c>
      <c r="AS35" s="19">
        <f t="shared" si="20"/>
        <v>35140</v>
      </c>
      <c r="AT35" s="19">
        <f t="shared" si="20"/>
        <v>35140</v>
      </c>
      <c r="AU35" s="19">
        <f t="shared" si="20"/>
        <v>35140</v>
      </c>
      <c r="AV35" s="19">
        <f t="shared" si="20"/>
        <v>35140</v>
      </c>
      <c r="AW35" s="19">
        <f t="shared" si="20"/>
        <v>35140</v>
      </c>
      <c r="AX35" s="19">
        <f t="shared" si="20"/>
        <v>35140</v>
      </c>
      <c r="AY35" s="19">
        <f t="shared" si="20"/>
        <v>35140</v>
      </c>
      <c r="AZ35" s="19">
        <f t="shared" si="20"/>
        <v>35140</v>
      </c>
      <c r="BA35" s="19">
        <f t="shared" si="20"/>
        <v>35140</v>
      </c>
      <c r="BB35" s="19">
        <f t="shared" si="17"/>
        <v>456820</v>
      </c>
      <c r="BC35" s="19">
        <f t="shared" si="18"/>
        <v>35140</v>
      </c>
      <c r="BD35" s="19"/>
    </row>
    <row r="36" spans="1:56" x14ac:dyDescent="0.2">
      <c r="A36" s="13" t="s">
        <v>167</v>
      </c>
      <c r="B36" s="1" t="s">
        <v>27</v>
      </c>
      <c r="C36" s="1" t="s">
        <v>27</v>
      </c>
      <c r="D36" s="1" t="s">
        <v>27</v>
      </c>
      <c r="E36" s="1" t="s">
        <v>27</v>
      </c>
      <c r="F36" s="1" t="s">
        <v>27</v>
      </c>
      <c r="G36" s="1" t="s">
        <v>27</v>
      </c>
      <c r="H36" s="1" t="s">
        <v>27</v>
      </c>
      <c r="I36" s="1" t="s">
        <v>27</v>
      </c>
      <c r="J36" s="1" t="s">
        <v>27</v>
      </c>
      <c r="K36" s="1" t="s">
        <v>27</v>
      </c>
      <c r="L36" s="1" t="s">
        <v>27</v>
      </c>
      <c r="M36" s="1" t="s">
        <v>27</v>
      </c>
      <c r="N36" s="1" t="s">
        <v>27</v>
      </c>
      <c r="O36" s="1" t="s">
        <v>27</v>
      </c>
      <c r="P36" s="1" t="s">
        <v>27</v>
      </c>
      <c r="X36" s="19">
        <f>N121</f>
        <v>403</v>
      </c>
      <c r="Y36" s="19">
        <v>403</v>
      </c>
      <c r="Z36" s="19">
        <v>933</v>
      </c>
      <c r="AA36" s="19">
        <v>1993</v>
      </c>
      <c r="AB36" s="19">
        <v>3053</v>
      </c>
      <c r="AC36" s="19">
        <v>4643</v>
      </c>
      <c r="AD36" s="19">
        <v>5703</v>
      </c>
      <c r="AE36" s="19">
        <v>5930</v>
      </c>
      <c r="AF36" s="19">
        <v>6130</v>
      </c>
      <c r="AG36" s="19">
        <v>6230</v>
      </c>
      <c r="AH36" s="19">
        <v>6230</v>
      </c>
      <c r="AI36" s="19">
        <v>6230</v>
      </c>
      <c r="AJ36" s="19">
        <v>6230</v>
      </c>
      <c r="AK36" s="19">
        <f t="shared" ref="AK36" si="21">SUM(X36:AJ36)</f>
        <v>54111</v>
      </c>
      <c r="AL36" s="19">
        <f t="shared" ref="AL36" si="22">AK36/13</f>
        <v>4162.3846153846152</v>
      </c>
      <c r="AM36" s="19"/>
      <c r="AN36" s="19"/>
      <c r="AO36" s="19">
        <f t="shared" si="16"/>
        <v>6230</v>
      </c>
      <c r="AP36" s="19">
        <v>6133</v>
      </c>
      <c r="AQ36" s="19">
        <v>6036</v>
      </c>
      <c r="AR36" s="19">
        <v>5939</v>
      </c>
      <c r="AS36" s="19">
        <v>5842</v>
      </c>
      <c r="AT36" s="19">
        <v>5745</v>
      </c>
      <c r="AU36" s="19">
        <v>5648</v>
      </c>
      <c r="AV36" s="19">
        <v>5551</v>
      </c>
      <c r="AW36" s="19">
        <v>5454</v>
      </c>
      <c r="AX36" s="19">
        <v>5357</v>
      </c>
      <c r="AY36" s="19">
        <v>5260</v>
      </c>
      <c r="AZ36" s="19">
        <v>5163</v>
      </c>
      <c r="BA36" s="19">
        <v>5066</v>
      </c>
      <c r="BB36" s="19">
        <f t="shared" ref="BB36" si="23">SUM(AO36:BA36)</f>
        <v>73424</v>
      </c>
      <c r="BC36" s="19">
        <f t="shared" si="18"/>
        <v>5648</v>
      </c>
      <c r="BD36" s="19"/>
    </row>
    <row r="37" spans="1:56" x14ac:dyDescent="0.2">
      <c r="A37" s="13" t="s">
        <v>48</v>
      </c>
      <c r="B37" s="1">
        <v>36674</v>
      </c>
      <c r="C37" s="1">
        <v>36674</v>
      </c>
      <c r="D37" s="1">
        <v>36681</v>
      </c>
      <c r="E37" s="1">
        <v>35453</v>
      </c>
      <c r="F37" s="1">
        <v>35518</v>
      </c>
      <c r="G37" s="1">
        <v>35534</v>
      </c>
      <c r="H37" s="1">
        <v>35576</v>
      </c>
      <c r="I37" s="1">
        <v>35976</v>
      </c>
      <c r="J37" s="1">
        <v>36025</v>
      </c>
      <c r="K37" s="1">
        <v>36072</v>
      </c>
      <c r="L37" s="1">
        <v>36085</v>
      </c>
      <c r="M37" s="1">
        <v>36077</v>
      </c>
      <c r="N37" s="1">
        <v>36093</v>
      </c>
      <c r="O37" s="1">
        <v>468437</v>
      </c>
      <c r="P37" s="1">
        <v>36034</v>
      </c>
    </row>
    <row r="38" spans="1:56" x14ac:dyDescent="0.2">
      <c r="B38" s="16" t="s">
        <v>27</v>
      </c>
      <c r="C38" s="16" t="s">
        <v>27</v>
      </c>
      <c r="D38" s="16" t="s">
        <v>27</v>
      </c>
      <c r="E38" s="16" t="s">
        <v>27</v>
      </c>
      <c r="F38" s="16" t="s">
        <v>27</v>
      </c>
      <c r="G38" s="16" t="s">
        <v>27</v>
      </c>
      <c r="H38" s="16" t="s">
        <v>27</v>
      </c>
      <c r="I38" s="16" t="s">
        <v>27</v>
      </c>
      <c r="J38" s="16" t="s">
        <v>27</v>
      </c>
      <c r="K38" s="16" t="s">
        <v>27</v>
      </c>
      <c r="L38" s="16" t="s">
        <v>27</v>
      </c>
      <c r="M38" s="16" t="s">
        <v>27</v>
      </c>
      <c r="N38" s="16" t="s">
        <v>27</v>
      </c>
      <c r="O38" s="16" t="s">
        <v>27</v>
      </c>
      <c r="P38" s="16" t="s">
        <v>27</v>
      </c>
    </row>
    <row r="40" spans="1:56" ht="15.75" x14ac:dyDescent="0.25">
      <c r="A40" s="22" t="s">
        <v>49</v>
      </c>
      <c r="B40" s="23">
        <v>125837</v>
      </c>
      <c r="C40" s="23">
        <v>112235</v>
      </c>
      <c r="D40" s="23">
        <v>88168</v>
      </c>
      <c r="E40" s="23">
        <v>72224</v>
      </c>
      <c r="F40" s="23">
        <v>58065</v>
      </c>
      <c r="G40" s="23">
        <v>38855</v>
      </c>
      <c r="H40" s="23">
        <v>24290</v>
      </c>
      <c r="I40" s="23">
        <v>11808</v>
      </c>
      <c r="J40" s="23">
        <v>-3164</v>
      </c>
      <c r="K40" s="23">
        <v>-17569</v>
      </c>
      <c r="L40" s="23">
        <v>-30836</v>
      </c>
      <c r="M40" s="23">
        <v>-76704</v>
      </c>
      <c r="N40" s="23">
        <v>-84928</v>
      </c>
      <c r="O40" s="23">
        <v>318282</v>
      </c>
      <c r="P40" s="23">
        <v>24483</v>
      </c>
    </row>
    <row r="41" spans="1:56" x14ac:dyDescent="0.2">
      <c r="B41" s="16" t="s">
        <v>50</v>
      </c>
      <c r="C41" s="16" t="s">
        <v>50</v>
      </c>
      <c r="D41" s="16" t="s">
        <v>50</v>
      </c>
      <c r="E41" s="16" t="s">
        <v>50</v>
      </c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  <c r="L41" s="16" t="s">
        <v>50</v>
      </c>
      <c r="M41" s="16" t="s">
        <v>50</v>
      </c>
      <c r="N41" s="16" t="s">
        <v>50</v>
      </c>
      <c r="O41" s="16" t="s">
        <v>50</v>
      </c>
      <c r="P41" s="16" t="s">
        <v>50</v>
      </c>
    </row>
    <row r="43" spans="1:56" x14ac:dyDescent="0.2">
      <c r="A43" s="13" t="s">
        <v>51</v>
      </c>
      <c r="P43" s="24" t="s">
        <v>52</v>
      </c>
    </row>
    <row r="44" spans="1:56" x14ac:dyDescent="0.2">
      <c r="A44" s="13" t="s">
        <v>53</v>
      </c>
      <c r="P44" s="24" t="s">
        <v>54</v>
      </c>
    </row>
    <row r="45" spans="1:56" ht="22.5" x14ac:dyDescent="0.45">
      <c r="A45" s="4" t="s">
        <v>98</v>
      </c>
    </row>
    <row r="46" spans="1:56" ht="19.5" x14ac:dyDescent="0.4">
      <c r="A46" s="6" t="s">
        <v>1</v>
      </c>
    </row>
    <row r="47" spans="1:56" ht="19.5" x14ac:dyDescent="0.4">
      <c r="A47" s="6" t="s">
        <v>2</v>
      </c>
    </row>
    <row r="48" spans="1:56" ht="19.5" x14ac:dyDescent="0.4">
      <c r="A48" s="6" t="s">
        <v>3</v>
      </c>
    </row>
    <row r="50" spans="1:69" x14ac:dyDescent="0.2">
      <c r="B50" s="7" t="s">
        <v>4</v>
      </c>
      <c r="C50" s="7" t="s">
        <v>5</v>
      </c>
      <c r="D50" s="7" t="s">
        <v>6</v>
      </c>
      <c r="E50" s="7" t="s">
        <v>7</v>
      </c>
      <c r="F50" s="7" t="s">
        <v>8</v>
      </c>
      <c r="G50" s="7" t="s">
        <v>9</v>
      </c>
      <c r="H50" s="7" t="s">
        <v>10</v>
      </c>
      <c r="I50" s="7" t="s">
        <v>11</v>
      </c>
      <c r="J50" s="7" t="s">
        <v>12</v>
      </c>
      <c r="K50" s="7" t="s">
        <v>13</v>
      </c>
      <c r="L50" s="7" t="s">
        <v>14</v>
      </c>
      <c r="M50" s="7" t="s">
        <v>15</v>
      </c>
      <c r="N50" s="7" t="s">
        <v>4</v>
      </c>
    </row>
    <row r="51" spans="1:69" x14ac:dyDescent="0.2">
      <c r="B51" s="8" t="s">
        <v>16</v>
      </c>
      <c r="C51" s="8" t="s">
        <v>17</v>
      </c>
      <c r="D51" s="8" t="s">
        <v>17</v>
      </c>
      <c r="E51" s="8" t="s">
        <v>17</v>
      </c>
      <c r="F51" s="8" t="s">
        <v>17</v>
      </c>
      <c r="G51" s="8" t="s">
        <v>17</v>
      </c>
      <c r="H51" s="8" t="s">
        <v>17</v>
      </c>
      <c r="I51" s="8" t="s">
        <v>17</v>
      </c>
      <c r="J51" s="8" t="s">
        <v>17</v>
      </c>
      <c r="K51" s="8" t="s">
        <v>17</v>
      </c>
      <c r="L51" s="8" t="s">
        <v>17</v>
      </c>
      <c r="M51" s="8" t="s">
        <v>17</v>
      </c>
      <c r="N51" s="8" t="s">
        <v>17</v>
      </c>
      <c r="O51" s="9" t="s">
        <v>18</v>
      </c>
      <c r="P51" s="9" t="s">
        <v>19</v>
      </c>
    </row>
    <row r="53" spans="1:69" ht="22.5" x14ac:dyDescent="0.45">
      <c r="A53" s="4" t="s">
        <v>55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5" spans="1:69" x14ac:dyDescent="0.2">
      <c r="A55" s="11" t="s">
        <v>56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69" x14ac:dyDescent="0.2">
      <c r="A56" s="13" t="s">
        <v>57</v>
      </c>
      <c r="B56" s="14">
        <v>-234850</v>
      </c>
      <c r="C56" s="14">
        <v>-247657</v>
      </c>
      <c r="D56" s="14">
        <v>-268820</v>
      </c>
      <c r="E56" s="14">
        <v>-281578</v>
      </c>
      <c r="F56" s="14">
        <v>-294229</v>
      </c>
      <c r="G56" s="14">
        <v>-310306</v>
      </c>
      <c r="H56" s="14">
        <v>-324238</v>
      </c>
      <c r="I56" s="14">
        <v>-335728</v>
      </c>
      <c r="J56" s="14">
        <v>-347083</v>
      </c>
      <c r="K56" s="14">
        <v>-354646</v>
      </c>
      <c r="L56" s="14">
        <v>-366942</v>
      </c>
      <c r="M56" s="14">
        <v>-380275</v>
      </c>
      <c r="N56" s="14">
        <v>-389398</v>
      </c>
      <c r="O56" s="14">
        <v>-4135751</v>
      </c>
      <c r="P56" s="14">
        <v>-318135</v>
      </c>
      <c r="Q56" s="5" t="s">
        <v>133</v>
      </c>
    </row>
    <row r="57" spans="1:69" x14ac:dyDescent="0.2">
      <c r="B57" s="16" t="s">
        <v>27</v>
      </c>
      <c r="C57" s="16" t="s">
        <v>27</v>
      </c>
      <c r="D57" s="16" t="s">
        <v>27</v>
      </c>
      <c r="E57" s="16" t="s">
        <v>27</v>
      </c>
      <c r="F57" s="16" t="s">
        <v>27</v>
      </c>
      <c r="G57" s="16" t="s">
        <v>27</v>
      </c>
      <c r="H57" s="16" t="s">
        <v>27</v>
      </c>
      <c r="I57" s="16" t="s">
        <v>27</v>
      </c>
      <c r="J57" s="16" t="s">
        <v>27</v>
      </c>
      <c r="K57" s="16" t="s">
        <v>27</v>
      </c>
      <c r="L57" s="16" t="s">
        <v>27</v>
      </c>
      <c r="M57" s="16" t="s">
        <v>27</v>
      </c>
      <c r="N57" s="16" t="s">
        <v>27</v>
      </c>
      <c r="O57" s="16" t="s">
        <v>27</v>
      </c>
      <c r="P57" s="16" t="s">
        <v>27</v>
      </c>
    </row>
    <row r="58" spans="1:69" x14ac:dyDescent="0.2">
      <c r="A58" s="13" t="s">
        <v>58</v>
      </c>
      <c r="B58" s="1">
        <v>-234850</v>
      </c>
      <c r="C58" s="1">
        <v>-247657</v>
      </c>
      <c r="D58" s="1">
        <v>-268820</v>
      </c>
      <c r="E58" s="1">
        <v>-281578</v>
      </c>
      <c r="F58" s="1">
        <v>-294229</v>
      </c>
      <c r="G58" s="1">
        <v>-310306</v>
      </c>
      <c r="H58" s="1">
        <v>-324238</v>
      </c>
      <c r="I58" s="1">
        <v>-335728</v>
      </c>
      <c r="J58" s="1">
        <v>-347083</v>
      </c>
      <c r="K58" s="1">
        <v>-354646</v>
      </c>
      <c r="L58" s="1">
        <v>-366942</v>
      </c>
      <c r="M58" s="1">
        <v>-380275</v>
      </c>
      <c r="N58" s="1">
        <v>-389398</v>
      </c>
      <c r="O58" s="1">
        <v>-4135751</v>
      </c>
      <c r="P58" s="1">
        <v>-318135</v>
      </c>
    </row>
    <row r="59" spans="1:69" x14ac:dyDescent="0.2">
      <c r="B59" s="16" t="s">
        <v>27</v>
      </c>
      <c r="C59" s="16" t="s">
        <v>27</v>
      </c>
      <c r="D59" s="16" t="s">
        <v>27</v>
      </c>
      <c r="E59" s="16" t="s">
        <v>27</v>
      </c>
      <c r="F59" s="16" t="s">
        <v>27</v>
      </c>
      <c r="G59" s="16" t="s">
        <v>27</v>
      </c>
      <c r="H59" s="16" t="s">
        <v>27</v>
      </c>
      <c r="I59" s="16" t="s">
        <v>27</v>
      </c>
      <c r="J59" s="16" t="s">
        <v>27</v>
      </c>
      <c r="K59" s="16" t="s">
        <v>27</v>
      </c>
      <c r="L59" s="16" t="s">
        <v>27</v>
      </c>
      <c r="M59" s="16" t="s">
        <v>27</v>
      </c>
      <c r="N59" s="16" t="s">
        <v>27</v>
      </c>
      <c r="O59" s="16" t="s">
        <v>27</v>
      </c>
      <c r="P59" s="16" t="s">
        <v>27</v>
      </c>
    </row>
    <row r="60" spans="1:69" x14ac:dyDescent="0.2">
      <c r="A60" s="11" t="s">
        <v>59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69" x14ac:dyDescent="0.2">
      <c r="A61" s="13" t="s">
        <v>60</v>
      </c>
      <c r="B61" s="1">
        <v>7943</v>
      </c>
      <c r="C61" s="1">
        <v>7954</v>
      </c>
      <c r="D61" s="1">
        <v>7965</v>
      </c>
      <c r="E61" s="1">
        <v>7976</v>
      </c>
      <c r="F61" s="1">
        <v>3187</v>
      </c>
      <c r="G61" s="1">
        <v>3192</v>
      </c>
      <c r="H61" s="1">
        <v>3198</v>
      </c>
      <c r="I61" s="1">
        <v>3203</v>
      </c>
      <c r="J61" s="1">
        <v>3209</v>
      </c>
      <c r="K61" s="1">
        <v>3214</v>
      </c>
      <c r="L61" s="1">
        <v>3220</v>
      </c>
      <c r="M61" s="1">
        <v>3225</v>
      </c>
      <c r="N61" s="1">
        <v>3231</v>
      </c>
      <c r="O61" s="1">
        <v>60718</v>
      </c>
      <c r="P61" s="1">
        <v>4671</v>
      </c>
      <c r="Q61" s="5" t="s">
        <v>133</v>
      </c>
      <c r="U61" s="3"/>
      <c r="V61" s="3"/>
      <c r="W61" s="18"/>
      <c r="X61" s="19">
        <f>N61</f>
        <v>3231</v>
      </c>
      <c r="Y61" s="19">
        <v>4783.46</v>
      </c>
      <c r="Z61" s="19">
        <v>4788.96</v>
      </c>
      <c r="AA61" s="19">
        <v>4794.47</v>
      </c>
      <c r="AB61" s="19"/>
      <c r="AC61" s="19"/>
      <c r="AD61" s="19"/>
      <c r="AE61" s="19"/>
      <c r="AF61" s="19"/>
      <c r="AG61" s="19"/>
      <c r="AH61" s="19"/>
      <c r="AI61" s="19"/>
      <c r="AJ61" s="19"/>
      <c r="AK61" s="37">
        <f>SUM(X61:AJ61)</f>
        <v>17597.89</v>
      </c>
      <c r="AL61" s="38">
        <f>AK61/13</f>
        <v>1353.6838461538462</v>
      </c>
      <c r="AN61" s="18"/>
      <c r="AO61" s="19">
        <f>AJ61</f>
        <v>0</v>
      </c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37">
        <f>SUM(AO61:BA61)</f>
        <v>0</v>
      </c>
      <c r="BC61" s="38">
        <f t="shared" ref="BC61" si="24">BB61/13</f>
        <v>0</v>
      </c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</row>
    <row r="62" spans="1:69" x14ac:dyDescent="0.2">
      <c r="B62" s="16" t="s">
        <v>27</v>
      </c>
      <c r="C62" s="16" t="s">
        <v>27</v>
      </c>
      <c r="D62" s="16" t="s">
        <v>27</v>
      </c>
      <c r="E62" s="16" t="s">
        <v>27</v>
      </c>
      <c r="F62" s="16" t="s">
        <v>27</v>
      </c>
      <c r="G62" s="16" t="s">
        <v>27</v>
      </c>
      <c r="H62" s="16" t="s">
        <v>27</v>
      </c>
      <c r="I62" s="16" t="s">
        <v>27</v>
      </c>
      <c r="J62" s="16" t="s">
        <v>27</v>
      </c>
      <c r="K62" s="16" t="s">
        <v>27</v>
      </c>
      <c r="L62" s="16" t="s">
        <v>27</v>
      </c>
      <c r="M62" s="16" t="s">
        <v>27</v>
      </c>
      <c r="N62" s="16" t="s">
        <v>27</v>
      </c>
      <c r="O62" s="16" t="s">
        <v>27</v>
      </c>
      <c r="P62" s="16" t="s">
        <v>27</v>
      </c>
    </row>
    <row r="63" spans="1:69" x14ac:dyDescent="0.2">
      <c r="A63" s="13" t="s">
        <v>64</v>
      </c>
      <c r="B63" s="1">
        <v>7943</v>
      </c>
      <c r="C63" s="1">
        <v>7954</v>
      </c>
      <c r="D63" s="1">
        <v>7965</v>
      </c>
      <c r="E63" s="1">
        <v>7976</v>
      </c>
      <c r="F63" s="1">
        <v>3187</v>
      </c>
      <c r="G63" s="1">
        <v>3192</v>
      </c>
      <c r="H63" s="1">
        <v>3198</v>
      </c>
      <c r="I63" s="1">
        <v>3203</v>
      </c>
      <c r="J63" s="1">
        <v>3209</v>
      </c>
      <c r="K63" s="1">
        <v>3214</v>
      </c>
      <c r="L63" s="1">
        <v>3220</v>
      </c>
      <c r="M63" s="1">
        <v>3225</v>
      </c>
      <c r="N63" s="1">
        <v>3231</v>
      </c>
      <c r="O63" s="1">
        <v>60718</v>
      </c>
      <c r="P63" s="1">
        <v>4671</v>
      </c>
    </row>
    <row r="64" spans="1:69" x14ac:dyDescent="0.2">
      <c r="B64" s="16" t="s">
        <v>27</v>
      </c>
      <c r="C64" s="16" t="s">
        <v>27</v>
      </c>
      <c r="D64" s="16" t="s">
        <v>27</v>
      </c>
      <c r="E64" s="16" t="s">
        <v>27</v>
      </c>
      <c r="F64" s="16" t="s">
        <v>27</v>
      </c>
      <c r="G64" s="16" t="s">
        <v>27</v>
      </c>
      <c r="H64" s="16" t="s">
        <v>27</v>
      </c>
      <c r="I64" s="16" t="s">
        <v>27</v>
      </c>
      <c r="J64" s="16" t="s">
        <v>27</v>
      </c>
      <c r="K64" s="16" t="s">
        <v>27</v>
      </c>
      <c r="L64" s="16" t="s">
        <v>27</v>
      </c>
      <c r="M64" s="16" t="s">
        <v>27</v>
      </c>
      <c r="N64" s="16" t="s">
        <v>27</v>
      </c>
      <c r="O64" s="16" t="s">
        <v>27</v>
      </c>
      <c r="P64" s="16" t="s">
        <v>27</v>
      </c>
      <c r="U64" s="5" t="s">
        <v>155</v>
      </c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</row>
    <row r="65" spans="1:69" x14ac:dyDescent="0.2">
      <c r="A65" s="11" t="s">
        <v>65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U65" s="2">
        <v>2022</v>
      </c>
      <c r="V65" s="2">
        <v>2023</v>
      </c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</row>
    <row r="66" spans="1:69" x14ac:dyDescent="0.2">
      <c r="A66" s="13" t="s">
        <v>66</v>
      </c>
      <c r="B66" s="1">
        <v>723</v>
      </c>
      <c r="C66" s="1">
        <v>905</v>
      </c>
      <c r="D66" s="1">
        <v>1292</v>
      </c>
      <c r="E66" s="1">
        <v>1402</v>
      </c>
      <c r="F66" s="1">
        <v>5774</v>
      </c>
      <c r="G66" s="1">
        <v>6080</v>
      </c>
      <c r="H66" s="1">
        <v>5683</v>
      </c>
      <c r="I66" s="1">
        <v>6018</v>
      </c>
      <c r="J66" s="1">
        <v>5316</v>
      </c>
      <c r="K66" s="1">
        <v>5593</v>
      </c>
      <c r="L66" s="1">
        <v>6087</v>
      </c>
      <c r="M66" s="1">
        <v>5172</v>
      </c>
      <c r="N66" s="1">
        <v>7676</v>
      </c>
      <c r="O66" s="1">
        <v>57722</v>
      </c>
      <c r="P66" s="1">
        <v>4440</v>
      </c>
      <c r="U66" s="3">
        <v>1.0603</v>
      </c>
      <c r="V66" s="3">
        <v>1.0964</v>
      </c>
      <c r="W66" s="18"/>
      <c r="X66" s="19">
        <f>N66</f>
        <v>7676</v>
      </c>
      <c r="Y66" s="19">
        <f>($AK$66-$X$66)/12</f>
        <v>4460.3763333333336</v>
      </c>
      <c r="Z66" s="19">
        <f t="shared" ref="Z66:AJ66" si="25">($AK$66-$X$66)/12</f>
        <v>4460.3763333333336</v>
      </c>
      <c r="AA66" s="19">
        <f t="shared" si="25"/>
        <v>4460.3763333333336</v>
      </c>
      <c r="AB66" s="19">
        <f t="shared" si="25"/>
        <v>4460.3763333333336</v>
      </c>
      <c r="AC66" s="19">
        <f t="shared" si="25"/>
        <v>4460.3763333333336</v>
      </c>
      <c r="AD66" s="19">
        <f t="shared" si="25"/>
        <v>4460.3763333333336</v>
      </c>
      <c r="AE66" s="19">
        <f t="shared" si="25"/>
        <v>4460.3763333333336</v>
      </c>
      <c r="AF66" s="19">
        <f t="shared" si="25"/>
        <v>4460.3763333333336</v>
      </c>
      <c r="AG66" s="19">
        <f t="shared" si="25"/>
        <v>4460.3763333333336</v>
      </c>
      <c r="AH66" s="19">
        <f t="shared" si="25"/>
        <v>4460.3763333333336</v>
      </c>
      <c r="AI66" s="19">
        <f t="shared" si="25"/>
        <v>4460.3763333333336</v>
      </c>
      <c r="AJ66" s="19">
        <f t="shared" si="25"/>
        <v>4460.3763333333336</v>
      </c>
      <c r="AK66" s="37">
        <f>P66*U66*13</f>
        <v>61200.516000000003</v>
      </c>
      <c r="AL66" s="38">
        <f t="shared" ref="AL66:AL71" si="26">AK66/13</f>
        <v>4707.732</v>
      </c>
      <c r="AM66" s="19"/>
      <c r="AN66" s="18"/>
      <c r="AO66" s="19">
        <f t="shared" ref="AO66:AO71" si="27">AJ66</f>
        <v>4460.3763333333336</v>
      </c>
      <c r="AP66" s="19">
        <f t="shared" ref="AP66:BA66" si="28">+($BB$66-$AO$66)/12</f>
        <v>4901.9859722222227</v>
      </c>
      <c r="AQ66" s="19">
        <f t="shared" si="28"/>
        <v>4901.9859722222227</v>
      </c>
      <c r="AR66" s="19">
        <f t="shared" si="28"/>
        <v>4901.9859722222227</v>
      </c>
      <c r="AS66" s="19">
        <f t="shared" si="28"/>
        <v>4901.9859722222227</v>
      </c>
      <c r="AT66" s="19">
        <f t="shared" si="28"/>
        <v>4901.9859722222227</v>
      </c>
      <c r="AU66" s="19">
        <f t="shared" si="28"/>
        <v>4901.9859722222227</v>
      </c>
      <c r="AV66" s="19">
        <f t="shared" si="28"/>
        <v>4901.9859722222227</v>
      </c>
      <c r="AW66" s="19">
        <f t="shared" si="28"/>
        <v>4901.9859722222227</v>
      </c>
      <c r="AX66" s="19">
        <f t="shared" si="28"/>
        <v>4901.9859722222227</v>
      </c>
      <c r="AY66" s="19">
        <f t="shared" si="28"/>
        <v>4901.9859722222227</v>
      </c>
      <c r="AZ66" s="19">
        <f t="shared" si="28"/>
        <v>4901.9859722222227</v>
      </c>
      <c r="BA66" s="19">
        <f t="shared" si="28"/>
        <v>4901.9859722222227</v>
      </c>
      <c r="BB66" s="37">
        <f>P66*V66*13</f>
        <v>63284.208000000006</v>
      </c>
      <c r="BC66" s="38">
        <f>BB66/13</f>
        <v>4868.0160000000005</v>
      </c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</row>
    <row r="67" spans="1:69" x14ac:dyDescent="0.2">
      <c r="A67" s="13" t="s">
        <v>67</v>
      </c>
      <c r="B67" s="1">
        <v>7575</v>
      </c>
      <c r="C67" s="1">
        <v>7485</v>
      </c>
      <c r="D67" s="1">
        <v>7430</v>
      </c>
      <c r="E67" s="1">
        <v>7375</v>
      </c>
      <c r="F67" s="1">
        <v>7528</v>
      </c>
      <c r="G67" s="1">
        <v>7538</v>
      </c>
      <c r="H67" s="1">
        <v>7393</v>
      </c>
      <c r="I67" s="1">
        <v>7438</v>
      </c>
      <c r="J67" s="1">
        <v>7403</v>
      </c>
      <c r="K67" s="1">
        <v>7283</v>
      </c>
      <c r="L67" s="1">
        <v>7138</v>
      </c>
      <c r="M67" s="1">
        <v>7063</v>
      </c>
      <c r="N67" s="1">
        <v>6828</v>
      </c>
      <c r="O67" s="1">
        <v>95477</v>
      </c>
      <c r="P67" s="1">
        <v>7344</v>
      </c>
      <c r="Q67" s="5" t="s">
        <v>133</v>
      </c>
      <c r="U67" s="3"/>
      <c r="V67" s="3"/>
      <c r="W67" s="18"/>
      <c r="X67" s="19">
        <f>N67</f>
        <v>6828</v>
      </c>
      <c r="Y67" s="19">
        <v>6828.7965999999997</v>
      </c>
      <c r="Z67" s="19">
        <v>6829.5931999999993</v>
      </c>
      <c r="AA67" s="19">
        <v>6830.389799999999</v>
      </c>
      <c r="AB67" s="19">
        <v>6831.1863999999987</v>
      </c>
      <c r="AC67" s="19">
        <v>6831.9829999999993</v>
      </c>
      <c r="AD67" s="19">
        <v>6832.7795999999989</v>
      </c>
      <c r="AE67" s="19">
        <v>6833.5761999999986</v>
      </c>
      <c r="AF67" s="19">
        <v>6834.3727999999983</v>
      </c>
      <c r="AG67" s="19">
        <v>6835.1693999999979</v>
      </c>
      <c r="AH67" s="19">
        <v>6835.9659999999976</v>
      </c>
      <c r="AI67" s="19">
        <v>6836.7625999999973</v>
      </c>
      <c r="AJ67" s="19">
        <v>6837.5592000000015</v>
      </c>
      <c r="AK67" s="37">
        <f>SUM(X67:AJ67)</f>
        <v>88826.134799999985</v>
      </c>
      <c r="AL67" s="38">
        <f t="shared" si="26"/>
        <v>6832.7795999999989</v>
      </c>
      <c r="AM67" s="19"/>
      <c r="AN67" s="18"/>
      <c r="AO67" s="19">
        <f t="shared" si="27"/>
        <v>6837.5592000000015</v>
      </c>
      <c r="AP67" s="19">
        <v>6839.2093000000013</v>
      </c>
      <c r="AQ67" s="19">
        <v>6840.8594000000003</v>
      </c>
      <c r="AR67" s="19">
        <v>6842.5095000000001</v>
      </c>
      <c r="AS67" s="19">
        <v>6844.1596</v>
      </c>
      <c r="AT67" s="19">
        <v>6845.8096999999989</v>
      </c>
      <c r="AU67" s="19">
        <v>6847.4597999999987</v>
      </c>
      <c r="AV67" s="19">
        <v>6849.1098999999986</v>
      </c>
      <c r="AW67" s="19">
        <v>6850.7599999999984</v>
      </c>
      <c r="AX67" s="19">
        <v>6852.4100999999982</v>
      </c>
      <c r="AY67" s="19">
        <v>6854.0601999999972</v>
      </c>
      <c r="AZ67" s="19">
        <v>6855.710299999997</v>
      </c>
      <c r="BA67" s="19">
        <v>6857.3603999999996</v>
      </c>
      <c r="BB67" s="37">
        <f>SUM(AO67:BA67)</f>
        <v>89016.977399999974</v>
      </c>
      <c r="BC67" s="38">
        <f t="shared" ref="BC67:BC70" si="29">BB67/13</f>
        <v>6847.4597999999978</v>
      </c>
      <c r="BD67" s="18"/>
      <c r="BE67" s="18" t="s">
        <v>181</v>
      </c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</row>
    <row r="68" spans="1:69" x14ac:dyDescent="0.2">
      <c r="A68" s="13" t="s">
        <v>68</v>
      </c>
      <c r="B68" s="1">
        <v>-108989</v>
      </c>
      <c r="C68" s="1">
        <v>-113106</v>
      </c>
      <c r="D68" s="1">
        <v>-119938</v>
      </c>
      <c r="E68" s="1">
        <v>-122746</v>
      </c>
      <c r="F68" s="1">
        <v>-126812</v>
      </c>
      <c r="G68" s="1">
        <v>-131992</v>
      </c>
      <c r="H68" s="1">
        <v>-138612</v>
      </c>
      <c r="I68" s="1">
        <v>-142301</v>
      </c>
      <c r="J68" s="1">
        <v>-145947</v>
      </c>
      <c r="K68" s="1">
        <v>-148021</v>
      </c>
      <c r="L68" s="1">
        <v>-151972</v>
      </c>
      <c r="M68" s="1">
        <v>-156266</v>
      </c>
      <c r="N68" s="1">
        <v>-160427</v>
      </c>
      <c r="O68" s="1">
        <v>-1767128</v>
      </c>
      <c r="P68" s="1">
        <v>-135933</v>
      </c>
      <c r="Q68" s="5" t="s">
        <v>133</v>
      </c>
      <c r="U68" s="3"/>
      <c r="V68" s="3"/>
      <c r="W68" s="18"/>
      <c r="X68" s="19">
        <f t="shared" ref="X68:X71" si="30">N68</f>
        <v>-160427</v>
      </c>
      <c r="Y68" s="19">
        <v>-164568.59369510275</v>
      </c>
      <c r="Z68" s="19">
        <v>-168707.00049825833</v>
      </c>
      <c r="AA68" s="19">
        <v>-160426.86000000002</v>
      </c>
      <c r="AB68" s="19">
        <v>-164615.63173486525</v>
      </c>
      <c r="AC68" s="19">
        <v>-168859.58764914787</v>
      </c>
      <c r="AD68" s="19">
        <v>-160426.86000000002</v>
      </c>
      <c r="AE68" s="19">
        <v>-164663.43273586896</v>
      </c>
      <c r="AF68" s="19">
        <v>-169137.51491718064</v>
      </c>
      <c r="AG68" s="19">
        <v>-160426.86000000004</v>
      </c>
      <c r="AH68" s="19">
        <v>-164734.65787894954</v>
      </c>
      <c r="AI68" s="19">
        <v>-164734.65787894954</v>
      </c>
      <c r="AJ68" s="19">
        <v>-164734.65787894954</v>
      </c>
      <c r="AK68" s="37">
        <f>SUM(X68:AJ68)</f>
        <v>-2136463.3148672725</v>
      </c>
      <c r="AL68" s="38">
        <f t="shared" si="26"/>
        <v>-164343.33191286711</v>
      </c>
      <c r="AM68" s="19"/>
      <c r="AN68" s="18"/>
      <c r="AO68" s="19">
        <f t="shared" si="27"/>
        <v>-164734.65787894954</v>
      </c>
      <c r="AP68" s="19">
        <v>-164734.65787894954</v>
      </c>
      <c r="AQ68" s="19">
        <v>-164734.65787894954</v>
      </c>
      <c r="AR68" s="19">
        <v>-164734.65787894954</v>
      </c>
      <c r="AS68" s="19">
        <v>-164734.65787894954</v>
      </c>
      <c r="AT68" s="19">
        <v>-164734.65787894954</v>
      </c>
      <c r="AU68" s="19">
        <v>-164734.65787894954</v>
      </c>
      <c r="AV68" s="19">
        <v>-164734.65787894954</v>
      </c>
      <c r="AW68" s="19">
        <v>-164734.65787894954</v>
      </c>
      <c r="AX68" s="19">
        <v>-164734.65787894954</v>
      </c>
      <c r="AY68" s="19">
        <v>-164734.65787894954</v>
      </c>
      <c r="AZ68" s="19">
        <v>-164734.65787894954</v>
      </c>
      <c r="BA68" s="19">
        <v>-164734.65787894954</v>
      </c>
      <c r="BB68" s="37">
        <f>SUM(AO68:BA68)</f>
        <v>-2141550.5524263438</v>
      </c>
      <c r="BC68" s="38">
        <f t="shared" si="29"/>
        <v>-164734.65787894951</v>
      </c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</row>
    <row r="69" spans="1:69" x14ac:dyDescent="0.2">
      <c r="A69" s="13" t="s">
        <v>69</v>
      </c>
      <c r="B69" s="1">
        <v>7</v>
      </c>
      <c r="C69" s="1">
        <v>16</v>
      </c>
      <c r="D69" s="1">
        <v>28</v>
      </c>
      <c r="E69" s="1">
        <v>41</v>
      </c>
      <c r="F69" s="1">
        <v>53</v>
      </c>
      <c r="G69" s="1">
        <v>68</v>
      </c>
      <c r="H69" s="1">
        <v>79</v>
      </c>
      <c r="I69" s="1">
        <v>91</v>
      </c>
      <c r="J69" s="1">
        <v>106</v>
      </c>
      <c r="K69" s="1">
        <v>117</v>
      </c>
      <c r="L69" s="1">
        <v>126</v>
      </c>
      <c r="M69" s="1">
        <v>135</v>
      </c>
      <c r="N69" s="1">
        <v>8</v>
      </c>
      <c r="O69" s="1">
        <v>873</v>
      </c>
      <c r="P69" s="1">
        <v>67</v>
      </c>
      <c r="Q69" s="5" t="s">
        <v>133</v>
      </c>
      <c r="U69" s="3"/>
      <c r="V69" s="3"/>
      <c r="W69" s="18"/>
      <c r="X69" s="19">
        <f t="shared" si="30"/>
        <v>8</v>
      </c>
      <c r="Y69" s="19">
        <f t="shared" ref="Y69:AJ69" si="31">X69</f>
        <v>8</v>
      </c>
      <c r="Z69" s="19">
        <f t="shared" si="31"/>
        <v>8</v>
      </c>
      <c r="AA69" s="19">
        <f t="shared" si="31"/>
        <v>8</v>
      </c>
      <c r="AB69" s="19">
        <f t="shared" si="31"/>
        <v>8</v>
      </c>
      <c r="AC69" s="19">
        <f t="shared" si="31"/>
        <v>8</v>
      </c>
      <c r="AD69" s="19">
        <f t="shared" si="31"/>
        <v>8</v>
      </c>
      <c r="AE69" s="19">
        <f t="shared" si="31"/>
        <v>8</v>
      </c>
      <c r="AF69" s="19">
        <f t="shared" si="31"/>
        <v>8</v>
      </c>
      <c r="AG69" s="19">
        <f t="shared" si="31"/>
        <v>8</v>
      </c>
      <c r="AH69" s="19">
        <f t="shared" si="31"/>
        <v>8</v>
      </c>
      <c r="AI69" s="19">
        <f t="shared" si="31"/>
        <v>8</v>
      </c>
      <c r="AJ69" s="19">
        <f t="shared" si="31"/>
        <v>8</v>
      </c>
      <c r="AK69" s="37">
        <f>SUM(X69:AJ69)</f>
        <v>104</v>
      </c>
      <c r="AL69" s="37">
        <f t="shared" si="26"/>
        <v>8</v>
      </c>
      <c r="AM69" s="19"/>
      <c r="AN69" s="18"/>
      <c r="AO69" s="19">
        <f t="shared" si="27"/>
        <v>8</v>
      </c>
      <c r="AP69" s="19">
        <f t="shared" ref="AP69:BA69" si="32">AO69</f>
        <v>8</v>
      </c>
      <c r="AQ69" s="19">
        <f t="shared" si="32"/>
        <v>8</v>
      </c>
      <c r="AR69" s="19">
        <f t="shared" si="32"/>
        <v>8</v>
      </c>
      <c r="AS69" s="19">
        <f t="shared" si="32"/>
        <v>8</v>
      </c>
      <c r="AT69" s="19">
        <f t="shared" si="32"/>
        <v>8</v>
      </c>
      <c r="AU69" s="19">
        <f t="shared" si="32"/>
        <v>8</v>
      </c>
      <c r="AV69" s="19">
        <f t="shared" si="32"/>
        <v>8</v>
      </c>
      <c r="AW69" s="19">
        <f t="shared" si="32"/>
        <v>8</v>
      </c>
      <c r="AX69" s="19">
        <f t="shared" si="32"/>
        <v>8</v>
      </c>
      <c r="AY69" s="19">
        <f t="shared" si="32"/>
        <v>8</v>
      </c>
      <c r="AZ69" s="19">
        <f t="shared" si="32"/>
        <v>8</v>
      </c>
      <c r="BA69" s="19">
        <f t="shared" si="32"/>
        <v>8</v>
      </c>
      <c r="BB69" s="37">
        <f t="shared" ref="BB69:BB71" si="33">SUM(AO69:BA69)</f>
        <v>104</v>
      </c>
      <c r="BC69" s="37">
        <f t="shared" si="29"/>
        <v>8</v>
      </c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</row>
    <row r="70" spans="1:69" x14ac:dyDescent="0.2">
      <c r="A70" s="13" t="s">
        <v>70</v>
      </c>
      <c r="B70" s="1">
        <v>5722</v>
      </c>
      <c r="C70" s="1">
        <v>7786</v>
      </c>
      <c r="D70" s="1">
        <v>10259</v>
      </c>
      <c r="E70" s="1">
        <v>12961</v>
      </c>
      <c r="F70" s="1">
        <v>15628</v>
      </c>
      <c r="G70" s="1">
        <v>18180</v>
      </c>
      <c r="H70" s="1">
        <v>20915</v>
      </c>
      <c r="I70" s="1">
        <v>23165</v>
      </c>
      <c r="J70" s="1">
        <v>25775</v>
      </c>
      <c r="K70" s="1">
        <v>28621</v>
      </c>
      <c r="L70" s="1">
        <v>31174</v>
      </c>
      <c r="M70" s="1">
        <v>5150</v>
      </c>
      <c r="N70" s="1">
        <v>4787</v>
      </c>
      <c r="O70" s="1">
        <v>210121</v>
      </c>
      <c r="P70" s="1">
        <v>16163</v>
      </c>
      <c r="Q70" s="5" t="s">
        <v>133</v>
      </c>
      <c r="U70" s="3"/>
      <c r="V70" s="3"/>
      <c r="W70" s="18"/>
      <c r="X70" s="19">
        <f t="shared" si="30"/>
        <v>4787</v>
      </c>
      <c r="Y70" s="19">
        <f t="shared" ref="Y70:AJ70" si="34">X70</f>
        <v>4787</v>
      </c>
      <c r="Z70" s="19">
        <f t="shared" si="34"/>
        <v>4787</v>
      </c>
      <c r="AA70" s="19">
        <f t="shared" si="34"/>
        <v>4787</v>
      </c>
      <c r="AB70" s="19">
        <f t="shared" si="34"/>
        <v>4787</v>
      </c>
      <c r="AC70" s="19">
        <f t="shared" si="34"/>
        <v>4787</v>
      </c>
      <c r="AD70" s="19">
        <f t="shared" si="34"/>
        <v>4787</v>
      </c>
      <c r="AE70" s="19">
        <f t="shared" si="34"/>
        <v>4787</v>
      </c>
      <c r="AF70" s="19">
        <f t="shared" si="34"/>
        <v>4787</v>
      </c>
      <c r="AG70" s="19">
        <f t="shared" si="34"/>
        <v>4787</v>
      </c>
      <c r="AH70" s="19">
        <f t="shared" si="34"/>
        <v>4787</v>
      </c>
      <c r="AI70" s="19">
        <f t="shared" si="34"/>
        <v>4787</v>
      </c>
      <c r="AJ70" s="19">
        <f t="shared" si="34"/>
        <v>4787</v>
      </c>
      <c r="AK70" s="37">
        <f>SUM(X70:AJ70)</f>
        <v>62231</v>
      </c>
      <c r="AL70" s="37">
        <f t="shared" si="26"/>
        <v>4787</v>
      </c>
      <c r="AM70" s="19"/>
      <c r="AN70" s="18"/>
      <c r="AO70" s="19">
        <f t="shared" si="27"/>
        <v>4787</v>
      </c>
      <c r="AP70" s="19">
        <f t="shared" ref="AP70:BA70" si="35">AO70</f>
        <v>4787</v>
      </c>
      <c r="AQ70" s="19">
        <f t="shared" si="35"/>
        <v>4787</v>
      </c>
      <c r="AR70" s="19">
        <f t="shared" si="35"/>
        <v>4787</v>
      </c>
      <c r="AS70" s="19">
        <f t="shared" si="35"/>
        <v>4787</v>
      </c>
      <c r="AT70" s="19">
        <f t="shared" si="35"/>
        <v>4787</v>
      </c>
      <c r="AU70" s="19">
        <f t="shared" si="35"/>
        <v>4787</v>
      </c>
      <c r="AV70" s="19">
        <f t="shared" si="35"/>
        <v>4787</v>
      </c>
      <c r="AW70" s="19">
        <f t="shared" si="35"/>
        <v>4787</v>
      </c>
      <c r="AX70" s="19">
        <f t="shared" si="35"/>
        <v>4787</v>
      </c>
      <c r="AY70" s="19">
        <f t="shared" si="35"/>
        <v>4787</v>
      </c>
      <c r="AZ70" s="19">
        <f t="shared" si="35"/>
        <v>4787</v>
      </c>
      <c r="BA70" s="19">
        <f t="shared" si="35"/>
        <v>4787</v>
      </c>
      <c r="BB70" s="37">
        <f>SUM(AO70:BA70)</f>
        <v>62231</v>
      </c>
      <c r="BC70" s="37">
        <f t="shared" si="29"/>
        <v>4787</v>
      </c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</row>
    <row r="71" spans="1:69" x14ac:dyDescent="0.2">
      <c r="A71" s="13" t="s">
        <v>72</v>
      </c>
      <c r="B71" s="1">
        <v>679</v>
      </c>
      <c r="C71" s="1">
        <v>684</v>
      </c>
      <c r="D71" s="1">
        <v>690</v>
      </c>
      <c r="E71" s="1">
        <v>695</v>
      </c>
      <c r="F71" s="1">
        <v>700</v>
      </c>
      <c r="G71" s="1">
        <v>706</v>
      </c>
      <c r="H71" s="1">
        <v>711</v>
      </c>
      <c r="I71" s="1">
        <v>716</v>
      </c>
      <c r="J71" s="1">
        <v>722</v>
      </c>
      <c r="K71" s="1">
        <v>727</v>
      </c>
      <c r="L71" s="1">
        <v>733</v>
      </c>
      <c r="M71" s="1">
        <v>738</v>
      </c>
      <c r="N71" s="1">
        <v>743</v>
      </c>
      <c r="O71" s="1">
        <v>9243</v>
      </c>
      <c r="P71" s="1">
        <v>711</v>
      </c>
      <c r="Q71" s="5" t="s">
        <v>133</v>
      </c>
      <c r="U71" s="3"/>
      <c r="V71" s="3"/>
      <c r="W71" s="18"/>
      <c r="X71" s="19">
        <f t="shared" si="30"/>
        <v>743</v>
      </c>
      <c r="Y71" s="19">
        <v>4717.96</v>
      </c>
      <c r="Z71" s="19">
        <v>4723.3900000000003</v>
      </c>
      <c r="AA71" s="19">
        <v>4728.82</v>
      </c>
      <c r="AB71" s="19">
        <v>4734.24</v>
      </c>
      <c r="AC71" s="19">
        <v>4739.68</v>
      </c>
      <c r="AD71" s="19">
        <v>4745.13</v>
      </c>
      <c r="AE71" s="19">
        <v>4750.59</v>
      </c>
      <c r="AF71" s="19">
        <v>4756.05</v>
      </c>
      <c r="AG71" s="19">
        <v>4761.5200000000004</v>
      </c>
      <c r="AH71" s="19">
        <v>4767</v>
      </c>
      <c r="AI71" s="19">
        <v>4772.4800000000005</v>
      </c>
      <c r="AJ71" s="19">
        <v>4777.97</v>
      </c>
      <c r="AK71" s="37">
        <f>SUM(X71:AJ71)</f>
        <v>57717.830000000009</v>
      </c>
      <c r="AL71" s="37">
        <f t="shared" si="26"/>
        <v>4439.8330769230779</v>
      </c>
      <c r="AM71" s="19"/>
      <c r="AN71" s="18"/>
      <c r="AO71" s="19">
        <f t="shared" si="27"/>
        <v>4777.97</v>
      </c>
      <c r="AP71" s="19">
        <v>4783.46</v>
      </c>
      <c r="AQ71" s="19">
        <v>4788.96</v>
      </c>
      <c r="AR71" s="19">
        <v>4794.47</v>
      </c>
      <c r="AS71" s="19"/>
      <c r="AT71" s="19"/>
      <c r="AU71" s="19"/>
      <c r="AV71" s="19"/>
      <c r="AW71" s="19"/>
      <c r="AX71" s="19"/>
      <c r="AY71" s="19"/>
      <c r="AZ71" s="19"/>
      <c r="BA71" s="19"/>
      <c r="BB71" s="37">
        <f t="shared" si="33"/>
        <v>19144.86</v>
      </c>
      <c r="BC71" s="37">
        <f>BB71/13</f>
        <v>1472.6815384615386</v>
      </c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</row>
    <row r="72" spans="1:69" x14ac:dyDescent="0.2">
      <c r="B72" s="16" t="s">
        <v>27</v>
      </c>
      <c r="C72" s="16" t="s">
        <v>27</v>
      </c>
      <c r="D72" s="16" t="s">
        <v>27</v>
      </c>
      <c r="E72" s="16" t="s">
        <v>27</v>
      </c>
      <c r="F72" s="16" t="s">
        <v>27</v>
      </c>
      <c r="G72" s="16" t="s">
        <v>27</v>
      </c>
      <c r="H72" s="16" t="s">
        <v>27</v>
      </c>
      <c r="I72" s="16" t="s">
        <v>27</v>
      </c>
      <c r="J72" s="16" t="s">
        <v>27</v>
      </c>
      <c r="K72" s="16" t="s">
        <v>27</v>
      </c>
      <c r="L72" s="16" t="s">
        <v>27</v>
      </c>
      <c r="M72" s="16" t="s">
        <v>27</v>
      </c>
      <c r="N72" s="16" t="s">
        <v>27</v>
      </c>
      <c r="O72" s="16" t="s">
        <v>27</v>
      </c>
      <c r="P72" s="16" t="s">
        <v>27</v>
      </c>
    </row>
    <row r="73" spans="1:69" x14ac:dyDescent="0.2">
      <c r="A73" s="13" t="s">
        <v>73</v>
      </c>
      <c r="B73" s="1">
        <v>-94282</v>
      </c>
      <c r="C73" s="1">
        <v>-96230</v>
      </c>
      <c r="D73" s="1">
        <v>-100238</v>
      </c>
      <c r="E73" s="1">
        <v>-100273</v>
      </c>
      <c r="F73" s="1">
        <v>-97130</v>
      </c>
      <c r="G73" s="1">
        <v>-99420</v>
      </c>
      <c r="H73" s="1">
        <v>-103831</v>
      </c>
      <c r="I73" s="1">
        <v>-104873</v>
      </c>
      <c r="J73" s="1">
        <v>-106625</v>
      </c>
      <c r="K73" s="1">
        <v>-105680</v>
      </c>
      <c r="L73" s="1">
        <v>-106715</v>
      </c>
      <c r="M73" s="1">
        <v>-138009</v>
      </c>
      <c r="N73" s="1">
        <v>-140385</v>
      </c>
      <c r="O73" s="1">
        <v>-1393691</v>
      </c>
      <c r="P73" s="1">
        <v>-107207</v>
      </c>
    </row>
    <row r="74" spans="1:69" x14ac:dyDescent="0.2">
      <c r="B74" s="16" t="s">
        <v>27</v>
      </c>
      <c r="C74" s="16" t="s">
        <v>27</v>
      </c>
      <c r="D74" s="16" t="s">
        <v>27</v>
      </c>
      <c r="E74" s="16" t="s">
        <v>27</v>
      </c>
      <c r="F74" s="16" t="s">
        <v>27</v>
      </c>
      <c r="G74" s="16" t="s">
        <v>27</v>
      </c>
      <c r="H74" s="16" t="s">
        <v>27</v>
      </c>
      <c r="I74" s="16" t="s">
        <v>27</v>
      </c>
      <c r="J74" s="16" t="s">
        <v>27</v>
      </c>
      <c r="K74" s="16" t="s">
        <v>27</v>
      </c>
      <c r="L74" s="16" t="s">
        <v>27</v>
      </c>
      <c r="M74" s="16" t="s">
        <v>27</v>
      </c>
      <c r="N74" s="16" t="s">
        <v>27</v>
      </c>
      <c r="O74" s="16" t="s">
        <v>27</v>
      </c>
      <c r="P74" s="16" t="s">
        <v>27</v>
      </c>
    </row>
    <row r="75" spans="1:69" x14ac:dyDescent="0.2">
      <c r="A75" s="11" t="s">
        <v>74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69" x14ac:dyDescent="0.2">
      <c r="A76" s="13" t="s">
        <v>75</v>
      </c>
      <c r="B76" s="1">
        <v>2991</v>
      </c>
      <c r="C76" s="1">
        <v>4423</v>
      </c>
      <c r="D76" s="1">
        <v>5807</v>
      </c>
      <c r="E76" s="1">
        <v>4289</v>
      </c>
      <c r="F76" s="1">
        <v>4718</v>
      </c>
      <c r="G76" s="1">
        <v>4161</v>
      </c>
      <c r="H76" s="1">
        <v>5992</v>
      </c>
      <c r="I76" s="1">
        <v>6327</v>
      </c>
      <c r="J76" s="1">
        <v>4747</v>
      </c>
      <c r="K76" s="1">
        <v>6686</v>
      </c>
      <c r="L76" s="1">
        <v>7034</v>
      </c>
      <c r="M76" s="1">
        <v>6079</v>
      </c>
      <c r="N76" s="1">
        <v>6144</v>
      </c>
      <c r="O76" s="1">
        <v>69398</v>
      </c>
      <c r="P76" s="1">
        <v>5338</v>
      </c>
      <c r="Q76" s="5" t="s">
        <v>133</v>
      </c>
      <c r="X76" s="15">
        <f t="shared" ref="X76:X77" si="36">N76</f>
        <v>6144</v>
      </c>
      <c r="Y76" s="15">
        <v>7392</v>
      </c>
      <c r="Z76" s="15">
        <v>7234</v>
      </c>
      <c r="AA76" s="15">
        <v>6876</v>
      </c>
      <c r="AB76" s="15">
        <v>6505</v>
      </c>
      <c r="AC76" s="15">
        <v>5560</v>
      </c>
      <c r="AD76" s="15">
        <v>4290</v>
      </c>
      <c r="AE76" s="15">
        <v>3516</v>
      </c>
      <c r="AF76" s="15">
        <v>2742</v>
      </c>
      <c r="AG76" s="15">
        <v>1968</v>
      </c>
      <c r="AH76" s="15">
        <v>1194</v>
      </c>
      <c r="AI76" s="15">
        <v>419</v>
      </c>
      <c r="AJ76" s="15">
        <v>0</v>
      </c>
      <c r="AK76" s="15">
        <f>SUM(X76:AJ76)</f>
        <v>53840</v>
      </c>
      <c r="AL76" s="15">
        <f>AK76/13</f>
        <v>4141.5384615384619</v>
      </c>
      <c r="AM76" s="15"/>
      <c r="AO76" s="15">
        <f>AJ76</f>
        <v>0</v>
      </c>
      <c r="AP76" s="15">
        <f t="shared" ref="AP76:BA76" si="37">AO76</f>
        <v>0</v>
      </c>
      <c r="AQ76" s="15">
        <f t="shared" si="37"/>
        <v>0</v>
      </c>
      <c r="AR76" s="15">
        <f t="shared" si="37"/>
        <v>0</v>
      </c>
      <c r="AS76" s="15">
        <f t="shared" si="37"/>
        <v>0</v>
      </c>
      <c r="AT76" s="15">
        <f t="shared" si="37"/>
        <v>0</v>
      </c>
      <c r="AU76" s="15">
        <f t="shared" si="37"/>
        <v>0</v>
      </c>
      <c r="AV76" s="15">
        <f t="shared" si="37"/>
        <v>0</v>
      </c>
      <c r="AW76" s="15">
        <f t="shared" si="37"/>
        <v>0</v>
      </c>
      <c r="AX76" s="15">
        <f t="shared" si="37"/>
        <v>0</v>
      </c>
      <c r="AY76" s="15">
        <f t="shared" si="37"/>
        <v>0</v>
      </c>
      <c r="AZ76" s="15">
        <f t="shared" si="37"/>
        <v>0</v>
      </c>
      <c r="BA76" s="15">
        <f t="shared" si="37"/>
        <v>0</v>
      </c>
      <c r="BB76" s="15">
        <f t="shared" ref="BB76:BB78" si="38">SUM(AO76:BA76)</f>
        <v>0</v>
      </c>
      <c r="BC76" s="15">
        <f t="shared" ref="BC76:BC80" si="39">BB76/13</f>
        <v>0</v>
      </c>
      <c r="BD76" s="15"/>
    </row>
    <row r="77" spans="1:69" x14ac:dyDescent="0.2">
      <c r="A77" s="13" t="s">
        <v>76</v>
      </c>
      <c r="B77" s="1">
        <v>213419</v>
      </c>
      <c r="C77" s="1">
        <v>212989</v>
      </c>
      <c r="D77" s="1">
        <v>212559</v>
      </c>
      <c r="E77" s="1">
        <v>212129</v>
      </c>
      <c r="F77" s="1">
        <v>211699</v>
      </c>
      <c r="G77" s="1">
        <v>211270</v>
      </c>
      <c r="H77" s="1">
        <v>210840</v>
      </c>
      <c r="I77" s="1">
        <v>210410</v>
      </c>
      <c r="J77" s="1">
        <v>209980</v>
      </c>
      <c r="K77" s="1">
        <v>198944</v>
      </c>
      <c r="L77" s="1">
        <v>198514</v>
      </c>
      <c r="M77" s="1">
        <v>198084</v>
      </c>
      <c r="N77" s="1">
        <v>197654</v>
      </c>
      <c r="O77" s="1">
        <v>2698488</v>
      </c>
      <c r="P77" s="1">
        <v>207576</v>
      </c>
      <c r="Q77" s="5" t="s">
        <v>133</v>
      </c>
      <c r="X77" s="15">
        <f t="shared" si="36"/>
        <v>197654</v>
      </c>
      <c r="Y77" s="15">
        <v>197211.58333333331</v>
      </c>
      <c r="Z77" s="15">
        <v>196828.5</v>
      </c>
      <c r="AA77" s="15">
        <v>196445.41666666666</v>
      </c>
      <c r="AB77" s="15">
        <v>196062.33333333331</v>
      </c>
      <c r="AC77" s="15">
        <v>195679.25</v>
      </c>
      <c r="AD77" s="15">
        <v>195296.16666666666</v>
      </c>
      <c r="AE77" s="15">
        <v>194913.08333333331</v>
      </c>
      <c r="AF77" s="15">
        <v>194530</v>
      </c>
      <c r="AG77" s="15">
        <v>194146.91666666666</v>
      </c>
      <c r="AH77" s="15">
        <v>193763.83333333331</v>
      </c>
      <c r="AI77" s="15">
        <v>193380.75</v>
      </c>
      <c r="AJ77" s="15">
        <v>192997.66666666666</v>
      </c>
      <c r="AK77" s="15">
        <f>SUM(X77:AJ77)</f>
        <v>2538909.5</v>
      </c>
      <c r="AL77" s="15">
        <f>AK77/13</f>
        <v>195300.73076923078</v>
      </c>
      <c r="AM77" s="15"/>
      <c r="AO77" s="15">
        <f>AJ77</f>
        <v>192997.66666666666</v>
      </c>
      <c r="AP77" s="15">
        <v>192614.58333333331</v>
      </c>
      <c r="AQ77" s="15">
        <v>192231.5</v>
      </c>
      <c r="AR77" s="15">
        <v>191848.41666666666</v>
      </c>
      <c r="AS77" s="15">
        <v>191465.33333333331</v>
      </c>
      <c r="AT77" s="15">
        <v>191082.25</v>
      </c>
      <c r="AU77" s="15">
        <v>190699.16666666666</v>
      </c>
      <c r="AV77" s="15">
        <v>190316.08333333334</v>
      </c>
      <c r="AW77" s="15">
        <v>189933</v>
      </c>
      <c r="AX77" s="15">
        <v>189549.91666666666</v>
      </c>
      <c r="AY77" s="15">
        <v>189166.83333333334</v>
      </c>
      <c r="AZ77" s="15">
        <v>188783.75</v>
      </c>
      <c r="BA77" s="15">
        <v>188400.66666666666</v>
      </c>
      <c r="BB77" s="15">
        <f t="shared" si="38"/>
        <v>2479089.1666666665</v>
      </c>
      <c r="BC77" s="15">
        <f t="shared" si="39"/>
        <v>190699.16666666666</v>
      </c>
      <c r="BD77" s="15"/>
    </row>
    <row r="78" spans="1:69" x14ac:dyDescent="0.2">
      <c r="A78" s="13" t="s">
        <v>77</v>
      </c>
      <c r="B78" s="1">
        <v>231192</v>
      </c>
      <c r="C78" s="1">
        <v>231331</v>
      </c>
      <c r="D78" s="1">
        <v>231470</v>
      </c>
      <c r="E78" s="1">
        <v>231715</v>
      </c>
      <c r="F78" s="1">
        <v>231853</v>
      </c>
      <c r="G78" s="1">
        <v>231992</v>
      </c>
      <c r="H78" s="1">
        <v>232237</v>
      </c>
      <c r="I78" s="1">
        <v>232376</v>
      </c>
      <c r="J78" s="1">
        <v>232515</v>
      </c>
      <c r="K78" s="1">
        <v>230799</v>
      </c>
      <c r="L78" s="1">
        <v>230938</v>
      </c>
      <c r="M78" s="1">
        <v>231077</v>
      </c>
      <c r="N78" s="1">
        <v>234150</v>
      </c>
      <c r="O78" s="1">
        <v>3013645</v>
      </c>
      <c r="P78" s="1">
        <v>231819</v>
      </c>
      <c r="Q78" s="5" t="s">
        <v>144</v>
      </c>
      <c r="X78" s="15">
        <f>N117</f>
        <v>237828</v>
      </c>
      <c r="Y78" s="15">
        <v>237557.55</v>
      </c>
      <c r="Z78" s="15">
        <v>237287.55</v>
      </c>
      <c r="AA78" s="15">
        <v>237017.55</v>
      </c>
      <c r="AB78" s="15">
        <v>236747.55</v>
      </c>
      <c r="AC78" s="15">
        <v>236477.55</v>
      </c>
      <c r="AD78" s="15">
        <v>236207.55</v>
      </c>
      <c r="AE78" s="15">
        <v>235937.55</v>
      </c>
      <c r="AF78" s="15">
        <v>235667.55</v>
      </c>
      <c r="AG78" s="15">
        <v>235397.55</v>
      </c>
      <c r="AH78" s="15">
        <v>235127.55</v>
      </c>
      <c r="AI78" s="15">
        <v>234857.55</v>
      </c>
      <c r="AJ78" s="15">
        <v>234587.55</v>
      </c>
      <c r="AK78" s="15">
        <f>SUM(X78:AJ78)</f>
        <v>3070698.5999999992</v>
      </c>
      <c r="AL78" s="15">
        <f>AK78/13</f>
        <v>236207.58461538455</v>
      </c>
      <c r="AM78" s="15"/>
      <c r="AO78" s="15">
        <f>AJ78</f>
        <v>234587.55</v>
      </c>
      <c r="AP78" s="15">
        <v>235021.55</v>
      </c>
      <c r="AQ78" s="15">
        <v>235455.55</v>
      </c>
      <c r="AR78" s="15">
        <v>235889.55</v>
      </c>
      <c r="AS78" s="15">
        <v>236323.55</v>
      </c>
      <c r="AT78" s="15">
        <v>236757.55</v>
      </c>
      <c r="AU78" s="15">
        <v>237191.55</v>
      </c>
      <c r="AV78" s="15">
        <v>237625.55</v>
      </c>
      <c r="AW78" s="15">
        <v>238059.55</v>
      </c>
      <c r="AX78" s="15">
        <v>238493.55</v>
      </c>
      <c r="AY78" s="15">
        <v>238927.55</v>
      </c>
      <c r="AZ78" s="15">
        <v>239361.55</v>
      </c>
      <c r="BA78" s="15">
        <v>239795.55</v>
      </c>
      <c r="BB78" s="15">
        <f t="shared" si="38"/>
        <v>3083490.1499999994</v>
      </c>
      <c r="BC78" s="15">
        <f t="shared" si="39"/>
        <v>237191.54999999996</v>
      </c>
      <c r="BD78" s="15"/>
    </row>
    <row r="79" spans="1:69" x14ac:dyDescent="0.2">
      <c r="A79" s="13" t="s">
        <v>78</v>
      </c>
      <c r="B79" s="1">
        <v>-576</v>
      </c>
      <c r="C79" s="1">
        <v>-576</v>
      </c>
      <c r="D79" s="1">
        <v>-576</v>
      </c>
      <c r="E79" s="1">
        <v>-2034</v>
      </c>
      <c r="F79" s="1">
        <v>-2034</v>
      </c>
      <c r="G79" s="1">
        <v>-2034</v>
      </c>
      <c r="H79" s="1">
        <v>93</v>
      </c>
      <c r="I79" s="1">
        <v>93</v>
      </c>
      <c r="J79" s="1">
        <v>93</v>
      </c>
      <c r="K79" s="1">
        <v>3116</v>
      </c>
      <c r="L79" s="1">
        <v>3116</v>
      </c>
      <c r="M79" s="1">
        <v>3116</v>
      </c>
      <c r="N79" s="1">
        <v>3678</v>
      </c>
      <c r="O79" s="1">
        <v>5474</v>
      </c>
      <c r="P79" s="1">
        <v>421</v>
      </c>
      <c r="Q79" s="5" t="s">
        <v>144</v>
      </c>
      <c r="R79" s="15"/>
      <c r="S79" s="5" t="s">
        <v>133</v>
      </c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>
        <f t="shared" si="39"/>
        <v>0</v>
      </c>
    </row>
    <row r="80" spans="1:69" x14ac:dyDescent="0.2">
      <c r="B80" s="16" t="s">
        <v>27</v>
      </c>
      <c r="C80" s="16" t="s">
        <v>27</v>
      </c>
      <c r="D80" s="16" t="s">
        <v>27</v>
      </c>
      <c r="E80" s="16" t="s">
        <v>27</v>
      </c>
      <c r="F80" s="16" t="s">
        <v>27</v>
      </c>
      <c r="G80" s="16" t="s">
        <v>27</v>
      </c>
      <c r="H80" s="16" t="s">
        <v>27</v>
      </c>
      <c r="I80" s="16" t="s">
        <v>27</v>
      </c>
      <c r="J80" s="16" t="s">
        <v>27</v>
      </c>
      <c r="K80" s="16" t="s">
        <v>27</v>
      </c>
      <c r="L80" s="16" t="s">
        <v>27</v>
      </c>
      <c r="M80" s="16" t="s">
        <v>27</v>
      </c>
      <c r="N80" s="16" t="s">
        <v>27</v>
      </c>
      <c r="O80" s="16" t="s">
        <v>27</v>
      </c>
      <c r="P80" s="16" t="s">
        <v>27</v>
      </c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>
        <f t="shared" si="39"/>
        <v>0</v>
      </c>
    </row>
    <row r="81" spans="1:55" x14ac:dyDescent="0.2">
      <c r="A81" s="13" t="s">
        <v>79</v>
      </c>
      <c r="B81" s="1">
        <v>447026</v>
      </c>
      <c r="C81" s="1">
        <v>448167</v>
      </c>
      <c r="D81" s="1">
        <v>449260</v>
      </c>
      <c r="E81" s="1">
        <v>446099</v>
      </c>
      <c r="F81" s="1">
        <v>446237</v>
      </c>
      <c r="G81" s="1">
        <v>445389</v>
      </c>
      <c r="H81" s="1">
        <v>449162</v>
      </c>
      <c r="I81" s="1">
        <v>449206</v>
      </c>
      <c r="J81" s="1">
        <v>447335</v>
      </c>
      <c r="K81" s="1">
        <v>439543</v>
      </c>
      <c r="L81" s="1">
        <v>439601</v>
      </c>
      <c r="M81" s="1">
        <v>438355</v>
      </c>
      <c r="N81" s="1">
        <v>441625</v>
      </c>
      <c r="O81" s="1">
        <v>5787006</v>
      </c>
      <c r="P81" s="1">
        <v>445154</v>
      </c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</row>
    <row r="82" spans="1:55" x14ac:dyDescent="0.2">
      <c r="B82" s="16" t="s">
        <v>27</v>
      </c>
      <c r="C82" s="16" t="s">
        <v>27</v>
      </c>
      <c r="D82" s="16" t="s">
        <v>27</v>
      </c>
      <c r="E82" s="16" t="s">
        <v>27</v>
      </c>
      <c r="F82" s="16" t="s">
        <v>27</v>
      </c>
      <c r="G82" s="16" t="s">
        <v>27</v>
      </c>
      <c r="H82" s="16" t="s">
        <v>27</v>
      </c>
      <c r="I82" s="16" t="s">
        <v>27</v>
      </c>
      <c r="J82" s="16" t="s">
        <v>27</v>
      </c>
      <c r="K82" s="16" t="s">
        <v>27</v>
      </c>
      <c r="L82" s="16" t="s">
        <v>27</v>
      </c>
      <c r="M82" s="16" t="s">
        <v>27</v>
      </c>
      <c r="N82" s="16" t="s">
        <v>27</v>
      </c>
      <c r="O82" s="16" t="s">
        <v>27</v>
      </c>
      <c r="P82" s="16" t="s">
        <v>27</v>
      </c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</row>
    <row r="84" spans="1:55" ht="15.75" x14ac:dyDescent="0.25">
      <c r="A84" s="22" t="s">
        <v>80</v>
      </c>
      <c r="B84" s="23">
        <v>125837</v>
      </c>
      <c r="C84" s="23">
        <v>112235</v>
      </c>
      <c r="D84" s="23">
        <v>88168</v>
      </c>
      <c r="E84" s="23">
        <v>72224</v>
      </c>
      <c r="F84" s="23">
        <v>58065</v>
      </c>
      <c r="G84" s="23">
        <v>38855</v>
      </c>
      <c r="H84" s="23">
        <v>24290</v>
      </c>
      <c r="I84" s="23">
        <v>11808</v>
      </c>
      <c r="J84" s="23">
        <v>-3164</v>
      </c>
      <c r="K84" s="23">
        <v>-17569</v>
      </c>
      <c r="L84" s="23">
        <v>-30836</v>
      </c>
      <c r="M84" s="23">
        <v>-76704</v>
      </c>
      <c r="N84" s="23">
        <v>-84928</v>
      </c>
      <c r="O84" s="23">
        <v>318282</v>
      </c>
      <c r="P84" s="23">
        <v>24483</v>
      </c>
    </row>
    <row r="85" spans="1:55" x14ac:dyDescent="0.2">
      <c r="B85" s="16" t="s">
        <v>50</v>
      </c>
      <c r="C85" s="16" t="s">
        <v>50</v>
      </c>
      <c r="D85" s="16" t="s">
        <v>50</v>
      </c>
      <c r="E85" s="16" t="s">
        <v>50</v>
      </c>
      <c r="F85" s="16" t="s">
        <v>50</v>
      </c>
      <c r="G85" s="16" t="s">
        <v>50</v>
      </c>
      <c r="H85" s="16" t="s">
        <v>50</v>
      </c>
      <c r="I85" s="16" t="s">
        <v>50</v>
      </c>
      <c r="J85" s="16" t="s">
        <v>50</v>
      </c>
      <c r="K85" s="16" t="s">
        <v>50</v>
      </c>
      <c r="L85" s="16" t="s">
        <v>50</v>
      </c>
      <c r="M85" s="16" t="s">
        <v>50</v>
      </c>
      <c r="N85" s="16" t="s">
        <v>50</v>
      </c>
      <c r="O85" s="16" t="s">
        <v>50</v>
      </c>
      <c r="P85" s="16" t="s">
        <v>50</v>
      </c>
    </row>
    <row r="86" spans="1:55" x14ac:dyDescent="0.2">
      <c r="A86" s="13" t="s">
        <v>81</v>
      </c>
    </row>
    <row r="87" spans="1:55" x14ac:dyDescent="0.2">
      <c r="A87" s="13" t="s">
        <v>82</v>
      </c>
      <c r="B87" s="1">
        <v>13333</v>
      </c>
      <c r="C87" s="1">
        <v>13333</v>
      </c>
      <c r="D87" s="1">
        <v>13333</v>
      </c>
      <c r="E87" s="1">
        <v>13333</v>
      </c>
      <c r="F87" s="1">
        <v>13333</v>
      </c>
      <c r="G87" s="1">
        <v>13333</v>
      </c>
      <c r="H87" s="1">
        <v>13333</v>
      </c>
      <c r="I87" s="1">
        <v>13333</v>
      </c>
      <c r="J87" s="1">
        <v>13333</v>
      </c>
      <c r="K87" s="1">
        <v>13333</v>
      </c>
      <c r="L87" s="1">
        <v>13333</v>
      </c>
      <c r="M87" s="1">
        <v>13333</v>
      </c>
      <c r="N87" s="1">
        <v>13333</v>
      </c>
      <c r="O87" s="1">
        <v>173323</v>
      </c>
      <c r="P87" s="1">
        <v>13333</v>
      </c>
    </row>
    <row r="88" spans="1:55" x14ac:dyDescent="0.2">
      <c r="B88" s="16" t="s">
        <v>27</v>
      </c>
      <c r="C88" s="16" t="s">
        <v>27</v>
      </c>
      <c r="D88" s="16" t="s">
        <v>27</v>
      </c>
      <c r="E88" s="16" t="s">
        <v>27</v>
      </c>
      <c r="F88" s="16" t="s">
        <v>27</v>
      </c>
      <c r="G88" s="16" t="s">
        <v>27</v>
      </c>
      <c r="H88" s="16" t="s">
        <v>27</v>
      </c>
      <c r="I88" s="16" t="s">
        <v>27</v>
      </c>
      <c r="J88" s="16" t="s">
        <v>27</v>
      </c>
      <c r="K88" s="16" t="s">
        <v>27</v>
      </c>
      <c r="L88" s="16" t="s">
        <v>27</v>
      </c>
      <c r="M88" s="16" t="s">
        <v>27</v>
      </c>
      <c r="N88" s="16" t="s">
        <v>27</v>
      </c>
      <c r="O88" s="16" t="s">
        <v>27</v>
      </c>
      <c r="P88" s="16" t="s">
        <v>27</v>
      </c>
    </row>
    <row r="89" spans="1:55" x14ac:dyDescent="0.2">
      <c r="A89" s="13" t="s">
        <v>83</v>
      </c>
      <c r="B89" s="1">
        <v>13333</v>
      </c>
      <c r="C89" s="1">
        <v>13333</v>
      </c>
      <c r="D89" s="1">
        <v>13333</v>
      </c>
      <c r="E89" s="1">
        <v>13333</v>
      </c>
      <c r="F89" s="1">
        <v>13333</v>
      </c>
      <c r="G89" s="1">
        <v>13333</v>
      </c>
      <c r="H89" s="1">
        <v>13333</v>
      </c>
      <c r="I89" s="1">
        <v>13333</v>
      </c>
      <c r="J89" s="1">
        <v>13333</v>
      </c>
      <c r="K89" s="1">
        <v>13333</v>
      </c>
      <c r="L89" s="1">
        <v>13333</v>
      </c>
      <c r="M89" s="1">
        <v>13333</v>
      </c>
      <c r="N89" s="1">
        <v>13333</v>
      </c>
      <c r="O89" s="1">
        <v>173323</v>
      </c>
      <c r="P89" s="1">
        <v>13333</v>
      </c>
    </row>
    <row r="90" spans="1:55" x14ac:dyDescent="0.2">
      <c r="B90" s="16" t="s">
        <v>50</v>
      </c>
      <c r="C90" s="16" t="s">
        <v>50</v>
      </c>
      <c r="D90" s="16" t="s">
        <v>50</v>
      </c>
      <c r="E90" s="16" t="s">
        <v>50</v>
      </c>
      <c r="F90" s="16" t="s">
        <v>50</v>
      </c>
      <c r="G90" s="16" t="s">
        <v>50</v>
      </c>
      <c r="H90" s="16" t="s">
        <v>50</v>
      </c>
      <c r="I90" s="16" t="s">
        <v>50</v>
      </c>
      <c r="J90" s="16" t="s">
        <v>50</v>
      </c>
      <c r="K90" s="16" t="s">
        <v>50</v>
      </c>
      <c r="L90" s="16" t="s">
        <v>50</v>
      </c>
      <c r="M90" s="16" t="s">
        <v>50</v>
      </c>
      <c r="N90" s="16" t="s">
        <v>50</v>
      </c>
      <c r="O90" s="16" t="s">
        <v>50</v>
      </c>
      <c r="P90" s="16" t="s">
        <v>50</v>
      </c>
    </row>
    <row r="91" spans="1:55" x14ac:dyDescent="0.2">
      <c r="A91" s="13" t="s">
        <v>84</v>
      </c>
      <c r="B91" s="1">
        <v>-2310</v>
      </c>
      <c r="C91" s="1">
        <v>-2694</v>
      </c>
      <c r="D91" s="1">
        <v>-3078</v>
      </c>
      <c r="E91" s="1">
        <v>-3462</v>
      </c>
      <c r="F91" s="1">
        <v>-3845</v>
      </c>
      <c r="G91" s="1">
        <v>-4234</v>
      </c>
      <c r="H91" s="1">
        <v>-4624</v>
      </c>
      <c r="I91" s="1">
        <v>-5013</v>
      </c>
      <c r="J91" s="1">
        <v>-5402</v>
      </c>
      <c r="K91" s="1">
        <v>-5791</v>
      </c>
      <c r="L91" s="1">
        <v>-6180</v>
      </c>
      <c r="M91" s="1">
        <v>-6569</v>
      </c>
      <c r="N91" s="1">
        <v>-6958</v>
      </c>
      <c r="O91" s="1">
        <v>-60161</v>
      </c>
      <c r="P91" s="1">
        <v>-4628</v>
      </c>
    </row>
    <row r="96" spans="1:55" x14ac:dyDescent="0.2">
      <c r="A96" s="13" t="s">
        <v>51</v>
      </c>
      <c r="P96" s="24" t="s">
        <v>52</v>
      </c>
    </row>
    <row r="97" spans="1:256" x14ac:dyDescent="0.2">
      <c r="A97" s="13" t="s">
        <v>53</v>
      </c>
      <c r="P97" s="24" t="s">
        <v>54</v>
      </c>
    </row>
    <row r="99" spans="1:256" x14ac:dyDescent="0.2">
      <c r="A99" s="31" t="s">
        <v>101</v>
      </c>
      <c r="B99" s="1">
        <f>+B12+B14</f>
        <v>2816732</v>
      </c>
      <c r="C99" s="1">
        <f t="shared" ref="C99:N99" si="40">+C12+C14</f>
        <v>2816764</v>
      </c>
      <c r="D99" s="1">
        <f t="shared" si="40"/>
        <v>2816942</v>
      </c>
      <c r="E99" s="1">
        <f t="shared" si="40"/>
        <v>2799033</v>
      </c>
      <c r="F99" s="1">
        <f t="shared" si="40"/>
        <v>2799207</v>
      </c>
      <c r="G99" s="1">
        <f t="shared" si="40"/>
        <v>2799271</v>
      </c>
      <c r="H99" s="1">
        <f t="shared" si="40"/>
        <v>2800265</v>
      </c>
      <c r="I99" s="1">
        <f t="shared" si="40"/>
        <v>2800265</v>
      </c>
      <c r="J99" s="1">
        <f t="shared" si="40"/>
        <v>2800265</v>
      </c>
      <c r="K99" s="1">
        <f t="shared" si="40"/>
        <v>2800266</v>
      </c>
      <c r="L99" s="1">
        <f t="shared" si="40"/>
        <v>2806658</v>
      </c>
      <c r="M99" s="1">
        <f t="shared" si="40"/>
        <v>2807409</v>
      </c>
      <c r="N99" s="1">
        <f t="shared" si="40"/>
        <v>2807410</v>
      </c>
      <c r="O99" s="1">
        <f t="shared" ref="O99:P99" si="41">+O12+O14</f>
        <v>36470485</v>
      </c>
      <c r="P99" s="1">
        <f t="shared" si="41"/>
        <v>2805422</v>
      </c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</row>
    <row r="100" spans="1:256" x14ac:dyDescent="0.2">
      <c r="A100" s="31" t="s">
        <v>102</v>
      </c>
      <c r="B100" s="1">
        <f>+SUM(B78:B79)</f>
        <v>230616</v>
      </c>
      <c r="C100" s="1">
        <f t="shared" ref="C100:N100" si="42">+SUM(C78:C79)</f>
        <v>230755</v>
      </c>
      <c r="D100" s="1">
        <f t="shared" si="42"/>
        <v>230894</v>
      </c>
      <c r="E100" s="1">
        <f t="shared" si="42"/>
        <v>229681</v>
      </c>
      <c r="F100" s="1">
        <f t="shared" si="42"/>
        <v>229819</v>
      </c>
      <c r="G100" s="1">
        <f t="shared" si="42"/>
        <v>229958</v>
      </c>
      <c r="H100" s="1">
        <f t="shared" si="42"/>
        <v>232330</v>
      </c>
      <c r="I100" s="1">
        <f t="shared" si="42"/>
        <v>232469</v>
      </c>
      <c r="J100" s="1">
        <f t="shared" si="42"/>
        <v>232608</v>
      </c>
      <c r="K100" s="1">
        <f t="shared" si="42"/>
        <v>233915</v>
      </c>
      <c r="L100" s="1">
        <f t="shared" si="42"/>
        <v>234054</v>
      </c>
      <c r="M100" s="1">
        <f t="shared" si="42"/>
        <v>234193</v>
      </c>
      <c r="N100" s="1">
        <f t="shared" si="42"/>
        <v>237828</v>
      </c>
      <c r="O100" s="1">
        <f t="shared" ref="O100:P100" si="43">+SUM(O78:O79)</f>
        <v>3019119</v>
      </c>
      <c r="P100" s="1">
        <f t="shared" si="43"/>
        <v>232240</v>
      </c>
      <c r="Q100" s="5" t="s">
        <v>143</v>
      </c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</row>
    <row r="103" spans="1:256" x14ac:dyDescent="0.2">
      <c r="A103" s="5" t="str">
        <f>+A16</f>
        <v xml:space="preserve">  108 - Accumulated depr &amp; amort</v>
      </c>
      <c r="B103" s="19">
        <f t="shared" ref="B103:P103" si="44">+B16</f>
        <v>-1166496</v>
      </c>
      <c r="C103" s="19">
        <f t="shared" si="44"/>
        <v>-1173579</v>
      </c>
      <c r="D103" s="19">
        <f t="shared" si="44"/>
        <v>-1180646</v>
      </c>
      <c r="E103" s="19">
        <f t="shared" si="44"/>
        <v>-1169591</v>
      </c>
      <c r="F103" s="19">
        <f t="shared" si="44"/>
        <v>-1176632</v>
      </c>
      <c r="G103" s="19">
        <f t="shared" si="44"/>
        <v>-1183676</v>
      </c>
      <c r="H103" s="19">
        <f t="shared" si="44"/>
        <v>-1190485</v>
      </c>
      <c r="I103" s="19">
        <f t="shared" si="44"/>
        <v>-1197351</v>
      </c>
      <c r="J103" s="19">
        <f t="shared" si="44"/>
        <v>-1204218</v>
      </c>
      <c r="K103" s="19">
        <f t="shared" si="44"/>
        <v>-1211030</v>
      </c>
      <c r="L103" s="19">
        <f t="shared" si="44"/>
        <v>-1217841</v>
      </c>
      <c r="M103" s="19">
        <f t="shared" si="44"/>
        <v>-1224614</v>
      </c>
      <c r="N103" s="19">
        <f t="shared" si="44"/>
        <v>-1231495</v>
      </c>
      <c r="O103" s="19">
        <f t="shared" si="44"/>
        <v>-15527654</v>
      </c>
      <c r="P103" s="19">
        <f t="shared" si="44"/>
        <v>-1194435</v>
      </c>
    </row>
    <row r="104" spans="1:256" x14ac:dyDescent="0.2">
      <c r="A104" s="5" t="str">
        <f>+A91</f>
        <v xml:space="preserve">  Lease amort in 108</v>
      </c>
      <c r="B104" s="19">
        <f t="shared" ref="B104:P104" si="45">+B91</f>
        <v>-2310</v>
      </c>
      <c r="C104" s="19">
        <f t="shared" si="45"/>
        <v>-2694</v>
      </c>
      <c r="D104" s="19">
        <f t="shared" si="45"/>
        <v>-3078</v>
      </c>
      <c r="E104" s="19">
        <f t="shared" si="45"/>
        <v>-3462</v>
      </c>
      <c r="F104" s="19">
        <f t="shared" si="45"/>
        <v>-3845</v>
      </c>
      <c r="G104" s="19">
        <f t="shared" si="45"/>
        <v>-4234</v>
      </c>
      <c r="H104" s="19">
        <f t="shared" si="45"/>
        <v>-4624</v>
      </c>
      <c r="I104" s="19">
        <f t="shared" si="45"/>
        <v>-5013</v>
      </c>
      <c r="J104" s="19">
        <f t="shared" si="45"/>
        <v>-5402</v>
      </c>
      <c r="K104" s="19">
        <f t="shared" si="45"/>
        <v>-5791</v>
      </c>
      <c r="L104" s="19">
        <f t="shared" si="45"/>
        <v>-6180</v>
      </c>
      <c r="M104" s="19">
        <f t="shared" si="45"/>
        <v>-6569</v>
      </c>
      <c r="N104" s="19">
        <f t="shared" si="45"/>
        <v>-6958</v>
      </c>
      <c r="O104" s="19">
        <f t="shared" si="45"/>
        <v>-60161</v>
      </c>
      <c r="P104" s="19">
        <f t="shared" si="45"/>
        <v>-4628</v>
      </c>
    </row>
    <row r="105" spans="1:256" ht="13.5" thickBot="1" x14ac:dyDescent="0.25">
      <c r="B105" s="35">
        <f>+B103-B104</f>
        <v>-1164186</v>
      </c>
      <c r="C105" s="35">
        <f t="shared" ref="C105:P105" si="46">+C103-C104</f>
        <v>-1170885</v>
      </c>
      <c r="D105" s="35">
        <f t="shared" si="46"/>
        <v>-1177568</v>
      </c>
      <c r="E105" s="35">
        <f t="shared" si="46"/>
        <v>-1166129</v>
      </c>
      <c r="F105" s="35">
        <f t="shared" si="46"/>
        <v>-1172787</v>
      </c>
      <c r="G105" s="35">
        <f t="shared" si="46"/>
        <v>-1179442</v>
      </c>
      <c r="H105" s="35">
        <f t="shared" si="46"/>
        <v>-1185861</v>
      </c>
      <c r="I105" s="35">
        <f t="shared" si="46"/>
        <v>-1192338</v>
      </c>
      <c r="J105" s="35">
        <f t="shared" si="46"/>
        <v>-1198816</v>
      </c>
      <c r="K105" s="35">
        <f t="shared" si="46"/>
        <v>-1205239</v>
      </c>
      <c r="L105" s="35">
        <f t="shared" si="46"/>
        <v>-1211661</v>
      </c>
      <c r="M105" s="35">
        <f t="shared" si="46"/>
        <v>-1218045</v>
      </c>
      <c r="N105" s="35">
        <f t="shared" si="46"/>
        <v>-1224537</v>
      </c>
      <c r="O105" s="35">
        <f t="shared" si="46"/>
        <v>-15467493</v>
      </c>
      <c r="P105" s="35">
        <f t="shared" si="46"/>
        <v>-1189807</v>
      </c>
      <c r="Q105" s="5" t="s">
        <v>142</v>
      </c>
    </row>
    <row r="106" spans="1:256" ht="13.5" thickTop="1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1:256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1:256" x14ac:dyDescent="0.2">
      <c r="A108" s="5" t="s">
        <v>140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1:256" x14ac:dyDescent="0.2">
      <c r="A109" s="5" t="str">
        <f>+A13</f>
        <v xml:space="preserve">  101.1 - Property under capital leases</v>
      </c>
      <c r="B109" s="19">
        <f t="shared" ref="B109:P109" si="47">+B13</f>
        <v>13333</v>
      </c>
      <c r="C109" s="19">
        <f t="shared" si="47"/>
        <v>13333</v>
      </c>
      <c r="D109" s="19">
        <f t="shared" si="47"/>
        <v>13333</v>
      </c>
      <c r="E109" s="19">
        <f t="shared" si="47"/>
        <v>13333</v>
      </c>
      <c r="F109" s="19">
        <f t="shared" si="47"/>
        <v>13333</v>
      </c>
      <c r="G109" s="19">
        <f t="shared" si="47"/>
        <v>13333</v>
      </c>
      <c r="H109" s="19">
        <f t="shared" si="47"/>
        <v>13333</v>
      </c>
      <c r="I109" s="19">
        <f t="shared" si="47"/>
        <v>13333</v>
      </c>
      <c r="J109" s="19">
        <f t="shared" si="47"/>
        <v>13333</v>
      </c>
      <c r="K109" s="19">
        <f t="shared" si="47"/>
        <v>13333</v>
      </c>
      <c r="L109" s="19">
        <f t="shared" si="47"/>
        <v>13333</v>
      </c>
      <c r="M109" s="19">
        <f t="shared" si="47"/>
        <v>13333</v>
      </c>
      <c r="N109" s="19">
        <f t="shared" si="47"/>
        <v>13333</v>
      </c>
      <c r="O109" s="19">
        <f t="shared" si="47"/>
        <v>173323</v>
      </c>
      <c r="P109" s="19">
        <f t="shared" si="47"/>
        <v>13333</v>
      </c>
    </row>
    <row r="110" spans="1:256" x14ac:dyDescent="0.2">
      <c r="A110" s="5" t="str">
        <f>+A91</f>
        <v xml:space="preserve">  Lease amort in 108</v>
      </c>
      <c r="B110" s="19">
        <f>+B91</f>
        <v>-2310</v>
      </c>
      <c r="C110" s="19">
        <f t="shared" ref="C110:P110" si="48">+C91</f>
        <v>-2694</v>
      </c>
      <c r="D110" s="19">
        <f t="shared" si="48"/>
        <v>-3078</v>
      </c>
      <c r="E110" s="19">
        <f t="shared" si="48"/>
        <v>-3462</v>
      </c>
      <c r="F110" s="19">
        <f t="shared" si="48"/>
        <v>-3845</v>
      </c>
      <c r="G110" s="19">
        <f t="shared" si="48"/>
        <v>-4234</v>
      </c>
      <c r="H110" s="19">
        <f t="shared" si="48"/>
        <v>-4624</v>
      </c>
      <c r="I110" s="19">
        <f t="shared" si="48"/>
        <v>-5013</v>
      </c>
      <c r="J110" s="19">
        <f t="shared" si="48"/>
        <v>-5402</v>
      </c>
      <c r="K110" s="19">
        <f t="shared" si="48"/>
        <v>-5791</v>
      </c>
      <c r="L110" s="19">
        <f t="shared" si="48"/>
        <v>-6180</v>
      </c>
      <c r="M110" s="19">
        <f t="shared" si="48"/>
        <v>-6569</v>
      </c>
      <c r="N110" s="19">
        <f t="shared" si="48"/>
        <v>-6958</v>
      </c>
      <c r="O110" s="19">
        <f t="shared" si="48"/>
        <v>-60161</v>
      </c>
      <c r="P110" s="19">
        <f t="shared" si="48"/>
        <v>-4628</v>
      </c>
    </row>
    <row r="111" spans="1:256" ht="13.5" thickBot="1" x14ac:dyDescent="0.25">
      <c r="A111" s="5" t="s">
        <v>141</v>
      </c>
      <c r="B111" s="35">
        <f>SUM(B109:B110)</f>
        <v>11023</v>
      </c>
      <c r="C111" s="35">
        <f t="shared" ref="C111:P111" si="49">SUM(C109:C110)</f>
        <v>10639</v>
      </c>
      <c r="D111" s="35">
        <f t="shared" si="49"/>
        <v>10255</v>
      </c>
      <c r="E111" s="35">
        <f t="shared" si="49"/>
        <v>9871</v>
      </c>
      <c r="F111" s="35">
        <f t="shared" si="49"/>
        <v>9488</v>
      </c>
      <c r="G111" s="35">
        <f t="shared" si="49"/>
        <v>9099</v>
      </c>
      <c r="H111" s="35">
        <f t="shared" si="49"/>
        <v>8709</v>
      </c>
      <c r="I111" s="35">
        <f t="shared" si="49"/>
        <v>8320</v>
      </c>
      <c r="J111" s="35">
        <f t="shared" si="49"/>
        <v>7931</v>
      </c>
      <c r="K111" s="35">
        <f t="shared" si="49"/>
        <v>7542</v>
      </c>
      <c r="L111" s="35">
        <f t="shared" si="49"/>
        <v>7153</v>
      </c>
      <c r="M111" s="35">
        <f t="shared" si="49"/>
        <v>6764</v>
      </c>
      <c r="N111" s="35">
        <f t="shared" si="49"/>
        <v>6375</v>
      </c>
      <c r="O111" s="35">
        <f t="shared" si="49"/>
        <v>113162</v>
      </c>
      <c r="P111" s="35">
        <f t="shared" si="49"/>
        <v>8705</v>
      </c>
      <c r="Q111" s="5" t="s">
        <v>142</v>
      </c>
    </row>
    <row r="112" spans="1:256" ht="13.5" thickTop="1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1:17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1:17" x14ac:dyDescent="0.2">
      <c r="A114" s="5" t="s">
        <v>104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</row>
    <row r="115" spans="1:17" x14ac:dyDescent="0.2">
      <c r="A115" s="5" t="str">
        <f>+A78</f>
        <v xml:space="preserve">  282 - ADIT other property</v>
      </c>
      <c r="B115" s="19">
        <f t="shared" ref="B115:P115" si="50">+B78</f>
        <v>231192</v>
      </c>
      <c r="C115" s="19">
        <f t="shared" si="50"/>
        <v>231331</v>
      </c>
      <c r="D115" s="19">
        <f t="shared" si="50"/>
        <v>231470</v>
      </c>
      <c r="E115" s="19">
        <f t="shared" si="50"/>
        <v>231715</v>
      </c>
      <c r="F115" s="19">
        <f t="shared" si="50"/>
        <v>231853</v>
      </c>
      <c r="G115" s="19">
        <f t="shared" si="50"/>
        <v>231992</v>
      </c>
      <c r="H115" s="19">
        <f t="shared" si="50"/>
        <v>232237</v>
      </c>
      <c r="I115" s="19">
        <f t="shared" si="50"/>
        <v>232376</v>
      </c>
      <c r="J115" s="19">
        <f t="shared" si="50"/>
        <v>232515</v>
      </c>
      <c r="K115" s="19">
        <f t="shared" si="50"/>
        <v>230799</v>
      </c>
      <c r="L115" s="19">
        <f t="shared" si="50"/>
        <v>230938</v>
      </c>
      <c r="M115" s="19">
        <f t="shared" si="50"/>
        <v>231077</v>
      </c>
      <c r="N115" s="19">
        <f t="shared" si="50"/>
        <v>234150</v>
      </c>
      <c r="O115" s="19">
        <f t="shared" si="50"/>
        <v>3013645</v>
      </c>
      <c r="P115" s="19">
        <f t="shared" si="50"/>
        <v>231819</v>
      </c>
    </row>
    <row r="116" spans="1:17" x14ac:dyDescent="0.2">
      <c r="A116" s="5" t="str">
        <f t="shared" ref="A116:P116" si="51">+A79</f>
        <v xml:space="preserve">  283 - ADIT other</v>
      </c>
      <c r="B116" s="19">
        <f t="shared" si="51"/>
        <v>-576</v>
      </c>
      <c r="C116" s="19">
        <f t="shared" si="51"/>
        <v>-576</v>
      </c>
      <c r="D116" s="19">
        <f t="shared" si="51"/>
        <v>-576</v>
      </c>
      <c r="E116" s="19">
        <f t="shared" si="51"/>
        <v>-2034</v>
      </c>
      <c r="F116" s="19">
        <f t="shared" si="51"/>
        <v>-2034</v>
      </c>
      <c r="G116" s="19">
        <f t="shared" si="51"/>
        <v>-2034</v>
      </c>
      <c r="H116" s="19">
        <f t="shared" si="51"/>
        <v>93</v>
      </c>
      <c r="I116" s="19">
        <f t="shared" si="51"/>
        <v>93</v>
      </c>
      <c r="J116" s="19">
        <f t="shared" si="51"/>
        <v>93</v>
      </c>
      <c r="K116" s="19">
        <f t="shared" si="51"/>
        <v>3116</v>
      </c>
      <c r="L116" s="19">
        <f t="shared" si="51"/>
        <v>3116</v>
      </c>
      <c r="M116" s="19">
        <f t="shared" si="51"/>
        <v>3116</v>
      </c>
      <c r="N116" s="19">
        <f t="shared" si="51"/>
        <v>3678</v>
      </c>
      <c r="O116" s="19">
        <f t="shared" si="51"/>
        <v>5474</v>
      </c>
      <c r="P116" s="19">
        <f t="shared" si="51"/>
        <v>421</v>
      </c>
    </row>
    <row r="117" spans="1:17" ht="13.5" thickBot="1" x14ac:dyDescent="0.25">
      <c r="B117" s="35">
        <f>+SUM(B115:B116)</f>
        <v>230616</v>
      </c>
      <c r="C117" s="35">
        <f t="shared" ref="C117:P117" si="52">+SUM(C115:C116)</f>
        <v>230755</v>
      </c>
      <c r="D117" s="35">
        <f t="shared" si="52"/>
        <v>230894</v>
      </c>
      <c r="E117" s="35">
        <f t="shared" si="52"/>
        <v>229681</v>
      </c>
      <c r="F117" s="35">
        <f t="shared" si="52"/>
        <v>229819</v>
      </c>
      <c r="G117" s="35">
        <f t="shared" si="52"/>
        <v>229958</v>
      </c>
      <c r="H117" s="35">
        <f t="shared" si="52"/>
        <v>232330</v>
      </c>
      <c r="I117" s="35">
        <f t="shared" si="52"/>
        <v>232469</v>
      </c>
      <c r="J117" s="35">
        <f t="shared" si="52"/>
        <v>232608</v>
      </c>
      <c r="K117" s="35">
        <f t="shared" si="52"/>
        <v>233915</v>
      </c>
      <c r="L117" s="35">
        <f t="shared" si="52"/>
        <v>234054</v>
      </c>
      <c r="M117" s="35">
        <f t="shared" si="52"/>
        <v>234193</v>
      </c>
      <c r="N117" s="35">
        <f t="shared" si="52"/>
        <v>237828</v>
      </c>
      <c r="O117" s="35">
        <f t="shared" si="52"/>
        <v>3019119</v>
      </c>
      <c r="P117" s="35">
        <f t="shared" si="52"/>
        <v>232240</v>
      </c>
      <c r="Q117" s="5" t="s">
        <v>143</v>
      </c>
    </row>
    <row r="118" spans="1:17" ht="13.5" thickTop="1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1:17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1:17" x14ac:dyDescent="0.2">
      <c r="A120" s="5" t="str">
        <f>+A35</f>
        <v xml:space="preserve">  186 - Misc deferred debits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</row>
    <row r="121" spans="1:17" x14ac:dyDescent="0.2">
      <c r="A121" s="5" t="str">
        <f>[3]FI!A$102</f>
        <v>Deferred Rate Case - Miscellaneous Deferred Debits</v>
      </c>
      <c r="B121" s="19">
        <f>[3]FI!C$102</f>
        <v>0</v>
      </c>
      <c r="C121" s="19">
        <f>[3]FI!D$102</f>
        <v>0</v>
      </c>
      <c r="D121" s="19">
        <f>[3]FI!E$102</f>
        <v>7</v>
      </c>
      <c r="E121" s="19">
        <f>[3]FI!F$102</f>
        <v>126</v>
      </c>
      <c r="F121" s="19">
        <f>[3]FI!G$102</f>
        <v>191</v>
      </c>
      <c r="G121" s="19">
        <f>[3]FI!H$102</f>
        <v>207</v>
      </c>
      <c r="H121" s="19">
        <f>[3]FI!I$102</f>
        <v>249</v>
      </c>
      <c r="I121" s="19">
        <f>[3]FI!J$102</f>
        <v>287</v>
      </c>
      <c r="J121" s="19">
        <f>[3]FI!K$102</f>
        <v>335</v>
      </c>
      <c r="K121" s="19">
        <f>[3]FI!L$102</f>
        <v>382</v>
      </c>
      <c r="L121" s="19">
        <f>[3]FI!M$102</f>
        <v>395</v>
      </c>
      <c r="M121" s="19">
        <f>[3]FI!N$102</f>
        <v>387</v>
      </c>
      <c r="N121" s="19">
        <f>[3]FI!O$102</f>
        <v>403</v>
      </c>
      <c r="O121" s="19">
        <f>[3]FI!P$102</f>
        <v>2969</v>
      </c>
      <c r="P121" s="19">
        <f>[3]FI!Q$102</f>
        <v>228</v>
      </c>
      <c r="Q121" s="5" t="s">
        <v>143</v>
      </c>
    </row>
    <row r="122" spans="1:17" x14ac:dyDescent="0.2">
      <c r="A122" s="5" t="str">
        <f>[3]FI!A$105</f>
        <v>Regulatory Asset - Miscellaneous Deferred Debits</v>
      </c>
      <c r="B122" s="19">
        <f>[3]FI!C$105</f>
        <v>35140</v>
      </c>
      <c r="C122" s="19">
        <f>[3]FI!D$105</f>
        <v>35140</v>
      </c>
      <c r="D122" s="19">
        <f>[3]FI!E$105</f>
        <v>35140</v>
      </c>
      <c r="E122" s="19">
        <f>[3]FI!F$105</f>
        <v>35140</v>
      </c>
      <c r="F122" s="19">
        <f>[3]FI!G$105</f>
        <v>35140</v>
      </c>
      <c r="G122" s="19">
        <f>[3]FI!H$105</f>
        <v>35140</v>
      </c>
      <c r="H122" s="19">
        <f>[3]FI!I$105</f>
        <v>35140</v>
      </c>
      <c r="I122" s="19">
        <f>[3]FI!J$105</f>
        <v>35140</v>
      </c>
      <c r="J122" s="19">
        <f>[3]FI!K$105</f>
        <v>35140</v>
      </c>
      <c r="K122" s="19">
        <f>[3]FI!L$105</f>
        <v>35140</v>
      </c>
      <c r="L122" s="19">
        <f>[3]FI!M$105</f>
        <v>35140</v>
      </c>
      <c r="M122" s="19">
        <f>[3]FI!N$105</f>
        <v>35140</v>
      </c>
      <c r="N122" s="19">
        <f>[3]FI!O$105</f>
        <v>35140</v>
      </c>
      <c r="O122" s="19">
        <f>[3]FI!P$105</f>
        <v>456816</v>
      </c>
      <c r="P122" s="19">
        <f>[3]FI!Q$105</f>
        <v>35140</v>
      </c>
      <c r="Q122" s="5" t="s">
        <v>143</v>
      </c>
    </row>
    <row r="123" spans="1:17" ht="13.5" thickBot="1" x14ac:dyDescent="0.25">
      <c r="B123" s="35">
        <f>SUM(B121:B122)</f>
        <v>35140</v>
      </c>
      <c r="C123" s="35">
        <f t="shared" ref="C123:P123" si="53">SUM(C121:C122)</f>
        <v>35140</v>
      </c>
      <c r="D123" s="35">
        <f t="shared" si="53"/>
        <v>35147</v>
      </c>
      <c r="E123" s="35">
        <f t="shared" si="53"/>
        <v>35266</v>
      </c>
      <c r="F123" s="35">
        <f t="shared" si="53"/>
        <v>35331</v>
      </c>
      <c r="G123" s="35">
        <f t="shared" si="53"/>
        <v>35347</v>
      </c>
      <c r="H123" s="35">
        <f t="shared" si="53"/>
        <v>35389</v>
      </c>
      <c r="I123" s="35">
        <f t="shared" si="53"/>
        <v>35427</v>
      </c>
      <c r="J123" s="35">
        <f t="shared" si="53"/>
        <v>35475</v>
      </c>
      <c r="K123" s="35">
        <f t="shared" si="53"/>
        <v>35522</v>
      </c>
      <c r="L123" s="35">
        <f t="shared" si="53"/>
        <v>35535</v>
      </c>
      <c r="M123" s="35">
        <f t="shared" si="53"/>
        <v>35527</v>
      </c>
      <c r="N123" s="35">
        <f t="shared" si="53"/>
        <v>35543</v>
      </c>
      <c r="O123" s="35">
        <f t="shared" si="53"/>
        <v>459785</v>
      </c>
      <c r="P123" s="35">
        <f t="shared" si="53"/>
        <v>35368</v>
      </c>
    </row>
    <row r="124" spans="1:17" ht="13.5" thickTop="1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1:17" x14ac:dyDescent="0.2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</row>
    <row r="126" spans="1:17" x14ac:dyDescent="0.2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</row>
    <row r="127" spans="1:17" x14ac:dyDescent="0.2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1:17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2:16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</row>
    <row r="130" spans="2:16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2:16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</row>
    <row r="132" spans="2:16" x14ac:dyDescent="0.2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2:16" x14ac:dyDescent="0.2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2:16" x14ac:dyDescent="0.2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</row>
    <row r="135" spans="2:16" x14ac:dyDescent="0.2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2:16" x14ac:dyDescent="0.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</row>
    <row r="137" spans="2:16" x14ac:dyDescent="0.2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2:16" x14ac:dyDescent="0.2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2:16" x14ac:dyDescent="0.2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</row>
    <row r="140" spans="2:16" x14ac:dyDescent="0.2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pans="2:16" x14ac:dyDescent="0.2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2:16" x14ac:dyDescent="0.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2:16" x14ac:dyDescent="0.2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44" spans="2:16" x14ac:dyDescent="0.2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</row>
    <row r="145" spans="2:16" x14ac:dyDescent="0.2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</row>
    <row r="146" spans="2:16" x14ac:dyDescent="0.2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</row>
    <row r="147" spans="2:16" x14ac:dyDescent="0.2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</row>
    <row r="148" spans="2:16" x14ac:dyDescent="0.2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</row>
    <row r="149" spans="2:16" x14ac:dyDescent="0.2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</row>
    <row r="150" spans="2:16" x14ac:dyDescent="0.2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</row>
  </sheetData>
  <pageMargins left="0.5" right="0.5" top="1" bottom="0.5" header="0.5" footer="0.5"/>
  <pageSetup orientation="landscape"/>
  <headerFooter alignWithMargins="0"/>
  <rowBreaks count="1" manualBreakCount="1">
    <brk id="44" min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8"/>
  <sheetViews>
    <sheetView topLeftCell="O1" zoomScale="85" zoomScaleNormal="85" workbookViewId="0">
      <pane ySplit="8" topLeftCell="A21" activePane="bottomLeft" state="frozenSplit"/>
      <selection pane="bottomLeft" activeCell="I8" sqref="I8"/>
    </sheetView>
  </sheetViews>
  <sheetFormatPr defaultRowHeight="12.75" x14ac:dyDescent="0.2"/>
  <cols>
    <col min="1" max="1" width="40.7109375" style="5" customWidth="1"/>
    <col min="2" max="14" width="13.7109375" style="1" customWidth="1"/>
    <col min="15" max="15" width="14.7109375" style="1" customWidth="1"/>
    <col min="16" max="16" width="13.7109375" style="1" customWidth="1"/>
    <col min="17" max="17" width="10.140625" style="5" bestFit="1" customWidth="1"/>
    <col min="18" max="23" width="9.140625" style="5"/>
    <col min="24" max="24" width="11.42578125" style="5" customWidth="1"/>
    <col min="25" max="25" width="13.7109375" style="5" customWidth="1"/>
    <col min="26" max="36" width="12.28515625" style="5" bestFit="1" customWidth="1"/>
    <col min="37" max="38" width="13.85546875" style="5" customWidth="1"/>
    <col min="39" max="40" width="9.140625" style="5"/>
    <col min="41" max="41" width="13.140625" style="5" customWidth="1"/>
    <col min="42" max="43" width="12.42578125" style="5" bestFit="1" customWidth="1"/>
    <col min="44" max="53" width="12.28515625" style="5" bestFit="1" customWidth="1"/>
    <col min="54" max="55" width="13.7109375" style="5" customWidth="1"/>
    <col min="56" max="16384" width="9.140625" style="5"/>
  </cols>
  <sheetData>
    <row r="1" spans="1:57" ht="22.5" x14ac:dyDescent="0.45">
      <c r="A1" s="4" t="s">
        <v>99</v>
      </c>
      <c r="V1" s="4" t="s">
        <v>99</v>
      </c>
      <c r="X1" s="4"/>
      <c r="AO1" s="4" t="s">
        <v>99</v>
      </c>
    </row>
    <row r="2" spans="1:57" ht="19.5" x14ac:dyDescent="0.4">
      <c r="A2" s="6" t="s">
        <v>1</v>
      </c>
      <c r="V2" s="6" t="s">
        <v>1</v>
      </c>
      <c r="X2" s="6"/>
      <c r="AO2" s="6" t="s">
        <v>1</v>
      </c>
    </row>
    <row r="3" spans="1:57" ht="19.5" x14ac:dyDescent="0.4">
      <c r="A3" s="6" t="s">
        <v>2</v>
      </c>
      <c r="V3" s="6" t="s">
        <v>2</v>
      </c>
      <c r="X3" s="6"/>
      <c r="AO3" s="6" t="s">
        <v>2</v>
      </c>
    </row>
    <row r="4" spans="1:57" ht="19.5" x14ac:dyDescent="0.4">
      <c r="A4" s="6" t="s">
        <v>3</v>
      </c>
      <c r="V4" s="6" t="s">
        <v>170</v>
      </c>
      <c r="X4" s="6"/>
      <c r="AO4" s="6" t="s">
        <v>171</v>
      </c>
    </row>
    <row r="5" spans="1:57" ht="19.5" x14ac:dyDescent="0.4">
      <c r="V5" s="6" t="s">
        <v>154</v>
      </c>
    </row>
    <row r="6" spans="1:57" x14ac:dyDescent="0.2"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4</v>
      </c>
      <c r="X6" s="7" t="s">
        <v>4</v>
      </c>
      <c r="Y6" s="7" t="s">
        <v>5</v>
      </c>
      <c r="Z6" s="7" t="s">
        <v>6</v>
      </c>
      <c r="AA6" s="7" t="s">
        <v>7</v>
      </c>
      <c r="AB6" s="7" t="s">
        <v>8</v>
      </c>
      <c r="AC6" s="7" t="s">
        <v>9</v>
      </c>
      <c r="AD6" s="7" t="s">
        <v>10</v>
      </c>
      <c r="AE6" s="7" t="s">
        <v>11</v>
      </c>
      <c r="AF6" s="7" t="s">
        <v>12</v>
      </c>
      <c r="AG6" s="7" t="s">
        <v>13</v>
      </c>
      <c r="AH6" s="7" t="s">
        <v>14</v>
      </c>
      <c r="AI6" s="7" t="s">
        <v>15</v>
      </c>
      <c r="AJ6" s="7" t="s">
        <v>4</v>
      </c>
      <c r="AK6" s="1"/>
      <c r="AL6" s="1"/>
      <c r="AO6" s="7" t="s">
        <v>4</v>
      </c>
      <c r="AP6" s="7" t="s">
        <v>5</v>
      </c>
      <c r="AQ6" s="7" t="s">
        <v>6</v>
      </c>
      <c r="AR6" s="7" t="s">
        <v>7</v>
      </c>
      <c r="AS6" s="7" t="s">
        <v>8</v>
      </c>
      <c r="AT6" s="7" t="s">
        <v>9</v>
      </c>
      <c r="AU6" s="7" t="s">
        <v>10</v>
      </c>
      <c r="AV6" s="7" t="s">
        <v>11</v>
      </c>
      <c r="AW6" s="7" t="s">
        <v>12</v>
      </c>
      <c r="AX6" s="7" t="s">
        <v>13</v>
      </c>
      <c r="AY6" s="7" t="s">
        <v>14</v>
      </c>
      <c r="AZ6" s="7" t="s">
        <v>15</v>
      </c>
      <c r="BA6" s="7" t="s">
        <v>4</v>
      </c>
      <c r="BB6" s="1"/>
      <c r="BC6" s="1"/>
    </row>
    <row r="7" spans="1:57" x14ac:dyDescent="0.2">
      <c r="B7" s="8" t="s">
        <v>16</v>
      </c>
      <c r="C7" s="8" t="s">
        <v>17</v>
      </c>
      <c r="D7" s="8" t="s">
        <v>17</v>
      </c>
      <c r="E7" s="8" t="s">
        <v>17</v>
      </c>
      <c r="F7" s="8" t="s">
        <v>17</v>
      </c>
      <c r="G7" s="8" t="s">
        <v>17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8" t="s">
        <v>17</v>
      </c>
      <c r="N7" s="8" t="s">
        <v>17</v>
      </c>
      <c r="O7" s="9" t="s">
        <v>18</v>
      </c>
      <c r="P7" s="9" t="s">
        <v>19</v>
      </c>
      <c r="X7" s="8" t="s">
        <v>17</v>
      </c>
      <c r="Y7" s="8" t="s">
        <v>156</v>
      </c>
      <c r="Z7" s="8" t="s">
        <v>156</v>
      </c>
      <c r="AA7" s="8" t="s">
        <v>156</v>
      </c>
      <c r="AB7" s="8" t="s">
        <v>156</v>
      </c>
      <c r="AC7" s="8" t="s">
        <v>156</v>
      </c>
      <c r="AD7" s="8" t="s">
        <v>156</v>
      </c>
      <c r="AE7" s="8" t="s">
        <v>156</v>
      </c>
      <c r="AF7" s="8" t="s">
        <v>156</v>
      </c>
      <c r="AG7" s="8" t="s">
        <v>156</v>
      </c>
      <c r="AH7" s="8" t="s">
        <v>156</v>
      </c>
      <c r="AI7" s="8" t="s">
        <v>156</v>
      </c>
      <c r="AJ7" s="8" t="s">
        <v>156</v>
      </c>
      <c r="AK7" s="9" t="s">
        <v>18</v>
      </c>
      <c r="AL7" s="9" t="s">
        <v>19</v>
      </c>
      <c r="AO7" s="8" t="s">
        <v>156</v>
      </c>
      <c r="AP7" s="8" t="s">
        <v>157</v>
      </c>
      <c r="AQ7" s="8" t="s">
        <v>157</v>
      </c>
      <c r="AR7" s="8" t="s">
        <v>157</v>
      </c>
      <c r="AS7" s="8" t="s">
        <v>157</v>
      </c>
      <c r="AT7" s="8" t="s">
        <v>157</v>
      </c>
      <c r="AU7" s="8" t="s">
        <v>157</v>
      </c>
      <c r="AV7" s="8" t="s">
        <v>157</v>
      </c>
      <c r="AW7" s="8" t="s">
        <v>157</v>
      </c>
      <c r="AX7" s="8" t="s">
        <v>157</v>
      </c>
      <c r="AY7" s="8" t="s">
        <v>157</v>
      </c>
      <c r="AZ7" s="8" t="s">
        <v>157</v>
      </c>
      <c r="BA7" s="8" t="s">
        <v>157</v>
      </c>
      <c r="BB7" s="9" t="s">
        <v>18</v>
      </c>
      <c r="BC7" s="9" t="s">
        <v>19</v>
      </c>
      <c r="BE7" s="5" t="s">
        <v>158</v>
      </c>
    </row>
    <row r="9" spans="1:57" ht="22.5" x14ac:dyDescent="0.45">
      <c r="A9" s="4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1" spans="1:57" x14ac:dyDescent="0.2">
      <c r="A11" s="11" t="s">
        <v>21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57" x14ac:dyDescent="0.2">
      <c r="A12" s="13" t="s">
        <v>22</v>
      </c>
      <c r="B12" s="14">
        <v>1231300</v>
      </c>
      <c r="C12" s="14">
        <v>1231609</v>
      </c>
      <c r="D12" s="14">
        <v>1231609</v>
      </c>
      <c r="E12" s="14">
        <v>1232171</v>
      </c>
      <c r="F12" s="14">
        <v>1232171</v>
      </c>
      <c r="G12" s="14">
        <v>1232171</v>
      </c>
      <c r="H12" s="14">
        <v>1232462</v>
      </c>
      <c r="I12" s="14">
        <v>1232462</v>
      </c>
      <c r="J12" s="14">
        <v>1232462</v>
      </c>
      <c r="K12" s="14">
        <v>1232872</v>
      </c>
      <c r="L12" s="14">
        <v>1233200</v>
      </c>
      <c r="M12" s="14">
        <v>1293051</v>
      </c>
      <c r="N12" s="14">
        <v>1293232</v>
      </c>
      <c r="O12" s="14">
        <v>16140773</v>
      </c>
      <c r="P12" s="14">
        <v>1241598</v>
      </c>
      <c r="Q12" s="5" t="s">
        <v>149</v>
      </c>
    </row>
    <row r="13" spans="1:57" x14ac:dyDescent="0.2">
      <c r="A13" s="13" t="s">
        <v>24</v>
      </c>
      <c r="B13" s="1">
        <v>44295</v>
      </c>
      <c r="C13" s="1">
        <v>44320</v>
      </c>
      <c r="D13" s="1">
        <v>44327</v>
      </c>
      <c r="E13" s="1">
        <v>44406</v>
      </c>
      <c r="F13" s="1">
        <v>49346</v>
      </c>
      <c r="G13" s="1">
        <v>49364</v>
      </c>
      <c r="H13" s="1">
        <v>54485</v>
      </c>
      <c r="I13" s="1">
        <v>54485</v>
      </c>
      <c r="J13" s="1">
        <v>54485</v>
      </c>
      <c r="K13" s="1">
        <v>68562</v>
      </c>
      <c r="L13" s="1">
        <v>88914</v>
      </c>
      <c r="M13" s="1">
        <v>35800</v>
      </c>
      <c r="N13" s="1">
        <v>35800</v>
      </c>
      <c r="O13" s="1">
        <v>668590</v>
      </c>
      <c r="P13" s="1">
        <v>51430</v>
      </c>
      <c r="Q13" s="5" t="s">
        <v>149</v>
      </c>
    </row>
    <row r="14" spans="1:57" x14ac:dyDescent="0.2">
      <c r="A14" s="13" t="s">
        <v>26</v>
      </c>
      <c r="B14" s="1">
        <v>-201752</v>
      </c>
      <c r="C14" s="1">
        <v>-204686</v>
      </c>
      <c r="D14" s="1">
        <v>-207661</v>
      </c>
      <c r="E14" s="1">
        <v>-210563</v>
      </c>
      <c r="F14" s="1">
        <v>-213313</v>
      </c>
      <c r="G14" s="1">
        <v>-216289</v>
      </c>
      <c r="H14" s="1">
        <v>-219228</v>
      </c>
      <c r="I14" s="1">
        <v>-209357</v>
      </c>
      <c r="J14" s="1">
        <v>-212343</v>
      </c>
      <c r="K14" s="1">
        <v>-215329</v>
      </c>
      <c r="L14" s="1">
        <v>-218298</v>
      </c>
      <c r="M14" s="1">
        <v>-221322</v>
      </c>
      <c r="N14" s="1">
        <v>-224359</v>
      </c>
      <c r="O14" s="1">
        <v>-2774500</v>
      </c>
      <c r="P14" s="1">
        <v>-213423</v>
      </c>
      <c r="Q14" s="5" t="s">
        <v>150</v>
      </c>
    </row>
    <row r="15" spans="1:57" x14ac:dyDescent="0.2">
      <c r="B15" s="16" t="s">
        <v>27</v>
      </c>
      <c r="C15" s="16" t="s">
        <v>27</v>
      </c>
      <c r="D15" s="16" t="s">
        <v>27</v>
      </c>
      <c r="E15" s="16" t="s">
        <v>27</v>
      </c>
      <c r="F15" s="16" t="s">
        <v>27</v>
      </c>
      <c r="G15" s="16" t="s">
        <v>27</v>
      </c>
      <c r="H15" s="16" t="s">
        <v>27</v>
      </c>
      <c r="I15" s="16" t="s">
        <v>27</v>
      </c>
      <c r="J15" s="16" t="s">
        <v>27</v>
      </c>
      <c r="K15" s="16" t="s">
        <v>27</v>
      </c>
      <c r="L15" s="16" t="s">
        <v>27</v>
      </c>
      <c r="M15" s="16" t="s">
        <v>27</v>
      </c>
      <c r="N15" s="16" t="s">
        <v>27</v>
      </c>
      <c r="O15" s="16" t="s">
        <v>27</v>
      </c>
      <c r="P15" s="16" t="s">
        <v>27</v>
      </c>
    </row>
    <row r="16" spans="1:57" x14ac:dyDescent="0.2">
      <c r="A16" s="13" t="s">
        <v>28</v>
      </c>
      <c r="B16" s="1">
        <v>1073843</v>
      </c>
      <c r="C16" s="1">
        <v>1071243</v>
      </c>
      <c r="D16" s="1">
        <v>1068275</v>
      </c>
      <c r="E16" s="1">
        <v>1066013</v>
      </c>
      <c r="F16" s="1">
        <v>1068204</v>
      </c>
      <c r="G16" s="1">
        <v>1065245</v>
      </c>
      <c r="H16" s="1">
        <v>1067720</v>
      </c>
      <c r="I16" s="1">
        <v>1077591</v>
      </c>
      <c r="J16" s="1">
        <v>1074605</v>
      </c>
      <c r="K16" s="1">
        <v>1086106</v>
      </c>
      <c r="L16" s="1">
        <v>1103816</v>
      </c>
      <c r="M16" s="1">
        <v>1107528</v>
      </c>
      <c r="N16" s="1">
        <v>1104673</v>
      </c>
      <c r="O16" s="1">
        <v>14034863</v>
      </c>
      <c r="P16" s="1">
        <v>1079605</v>
      </c>
    </row>
    <row r="17" spans="1:55" x14ac:dyDescent="0.2">
      <c r="B17" s="16" t="s">
        <v>27</v>
      </c>
      <c r="C17" s="16" t="s">
        <v>27</v>
      </c>
      <c r="D17" s="16" t="s">
        <v>27</v>
      </c>
      <c r="E17" s="16" t="s">
        <v>27</v>
      </c>
      <c r="F17" s="16" t="s">
        <v>27</v>
      </c>
      <c r="G17" s="16" t="s">
        <v>27</v>
      </c>
      <c r="H17" s="16" t="s">
        <v>27</v>
      </c>
      <c r="I17" s="16" t="s">
        <v>27</v>
      </c>
      <c r="J17" s="16" t="s">
        <v>27</v>
      </c>
      <c r="K17" s="16" t="s">
        <v>27</v>
      </c>
      <c r="L17" s="16" t="s">
        <v>27</v>
      </c>
      <c r="M17" s="16" t="s">
        <v>27</v>
      </c>
      <c r="N17" s="16" t="s">
        <v>27</v>
      </c>
      <c r="O17" s="16" t="s">
        <v>27</v>
      </c>
      <c r="P17" s="16" t="s">
        <v>27</v>
      </c>
    </row>
    <row r="18" spans="1:55" x14ac:dyDescent="0.2">
      <c r="A18" s="11" t="s">
        <v>29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55" x14ac:dyDescent="0.2">
      <c r="A19" s="13" t="s">
        <v>32</v>
      </c>
      <c r="B19" s="1">
        <v>55101</v>
      </c>
      <c r="C19" s="1">
        <v>63653</v>
      </c>
      <c r="D19" s="1">
        <v>58842</v>
      </c>
      <c r="E19" s="1">
        <v>46768</v>
      </c>
      <c r="F19" s="1">
        <v>41396</v>
      </c>
      <c r="G19" s="1">
        <v>37853</v>
      </c>
      <c r="H19" s="1">
        <v>33555</v>
      </c>
      <c r="I19" s="1">
        <v>28763</v>
      </c>
      <c r="J19" s="1">
        <v>28796</v>
      </c>
      <c r="K19" s="1">
        <v>30044</v>
      </c>
      <c r="L19" s="1">
        <v>32057</v>
      </c>
      <c r="M19" s="1">
        <v>35982</v>
      </c>
      <c r="N19" s="1">
        <v>48440</v>
      </c>
      <c r="O19" s="1">
        <v>541250</v>
      </c>
      <c r="P19" s="1">
        <v>41635</v>
      </c>
      <c r="V19" s="3">
        <v>0.94879999999999998</v>
      </c>
      <c r="W19" s="3">
        <v>0.88870000000000005</v>
      </c>
      <c r="X19" s="19">
        <f>N19</f>
        <v>48440</v>
      </c>
      <c r="Y19" s="19">
        <f>($AK$19-$X$19)/12</f>
        <v>38758.561999999998</v>
      </c>
      <c r="Z19" s="19">
        <f t="shared" ref="Z19:AJ19" si="0">($AK$19-$X$19)/12</f>
        <v>38758.561999999998</v>
      </c>
      <c r="AA19" s="19">
        <f t="shared" si="0"/>
        <v>38758.561999999998</v>
      </c>
      <c r="AB19" s="19">
        <f t="shared" si="0"/>
        <v>38758.561999999998</v>
      </c>
      <c r="AC19" s="19">
        <f t="shared" si="0"/>
        <v>38758.561999999998</v>
      </c>
      <c r="AD19" s="19">
        <f t="shared" si="0"/>
        <v>38758.561999999998</v>
      </c>
      <c r="AE19" s="19">
        <f t="shared" si="0"/>
        <v>38758.561999999998</v>
      </c>
      <c r="AF19" s="19">
        <f t="shared" si="0"/>
        <v>38758.561999999998</v>
      </c>
      <c r="AG19" s="19">
        <f t="shared" si="0"/>
        <v>38758.561999999998</v>
      </c>
      <c r="AH19" s="19">
        <f t="shared" si="0"/>
        <v>38758.561999999998</v>
      </c>
      <c r="AI19" s="19">
        <f t="shared" si="0"/>
        <v>38758.561999999998</v>
      </c>
      <c r="AJ19" s="19">
        <f t="shared" si="0"/>
        <v>38758.561999999998</v>
      </c>
      <c r="AK19" s="19">
        <f>+P19*V19*13</f>
        <v>513542.74400000001</v>
      </c>
      <c r="AL19" s="19">
        <f>+AK19/13</f>
        <v>39503.288</v>
      </c>
      <c r="AO19" s="19">
        <f>AJ19</f>
        <v>38758.561999999998</v>
      </c>
      <c r="AP19" s="19">
        <f>+($BB$19-$AO$19)/12</f>
        <v>36854.563041666668</v>
      </c>
      <c r="AQ19" s="19">
        <f t="shared" ref="AQ19:BA19" si="1">+($BB$19-$AO$19)/12</f>
        <v>36854.563041666668</v>
      </c>
      <c r="AR19" s="19">
        <f t="shared" si="1"/>
        <v>36854.563041666668</v>
      </c>
      <c r="AS19" s="19">
        <f t="shared" si="1"/>
        <v>36854.563041666668</v>
      </c>
      <c r="AT19" s="19">
        <f t="shared" si="1"/>
        <v>36854.563041666668</v>
      </c>
      <c r="AU19" s="19">
        <f t="shared" si="1"/>
        <v>36854.563041666668</v>
      </c>
      <c r="AV19" s="19">
        <f t="shared" si="1"/>
        <v>36854.563041666668</v>
      </c>
      <c r="AW19" s="19">
        <f t="shared" si="1"/>
        <v>36854.563041666668</v>
      </c>
      <c r="AX19" s="19">
        <f t="shared" si="1"/>
        <v>36854.563041666668</v>
      </c>
      <c r="AY19" s="19">
        <f t="shared" si="1"/>
        <v>36854.563041666668</v>
      </c>
      <c r="AZ19" s="19">
        <f t="shared" si="1"/>
        <v>36854.563041666668</v>
      </c>
      <c r="BA19" s="19">
        <f t="shared" si="1"/>
        <v>36854.563041666668</v>
      </c>
      <c r="BB19" s="19">
        <f>+P19*W19*13</f>
        <v>481013.31849999999</v>
      </c>
      <c r="BC19" s="19">
        <f>BB19/13</f>
        <v>37001.0245</v>
      </c>
    </row>
    <row r="20" spans="1:55" x14ac:dyDescent="0.2">
      <c r="A20" s="13" t="s">
        <v>34</v>
      </c>
      <c r="B20" s="1">
        <v>-4408</v>
      </c>
      <c r="C20" s="1">
        <v>-4606</v>
      </c>
      <c r="D20" s="1">
        <v>-4831</v>
      </c>
      <c r="E20" s="1">
        <v>-5922</v>
      </c>
      <c r="F20" s="1">
        <v>-6058</v>
      </c>
      <c r="G20" s="1">
        <v>-6120</v>
      </c>
      <c r="H20" s="1">
        <v>-5846</v>
      </c>
      <c r="I20" s="1">
        <v>-5697</v>
      </c>
      <c r="J20" s="1">
        <v>-4839</v>
      </c>
      <c r="K20" s="1">
        <v>-5130</v>
      </c>
      <c r="L20" s="1">
        <v>-5305</v>
      </c>
      <c r="M20" s="1">
        <v>-5016</v>
      </c>
      <c r="N20" s="1">
        <v>-5681</v>
      </c>
      <c r="O20" s="1">
        <v>-69460</v>
      </c>
      <c r="P20" s="1">
        <v>-5343</v>
      </c>
      <c r="Q20" s="5" t="s">
        <v>148</v>
      </c>
      <c r="X20" s="19">
        <f t="shared" ref="X20:X30" si="2">+N20</f>
        <v>-5681</v>
      </c>
      <c r="Y20" s="19">
        <f>X20</f>
        <v>-5681</v>
      </c>
      <c r="Z20" s="19">
        <f t="shared" ref="Z20:AJ20" si="3">Y20</f>
        <v>-5681</v>
      </c>
      <c r="AA20" s="19">
        <f t="shared" si="3"/>
        <v>-5681</v>
      </c>
      <c r="AB20" s="19">
        <f t="shared" si="3"/>
        <v>-5681</v>
      </c>
      <c r="AC20" s="19">
        <f t="shared" si="3"/>
        <v>-5681</v>
      </c>
      <c r="AD20" s="19">
        <f t="shared" si="3"/>
        <v>-5681</v>
      </c>
      <c r="AE20" s="19">
        <f t="shared" si="3"/>
        <v>-5681</v>
      </c>
      <c r="AF20" s="19">
        <f t="shared" si="3"/>
        <v>-5681</v>
      </c>
      <c r="AG20" s="19">
        <f t="shared" si="3"/>
        <v>-5681</v>
      </c>
      <c r="AH20" s="19">
        <f t="shared" si="3"/>
        <v>-5681</v>
      </c>
      <c r="AI20" s="19">
        <f t="shared" si="3"/>
        <v>-5681</v>
      </c>
      <c r="AJ20" s="19">
        <f t="shared" si="3"/>
        <v>-5681</v>
      </c>
      <c r="AK20" s="19">
        <f>SUM(X20:AJ20)</f>
        <v>-73853</v>
      </c>
      <c r="AL20" s="19">
        <f>AK20/13</f>
        <v>-5681</v>
      </c>
      <c r="AO20" s="19">
        <f>AJ20</f>
        <v>-5681</v>
      </c>
      <c r="AP20" s="19">
        <f>AO20</f>
        <v>-5681</v>
      </c>
      <c r="AQ20" s="19">
        <f t="shared" ref="AQ20:BA20" si="4">AP20</f>
        <v>-5681</v>
      </c>
      <c r="AR20" s="19">
        <f t="shared" si="4"/>
        <v>-5681</v>
      </c>
      <c r="AS20" s="19">
        <f t="shared" si="4"/>
        <v>-5681</v>
      </c>
      <c r="AT20" s="19">
        <f t="shared" si="4"/>
        <v>-5681</v>
      </c>
      <c r="AU20" s="19">
        <f t="shared" si="4"/>
        <v>-5681</v>
      </c>
      <c r="AV20" s="19">
        <f t="shared" si="4"/>
        <v>-5681</v>
      </c>
      <c r="AW20" s="19">
        <f t="shared" si="4"/>
        <v>-5681</v>
      </c>
      <c r="AX20" s="19">
        <f t="shared" si="4"/>
        <v>-5681</v>
      </c>
      <c r="AY20" s="19">
        <f t="shared" si="4"/>
        <v>-5681</v>
      </c>
      <c r="AZ20" s="19">
        <f t="shared" si="4"/>
        <v>-5681</v>
      </c>
      <c r="BA20" s="19">
        <f t="shared" si="4"/>
        <v>-5681</v>
      </c>
      <c r="BB20" s="19">
        <f>SUM(AO20:BA20)</f>
        <v>-73853</v>
      </c>
      <c r="BC20" s="19">
        <f>BB20/13</f>
        <v>-5681</v>
      </c>
    </row>
    <row r="21" spans="1:55" x14ac:dyDescent="0.2">
      <c r="A21" s="13" t="s">
        <v>35</v>
      </c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</row>
    <row r="22" spans="1:55" x14ac:dyDescent="0.2">
      <c r="A22" s="13" t="s">
        <v>36</v>
      </c>
      <c r="B22" s="1">
        <v>-2001119</v>
      </c>
      <c r="C22" s="1">
        <v>-1995643</v>
      </c>
      <c r="D22" s="1">
        <v>-1982812</v>
      </c>
      <c r="E22" s="1">
        <v>-1967029</v>
      </c>
      <c r="F22" s="1">
        <v>-1958013</v>
      </c>
      <c r="G22" s="1">
        <v>-1945457</v>
      </c>
      <c r="H22" s="1">
        <v>-1943602</v>
      </c>
      <c r="I22" s="1">
        <v>-1934171</v>
      </c>
      <c r="J22" s="1">
        <v>-1944776</v>
      </c>
      <c r="K22" s="1">
        <v>-1954251</v>
      </c>
      <c r="L22" s="1">
        <v>-1968792</v>
      </c>
      <c r="M22" s="1">
        <v>-2005193</v>
      </c>
      <c r="N22" s="1">
        <v>-2003396</v>
      </c>
      <c r="O22" s="1">
        <v>-25604252</v>
      </c>
      <c r="P22" s="1">
        <v>-1969558</v>
      </c>
      <c r="Q22" s="5" t="s">
        <v>148</v>
      </c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</row>
    <row r="23" spans="1:55" x14ac:dyDescent="0.2">
      <c r="A23" s="13" t="s">
        <v>37</v>
      </c>
      <c r="B23" s="1">
        <v>14437</v>
      </c>
      <c r="C23" s="1">
        <v>14437</v>
      </c>
      <c r="D23" s="1">
        <v>14437</v>
      </c>
      <c r="E23" s="1">
        <v>14437</v>
      </c>
      <c r="F23" s="1">
        <v>14437</v>
      </c>
      <c r="G23" s="1">
        <v>14437</v>
      </c>
      <c r="H23" s="1">
        <v>14437</v>
      </c>
      <c r="I23" s="1">
        <v>14437</v>
      </c>
      <c r="J23" s="1">
        <v>14437</v>
      </c>
      <c r="K23" s="1">
        <v>14437</v>
      </c>
      <c r="L23" s="1">
        <v>14437</v>
      </c>
      <c r="M23" s="1">
        <v>14437</v>
      </c>
      <c r="N23" s="1">
        <v>14437</v>
      </c>
      <c r="O23" s="1">
        <v>187681</v>
      </c>
      <c r="P23" s="1">
        <v>14437</v>
      </c>
      <c r="Q23" s="5" t="s">
        <v>148</v>
      </c>
      <c r="X23" s="19">
        <f t="shared" si="2"/>
        <v>14437</v>
      </c>
      <c r="Y23" s="19">
        <f>X23</f>
        <v>14437</v>
      </c>
      <c r="Z23" s="19">
        <f t="shared" ref="Z23:AJ23" si="5">Y23</f>
        <v>14437</v>
      </c>
      <c r="AA23" s="19">
        <f t="shared" si="5"/>
        <v>14437</v>
      </c>
      <c r="AB23" s="19">
        <f t="shared" si="5"/>
        <v>14437</v>
      </c>
      <c r="AC23" s="19">
        <f t="shared" si="5"/>
        <v>14437</v>
      </c>
      <c r="AD23" s="19">
        <f t="shared" si="5"/>
        <v>14437</v>
      </c>
      <c r="AE23" s="19">
        <f t="shared" si="5"/>
        <v>14437</v>
      </c>
      <c r="AF23" s="19">
        <f t="shared" si="5"/>
        <v>14437</v>
      </c>
      <c r="AG23" s="19">
        <f t="shared" si="5"/>
        <v>14437</v>
      </c>
      <c r="AH23" s="19">
        <f t="shared" si="5"/>
        <v>14437</v>
      </c>
      <c r="AI23" s="19">
        <f t="shared" si="5"/>
        <v>14437</v>
      </c>
      <c r="AJ23" s="19">
        <f t="shared" si="5"/>
        <v>14437</v>
      </c>
      <c r="AK23" s="19">
        <f t="shared" ref="AK23:AK25" si="6">SUM(X23:AJ23)</f>
        <v>187681</v>
      </c>
      <c r="AL23" s="19">
        <f t="shared" ref="AL23:AL25" si="7">AK23/13</f>
        <v>14437</v>
      </c>
      <c r="AO23" s="19">
        <f>AJ23</f>
        <v>14437</v>
      </c>
      <c r="AP23" s="19">
        <f t="shared" ref="AP23:BA25" si="8">AO23</f>
        <v>14437</v>
      </c>
      <c r="AQ23" s="19">
        <f t="shared" si="8"/>
        <v>14437</v>
      </c>
      <c r="AR23" s="19">
        <f t="shared" si="8"/>
        <v>14437</v>
      </c>
      <c r="AS23" s="19">
        <f t="shared" si="8"/>
        <v>14437</v>
      </c>
      <c r="AT23" s="19">
        <f t="shared" si="8"/>
        <v>14437</v>
      </c>
      <c r="AU23" s="19">
        <f t="shared" si="8"/>
        <v>14437</v>
      </c>
      <c r="AV23" s="19">
        <f t="shared" si="8"/>
        <v>14437</v>
      </c>
      <c r="AW23" s="19">
        <f t="shared" si="8"/>
        <v>14437</v>
      </c>
      <c r="AX23" s="19">
        <f t="shared" si="8"/>
        <v>14437</v>
      </c>
      <c r="AY23" s="19">
        <f t="shared" si="8"/>
        <v>14437</v>
      </c>
      <c r="AZ23" s="19">
        <f t="shared" si="8"/>
        <v>14437</v>
      </c>
      <c r="BA23" s="19">
        <f t="shared" si="8"/>
        <v>14437</v>
      </c>
      <c r="BB23" s="19">
        <f t="shared" ref="BB23:BB25" si="9">SUM(AO23:BA23)</f>
        <v>187681</v>
      </c>
      <c r="BC23" s="19">
        <f t="shared" ref="BC23:BC25" si="10">BB23/13</f>
        <v>14437</v>
      </c>
    </row>
    <row r="24" spans="1:55" x14ac:dyDescent="0.2">
      <c r="A24" s="13" t="s">
        <v>39</v>
      </c>
      <c r="B24" s="1">
        <v>23462</v>
      </c>
      <c r="C24" s="1">
        <v>21371</v>
      </c>
      <c r="D24" s="1">
        <v>19311</v>
      </c>
      <c r="E24" s="1">
        <v>17225</v>
      </c>
      <c r="F24" s="1">
        <v>15130</v>
      </c>
      <c r="G24" s="1">
        <v>13036</v>
      </c>
      <c r="H24" s="1">
        <v>10941</v>
      </c>
      <c r="I24" s="1">
        <v>8956</v>
      </c>
      <c r="J24" s="1">
        <v>6862</v>
      </c>
      <c r="K24" s="1">
        <v>5272</v>
      </c>
      <c r="L24" s="1">
        <v>3585</v>
      </c>
      <c r="M24" s="1">
        <v>4328</v>
      </c>
      <c r="N24" s="1">
        <v>137</v>
      </c>
      <c r="O24" s="1">
        <v>149616</v>
      </c>
      <c r="P24" s="1">
        <v>11509</v>
      </c>
      <c r="Q24" s="5" t="s">
        <v>148</v>
      </c>
      <c r="X24" s="19">
        <f t="shared" si="2"/>
        <v>137</v>
      </c>
      <c r="Y24" s="19">
        <f>X24</f>
        <v>137</v>
      </c>
      <c r="Z24" s="19">
        <f t="shared" ref="Z24:AJ24" si="11">Y24</f>
        <v>137</v>
      </c>
      <c r="AA24" s="19">
        <f t="shared" si="11"/>
        <v>137</v>
      </c>
      <c r="AB24" s="19">
        <f t="shared" si="11"/>
        <v>137</v>
      </c>
      <c r="AC24" s="19">
        <f t="shared" si="11"/>
        <v>137</v>
      </c>
      <c r="AD24" s="19">
        <f t="shared" si="11"/>
        <v>137</v>
      </c>
      <c r="AE24" s="19">
        <f t="shared" si="11"/>
        <v>137</v>
      </c>
      <c r="AF24" s="19">
        <f t="shared" si="11"/>
        <v>137</v>
      </c>
      <c r="AG24" s="19">
        <f t="shared" si="11"/>
        <v>137</v>
      </c>
      <c r="AH24" s="19">
        <f t="shared" si="11"/>
        <v>137</v>
      </c>
      <c r="AI24" s="19">
        <f t="shared" si="11"/>
        <v>137</v>
      </c>
      <c r="AJ24" s="19">
        <f t="shared" si="11"/>
        <v>137</v>
      </c>
      <c r="AK24" s="19">
        <f t="shared" si="6"/>
        <v>1781</v>
      </c>
      <c r="AL24" s="19">
        <f t="shared" si="7"/>
        <v>137</v>
      </c>
      <c r="AO24" s="19">
        <f>AJ24</f>
        <v>137</v>
      </c>
      <c r="AP24" s="19">
        <f t="shared" si="8"/>
        <v>137</v>
      </c>
      <c r="AQ24" s="19">
        <f t="shared" si="8"/>
        <v>137</v>
      </c>
      <c r="AR24" s="19">
        <f t="shared" si="8"/>
        <v>137</v>
      </c>
      <c r="AS24" s="19">
        <f t="shared" si="8"/>
        <v>137</v>
      </c>
      <c r="AT24" s="19">
        <f t="shared" si="8"/>
        <v>137</v>
      </c>
      <c r="AU24" s="19">
        <f t="shared" si="8"/>
        <v>137</v>
      </c>
      <c r="AV24" s="19">
        <f t="shared" si="8"/>
        <v>137</v>
      </c>
      <c r="AW24" s="19">
        <f t="shared" si="8"/>
        <v>137</v>
      </c>
      <c r="AX24" s="19">
        <f t="shared" si="8"/>
        <v>137</v>
      </c>
      <c r="AY24" s="19">
        <f t="shared" si="8"/>
        <v>137</v>
      </c>
      <c r="AZ24" s="19">
        <f t="shared" si="8"/>
        <v>137</v>
      </c>
      <c r="BA24" s="19">
        <f t="shared" si="8"/>
        <v>137</v>
      </c>
      <c r="BB24" s="19">
        <f t="shared" si="9"/>
        <v>1781</v>
      </c>
      <c r="BC24" s="19">
        <f t="shared" si="10"/>
        <v>137</v>
      </c>
    </row>
    <row r="25" spans="1:55" x14ac:dyDescent="0.2">
      <c r="A25" s="13" t="s">
        <v>92</v>
      </c>
      <c r="B25" s="1">
        <v>20611</v>
      </c>
      <c r="C25" s="1">
        <v>19413</v>
      </c>
      <c r="D25" s="1">
        <v>19782</v>
      </c>
      <c r="E25" s="1">
        <v>19324</v>
      </c>
      <c r="F25" s="1">
        <v>16459</v>
      </c>
      <c r="G25" s="1">
        <v>14261</v>
      </c>
      <c r="H25" s="1">
        <v>12534</v>
      </c>
      <c r="I25" s="1">
        <v>10537</v>
      </c>
      <c r="J25" s="1">
        <v>11752</v>
      </c>
      <c r="K25" s="1">
        <v>9668</v>
      </c>
      <c r="L25" s="1">
        <v>11001</v>
      </c>
      <c r="M25" s="1">
        <v>14945</v>
      </c>
      <c r="N25" s="1">
        <v>18796</v>
      </c>
      <c r="O25" s="1">
        <v>199081</v>
      </c>
      <c r="P25" s="1">
        <v>15314</v>
      </c>
      <c r="Q25" s="5" t="s">
        <v>148</v>
      </c>
      <c r="X25" s="19">
        <f t="shared" si="2"/>
        <v>18796</v>
      </c>
      <c r="Y25" s="19">
        <f>X25</f>
        <v>18796</v>
      </c>
      <c r="Z25" s="19">
        <f t="shared" ref="Z25:AJ25" si="12">Y25</f>
        <v>18796</v>
      </c>
      <c r="AA25" s="19">
        <f t="shared" si="12"/>
        <v>18796</v>
      </c>
      <c r="AB25" s="19">
        <f t="shared" si="12"/>
        <v>18796</v>
      </c>
      <c r="AC25" s="19">
        <f t="shared" si="12"/>
        <v>18796</v>
      </c>
      <c r="AD25" s="19">
        <f t="shared" si="12"/>
        <v>18796</v>
      </c>
      <c r="AE25" s="19">
        <f t="shared" si="12"/>
        <v>18796</v>
      </c>
      <c r="AF25" s="19">
        <f t="shared" si="12"/>
        <v>18796</v>
      </c>
      <c r="AG25" s="19">
        <f t="shared" si="12"/>
        <v>18796</v>
      </c>
      <c r="AH25" s="19">
        <f t="shared" si="12"/>
        <v>18796</v>
      </c>
      <c r="AI25" s="19">
        <f t="shared" si="12"/>
        <v>18796</v>
      </c>
      <c r="AJ25" s="19">
        <f t="shared" si="12"/>
        <v>18796</v>
      </c>
      <c r="AK25" s="19">
        <f t="shared" si="6"/>
        <v>244348</v>
      </c>
      <c r="AL25" s="19">
        <f t="shared" si="7"/>
        <v>18796</v>
      </c>
      <c r="AO25" s="19">
        <f>AJ25</f>
        <v>18796</v>
      </c>
      <c r="AP25" s="19">
        <f t="shared" si="8"/>
        <v>18796</v>
      </c>
      <c r="AQ25" s="19">
        <f t="shared" si="8"/>
        <v>18796</v>
      </c>
      <c r="AR25" s="19">
        <f t="shared" si="8"/>
        <v>18796</v>
      </c>
      <c r="AS25" s="19">
        <f t="shared" si="8"/>
        <v>18796</v>
      </c>
      <c r="AT25" s="19">
        <f t="shared" si="8"/>
        <v>18796</v>
      </c>
      <c r="AU25" s="19">
        <f t="shared" si="8"/>
        <v>18796</v>
      </c>
      <c r="AV25" s="19">
        <f t="shared" si="8"/>
        <v>18796</v>
      </c>
      <c r="AW25" s="19">
        <f t="shared" si="8"/>
        <v>18796</v>
      </c>
      <c r="AX25" s="19">
        <f t="shared" si="8"/>
        <v>18796</v>
      </c>
      <c r="AY25" s="19">
        <f t="shared" si="8"/>
        <v>18796</v>
      </c>
      <c r="AZ25" s="19">
        <f t="shared" si="8"/>
        <v>18796</v>
      </c>
      <c r="BA25" s="19">
        <f t="shared" si="8"/>
        <v>18796</v>
      </c>
      <c r="BB25" s="19">
        <f t="shared" si="9"/>
        <v>244348</v>
      </c>
      <c r="BC25" s="19">
        <f t="shared" si="10"/>
        <v>18796</v>
      </c>
    </row>
    <row r="26" spans="1:55" x14ac:dyDescent="0.2">
      <c r="B26" s="16" t="s">
        <v>27</v>
      </c>
      <c r="C26" s="16" t="s">
        <v>27</v>
      </c>
      <c r="D26" s="16" t="s">
        <v>27</v>
      </c>
      <c r="E26" s="16" t="s">
        <v>27</v>
      </c>
      <c r="F26" s="16" t="s">
        <v>27</v>
      </c>
      <c r="G26" s="16" t="s">
        <v>27</v>
      </c>
      <c r="H26" s="16" t="s">
        <v>27</v>
      </c>
      <c r="I26" s="16" t="s">
        <v>27</v>
      </c>
      <c r="J26" s="16" t="s">
        <v>27</v>
      </c>
      <c r="K26" s="16" t="s">
        <v>27</v>
      </c>
      <c r="L26" s="16" t="s">
        <v>27</v>
      </c>
      <c r="M26" s="16" t="s">
        <v>27</v>
      </c>
      <c r="N26" s="16" t="s">
        <v>27</v>
      </c>
      <c r="O26" s="16" t="s">
        <v>27</v>
      </c>
      <c r="P26" s="16" t="s">
        <v>27</v>
      </c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</row>
    <row r="27" spans="1:55" x14ac:dyDescent="0.2">
      <c r="A27" s="13" t="s">
        <v>41</v>
      </c>
      <c r="B27" s="1">
        <v>-1891917</v>
      </c>
      <c r="C27" s="1">
        <v>-1881375</v>
      </c>
      <c r="D27" s="1">
        <v>-1875271</v>
      </c>
      <c r="E27" s="1">
        <v>-1875197</v>
      </c>
      <c r="F27" s="1">
        <v>-1876649</v>
      </c>
      <c r="G27" s="1">
        <v>-1871991</v>
      </c>
      <c r="H27" s="1">
        <v>-1877981</v>
      </c>
      <c r="I27" s="1">
        <v>-1877175</v>
      </c>
      <c r="J27" s="1">
        <v>-1887768</v>
      </c>
      <c r="K27" s="1">
        <v>-1899959</v>
      </c>
      <c r="L27" s="1">
        <v>-1913017</v>
      </c>
      <c r="M27" s="1">
        <v>-1940517</v>
      </c>
      <c r="N27" s="1">
        <v>-1927267</v>
      </c>
      <c r="O27" s="1">
        <v>-24596083</v>
      </c>
      <c r="P27" s="1">
        <v>-1892006</v>
      </c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</row>
    <row r="28" spans="1:55" x14ac:dyDescent="0.2">
      <c r="B28" s="16" t="s">
        <v>27</v>
      </c>
      <c r="C28" s="16" t="s">
        <v>27</v>
      </c>
      <c r="D28" s="16" t="s">
        <v>27</v>
      </c>
      <c r="E28" s="16" t="s">
        <v>27</v>
      </c>
      <c r="F28" s="16" t="s">
        <v>27</v>
      </c>
      <c r="G28" s="16" t="s">
        <v>27</v>
      </c>
      <c r="H28" s="16" t="s">
        <v>27</v>
      </c>
      <c r="I28" s="16" t="s">
        <v>27</v>
      </c>
      <c r="J28" s="16" t="s">
        <v>27</v>
      </c>
      <c r="K28" s="16" t="s">
        <v>27</v>
      </c>
      <c r="L28" s="16" t="s">
        <v>27</v>
      </c>
      <c r="M28" s="16" t="s">
        <v>27</v>
      </c>
      <c r="N28" s="16" t="s">
        <v>27</v>
      </c>
      <c r="O28" s="16" t="s">
        <v>27</v>
      </c>
      <c r="P28" s="16" t="s">
        <v>27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</row>
    <row r="29" spans="1:55" x14ac:dyDescent="0.2">
      <c r="A29" s="11" t="s">
        <v>42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</row>
    <row r="30" spans="1:55" x14ac:dyDescent="0.2">
      <c r="A30" s="13" t="s">
        <v>43</v>
      </c>
      <c r="B30" s="1">
        <v>2475</v>
      </c>
      <c r="C30" s="1">
        <v>2698</v>
      </c>
      <c r="D30" s="1">
        <v>2901</v>
      </c>
      <c r="E30" s="1">
        <v>4011</v>
      </c>
      <c r="F30" s="1">
        <v>4082</v>
      </c>
      <c r="G30" s="1">
        <v>4144</v>
      </c>
      <c r="H30" s="1">
        <v>3887</v>
      </c>
      <c r="I30" s="1">
        <v>4498</v>
      </c>
      <c r="J30" s="1">
        <v>4498</v>
      </c>
      <c r="K30" s="1">
        <v>4498</v>
      </c>
      <c r="L30" s="1">
        <v>4498</v>
      </c>
      <c r="M30" s="1">
        <v>4498</v>
      </c>
      <c r="N30" s="1">
        <v>4498</v>
      </c>
      <c r="O30" s="1">
        <v>51186</v>
      </c>
      <c r="P30" s="1">
        <v>3937</v>
      </c>
      <c r="Q30" s="5" t="s">
        <v>148</v>
      </c>
      <c r="X30" s="19">
        <f t="shared" si="2"/>
        <v>4498</v>
      </c>
      <c r="Y30" s="19">
        <v>4310.58</v>
      </c>
      <c r="Z30" s="19">
        <v>4123.16</v>
      </c>
      <c r="AA30" s="19">
        <v>3935.74</v>
      </c>
      <c r="AB30" s="19">
        <v>3748.3199999999997</v>
      </c>
      <c r="AC30" s="19">
        <v>3560.8999999999996</v>
      </c>
      <c r="AD30" s="19">
        <v>3373.4799999999996</v>
      </c>
      <c r="AE30" s="19">
        <v>3186.0599999999995</v>
      </c>
      <c r="AF30" s="19">
        <v>2998.6399999999994</v>
      </c>
      <c r="AG30" s="19">
        <v>2811.2199999999993</v>
      </c>
      <c r="AH30" s="19">
        <v>2623.7999999999993</v>
      </c>
      <c r="AI30" s="19">
        <v>2436.3799999999992</v>
      </c>
      <c r="AJ30" s="19">
        <v>2248.9599999999991</v>
      </c>
      <c r="AK30" s="19">
        <f t="shared" ref="AK30" si="13">SUM(X30:AJ30)</f>
        <v>43855.239999999991</v>
      </c>
      <c r="AL30" s="19">
        <f t="shared" ref="AL30:AL32" si="14">AK30/13</f>
        <v>3373.4799999999991</v>
      </c>
      <c r="AO30" s="19">
        <f>AJ30</f>
        <v>2248.9599999999991</v>
      </c>
      <c r="AP30" s="19">
        <v>2062</v>
      </c>
      <c r="AQ30" s="19">
        <v>1874</v>
      </c>
      <c r="AR30" s="19">
        <v>1687</v>
      </c>
      <c r="AS30" s="19">
        <v>1499</v>
      </c>
      <c r="AT30" s="19">
        <v>1312</v>
      </c>
      <c r="AU30" s="19">
        <v>1124</v>
      </c>
      <c r="AV30" s="19">
        <v>937</v>
      </c>
      <c r="AW30" s="19">
        <v>750</v>
      </c>
      <c r="AX30" s="19">
        <v>562</v>
      </c>
      <c r="AY30" s="19">
        <v>375</v>
      </c>
      <c r="AZ30" s="19">
        <v>187</v>
      </c>
      <c r="BA30" s="19">
        <v>0</v>
      </c>
      <c r="BB30" s="19">
        <f t="shared" ref="BB30" si="15">SUM(AO30:BA30)</f>
        <v>14617.96</v>
      </c>
      <c r="BC30" s="19">
        <f t="shared" ref="BC30:BC32" si="16">BB30/13</f>
        <v>1124.4584615384615</v>
      </c>
    </row>
    <row r="31" spans="1:55" x14ac:dyDescent="0.2">
      <c r="A31" s="13" t="s">
        <v>203</v>
      </c>
      <c r="B31" s="1">
        <v>713930</v>
      </c>
      <c r="C31" s="1">
        <v>713930</v>
      </c>
      <c r="D31" s="1">
        <v>713932</v>
      </c>
      <c r="E31" s="1">
        <v>713970</v>
      </c>
      <c r="F31" s="1">
        <v>713991</v>
      </c>
      <c r="G31" s="1">
        <v>713995</v>
      </c>
      <c r="H31" s="1">
        <v>714009</v>
      </c>
      <c r="I31" s="1">
        <v>714020</v>
      </c>
      <c r="J31" s="1">
        <v>714035</v>
      </c>
      <c r="K31" s="1">
        <v>714050</v>
      </c>
      <c r="L31" s="1">
        <v>714054</v>
      </c>
      <c r="M31" s="1">
        <v>714052</v>
      </c>
      <c r="N31" s="1">
        <v>714056</v>
      </c>
      <c r="O31" s="1">
        <v>9282024</v>
      </c>
      <c r="P31" s="1">
        <v>714002</v>
      </c>
      <c r="Q31" s="5" t="s">
        <v>151</v>
      </c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5"/>
      <c r="AN31" s="15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</row>
    <row r="32" spans="1:55" x14ac:dyDescent="0.2">
      <c r="A32" s="13"/>
      <c r="B32" s="1" t="s">
        <v>27</v>
      </c>
      <c r="C32" s="1" t="s">
        <v>27</v>
      </c>
      <c r="D32" s="1" t="s">
        <v>27</v>
      </c>
      <c r="E32" s="1" t="s">
        <v>27</v>
      </c>
      <c r="F32" s="1" t="s">
        <v>27</v>
      </c>
      <c r="G32" s="1" t="s">
        <v>27</v>
      </c>
      <c r="H32" s="1" t="s">
        <v>27</v>
      </c>
      <c r="I32" s="1" t="s">
        <v>27</v>
      </c>
      <c r="J32" s="1" t="s">
        <v>27</v>
      </c>
      <c r="K32" s="1" t="s">
        <v>27</v>
      </c>
      <c r="L32" s="1" t="s">
        <v>27</v>
      </c>
      <c r="M32" s="1" t="s">
        <v>27</v>
      </c>
      <c r="N32" s="1" t="s">
        <v>27</v>
      </c>
      <c r="O32" s="1" t="s">
        <v>27</v>
      </c>
      <c r="P32" s="1" t="s">
        <v>27</v>
      </c>
      <c r="X32" s="19">
        <f>N100</f>
        <v>126</v>
      </c>
      <c r="Y32" s="19">
        <v>126</v>
      </c>
      <c r="Z32" s="19">
        <v>126</v>
      </c>
      <c r="AA32" s="19">
        <v>967</v>
      </c>
      <c r="AB32" s="19">
        <v>2649</v>
      </c>
      <c r="AC32" s="19">
        <v>4331</v>
      </c>
      <c r="AD32" s="19">
        <v>6854</v>
      </c>
      <c r="AE32" s="19">
        <v>8536</v>
      </c>
      <c r="AF32" s="19">
        <v>8980</v>
      </c>
      <c r="AG32" s="19">
        <v>9280</v>
      </c>
      <c r="AH32" s="19">
        <v>9380</v>
      </c>
      <c r="AI32" s="19">
        <v>9380</v>
      </c>
      <c r="AJ32" s="19">
        <v>9380</v>
      </c>
      <c r="AK32" s="19">
        <f t="shared" ref="AK32" si="17">SUM(X32:AJ32)</f>
        <v>70115</v>
      </c>
      <c r="AL32" s="19">
        <f t="shared" si="14"/>
        <v>5393.4615384615381</v>
      </c>
      <c r="AM32" s="15"/>
      <c r="AN32" s="15"/>
      <c r="AO32" s="19">
        <f t="shared" ref="AO32" si="18">AJ32</f>
        <v>9380</v>
      </c>
      <c r="AP32" s="19">
        <v>9226</v>
      </c>
      <c r="AQ32" s="19">
        <v>9072</v>
      </c>
      <c r="AR32" s="19">
        <v>8918</v>
      </c>
      <c r="AS32" s="19">
        <v>8764</v>
      </c>
      <c r="AT32" s="19">
        <v>8610</v>
      </c>
      <c r="AU32" s="19">
        <v>8456</v>
      </c>
      <c r="AV32" s="19">
        <v>8302</v>
      </c>
      <c r="AW32" s="19">
        <v>8148</v>
      </c>
      <c r="AX32" s="19">
        <v>7994</v>
      </c>
      <c r="AY32" s="19">
        <v>7840</v>
      </c>
      <c r="AZ32" s="19">
        <v>7686</v>
      </c>
      <c r="BA32" s="19">
        <v>7532</v>
      </c>
      <c r="BB32" s="19">
        <f t="shared" ref="BB32" si="19">SUM(AO32:BA32)</f>
        <v>109928</v>
      </c>
      <c r="BC32" s="19">
        <f t="shared" si="16"/>
        <v>8456</v>
      </c>
    </row>
    <row r="33" spans="1:55" x14ac:dyDescent="0.2">
      <c r="A33" s="13" t="s">
        <v>48</v>
      </c>
      <c r="B33" s="1">
        <v>716405</v>
      </c>
      <c r="C33" s="1">
        <v>716628</v>
      </c>
      <c r="D33" s="1">
        <v>716833</v>
      </c>
      <c r="E33" s="1">
        <v>717981</v>
      </c>
      <c r="F33" s="1">
        <v>718073</v>
      </c>
      <c r="G33" s="1">
        <v>718139</v>
      </c>
      <c r="H33" s="1">
        <v>717896</v>
      </c>
      <c r="I33" s="1">
        <v>718518</v>
      </c>
      <c r="J33" s="1">
        <v>718533</v>
      </c>
      <c r="K33" s="1">
        <v>718548</v>
      </c>
      <c r="L33" s="1">
        <v>718552</v>
      </c>
      <c r="M33" s="1">
        <v>718550</v>
      </c>
      <c r="N33" s="1">
        <v>718554</v>
      </c>
      <c r="O33" s="1">
        <v>9333210</v>
      </c>
      <c r="P33" s="1">
        <v>717939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</row>
    <row r="34" spans="1:55" x14ac:dyDescent="0.2">
      <c r="B34" s="16" t="s">
        <v>27</v>
      </c>
      <c r="C34" s="16" t="s">
        <v>27</v>
      </c>
      <c r="D34" s="16" t="s">
        <v>27</v>
      </c>
      <c r="E34" s="16" t="s">
        <v>27</v>
      </c>
      <c r="F34" s="16" t="s">
        <v>27</v>
      </c>
      <c r="G34" s="16" t="s">
        <v>27</v>
      </c>
      <c r="H34" s="16" t="s">
        <v>27</v>
      </c>
      <c r="I34" s="16" t="s">
        <v>27</v>
      </c>
      <c r="J34" s="16" t="s">
        <v>27</v>
      </c>
      <c r="K34" s="16" t="s">
        <v>27</v>
      </c>
      <c r="L34" s="16" t="s">
        <v>27</v>
      </c>
      <c r="M34" s="16" t="s">
        <v>27</v>
      </c>
      <c r="N34" s="16" t="s">
        <v>27</v>
      </c>
      <c r="O34" s="16" t="s">
        <v>27</v>
      </c>
      <c r="P34" s="16" t="s">
        <v>27</v>
      </c>
      <c r="X34" s="15"/>
    </row>
    <row r="35" spans="1:55" x14ac:dyDescent="0.2">
      <c r="X35" s="15"/>
    </row>
    <row r="36" spans="1:55" ht="15.75" x14ac:dyDescent="0.25">
      <c r="A36" s="22" t="s">
        <v>49</v>
      </c>
      <c r="B36" s="23">
        <v>-101669</v>
      </c>
      <c r="C36" s="23">
        <v>-93504</v>
      </c>
      <c r="D36" s="23">
        <v>-90163</v>
      </c>
      <c r="E36" s="23">
        <v>-91202</v>
      </c>
      <c r="F36" s="23">
        <v>-90373</v>
      </c>
      <c r="G36" s="23">
        <v>-88606</v>
      </c>
      <c r="H36" s="23">
        <v>-92365</v>
      </c>
      <c r="I36" s="23">
        <v>-81066</v>
      </c>
      <c r="J36" s="23">
        <v>-94629</v>
      </c>
      <c r="K36" s="23">
        <v>-95305</v>
      </c>
      <c r="L36" s="23">
        <v>-90649</v>
      </c>
      <c r="M36" s="23">
        <v>-114439</v>
      </c>
      <c r="N36" s="23">
        <v>-104039</v>
      </c>
      <c r="O36" s="23">
        <v>-1228010</v>
      </c>
      <c r="P36" s="23">
        <v>-94462</v>
      </c>
      <c r="X36" s="15"/>
    </row>
    <row r="37" spans="1:55" x14ac:dyDescent="0.2">
      <c r="B37" s="16" t="s">
        <v>50</v>
      </c>
      <c r="C37" s="16" t="s">
        <v>50</v>
      </c>
      <c r="D37" s="16" t="s">
        <v>50</v>
      </c>
      <c r="E37" s="16" t="s">
        <v>50</v>
      </c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  <c r="L37" s="16" t="s">
        <v>50</v>
      </c>
      <c r="M37" s="16" t="s">
        <v>50</v>
      </c>
      <c r="N37" s="16" t="s">
        <v>50</v>
      </c>
      <c r="O37" s="16" t="s">
        <v>50</v>
      </c>
      <c r="P37" s="16" t="s">
        <v>50</v>
      </c>
      <c r="X37" s="15"/>
    </row>
    <row r="38" spans="1:55" x14ac:dyDescent="0.2">
      <c r="X38" s="15"/>
    </row>
    <row r="39" spans="1:55" x14ac:dyDescent="0.2">
      <c r="A39" s="13" t="s">
        <v>51</v>
      </c>
      <c r="P39" s="24" t="s">
        <v>52</v>
      </c>
      <c r="X39" s="15"/>
    </row>
    <row r="40" spans="1:55" x14ac:dyDescent="0.2">
      <c r="A40" s="13" t="s">
        <v>53</v>
      </c>
      <c r="P40" s="24" t="s">
        <v>54</v>
      </c>
      <c r="X40" s="15"/>
    </row>
    <row r="41" spans="1:55" ht="22.5" x14ac:dyDescent="0.45">
      <c r="A41" s="4" t="s">
        <v>99</v>
      </c>
      <c r="X41" s="15"/>
    </row>
    <row r="42" spans="1:55" ht="19.5" x14ac:dyDescent="0.4">
      <c r="A42" s="6" t="s">
        <v>1</v>
      </c>
      <c r="X42" s="15"/>
    </row>
    <row r="43" spans="1:55" ht="19.5" x14ac:dyDescent="0.4">
      <c r="A43" s="6" t="s">
        <v>2</v>
      </c>
      <c r="X43" s="15"/>
    </row>
    <row r="44" spans="1:55" ht="19.5" x14ac:dyDescent="0.4">
      <c r="A44" s="6" t="s">
        <v>3</v>
      </c>
      <c r="X44" s="15"/>
    </row>
    <row r="45" spans="1:55" x14ac:dyDescent="0.2">
      <c r="X45" s="15"/>
    </row>
    <row r="46" spans="1:55" x14ac:dyDescent="0.2">
      <c r="B46" s="7" t="s">
        <v>4</v>
      </c>
      <c r="C46" s="7" t="s">
        <v>5</v>
      </c>
      <c r="D46" s="7" t="s">
        <v>6</v>
      </c>
      <c r="E46" s="7" t="s">
        <v>7</v>
      </c>
      <c r="F46" s="7" t="s">
        <v>8</v>
      </c>
      <c r="G46" s="7" t="s">
        <v>9</v>
      </c>
      <c r="H46" s="7" t="s">
        <v>10</v>
      </c>
      <c r="I46" s="7" t="s">
        <v>11</v>
      </c>
      <c r="J46" s="7" t="s">
        <v>12</v>
      </c>
      <c r="K46" s="7" t="s">
        <v>13</v>
      </c>
      <c r="L46" s="7" t="s">
        <v>14</v>
      </c>
      <c r="M46" s="7" t="s">
        <v>15</v>
      </c>
      <c r="N46" s="7" t="s">
        <v>4</v>
      </c>
      <c r="X46" s="15"/>
    </row>
    <row r="47" spans="1:55" x14ac:dyDescent="0.2">
      <c r="B47" s="8" t="s">
        <v>16</v>
      </c>
      <c r="C47" s="8" t="s">
        <v>17</v>
      </c>
      <c r="D47" s="8" t="s">
        <v>17</v>
      </c>
      <c r="E47" s="8" t="s">
        <v>17</v>
      </c>
      <c r="F47" s="8" t="s">
        <v>17</v>
      </c>
      <c r="G47" s="8" t="s">
        <v>17</v>
      </c>
      <c r="H47" s="8" t="s">
        <v>17</v>
      </c>
      <c r="I47" s="8" t="s">
        <v>17</v>
      </c>
      <c r="J47" s="8" t="s">
        <v>17</v>
      </c>
      <c r="K47" s="8" t="s">
        <v>17</v>
      </c>
      <c r="L47" s="8" t="s">
        <v>17</v>
      </c>
      <c r="M47" s="8" t="s">
        <v>17</v>
      </c>
      <c r="N47" s="8" t="s">
        <v>17</v>
      </c>
      <c r="O47" s="9" t="s">
        <v>18</v>
      </c>
      <c r="P47" s="9" t="s">
        <v>19</v>
      </c>
      <c r="X47" s="15"/>
    </row>
    <row r="48" spans="1:55" x14ac:dyDescent="0.2">
      <c r="X48" s="15"/>
    </row>
    <row r="49" spans="1:57" ht="22.5" x14ac:dyDescent="0.45">
      <c r="A49" s="4" t="s">
        <v>55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X49" s="15"/>
    </row>
    <row r="50" spans="1:57" x14ac:dyDescent="0.2">
      <c r="X50" s="15"/>
    </row>
    <row r="51" spans="1:57" x14ac:dyDescent="0.2">
      <c r="A51" s="11" t="s">
        <v>56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X51" s="15"/>
    </row>
    <row r="52" spans="1:57" x14ac:dyDescent="0.2">
      <c r="A52" s="13" t="s">
        <v>57</v>
      </c>
      <c r="B52" s="14">
        <v>-388179</v>
      </c>
      <c r="C52" s="14">
        <v>-387746</v>
      </c>
      <c r="D52" s="14">
        <v>-383382</v>
      </c>
      <c r="E52" s="14">
        <v>-384977</v>
      </c>
      <c r="F52" s="14">
        <v>-385744</v>
      </c>
      <c r="G52" s="14">
        <v>-386379</v>
      </c>
      <c r="H52" s="14">
        <v>-389695</v>
      </c>
      <c r="I52" s="14">
        <v>-392892</v>
      </c>
      <c r="J52" s="14">
        <v>-402802</v>
      </c>
      <c r="K52" s="14">
        <v>-393912</v>
      </c>
      <c r="L52" s="14">
        <v>-394409</v>
      </c>
      <c r="M52" s="14">
        <v>-393980</v>
      </c>
      <c r="N52" s="14">
        <v>-393261</v>
      </c>
      <c r="O52" s="14">
        <v>-5077359</v>
      </c>
      <c r="P52" s="14">
        <v>-390566</v>
      </c>
      <c r="Q52" s="5" t="s">
        <v>152</v>
      </c>
      <c r="X52" s="15"/>
    </row>
    <row r="53" spans="1:57" x14ac:dyDescent="0.2">
      <c r="B53" s="16" t="s">
        <v>27</v>
      </c>
      <c r="C53" s="16" t="s">
        <v>27</v>
      </c>
      <c r="D53" s="16" t="s">
        <v>27</v>
      </c>
      <c r="E53" s="16" t="s">
        <v>27</v>
      </c>
      <c r="F53" s="16" t="s">
        <v>27</v>
      </c>
      <c r="G53" s="16" t="s">
        <v>27</v>
      </c>
      <c r="H53" s="16" t="s">
        <v>27</v>
      </c>
      <c r="I53" s="16" t="s">
        <v>27</v>
      </c>
      <c r="J53" s="16" t="s">
        <v>27</v>
      </c>
      <c r="K53" s="16" t="s">
        <v>27</v>
      </c>
      <c r="L53" s="16" t="s">
        <v>27</v>
      </c>
      <c r="M53" s="16" t="s">
        <v>27</v>
      </c>
      <c r="N53" s="16" t="s">
        <v>27</v>
      </c>
      <c r="O53" s="16" t="s">
        <v>27</v>
      </c>
      <c r="P53" s="16" t="s">
        <v>27</v>
      </c>
      <c r="X53" s="15"/>
    </row>
    <row r="54" spans="1:57" x14ac:dyDescent="0.2">
      <c r="A54" s="13" t="s">
        <v>58</v>
      </c>
      <c r="B54" s="1">
        <v>-388179</v>
      </c>
      <c r="C54" s="1">
        <v>-387746</v>
      </c>
      <c r="D54" s="1">
        <v>-383382</v>
      </c>
      <c r="E54" s="1">
        <v>-384977</v>
      </c>
      <c r="F54" s="1">
        <v>-385744</v>
      </c>
      <c r="G54" s="1">
        <v>-386379</v>
      </c>
      <c r="H54" s="1">
        <v>-389695</v>
      </c>
      <c r="I54" s="1">
        <v>-392892</v>
      </c>
      <c r="J54" s="1">
        <v>-402802</v>
      </c>
      <c r="K54" s="1">
        <v>-393912</v>
      </c>
      <c r="L54" s="1">
        <v>-394409</v>
      </c>
      <c r="M54" s="1">
        <v>-393980</v>
      </c>
      <c r="N54" s="1">
        <v>-393261</v>
      </c>
      <c r="O54" s="1">
        <v>-5077359</v>
      </c>
      <c r="P54" s="1">
        <v>-390566</v>
      </c>
      <c r="X54" s="15"/>
    </row>
    <row r="55" spans="1:57" x14ac:dyDescent="0.2">
      <c r="B55" s="16" t="s">
        <v>27</v>
      </c>
      <c r="C55" s="16" t="s">
        <v>27</v>
      </c>
      <c r="D55" s="16" t="s">
        <v>27</v>
      </c>
      <c r="E55" s="16" t="s">
        <v>27</v>
      </c>
      <c r="F55" s="16" t="s">
        <v>27</v>
      </c>
      <c r="G55" s="16" t="s">
        <v>27</v>
      </c>
      <c r="H55" s="16" t="s">
        <v>27</v>
      </c>
      <c r="I55" s="16" t="s">
        <v>27</v>
      </c>
      <c r="J55" s="16" t="s">
        <v>27</v>
      </c>
      <c r="K55" s="16" t="s">
        <v>27</v>
      </c>
      <c r="L55" s="16" t="s">
        <v>27</v>
      </c>
      <c r="M55" s="16" t="s">
        <v>27</v>
      </c>
      <c r="N55" s="16" t="s">
        <v>27</v>
      </c>
      <c r="O55" s="16" t="s">
        <v>27</v>
      </c>
      <c r="P55" s="16" t="s">
        <v>27</v>
      </c>
      <c r="X55" s="15"/>
    </row>
    <row r="56" spans="1:57" x14ac:dyDescent="0.2">
      <c r="A56" s="11" t="s">
        <v>59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X56" s="15"/>
    </row>
    <row r="57" spans="1:57" x14ac:dyDescent="0.2">
      <c r="A57" s="13" t="s">
        <v>63</v>
      </c>
      <c r="B57" s="1">
        <v>0</v>
      </c>
      <c r="C57" s="1">
        <v>24</v>
      </c>
      <c r="D57" s="1">
        <v>90</v>
      </c>
      <c r="E57" s="1">
        <v>92</v>
      </c>
      <c r="F57" s="1">
        <v>101</v>
      </c>
      <c r="G57" s="1">
        <v>112</v>
      </c>
      <c r="H57" s="1">
        <v>92</v>
      </c>
      <c r="I57" s="1">
        <v>75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585</v>
      </c>
      <c r="P57" s="1">
        <v>45</v>
      </c>
      <c r="Q57" s="5" t="s">
        <v>152</v>
      </c>
      <c r="X57" s="15"/>
    </row>
    <row r="58" spans="1:57" x14ac:dyDescent="0.2">
      <c r="B58" s="16" t="s">
        <v>27</v>
      </c>
      <c r="C58" s="16" t="s">
        <v>27</v>
      </c>
      <c r="D58" s="16" t="s">
        <v>27</v>
      </c>
      <c r="E58" s="16" t="s">
        <v>27</v>
      </c>
      <c r="F58" s="16" t="s">
        <v>27</v>
      </c>
      <c r="G58" s="16" t="s">
        <v>27</v>
      </c>
      <c r="H58" s="16" t="s">
        <v>27</v>
      </c>
      <c r="I58" s="16" t="s">
        <v>27</v>
      </c>
      <c r="J58" s="16" t="s">
        <v>27</v>
      </c>
      <c r="K58" s="16" t="s">
        <v>27</v>
      </c>
      <c r="L58" s="16" t="s">
        <v>27</v>
      </c>
      <c r="M58" s="16" t="s">
        <v>27</v>
      </c>
      <c r="N58" s="16" t="s">
        <v>27</v>
      </c>
      <c r="O58" s="16" t="s">
        <v>27</v>
      </c>
      <c r="P58" s="16" t="s">
        <v>27</v>
      </c>
      <c r="X58" s="15"/>
    </row>
    <row r="59" spans="1:57" x14ac:dyDescent="0.2">
      <c r="A59" s="13" t="s">
        <v>64</v>
      </c>
      <c r="B59" s="1">
        <v>0</v>
      </c>
      <c r="C59" s="1">
        <v>24</v>
      </c>
      <c r="D59" s="1">
        <v>90</v>
      </c>
      <c r="E59" s="1">
        <v>92</v>
      </c>
      <c r="F59" s="1">
        <v>101</v>
      </c>
      <c r="G59" s="1">
        <v>112</v>
      </c>
      <c r="H59" s="1">
        <v>92</v>
      </c>
      <c r="I59" s="1">
        <v>75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585</v>
      </c>
      <c r="P59" s="1">
        <v>45</v>
      </c>
      <c r="X59" s="15"/>
    </row>
    <row r="60" spans="1:57" x14ac:dyDescent="0.2">
      <c r="B60" s="16" t="s">
        <v>27</v>
      </c>
      <c r="C60" s="16" t="s">
        <v>27</v>
      </c>
      <c r="D60" s="16" t="s">
        <v>27</v>
      </c>
      <c r="E60" s="16" t="s">
        <v>27</v>
      </c>
      <c r="F60" s="16" t="s">
        <v>27</v>
      </c>
      <c r="G60" s="16" t="s">
        <v>27</v>
      </c>
      <c r="H60" s="16" t="s">
        <v>27</v>
      </c>
      <c r="I60" s="16" t="s">
        <v>27</v>
      </c>
      <c r="J60" s="16" t="s">
        <v>27</v>
      </c>
      <c r="K60" s="16" t="s">
        <v>27</v>
      </c>
      <c r="L60" s="16" t="s">
        <v>27</v>
      </c>
      <c r="M60" s="16" t="s">
        <v>27</v>
      </c>
      <c r="N60" s="16" t="s">
        <v>27</v>
      </c>
      <c r="O60" s="16" t="s">
        <v>27</v>
      </c>
      <c r="P60" s="16" t="s">
        <v>27</v>
      </c>
      <c r="X60" s="15"/>
    </row>
    <row r="61" spans="1:57" x14ac:dyDescent="0.2">
      <c r="A61" s="11" t="s">
        <v>65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X61" s="15"/>
    </row>
    <row r="62" spans="1:57" x14ac:dyDescent="0.2">
      <c r="A62" s="13" t="s">
        <v>66</v>
      </c>
      <c r="B62" s="1">
        <v>2129</v>
      </c>
      <c r="C62" s="1">
        <v>7982</v>
      </c>
      <c r="D62" s="1">
        <v>3205</v>
      </c>
      <c r="E62" s="1">
        <v>3142</v>
      </c>
      <c r="F62" s="1">
        <v>2180</v>
      </c>
      <c r="G62" s="1">
        <v>3804</v>
      </c>
      <c r="H62" s="1">
        <v>1737</v>
      </c>
      <c r="I62" s="1">
        <v>17124</v>
      </c>
      <c r="J62" s="1">
        <v>16428</v>
      </c>
      <c r="K62" s="1">
        <v>16111</v>
      </c>
      <c r="L62" s="1">
        <v>19998</v>
      </c>
      <c r="M62" s="1">
        <v>8748</v>
      </c>
      <c r="N62" s="1">
        <v>3445</v>
      </c>
      <c r="O62" s="1">
        <v>106033</v>
      </c>
      <c r="P62" s="1">
        <v>8156</v>
      </c>
      <c r="Q62" s="5" t="s">
        <v>152</v>
      </c>
      <c r="U62" s="3">
        <v>0.94879999999999998</v>
      </c>
      <c r="V62" s="3">
        <v>0.88870000000000005</v>
      </c>
      <c r="W62" s="15"/>
      <c r="X62" s="18">
        <f t="shared" ref="X62:X67" si="20">+N62</f>
        <v>3445</v>
      </c>
      <c r="Y62" s="18">
        <f>($AK$62-$X$62)/12</f>
        <v>8096.1971999999996</v>
      </c>
      <c r="Z62" s="18">
        <f t="shared" ref="Z62:AJ62" si="21">($AK$62-$X$62)/12</f>
        <v>8096.1971999999996</v>
      </c>
      <c r="AA62" s="18">
        <f t="shared" si="21"/>
        <v>8096.1971999999996</v>
      </c>
      <c r="AB62" s="18">
        <f t="shared" si="21"/>
        <v>8096.1971999999996</v>
      </c>
      <c r="AC62" s="18">
        <f t="shared" si="21"/>
        <v>8096.1971999999996</v>
      </c>
      <c r="AD62" s="18">
        <f t="shared" si="21"/>
        <v>8096.1971999999996</v>
      </c>
      <c r="AE62" s="18">
        <f t="shared" si="21"/>
        <v>8096.1971999999996</v>
      </c>
      <c r="AF62" s="18">
        <f t="shared" si="21"/>
        <v>8096.1971999999996</v>
      </c>
      <c r="AG62" s="18">
        <f t="shared" si="21"/>
        <v>8096.1971999999996</v>
      </c>
      <c r="AH62" s="18">
        <f t="shared" si="21"/>
        <v>8096.1971999999996</v>
      </c>
      <c r="AI62" s="18">
        <f t="shared" si="21"/>
        <v>8096.1971999999996</v>
      </c>
      <c r="AJ62" s="18">
        <f t="shared" si="21"/>
        <v>8096.1971999999996</v>
      </c>
      <c r="AK62" s="18">
        <f>+P62*U62*13</f>
        <v>100599.3664</v>
      </c>
      <c r="AL62" s="18">
        <f>+AK62/13</f>
        <v>7738.4128000000001</v>
      </c>
      <c r="AM62" s="18"/>
      <c r="AO62" s="18">
        <f>AJ62</f>
        <v>8096.1971999999996</v>
      </c>
      <c r="AP62" s="18">
        <f>+($BB$62-$AO$62)/12</f>
        <v>7177.5738666666684</v>
      </c>
      <c r="AQ62" s="18">
        <f t="shared" ref="AQ62:BA62" si="22">+($BB$62-$AO$62)/12</f>
        <v>7177.5738666666684</v>
      </c>
      <c r="AR62" s="18">
        <f t="shared" si="22"/>
        <v>7177.5738666666684</v>
      </c>
      <c r="AS62" s="18">
        <f t="shared" si="22"/>
        <v>7177.5738666666684</v>
      </c>
      <c r="AT62" s="18">
        <f t="shared" si="22"/>
        <v>7177.5738666666684</v>
      </c>
      <c r="AU62" s="18">
        <f t="shared" si="22"/>
        <v>7177.5738666666684</v>
      </c>
      <c r="AV62" s="18">
        <f t="shared" si="22"/>
        <v>7177.5738666666684</v>
      </c>
      <c r="AW62" s="18">
        <f t="shared" si="22"/>
        <v>7177.5738666666684</v>
      </c>
      <c r="AX62" s="18">
        <f t="shared" si="22"/>
        <v>7177.5738666666684</v>
      </c>
      <c r="AY62" s="18">
        <f t="shared" si="22"/>
        <v>7177.5738666666684</v>
      </c>
      <c r="AZ62" s="18">
        <f t="shared" si="22"/>
        <v>7177.5738666666684</v>
      </c>
      <c r="BA62" s="18">
        <f t="shared" si="22"/>
        <v>7177.5738666666684</v>
      </c>
      <c r="BB62" s="18">
        <f>P62*V62*13</f>
        <v>94227.083600000013</v>
      </c>
      <c r="BC62" s="18">
        <f>BB62/13</f>
        <v>7248.2372000000014</v>
      </c>
    </row>
    <row r="63" spans="1:57" x14ac:dyDescent="0.2">
      <c r="A63" s="13" t="s">
        <v>67</v>
      </c>
      <c r="B63" s="1">
        <v>22848</v>
      </c>
      <c r="C63" s="1">
        <v>23025</v>
      </c>
      <c r="D63" s="1">
        <v>22783</v>
      </c>
      <c r="E63" s="1">
        <v>22573</v>
      </c>
      <c r="F63" s="1">
        <v>22684</v>
      </c>
      <c r="G63" s="1">
        <v>22995</v>
      </c>
      <c r="H63" s="1">
        <v>22941</v>
      </c>
      <c r="I63" s="1">
        <v>22421</v>
      </c>
      <c r="J63" s="1">
        <v>22630</v>
      </c>
      <c r="K63" s="1">
        <v>23015</v>
      </c>
      <c r="L63" s="1">
        <v>22727</v>
      </c>
      <c r="M63" s="1">
        <v>23182</v>
      </c>
      <c r="N63" s="1">
        <v>33699</v>
      </c>
      <c r="O63" s="1">
        <v>307524</v>
      </c>
      <c r="P63" s="1">
        <v>23656</v>
      </c>
      <c r="Q63" s="5" t="s">
        <v>152</v>
      </c>
      <c r="U63" s="3"/>
      <c r="V63" s="3"/>
      <c r="W63" s="15"/>
      <c r="X63" s="18">
        <f t="shared" si="20"/>
        <v>33699</v>
      </c>
      <c r="Y63" s="18">
        <v>33407.222824999997</v>
      </c>
      <c r="Z63" s="18">
        <v>33115.445649999994</v>
      </c>
      <c r="AA63" s="18">
        <v>32823.668474999999</v>
      </c>
      <c r="AB63" s="18">
        <v>32531.891299999996</v>
      </c>
      <c r="AC63" s="18">
        <v>32240.114124999989</v>
      </c>
      <c r="AD63" s="18">
        <v>31948.33694999999</v>
      </c>
      <c r="AE63" s="18">
        <v>31656.559774999991</v>
      </c>
      <c r="AF63" s="18">
        <v>31364.782599999988</v>
      </c>
      <c r="AG63" s="18">
        <v>31073.005424999985</v>
      </c>
      <c r="AH63" s="18">
        <v>30781.228249999986</v>
      </c>
      <c r="AI63" s="18">
        <v>30489.451074999986</v>
      </c>
      <c r="AJ63" s="18">
        <v>30197.673899999998</v>
      </c>
      <c r="AK63" s="18">
        <f>SUM(X63:AJ63)</f>
        <v>415328.38034999993</v>
      </c>
      <c r="AL63" s="18">
        <f>+AK63/13</f>
        <v>31948.336949999994</v>
      </c>
      <c r="AM63" s="18"/>
      <c r="AO63" s="18">
        <f t="shared" ref="AO63:AO73" si="23">AJ63</f>
        <v>30197.673899999998</v>
      </c>
      <c r="AP63" s="18">
        <v>29966.787799333331</v>
      </c>
      <c r="AQ63" s="18">
        <v>29736.575598666666</v>
      </c>
      <c r="AR63" s="18">
        <v>29506.363398000001</v>
      </c>
      <c r="AS63" s="18">
        <v>29276.151197333333</v>
      </c>
      <c r="AT63" s="18">
        <v>29045.938996666664</v>
      </c>
      <c r="AU63" s="18">
        <v>28815.726795999999</v>
      </c>
      <c r="AV63" s="18">
        <v>28585.514595333334</v>
      </c>
      <c r="AW63" s="18">
        <v>28355.302394666665</v>
      </c>
      <c r="AX63" s="18">
        <v>28125.090193999997</v>
      </c>
      <c r="AY63" s="18">
        <v>27894.877993333332</v>
      </c>
      <c r="AZ63" s="18">
        <v>27664.665792666667</v>
      </c>
      <c r="BA63" s="18">
        <v>27434.453592000002</v>
      </c>
      <c r="BB63" s="18">
        <f t="shared" ref="BB63:BB64" si="24">SUM(AO63:BA63)</f>
        <v>374605.122248</v>
      </c>
      <c r="BC63" s="18">
        <f t="shared" ref="BC63:BC64" si="25">BB63/13</f>
        <v>28815.778634461538</v>
      </c>
      <c r="BE63" s="5" t="s">
        <v>181</v>
      </c>
    </row>
    <row r="64" spans="1:57" x14ac:dyDescent="0.2">
      <c r="A64" s="13" t="s">
        <v>68</v>
      </c>
      <c r="B64" s="1">
        <v>-110731</v>
      </c>
      <c r="C64" s="1">
        <v>-110547</v>
      </c>
      <c r="D64" s="1">
        <v>-109086</v>
      </c>
      <c r="E64" s="1">
        <v>-112806</v>
      </c>
      <c r="F64" s="1">
        <v>-113012</v>
      </c>
      <c r="G64" s="1">
        <v>-113175</v>
      </c>
      <c r="H64" s="1">
        <v>-118668</v>
      </c>
      <c r="I64" s="1">
        <v>-119422</v>
      </c>
      <c r="J64" s="1">
        <v>-122598</v>
      </c>
      <c r="K64" s="1">
        <v>-126558</v>
      </c>
      <c r="L64" s="1">
        <v>-126676</v>
      </c>
      <c r="M64" s="1">
        <v>-126493</v>
      </c>
      <c r="N64" s="1">
        <v>-139326</v>
      </c>
      <c r="O64" s="1">
        <v>-1549097</v>
      </c>
      <c r="P64" s="1">
        <v>-119161</v>
      </c>
      <c r="Q64" s="5" t="s">
        <v>152</v>
      </c>
      <c r="X64" s="15">
        <f t="shared" si="20"/>
        <v>-139326</v>
      </c>
      <c r="Y64" s="18">
        <v>-140911.82312765127</v>
      </c>
      <c r="Z64" s="18">
        <v>-143005.44971874935</v>
      </c>
      <c r="AA64" s="18">
        <v>-139325.70000000001</v>
      </c>
      <c r="AB64" s="18">
        <v>-141869.94378317334</v>
      </c>
      <c r="AC64" s="18">
        <v>-143394.28598360845</v>
      </c>
      <c r="AD64" s="18">
        <v>-139325.70000000001</v>
      </c>
      <c r="AE64" s="18">
        <v>-140359.41615517714</v>
      </c>
      <c r="AF64" s="18">
        <v>-140359.41615517714</v>
      </c>
      <c r="AG64" s="18">
        <v>-140359.41615517714</v>
      </c>
      <c r="AH64" s="18">
        <v>-140359.41615517714</v>
      </c>
      <c r="AI64" s="18">
        <v>-140359.41615517714</v>
      </c>
      <c r="AJ64" s="18">
        <v>-140359.41615517714</v>
      </c>
      <c r="AK64" s="18">
        <f>SUM(X64:AJ64)</f>
        <v>-1829315.3995442456</v>
      </c>
      <c r="AL64" s="18">
        <f>+AK64/13</f>
        <v>-140716.5691957112</v>
      </c>
      <c r="AO64" s="18">
        <f t="shared" si="23"/>
        <v>-140359.41615517714</v>
      </c>
      <c r="AP64" s="18">
        <f>AO64</f>
        <v>-140359.41615517714</v>
      </c>
      <c r="AQ64" s="18">
        <f>AP64</f>
        <v>-140359.41615517714</v>
      </c>
      <c r="AR64" s="18">
        <f t="shared" ref="AR64:BA64" si="26">AQ64</f>
        <v>-140359.41615517714</v>
      </c>
      <c r="AS64" s="18">
        <f t="shared" si="26"/>
        <v>-140359.41615517714</v>
      </c>
      <c r="AT64" s="18">
        <f t="shared" si="26"/>
        <v>-140359.41615517714</v>
      </c>
      <c r="AU64" s="18">
        <f t="shared" si="26"/>
        <v>-140359.41615517714</v>
      </c>
      <c r="AV64" s="18">
        <f t="shared" si="26"/>
        <v>-140359.41615517714</v>
      </c>
      <c r="AW64" s="18">
        <f t="shared" si="26"/>
        <v>-140359.41615517714</v>
      </c>
      <c r="AX64" s="18">
        <f t="shared" si="26"/>
        <v>-140359.41615517714</v>
      </c>
      <c r="AY64" s="18">
        <f t="shared" si="26"/>
        <v>-140359.41615517714</v>
      </c>
      <c r="AZ64" s="18">
        <f t="shared" si="26"/>
        <v>-140359.41615517714</v>
      </c>
      <c r="BA64" s="18">
        <f t="shared" si="26"/>
        <v>-140359.41615517714</v>
      </c>
      <c r="BB64" s="18">
        <f t="shared" si="24"/>
        <v>-1824672.410017303</v>
      </c>
      <c r="BC64" s="18">
        <f t="shared" si="25"/>
        <v>-140359.41615517714</v>
      </c>
    </row>
    <row r="65" spans="1:55" x14ac:dyDescent="0.2">
      <c r="A65" s="13" t="s">
        <v>69</v>
      </c>
      <c r="B65" s="1">
        <v>770</v>
      </c>
      <c r="C65" s="1">
        <v>46</v>
      </c>
      <c r="D65" s="1">
        <v>107</v>
      </c>
      <c r="E65" s="1">
        <v>168</v>
      </c>
      <c r="F65" s="1">
        <v>231</v>
      </c>
      <c r="G65" s="1">
        <v>301</v>
      </c>
      <c r="H65" s="1">
        <v>362</v>
      </c>
      <c r="I65" s="1">
        <v>419</v>
      </c>
      <c r="J65" s="1">
        <v>491</v>
      </c>
      <c r="K65" s="1">
        <v>551</v>
      </c>
      <c r="L65" s="1">
        <v>619</v>
      </c>
      <c r="M65" s="1">
        <v>683</v>
      </c>
      <c r="N65" s="1">
        <v>746</v>
      </c>
      <c r="O65" s="1">
        <v>5492</v>
      </c>
      <c r="P65" s="1">
        <v>422</v>
      </c>
      <c r="Q65" s="5" t="s">
        <v>152</v>
      </c>
      <c r="X65" s="15">
        <f t="shared" si="20"/>
        <v>746</v>
      </c>
      <c r="Y65" s="18">
        <f t="shared" ref="Y65:Y70" si="27">X65</f>
        <v>746</v>
      </c>
      <c r="Z65" s="38">
        <f>Y65</f>
        <v>746</v>
      </c>
      <c r="AA65" s="38">
        <f t="shared" ref="AA65:AJ65" si="28">Z65</f>
        <v>746</v>
      </c>
      <c r="AB65" s="38">
        <f t="shared" si="28"/>
        <v>746</v>
      </c>
      <c r="AC65" s="38">
        <f t="shared" si="28"/>
        <v>746</v>
      </c>
      <c r="AD65" s="38">
        <f t="shared" si="28"/>
        <v>746</v>
      </c>
      <c r="AE65" s="38">
        <f t="shared" si="28"/>
        <v>746</v>
      </c>
      <c r="AF65" s="38">
        <f t="shared" si="28"/>
        <v>746</v>
      </c>
      <c r="AG65" s="38">
        <f t="shared" si="28"/>
        <v>746</v>
      </c>
      <c r="AH65" s="38">
        <f t="shared" si="28"/>
        <v>746</v>
      </c>
      <c r="AI65" s="38">
        <f t="shared" si="28"/>
        <v>746</v>
      </c>
      <c r="AJ65" s="38">
        <f t="shared" si="28"/>
        <v>746</v>
      </c>
      <c r="AK65" s="18">
        <f t="shared" ref="AK65:AK66" si="29">SUM(X65:AJ65)</f>
        <v>9698</v>
      </c>
      <c r="AL65" s="18">
        <f t="shared" ref="AL65:AL66" si="30">+AK65/13</f>
        <v>746</v>
      </c>
      <c r="AO65" s="18">
        <f t="shared" si="23"/>
        <v>746</v>
      </c>
      <c r="AP65" s="18">
        <f>AO65</f>
        <v>746</v>
      </c>
      <c r="AQ65" s="18">
        <f t="shared" ref="AQ65:BA65" si="31">AP65</f>
        <v>746</v>
      </c>
      <c r="AR65" s="18">
        <f t="shared" si="31"/>
        <v>746</v>
      </c>
      <c r="AS65" s="18">
        <f t="shared" si="31"/>
        <v>746</v>
      </c>
      <c r="AT65" s="18">
        <f t="shared" si="31"/>
        <v>746</v>
      </c>
      <c r="AU65" s="18">
        <f t="shared" si="31"/>
        <v>746</v>
      </c>
      <c r="AV65" s="18">
        <f t="shared" si="31"/>
        <v>746</v>
      </c>
      <c r="AW65" s="18">
        <f t="shared" si="31"/>
        <v>746</v>
      </c>
      <c r="AX65" s="18">
        <f t="shared" si="31"/>
        <v>746</v>
      </c>
      <c r="AY65" s="18">
        <f t="shared" si="31"/>
        <v>746</v>
      </c>
      <c r="AZ65" s="18">
        <f t="shared" si="31"/>
        <v>746</v>
      </c>
      <c r="BA65" s="18">
        <f t="shared" si="31"/>
        <v>746</v>
      </c>
      <c r="BB65" s="18">
        <f>SUM(AO65:BA65)</f>
        <v>9698</v>
      </c>
      <c r="BC65" s="18">
        <f>BB65/13</f>
        <v>746</v>
      </c>
    </row>
    <row r="66" spans="1:55" x14ac:dyDescent="0.2">
      <c r="A66" s="13" t="s">
        <v>70</v>
      </c>
      <c r="B66" s="1">
        <v>33717</v>
      </c>
      <c r="C66" s="1">
        <v>33931</v>
      </c>
      <c r="D66" s="1">
        <v>34799</v>
      </c>
      <c r="E66" s="1">
        <v>37288</v>
      </c>
      <c r="F66" s="1">
        <v>39445</v>
      </c>
      <c r="G66" s="1">
        <v>40806</v>
      </c>
      <c r="H66" s="1">
        <v>42248</v>
      </c>
      <c r="I66" s="1">
        <v>43623</v>
      </c>
      <c r="J66" s="1">
        <v>45324</v>
      </c>
      <c r="K66" s="1">
        <v>47186</v>
      </c>
      <c r="L66" s="1">
        <v>49075</v>
      </c>
      <c r="M66" s="1">
        <v>36382</v>
      </c>
      <c r="N66" s="1">
        <v>38211</v>
      </c>
      <c r="O66" s="1">
        <v>522035</v>
      </c>
      <c r="P66" s="1">
        <v>40157</v>
      </c>
      <c r="Q66" s="5" t="s">
        <v>152</v>
      </c>
      <c r="X66" s="15">
        <f t="shared" si="20"/>
        <v>38211</v>
      </c>
      <c r="Y66" s="18">
        <f t="shared" si="27"/>
        <v>38211</v>
      </c>
      <c r="Z66" s="38">
        <f>Y66</f>
        <v>38211</v>
      </c>
      <c r="AA66" s="38">
        <f t="shared" ref="AA66:AJ66" si="32">Z66</f>
        <v>38211</v>
      </c>
      <c r="AB66" s="38">
        <f t="shared" si="32"/>
        <v>38211</v>
      </c>
      <c r="AC66" s="38">
        <f t="shared" si="32"/>
        <v>38211</v>
      </c>
      <c r="AD66" s="38">
        <f t="shared" si="32"/>
        <v>38211</v>
      </c>
      <c r="AE66" s="38">
        <f t="shared" si="32"/>
        <v>38211</v>
      </c>
      <c r="AF66" s="38">
        <f t="shared" si="32"/>
        <v>38211</v>
      </c>
      <c r="AG66" s="38">
        <f t="shared" si="32"/>
        <v>38211</v>
      </c>
      <c r="AH66" s="38">
        <f t="shared" si="32"/>
        <v>38211</v>
      </c>
      <c r="AI66" s="38">
        <f t="shared" si="32"/>
        <v>38211</v>
      </c>
      <c r="AJ66" s="38">
        <f t="shared" si="32"/>
        <v>38211</v>
      </c>
      <c r="AK66" s="18">
        <f t="shared" si="29"/>
        <v>496743</v>
      </c>
      <c r="AL66" s="18">
        <f t="shared" si="30"/>
        <v>38211</v>
      </c>
      <c r="AO66" s="18">
        <f t="shared" si="23"/>
        <v>38211</v>
      </c>
      <c r="AP66" s="18">
        <f>AO66</f>
        <v>38211</v>
      </c>
      <c r="AQ66" s="18">
        <f t="shared" ref="AQ66:BA66" si="33">AP66</f>
        <v>38211</v>
      </c>
      <c r="AR66" s="18">
        <f t="shared" si="33"/>
        <v>38211</v>
      </c>
      <c r="AS66" s="18">
        <f t="shared" si="33"/>
        <v>38211</v>
      </c>
      <c r="AT66" s="18">
        <f t="shared" si="33"/>
        <v>38211</v>
      </c>
      <c r="AU66" s="18">
        <f t="shared" si="33"/>
        <v>38211</v>
      </c>
      <c r="AV66" s="18">
        <f t="shared" si="33"/>
        <v>38211</v>
      </c>
      <c r="AW66" s="18">
        <f t="shared" si="33"/>
        <v>38211</v>
      </c>
      <c r="AX66" s="18">
        <f t="shared" si="33"/>
        <v>38211</v>
      </c>
      <c r="AY66" s="18">
        <f t="shared" si="33"/>
        <v>38211</v>
      </c>
      <c r="AZ66" s="18">
        <f t="shared" si="33"/>
        <v>38211</v>
      </c>
      <c r="BA66" s="18">
        <f t="shared" si="33"/>
        <v>38211</v>
      </c>
      <c r="BB66" s="18">
        <f t="shared" ref="BB66" si="34">SUM(AO66:BA66)</f>
        <v>496743</v>
      </c>
      <c r="BC66" s="18">
        <f t="shared" ref="BC66" si="35">BB66/13</f>
        <v>38211</v>
      </c>
    </row>
    <row r="67" spans="1:55" x14ac:dyDescent="0.2">
      <c r="B67" s="16" t="s">
        <v>27</v>
      </c>
      <c r="C67" s="16" t="s">
        <v>27</v>
      </c>
      <c r="D67" s="16" t="s">
        <v>27</v>
      </c>
      <c r="E67" s="16" t="s">
        <v>27</v>
      </c>
      <c r="F67" s="16" t="s">
        <v>27</v>
      </c>
      <c r="G67" s="16" t="s">
        <v>27</v>
      </c>
      <c r="H67" s="16" t="s">
        <v>27</v>
      </c>
      <c r="I67" s="16" t="s">
        <v>27</v>
      </c>
      <c r="J67" s="16" t="s">
        <v>27</v>
      </c>
      <c r="K67" s="16" t="s">
        <v>27</v>
      </c>
      <c r="L67" s="16" t="s">
        <v>27</v>
      </c>
      <c r="M67" s="16" t="s">
        <v>27</v>
      </c>
      <c r="N67" s="16" t="s">
        <v>27</v>
      </c>
      <c r="O67" s="16" t="s">
        <v>27</v>
      </c>
      <c r="P67" s="16" t="s">
        <v>27</v>
      </c>
      <c r="X67" s="15" t="str">
        <f t="shared" si="20"/>
        <v>-</v>
      </c>
      <c r="Y67" s="18" t="str">
        <f t="shared" si="27"/>
        <v>-</v>
      </c>
    </row>
    <row r="68" spans="1:55" x14ac:dyDescent="0.2">
      <c r="A68" s="13" t="s">
        <v>73</v>
      </c>
      <c r="B68" s="1">
        <v>-51268</v>
      </c>
      <c r="C68" s="1">
        <v>-45564</v>
      </c>
      <c r="D68" s="1">
        <v>-48192</v>
      </c>
      <c r="E68" s="1">
        <v>-49635</v>
      </c>
      <c r="F68" s="1">
        <v>-48472</v>
      </c>
      <c r="G68" s="1">
        <v>-45268</v>
      </c>
      <c r="H68" s="1">
        <v>-51381</v>
      </c>
      <c r="I68" s="1">
        <v>-35834</v>
      </c>
      <c r="J68" s="1">
        <v>-37725</v>
      </c>
      <c r="K68" s="1">
        <v>-39695</v>
      </c>
      <c r="L68" s="1">
        <v>-34258</v>
      </c>
      <c r="M68" s="1">
        <v>-57498</v>
      </c>
      <c r="N68" s="1">
        <v>-63225</v>
      </c>
      <c r="O68" s="1">
        <v>-608014</v>
      </c>
      <c r="P68" s="1">
        <v>-46770</v>
      </c>
      <c r="X68" s="15"/>
      <c r="Y68" s="18">
        <f t="shared" si="27"/>
        <v>0</v>
      </c>
    </row>
    <row r="69" spans="1:55" x14ac:dyDescent="0.2">
      <c r="B69" s="16" t="s">
        <v>27</v>
      </c>
      <c r="C69" s="16" t="s">
        <v>27</v>
      </c>
      <c r="D69" s="16" t="s">
        <v>27</v>
      </c>
      <c r="E69" s="16" t="s">
        <v>27</v>
      </c>
      <c r="F69" s="16" t="s">
        <v>27</v>
      </c>
      <c r="G69" s="16" t="s">
        <v>27</v>
      </c>
      <c r="H69" s="16" t="s">
        <v>27</v>
      </c>
      <c r="I69" s="16" t="s">
        <v>27</v>
      </c>
      <c r="J69" s="16" t="s">
        <v>27</v>
      </c>
      <c r="K69" s="16" t="s">
        <v>27</v>
      </c>
      <c r="L69" s="16" t="s">
        <v>27</v>
      </c>
      <c r="M69" s="16" t="s">
        <v>27</v>
      </c>
      <c r="N69" s="16" t="s">
        <v>27</v>
      </c>
      <c r="O69" s="16" t="s">
        <v>27</v>
      </c>
      <c r="P69" s="16" t="s">
        <v>27</v>
      </c>
      <c r="X69" s="15"/>
      <c r="Y69" s="18">
        <f t="shared" si="27"/>
        <v>0</v>
      </c>
    </row>
    <row r="70" spans="1:55" x14ac:dyDescent="0.2">
      <c r="A70" s="11" t="s">
        <v>74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X70" s="15"/>
      <c r="Y70" s="18">
        <f t="shared" si="27"/>
        <v>0</v>
      </c>
    </row>
    <row r="71" spans="1:55" x14ac:dyDescent="0.2">
      <c r="A71" s="13" t="s">
        <v>75</v>
      </c>
      <c r="B71" s="1">
        <v>10989</v>
      </c>
      <c r="C71" s="1">
        <v>13392</v>
      </c>
      <c r="D71" s="1">
        <v>15331</v>
      </c>
      <c r="E71" s="1">
        <v>14338</v>
      </c>
      <c r="F71" s="1">
        <v>15161</v>
      </c>
      <c r="G71" s="1">
        <v>14748</v>
      </c>
      <c r="H71" s="1">
        <v>16178</v>
      </c>
      <c r="I71" s="1">
        <v>15542</v>
      </c>
      <c r="J71" s="1">
        <v>14255</v>
      </c>
      <c r="K71" s="1">
        <v>15528</v>
      </c>
      <c r="L71" s="1">
        <v>15645</v>
      </c>
      <c r="M71" s="1">
        <v>15066</v>
      </c>
      <c r="N71" s="1">
        <v>15947</v>
      </c>
      <c r="O71" s="1">
        <v>192121</v>
      </c>
      <c r="P71" s="1">
        <v>14779</v>
      </c>
      <c r="Q71" s="5" t="s">
        <v>152</v>
      </c>
      <c r="X71" s="15">
        <f>+N71</f>
        <v>15947</v>
      </c>
      <c r="Y71" s="18">
        <v>18400.049713287801</v>
      </c>
      <c r="Z71" s="18">
        <v>17596.147370107894</v>
      </c>
      <c r="AA71" s="18">
        <v>16621.618539294122</v>
      </c>
      <c r="AB71" s="18">
        <v>15638.463220846486</v>
      </c>
      <c r="AC71" s="18">
        <v>14161.681414764986</v>
      </c>
      <c r="AD71" s="18">
        <v>12407.27312104962</v>
      </c>
      <c r="AE71" s="18">
        <v>11082.23833970039</v>
      </c>
      <c r="AF71" s="18">
        <v>9760.577070717296</v>
      </c>
      <c r="AG71" s="18">
        <v>8440.2893141003369</v>
      </c>
      <c r="AH71" s="18">
        <v>7122.3750698495123</v>
      </c>
      <c r="AI71" s="18">
        <v>5807.8343379648231</v>
      </c>
      <c r="AJ71" s="18">
        <v>4801</v>
      </c>
      <c r="AK71" s="18">
        <f t="shared" ref="AK71:AK72" si="36">SUM(X71:AJ71)</f>
        <v>157786.54751168328</v>
      </c>
      <c r="AL71" s="18">
        <f t="shared" ref="AL71:AL73" si="37">+AK71/13</f>
        <v>12137.426731667945</v>
      </c>
      <c r="AO71" s="18">
        <f t="shared" si="23"/>
        <v>4801</v>
      </c>
      <c r="AP71" s="18">
        <v>4401</v>
      </c>
      <c r="AQ71" s="18">
        <v>4001</v>
      </c>
      <c r="AR71" s="18">
        <v>3601</v>
      </c>
      <c r="AS71" s="18">
        <v>3200</v>
      </c>
      <c r="AT71" s="18">
        <v>2800</v>
      </c>
      <c r="AU71" s="18">
        <v>2400</v>
      </c>
      <c r="AV71" s="18">
        <v>2000</v>
      </c>
      <c r="AW71" s="18">
        <v>1600</v>
      </c>
      <c r="AX71" s="18">
        <v>1200</v>
      </c>
      <c r="AY71" s="18">
        <v>800</v>
      </c>
      <c r="AZ71" s="18">
        <v>400</v>
      </c>
      <c r="BA71" s="18">
        <v>0</v>
      </c>
      <c r="BB71" s="18">
        <f t="shared" ref="BB71:BB73" si="38">SUM(AO71:BA71)</f>
        <v>31204</v>
      </c>
      <c r="BC71" s="18">
        <f t="shared" ref="BC71:BC73" si="39">BB71/13</f>
        <v>2400.3076923076924</v>
      </c>
    </row>
    <row r="72" spans="1:55" x14ac:dyDescent="0.2">
      <c r="A72" s="13" t="s">
        <v>76</v>
      </c>
      <c r="B72" s="1">
        <v>95645</v>
      </c>
      <c r="C72" s="1">
        <v>95109</v>
      </c>
      <c r="D72" s="1">
        <v>94574</v>
      </c>
      <c r="E72" s="1">
        <v>94038</v>
      </c>
      <c r="F72" s="1">
        <v>93503</v>
      </c>
      <c r="G72" s="1">
        <v>92967</v>
      </c>
      <c r="H72" s="1">
        <v>92431</v>
      </c>
      <c r="I72" s="1">
        <v>91895</v>
      </c>
      <c r="J72" s="1">
        <v>91359</v>
      </c>
      <c r="K72" s="1">
        <v>74665</v>
      </c>
      <c r="L72" s="1">
        <v>74129</v>
      </c>
      <c r="M72" s="1">
        <v>73593</v>
      </c>
      <c r="N72" s="1">
        <v>73057</v>
      </c>
      <c r="O72" s="1">
        <v>1136969</v>
      </c>
      <c r="P72" s="1">
        <v>87459</v>
      </c>
      <c r="Q72" s="5" t="s">
        <v>152</v>
      </c>
      <c r="X72" s="15">
        <f>+N72</f>
        <v>73057</v>
      </c>
      <c r="Y72" s="18">
        <v>72511.499999999971</v>
      </c>
      <c r="Z72" s="18">
        <v>71995.166666666642</v>
      </c>
      <c r="AA72" s="18">
        <v>71478.833333333314</v>
      </c>
      <c r="AB72" s="18">
        <v>70962.499999999971</v>
      </c>
      <c r="AC72" s="18">
        <v>70446.166666666642</v>
      </c>
      <c r="AD72" s="18">
        <v>69929.833333333314</v>
      </c>
      <c r="AE72" s="18">
        <v>69413.499999999971</v>
      </c>
      <c r="AF72" s="18">
        <v>68897.166666666642</v>
      </c>
      <c r="AG72" s="18">
        <v>68380.833333333314</v>
      </c>
      <c r="AH72" s="18">
        <v>67864.499999999985</v>
      </c>
      <c r="AI72" s="18">
        <v>67348.166666666657</v>
      </c>
      <c r="AJ72" s="18">
        <v>66831.833333333314</v>
      </c>
      <c r="AK72" s="18">
        <f t="shared" si="36"/>
        <v>909116.99999999977</v>
      </c>
      <c r="AL72" s="18">
        <f t="shared" si="37"/>
        <v>69932.076923076907</v>
      </c>
      <c r="AO72" s="18">
        <f t="shared" si="23"/>
        <v>66831.833333333314</v>
      </c>
      <c r="AP72" s="18">
        <v>66315.499999999985</v>
      </c>
      <c r="AQ72" s="18">
        <v>65799.166666666657</v>
      </c>
      <c r="AR72" s="18">
        <v>65282.833333333321</v>
      </c>
      <c r="AS72" s="18">
        <v>64766.499999999985</v>
      </c>
      <c r="AT72" s="18">
        <v>64250.166666666657</v>
      </c>
      <c r="AU72" s="18">
        <v>63733.833333333328</v>
      </c>
      <c r="AV72" s="18">
        <v>63217.499999999993</v>
      </c>
      <c r="AW72" s="18">
        <v>62701.166666666657</v>
      </c>
      <c r="AX72" s="18">
        <v>62184.833333333328</v>
      </c>
      <c r="AY72" s="18">
        <v>61668.5</v>
      </c>
      <c r="AZ72" s="18">
        <v>61152.166666666664</v>
      </c>
      <c r="BA72" s="18">
        <v>60635.833333333328</v>
      </c>
      <c r="BB72" s="18">
        <f t="shared" si="38"/>
        <v>828539.83333333337</v>
      </c>
      <c r="BC72" s="18">
        <f t="shared" si="39"/>
        <v>63733.833333333336</v>
      </c>
    </row>
    <row r="73" spans="1:55" x14ac:dyDescent="0.2">
      <c r="A73" s="13" t="s">
        <v>77</v>
      </c>
      <c r="B73" s="1">
        <v>129959</v>
      </c>
      <c r="C73" s="1">
        <v>130095</v>
      </c>
      <c r="D73" s="1">
        <v>130230</v>
      </c>
      <c r="E73" s="1">
        <v>135144</v>
      </c>
      <c r="F73" s="1">
        <v>135279</v>
      </c>
      <c r="G73" s="1">
        <v>135415</v>
      </c>
      <c r="H73" s="1">
        <v>140329</v>
      </c>
      <c r="I73" s="1">
        <v>140465</v>
      </c>
      <c r="J73" s="1">
        <v>140601</v>
      </c>
      <c r="K73" s="1">
        <v>145083</v>
      </c>
      <c r="L73" s="1">
        <v>145219</v>
      </c>
      <c r="M73" s="1">
        <v>145355</v>
      </c>
      <c r="N73" s="1">
        <v>147978</v>
      </c>
      <c r="O73" s="1">
        <v>1801153</v>
      </c>
      <c r="P73" s="1">
        <v>138550</v>
      </c>
      <c r="Q73" s="5" t="s">
        <v>153</v>
      </c>
      <c r="X73" s="15">
        <f>N91</f>
        <v>263443</v>
      </c>
      <c r="Y73" s="18">
        <v>264766.27</v>
      </c>
      <c r="Z73" s="18">
        <v>266089.27</v>
      </c>
      <c r="AA73" s="18">
        <v>267412.27</v>
      </c>
      <c r="AB73" s="18">
        <v>268735.27</v>
      </c>
      <c r="AC73" s="18">
        <v>270058.27</v>
      </c>
      <c r="AD73" s="18">
        <v>271381.27</v>
      </c>
      <c r="AE73" s="18">
        <v>272704.27</v>
      </c>
      <c r="AF73" s="18">
        <v>274027.27</v>
      </c>
      <c r="AG73" s="18">
        <v>275350.27</v>
      </c>
      <c r="AH73" s="18">
        <v>276673.27</v>
      </c>
      <c r="AI73" s="18">
        <v>277996.27</v>
      </c>
      <c r="AJ73" s="18">
        <v>279319.27</v>
      </c>
      <c r="AK73" s="18">
        <f t="shared" ref="AK73" si="40">SUM(X73:AJ73)</f>
        <v>3527956.24</v>
      </c>
      <c r="AL73" s="18">
        <f t="shared" si="37"/>
        <v>271381.24923076923</v>
      </c>
      <c r="AO73" s="18">
        <f t="shared" si="23"/>
        <v>279319.27</v>
      </c>
      <c r="AP73" s="18">
        <v>280458.27</v>
      </c>
      <c r="AQ73" s="18">
        <v>281597.27</v>
      </c>
      <c r="AR73" s="18">
        <v>282736.27</v>
      </c>
      <c r="AS73" s="18">
        <v>283875.27</v>
      </c>
      <c r="AT73" s="18">
        <v>285014.27</v>
      </c>
      <c r="AU73" s="18">
        <v>286153.27</v>
      </c>
      <c r="AV73" s="18">
        <v>287292.27</v>
      </c>
      <c r="AW73" s="18">
        <v>288431.27</v>
      </c>
      <c r="AX73" s="18">
        <v>289570.27</v>
      </c>
      <c r="AY73" s="18">
        <v>290709.27</v>
      </c>
      <c r="AZ73" s="18">
        <v>291848.27</v>
      </c>
      <c r="BA73" s="18">
        <v>292987.27</v>
      </c>
      <c r="BB73" s="18">
        <f t="shared" si="38"/>
        <v>3719992.5100000002</v>
      </c>
      <c r="BC73" s="18">
        <f t="shared" si="39"/>
        <v>286153.27</v>
      </c>
    </row>
    <row r="74" spans="1:55" x14ac:dyDescent="0.2">
      <c r="A74" s="13" t="s">
        <v>78</v>
      </c>
      <c r="B74" s="1">
        <v>101185</v>
      </c>
      <c r="C74" s="1">
        <v>101185</v>
      </c>
      <c r="D74" s="1">
        <v>101185</v>
      </c>
      <c r="E74" s="1">
        <v>99799</v>
      </c>
      <c r="F74" s="1">
        <v>99799</v>
      </c>
      <c r="G74" s="1">
        <v>99799</v>
      </c>
      <c r="H74" s="1">
        <v>99682</v>
      </c>
      <c r="I74" s="1">
        <v>99682</v>
      </c>
      <c r="J74" s="1">
        <v>99682</v>
      </c>
      <c r="K74" s="1">
        <v>103025</v>
      </c>
      <c r="L74" s="1">
        <v>103025</v>
      </c>
      <c r="M74" s="1">
        <v>103025</v>
      </c>
      <c r="N74" s="1">
        <v>115465</v>
      </c>
      <c r="O74" s="1">
        <v>1326536</v>
      </c>
      <c r="P74" s="1">
        <v>102041</v>
      </c>
      <c r="Q74" s="5" t="s">
        <v>153</v>
      </c>
      <c r="X74" s="15"/>
      <c r="Y74" s="18"/>
    </row>
    <row r="75" spans="1:55" x14ac:dyDescent="0.2">
      <c r="B75" s="16" t="s">
        <v>27</v>
      </c>
      <c r="C75" s="16" t="s">
        <v>27</v>
      </c>
      <c r="D75" s="16" t="s">
        <v>27</v>
      </c>
      <c r="E75" s="16" t="s">
        <v>27</v>
      </c>
      <c r="F75" s="16" t="s">
        <v>27</v>
      </c>
      <c r="G75" s="16" t="s">
        <v>27</v>
      </c>
      <c r="H75" s="16" t="s">
        <v>27</v>
      </c>
      <c r="I75" s="16" t="s">
        <v>27</v>
      </c>
      <c r="J75" s="16" t="s">
        <v>27</v>
      </c>
      <c r="K75" s="16" t="s">
        <v>27</v>
      </c>
      <c r="L75" s="16" t="s">
        <v>27</v>
      </c>
      <c r="M75" s="16" t="s">
        <v>27</v>
      </c>
      <c r="N75" s="16" t="s">
        <v>27</v>
      </c>
      <c r="O75" s="16" t="s">
        <v>27</v>
      </c>
      <c r="P75" s="16" t="s">
        <v>27</v>
      </c>
      <c r="X75" s="15"/>
    </row>
    <row r="76" spans="1:55" x14ac:dyDescent="0.2">
      <c r="A76" s="13" t="s">
        <v>79</v>
      </c>
      <c r="B76" s="1">
        <v>337778</v>
      </c>
      <c r="C76" s="1">
        <v>339782</v>
      </c>
      <c r="D76" s="1">
        <v>341321</v>
      </c>
      <c r="E76" s="1">
        <v>343318</v>
      </c>
      <c r="F76" s="1">
        <v>343742</v>
      </c>
      <c r="G76" s="1">
        <v>342929</v>
      </c>
      <c r="H76" s="1">
        <v>348620</v>
      </c>
      <c r="I76" s="1">
        <v>347584</v>
      </c>
      <c r="J76" s="1">
        <v>345897</v>
      </c>
      <c r="K76" s="1">
        <v>338302</v>
      </c>
      <c r="L76" s="1">
        <v>338018</v>
      </c>
      <c r="M76" s="1">
        <v>337039</v>
      </c>
      <c r="N76" s="1">
        <v>352447</v>
      </c>
      <c r="O76" s="1">
        <v>4456779</v>
      </c>
      <c r="P76" s="1">
        <v>342829</v>
      </c>
      <c r="X76" s="15"/>
    </row>
    <row r="77" spans="1:55" x14ac:dyDescent="0.2">
      <c r="B77" s="16" t="s">
        <v>27</v>
      </c>
      <c r="C77" s="16" t="s">
        <v>27</v>
      </c>
      <c r="D77" s="16" t="s">
        <v>27</v>
      </c>
      <c r="E77" s="16" t="s">
        <v>27</v>
      </c>
      <c r="F77" s="16" t="s">
        <v>27</v>
      </c>
      <c r="G77" s="16" t="s">
        <v>27</v>
      </c>
      <c r="H77" s="16" t="s">
        <v>27</v>
      </c>
      <c r="I77" s="16" t="s">
        <v>27</v>
      </c>
      <c r="J77" s="16" t="s">
        <v>27</v>
      </c>
      <c r="K77" s="16" t="s">
        <v>27</v>
      </c>
      <c r="L77" s="16" t="s">
        <v>27</v>
      </c>
      <c r="M77" s="16" t="s">
        <v>27</v>
      </c>
      <c r="N77" s="16" t="s">
        <v>27</v>
      </c>
      <c r="O77" s="16" t="s">
        <v>27</v>
      </c>
      <c r="P77" s="16" t="s">
        <v>27</v>
      </c>
      <c r="X77" s="15"/>
    </row>
    <row r="78" spans="1:55" x14ac:dyDescent="0.2">
      <c r="X78" s="15"/>
    </row>
    <row r="79" spans="1:55" ht="15.75" x14ac:dyDescent="0.25">
      <c r="A79" s="22" t="s">
        <v>80</v>
      </c>
      <c r="B79" s="23">
        <v>-101669</v>
      </c>
      <c r="C79" s="23">
        <v>-93504</v>
      </c>
      <c r="D79" s="23">
        <v>-90163</v>
      </c>
      <c r="E79" s="23">
        <v>-91202</v>
      </c>
      <c r="F79" s="23">
        <v>-90373</v>
      </c>
      <c r="G79" s="23">
        <v>-88606</v>
      </c>
      <c r="H79" s="23">
        <v>-92365</v>
      </c>
      <c r="I79" s="23">
        <v>-81066</v>
      </c>
      <c r="J79" s="23">
        <v>-94629</v>
      </c>
      <c r="K79" s="23">
        <v>-95305</v>
      </c>
      <c r="L79" s="23">
        <v>-90649</v>
      </c>
      <c r="M79" s="23">
        <v>-114439</v>
      </c>
      <c r="N79" s="23">
        <v>-104039</v>
      </c>
      <c r="O79" s="23">
        <v>-1228010</v>
      </c>
      <c r="P79" s="23">
        <v>-94462</v>
      </c>
      <c r="X79" s="15"/>
    </row>
    <row r="80" spans="1:55" x14ac:dyDescent="0.2">
      <c r="B80" s="16" t="s">
        <v>50</v>
      </c>
      <c r="C80" s="16" t="s">
        <v>50</v>
      </c>
      <c r="D80" s="16" t="s">
        <v>50</v>
      </c>
      <c r="E80" s="16" t="s">
        <v>50</v>
      </c>
      <c r="F80" s="16" t="s">
        <v>50</v>
      </c>
      <c r="G80" s="16" t="s">
        <v>50</v>
      </c>
      <c r="H80" s="16" t="s">
        <v>50</v>
      </c>
      <c r="I80" s="16" t="s">
        <v>50</v>
      </c>
      <c r="J80" s="16" t="s">
        <v>50</v>
      </c>
      <c r="K80" s="16" t="s">
        <v>50</v>
      </c>
      <c r="L80" s="16" t="s">
        <v>50</v>
      </c>
      <c r="M80" s="16" t="s">
        <v>50</v>
      </c>
      <c r="N80" s="16" t="s">
        <v>50</v>
      </c>
      <c r="O80" s="16" t="s">
        <v>50</v>
      </c>
      <c r="P80" s="16" t="s">
        <v>50</v>
      </c>
      <c r="X80" s="15"/>
    </row>
    <row r="81" spans="1:256" x14ac:dyDescent="0.2">
      <c r="X81" s="15"/>
    </row>
    <row r="82" spans="1:256" x14ac:dyDescent="0.2">
      <c r="X82" s="15"/>
    </row>
    <row r="83" spans="1:256" x14ac:dyDescent="0.2">
      <c r="X83" s="15"/>
    </row>
    <row r="84" spans="1:256" x14ac:dyDescent="0.2">
      <c r="X84" s="15"/>
    </row>
    <row r="85" spans="1:256" x14ac:dyDescent="0.2">
      <c r="A85" s="13" t="s">
        <v>51</v>
      </c>
      <c r="P85" s="24" t="s">
        <v>52</v>
      </c>
      <c r="X85" s="15"/>
    </row>
    <row r="86" spans="1:256" x14ac:dyDescent="0.2">
      <c r="A86" s="13" t="s">
        <v>53</v>
      </c>
      <c r="P86" s="24" t="s">
        <v>54</v>
      </c>
      <c r="X86" s="15"/>
    </row>
    <row r="87" spans="1:256" x14ac:dyDescent="0.2">
      <c r="X87" s="15"/>
    </row>
    <row r="88" spans="1:256" x14ac:dyDescent="0.2">
      <c r="X88" s="15"/>
    </row>
    <row r="89" spans="1:256" x14ac:dyDescent="0.2">
      <c r="A89" s="31" t="s">
        <v>101</v>
      </c>
      <c r="B89" s="1">
        <f>+B12+B13</f>
        <v>1275595</v>
      </c>
      <c r="C89" s="1">
        <f>+C12+C13</f>
        <v>1275929</v>
      </c>
      <c r="D89" s="1">
        <f>+D12+D13</f>
        <v>1275936</v>
      </c>
      <c r="E89" s="1">
        <f t="shared" ref="E89:N89" si="41">+E12+E13</f>
        <v>1276577</v>
      </c>
      <c r="F89" s="1">
        <f t="shared" si="41"/>
        <v>1281517</v>
      </c>
      <c r="G89" s="1">
        <f t="shared" si="41"/>
        <v>1281535</v>
      </c>
      <c r="H89" s="1">
        <f t="shared" si="41"/>
        <v>1286947</v>
      </c>
      <c r="I89" s="1">
        <f t="shared" si="41"/>
        <v>1286947</v>
      </c>
      <c r="J89" s="1">
        <f t="shared" si="41"/>
        <v>1286947</v>
      </c>
      <c r="K89" s="1">
        <f t="shared" si="41"/>
        <v>1301434</v>
      </c>
      <c r="L89" s="1">
        <f t="shared" si="41"/>
        <v>1322114</v>
      </c>
      <c r="M89" s="1">
        <f t="shared" si="41"/>
        <v>1328851</v>
      </c>
      <c r="N89" s="1">
        <f t="shared" si="41"/>
        <v>1329032</v>
      </c>
      <c r="O89" s="1">
        <f t="shared" ref="O89:P89" si="42">+O12+O13</f>
        <v>16809363</v>
      </c>
      <c r="P89" s="1">
        <f t="shared" si="42"/>
        <v>1293028</v>
      </c>
      <c r="Q89" s="5" t="s">
        <v>148</v>
      </c>
      <c r="R89" s="31"/>
      <c r="S89" s="31"/>
      <c r="T89" s="31"/>
      <c r="U89" s="31"/>
      <c r="V89" s="31"/>
      <c r="W89" s="31"/>
      <c r="X89" s="15"/>
      <c r="Y89" s="18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</row>
    <row r="90" spans="1:256" x14ac:dyDescent="0.2">
      <c r="A90" s="31" t="s">
        <v>103</v>
      </c>
      <c r="Q90" s="31"/>
      <c r="R90" s="31"/>
      <c r="S90" s="31"/>
      <c r="T90" s="31"/>
      <c r="U90" s="31"/>
      <c r="V90" s="31"/>
      <c r="W90" s="31"/>
      <c r="X90" s="15"/>
      <c r="Y90" s="18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</row>
    <row r="91" spans="1:256" x14ac:dyDescent="0.2">
      <c r="A91" s="31" t="s">
        <v>104</v>
      </c>
      <c r="B91" s="1">
        <f>+SUM(B73:B74)</f>
        <v>231144</v>
      </c>
      <c r="C91" s="1">
        <f t="shared" ref="C91:N91" si="43">+SUM(C73:C74)</f>
        <v>231280</v>
      </c>
      <c r="D91" s="1">
        <f t="shared" si="43"/>
        <v>231415</v>
      </c>
      <c r="E91" s="1">
        <f t="shared" si="43"/>
        <v>234943</v>
      </c>
      <c r="F91" s="1">
        <f t="shared" si="43"/>
        <v>235078</v>
      </c>
      <c r="G91" s="1">
        <f t="shared" si="43"/>
        <v>235214</v>
      </c>
      <c r="H91" s="1">
        <f t="shared" si="43"/>
        <v>240011</v>
      </c>
      <c r="I91" s="1">
        <f t="shared" si="43"/>
        <v>240147</v>
      </c>
      <c r="J91" s="1">
        <f t="shared" si="43"/>
        <v>240283</v>
      </c>
      <c r="K91" s="1">
        <f t="shared" si="43"/>
        <v>248108</v>
      </c>
      <c r="L91" s="1">
        <f t="shared" si="43"/>
        <v>248244</v>
      </c>
      <c r="M91" s="1">
        <f t="shared" si="43"/>
        <v>248380</v>
      </c>
      <c r="N91" s="1">
        <f t="shared" si="43"/>
        <v>263443</v>
      </c>
      <c r="O91" s="1">
        <f t="shared" ref="O91:P91" si="44">+SUM(O73:O74)</f>
        <v>3127689</v>
      </c>
      <c r="P91" s="1">
        <f t="shared" si="44"/>
        <v>240591</v>
      </c>
      <c r="Q91" s="5" t="s">
        <v>148</v>
      </c>
      <c r="R91" s="31"/>
      <c r="S91" s="31"/>
      <c r="T91" s="31"/>
      <c r="U91" s="31"/>
      <c r="V91" s="31"/>
      <c r="W91" s="31"/>
      <c r="X91" s="15"/>
      <c r="Y91" s="18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</row>
    <row r="92" spans="1:256" x14ac:dyDescent="0.2">
      <c r="X92" s="15"/>
      <c r="Y92" s="18"/>
    </row>
    <row r="93" spans="1:256" x14ac:dyDescent="0.2">
      <c r="X93" s="15"/>
      <c r="Y93" s="18"/>
    </row>
    <row r="94" spans="1:256" x14ac:dyDescent="0.2">
      <c r="X94" s="15"/>
      <c r="Y94" s="18"/>
    </row>
    <row r="95" spans="1:256" x14ac:dyDescent="0.2">
      <c r="A95" s="5" t="str">
        <f>+A14</f>
        <v xml:space="preserve">  108 - Accumulated depr &amp; amort</v>
      </c>
      <c r="B95" s="19">
        <f t="shared" ref="B95:P95" si="45">+B14</f>
        <v>-201752</v>
      </c>
      <c r="C95" s="19">
        <f t="shared" si="45"/>
        <v>-204686</v>
      </c>
      <c r="D95" s="19">
        <f t="shared" si="45"/>
        <v>-207661</v>
      </c>
      <c r="E95" s="19">
        <f t="shared" si="45"/>
        <v>-210563</v>
      </c>
      <c r="F95" s="19">
        <f t="shared" si="45"/>
        <v>-213313</v>
      </c>
      <c r="G95" s="19">
        <f t="shared" si="45"/>
        <v>-216289</v>
      </c>
      <c r="H95" s="19">
        <f t="shared" si="45"/>
        <v>-219228</v>
      </c>
      <c r="I95" s="19">
        <f t="shared" si="45"/>
        <v>-209357</v>
      </c>
      <c r="J95" s="19">
        <f t="shared" si="45"/>
        <v>-212343</v>
      </c>
      <c r="K95" s="19">
        <f t="shared" si="45"/>
        <v>-215329</v>
      </c>
      <c r="L95" s="19">
        <f t="shared" si="45"/>
        <v>-218298</v>
      </c>
      <c r="M95" s="19">
        <f t="shared" si="45"/>
        <v>-221322</v>
      </c>
      <c r="N95" s="19">
        <f t="shared" si="45"/>
        <v>-224359</v>
      </c>
      <c r="O95" s="19">
        <f t="shared" si="45"/>
        <v>-2774500</v>
      </c>
      <c r="P95" s="19">
        <f t="shared" si="45"/>
        <v>-213423</v>
      </c>
      <c r="X95" s="15"/>
      <c r="Y95" s="18"/>
    </row>
    <row r="96" spans="1:256" x14ac:dyDescent="0.2">
      <c r="A96" s="5" t="str">
        <f>+[3]FT!A$50</f>
        <v>RWIP - Retirement Work in Progress</v>
      </c>
      <c r="B96" s="19">
        <f>+[3]FT!C$50</f>
        <v>0</v>
      </c>
      <c r="C96" s="19">
        <f>+[3]FT!D$50</f>
        <v>0</v>
      </c>
      <c r="D96" s="19">
        <f>+[3]FT!E$50</f>
        <v>0</v>
      </c>
      <c r="E96" s="19">
        <f>+[3]FT!F$50</f>
        <v>0</v>
      </c>
      <c r="F96" s="19">
        <f>+[3]FT!G$50</f>
        <v>0</v>
      </c>
      <c r="G96" s="19">
        <f>+[3]FT!H$50</f>
        <v>0</v>
      </c>
      <c r="H96" s="19">
        <f>+[3]FT!I$50</f>
        <v>0</v>
      </c>
      <c r="I96" s="19">
        <f>+[3]FT!J$50</f>
        <v>12857</v>
      </c>
      <c r="J96" s="19">
        <f>+[3]FT!K$50</f>
        <v>12857</v>
      </c>
      <c r="K96" s="19">
        <f>+[3]FT!L$50</f>
        <v>12857</v>
      </c>
      <c r="L96" s="19">
        <f>+[3]FT!M$50</f>
        <v>12857</v>
      </c>
      <c r="M96" s="19">
        <f>+[3]FT!N$50</f>
        <v>12857</v>
      </c>
      <c r="N96" s="19">
        <f>+[3]FT!O$50</f>
        <v>12857</v>
      </c>
      <c r="O96" s="19">
        <f>+[3]FT!P$50</f>
        <v>77141</v>
      </c>
      <c r="P96" s="19">
        <f>+[3]FT!Q$50</f>
        <v>5934</v>
      </c>
      <c r="Q96" s="5" t="s">
        <v>148</v>
      </c>
      <c r="X96" s="15"/>
      <c r="Y96" s="18"/>
    </row>
    <row r="97" spans="1:25" ht="13.5" thickBot="1" x14ac:dyDescent="0.25">
      <c r="B97" s="35">
        <f>+B95-B96</f>
        <v>-201752</v>
      </c>
      <c r="C97" s="35">
        <f t="shared" ref="C97:P97" si="46">+C95-C96</f>
        <v>-204686</v>
      </c>
      <c r="D97" s="35">
        <f t="shared" si="46"/>
        <v>-207661</v>
      </c>
      <c r="E97" s="35">
        <f t="shared" si="46"/>
        <v>-210563</v>
      </c>
      <c r="F97" s="35">
        <f t="shared" si="46"/>
        <v>-213313</v>
      </c>
      <c r="G97" s="35">
        <f t="shared" si="46"/>
        <v>-216289</v>
      </c>
      <c r="H97" s="35">
        <f t="shared" si="46"/>
        <v>-219228</v>
      </c>
      <c r="I97" s="35">
        <f t="shared" si="46"/>
        <v>-222214</v>
      </c>
      <c r="J97" s="35">
        <f t="shared" si="46"/>
        <v>-225200</v>
      </c>
      <c r="K97" s="35">
        <f t="shared" si="46"/>
        <v>-228186</v>
      </c>
      <c r="L97" s="35">
        <f t="shared" si="46"/>
        <v>-231155</v>
      </c>
      <c r="M97" s="35">
        <f t="shared" si="46"/>
        <v>-234179</v>
      </c>
      <c r="N97" s="35">
        <f t="shared" si="46"/>
        <v>-237216</v>
      </c>
      <c r="O97" s="35">
        <f t="shared" si="46"/>
        <v>-2851641</v>
      </c>
      <c r="P97" s="35">
        <f t="shared" si="46"/>
        <v>-219357</v>
      </c>
      <c r="Q97" s="5" t="s">
        <v>148</v>
      </c>
      <c r="X97" s="15"/>
      <c r="Y97" s="18"/>
    </row>
    <row r="98" spans="1:25" ht="13.5" thickTop="1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X98" s="15"/>
      <c r="Y98" s="18"/>
    </row>
    <row r="99" spans="1:25" x14ac:dyDescent="0.2">
      <c r="A99" s="5" t="str">
        <f>+A31</f>
        <v xml:space="preserve">  186 - Misc deferred debits </v>
      </c>
      <c r="B99" s="19">
        <f t="shared" ref="B99:P99" si="47">+B31</f>
        <v>713930</v>
      </c>
      <c r="C99" s="19">
        <f t="shared" si="47"/>
        <v>713930</v>
      </c>
      <c r="D99" s="19">
        <f t="shared" si="47"/>
        <v>713932</v>
      </c>
      <c r="E99" s="19">
        <f t="shared" si="47"/>
        <v>713970</v>
      </c>
      <c r="F99" s="19">
        <f t="shared" si="47"/>
        <v>713991</v>
      </c>
      <c r="G99" s="19">
        <f t="shared" si="47"/>
        <v>713995</v>
      </c>
      <c r="H99" s="19">
        <f t="shared" si="47"/>
        <v>714009</v>
      </c>
      <c r="I99" s="19">
        <f t="shared" si="47"/>
        <v>714020</v>
      </c>
      <c r="J99" s="19">
        <f t="shared" si="47"/>
        <v>714035</v>
      </c>
      <c r="K99" s="19">
        <f t="shared" si="47"/>
        <v>714050</v>
      </c>
      <c r="L99" s="19">
        <f t="shared" si="47"/>
        <v>714054</v>
      </c>
      <c r="M99" s="19">
        <f t="shared" si="47"/>
        <v>714052</v>
      </c>
      <c r="N99" s="19">
        <f t="shared" si="47"/>
        <v>714056</v>
      </c>
      <c r="O99" s="19">
        <f t="shared" si="47"/>
        <v>9282024</v>
      </c>
      <c r="P99" s="19">
        <f t="shared" si="47"/>
        <v>714002</v>
      </c>
      <c r="X99" s="15"/>
      <c r="Y99" s="18"/>
    </row>
    <row r="100" spans="1:25" x14ac:dyDescent="0.2">
      <c r="A100" s="5" t="str">
        <f>[3]FT!A$102</f>
        <v>Deferred Rate Case - Miscellaneous Deferred Debits</v>
      </c>
      <c r="B100" s="19">
        <f>[3]FT!C$102</f>
        <v>0</v>
      </c>
      <c r="C100" s="19">
        <f>[3]FT!D$102</f>
        <v>0</v>
      </c>
      <c r="D100" s="19">
        <f>[3]FT!E$102</f>
        <v>2</v>
      </c>
      <c r="E100" s="19">
        <f>[3]FT!F$102</f>
        <v>40</v>
      </c>
      <c r="F100" s="19">
        <f>[3]FT!G$102</f>
        <v>61</v>
      </c>
      <c r="G100" s="19">
        <f>[3]FT!H$102</f>
        <v>65</v>
      </c>
      <c r="H100" s="19">
        <f>[3]FT!I$102</f>
        <v>79</v>
      </c>
      <c r="I100" s="19">
        <f>[3]FT!J$102</f>
        <v>90</v>
      </c>
      <c r="J100" s="19">
        <f>[3]FT!K$102</f>
        <v>105</v>
      </c>
      <c r="K100" s="19">
        <f>[3]FT!L$102</f>
        <v>120</v>
      </c>
      <c r="L100" s="19">
        <f>[3]FT!M$102</f>
        <v>124</v>
      </c>
      <c r="M100" s="19">
        <f>[3]FT!N$102</f>
        <v>122</v>
      </c>
      <c r="N100" s="19">
        <f>[3]FT!O$102</f>
        <v>126</v>
      </c>
      <c r="O100" s="19">
        <f>[3]FT!P$102</f>
        <v>934</v>
      </c>
      <c r="P100" s="19">
        <f>[3]FT!Q$102</f>
        <v>72</v>
      </c>
      <c r="Q100" s="5" t="s">
        <v>148</v>
      </c>
      <c r="X100" s="15"/>
      <c r="Y100" s="18"/>
    </row>
    <row r="101" spans="1:25" ht="13.5" thickBot="1" x14ac:dyDescent="0.25">
      <c r="B101" s="35">
        <f>+B99-B100</f>
        <v>713930</v>
      </c>
      <c r="C101" s="35">
        <f t="shared" ref="C101:P101" si="48">+C99-C100</f>
        <v>713930</v>
      </c>
      <c r="D101" s="35">
        <f t="shared" si="48"/>
        <v>713930</v>
      </c>
      <c r="E101" s="35">
        <f t="shared" si="48"/>
        <v>713930</v>
      </c>
      <c r="F101" s="35">
        <f t="shared" si="48"/>
        <v>713930</v>
      </c>
      <c r="G101" s="35">
        <f t="shared" si="48"/>
        <v>713930</v>
      </c>
      <c r="H101" s="35">
        <f t="shared" si="48"/>
        <v>713930</v>
      </c>
      <c r="I101" s="35">
        <f t="shared" si="48"/>
        <v>713930</v>
      </c>
      <c r="J101" s="35">
        <f t="shared" si="48"/>
        <v>713930</v>
      </c>
      <c r="K101" s="35">
        <f t="shared" si="48"/>
        <v>713930</v>
      </c>
      <c r="L101" s="35">
        <f t="shared" si="48"/>
        <v>713930</v>
      </c>
      <c r="M101" s="35">
        <f t="shared" si="48"/>
        <v>713930</v>
      </c>
      <c r="N101" s="35">
        <f t="shared" si="48"/>
        <v>713930</v>
      </c>
      <c r="O101" s="35">
        <f t="shared" si="48"/>
        <v>9281090</v>
      </c>
      <c r="P101" s="35">
        <f t="shared" si="48"/>
        <v>713930</v>
      </c>
      <c r="Q101" s="5" t="s">
        <v>148</v>
      </c>
      <c r="X101" s="15"/>
      <c r="Y101" s="18"/>
    </row>
    <row r="102" spans="1:25" ht="13.5" thickTop="1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X102" s="15"/>
      <c r="Y102" s="18"/>
    </row>
    <row r="103" spans="1:25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X103" s="15"/>
    </row>
    <row r="104" spans="1:25" x14ac:dyDescent="0.2">
      <c r="X104" s="15"/>
    </row>
    <row r="105" spans="1:25" x14ac:dyDescent="0.2">
      <c r="X105" s="15"/>
    </row>
    <row r="106" spans="1:25" x14ac:dyDescent="0.2">
      <c r="X106" s="15"/>
    </row>
    <row r="107" spans="1:25" x14ac:dyDescent="0.2">
      <c r="X107" s="15"/>
    </row>
    <row r="108" spans="1:25" x14ac:dyDescent="0.2">
      <c r="X108" s="15"/>
    </row>
    <row r="109" spans="1:25" x14ac:dyDescent="0.2">
      <c r="X109" s="15"/>
    </row>
    <row r="110" spans="1:25" x14ac:dyDescent="0.2">
      <c r="X110" s="15"/>
    </row>
    <row r="111" spans="1:25" x14ac:dyDescent="0.2">
      <c r="X111" s="15"/>
    </row>
    <row r="112" spans="1:25" x14ac:dyDescent="0.2">
      <c r="X112" s="15"/>
    </row>
    <row r="113" spans="24:24" x14ac:dyDescent="0.2">
      <c r="X113" s="15"/>
    </row>
    <row r="114" spans="24:24" x14ac:dyDescent="0.2">
      <c r="X114" s="15"/>
    </row>
    <row r="115" spans="24:24" x14ac:dyDescent="0.2">
      <c r="X115" s="15"/>
    </row>
    <row r="116" spans="24:24" x14ac:dyDescent="0.2">
      <c r="X116" s="15"/>
    </row>
    <row r="117" spans="24:24" x14ac:dyDescent="0.2">
      <c r="X117" s="15"/>
    </row>
    <row r="118" spans="24:24" x14ac:dyDescent="0.2">
      <c r="X118" s="15"/>
    </row>
  </sheetData>
  <pageMargins left="0.5" right="0.5" top="1" bottom="0.5" header="0.5" footer="0.5"/>
  <pageSetup orientation="landscape" r:id="rId1"/>
  <headerFooter alignWithMargins="0"/>
  <rowBreaks count="1" manualBreakCount="1">
    <brk id="40" min="1" max="16" man="1"/>
  </row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 A C T I V E ! 1 5 6 7 6 7 2 0 . 1 < / d o c u m e n t i d >  
     < s e n d e r i d > K E A B E T < / s e n d e r i d >  
     < s e n d e r e m a i l > B K E A T I N G @ G U N S T E R . C O M < / s e n d e r e m a i l >  
     < l a s t m o d i f i e d > 2 0 2 2 - 0 6 - 2 7 T 1 5 : 0 8 : 4 7 . 0 0 0 0 0 0 0 - 0 4 : 0 0 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FN</vt:lpstr>
      <vt:lpstr>CF</vt:lpstr>
      <vt:lpstr>FI</vt:lpstr>
      <vt:lpstr>FT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2022-02-02T03:01:04Z</dcterms:created>
  <dcterms:modified xsi:type="dcterms:W3CDTF">2022-06-27T19:08:47Z</dcterms:modified>
</cp:coreProperties>
</file>