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1-4 Working Capital Adjustments\"/>
    </mc:Choice>
  </mc:AlternateContent>
  <bookViews>
    <workbookView xWindow="120" yWindow="60" windowWidth="15180" windowHeight="9345" tabRatio="599"/>
  </bookViews>
  <sheets>
    <sheet name="Rate Case expenses with hearing" sheetId="16" r:id="rId1"/>
    <sheet name="Rate Case expenses no hearing" sheetId="18" r:id="rId2"/>
    <sheet name="Rate Case Expenses no hear old" sheetId="5" state="hidden" r:id="rId3"/>
    <sheet name="Consulting" sheetId="6" r:id="rId4"/>
    <sheet name="Legal" sheetId="7" r:id="rId5"/>
    <sheet name="Temp" sheetId="8" r:id="rId6"/>
    <sheet name="Payroll" sheetId="9" r:id="rId7"/>
    <sheet name="Travel" sheetId="10" r:id="rId8"/>
    <sheet name="Misc Charges" sheetId="17" r:id="rId9"/>
    <sheet name="Download of Rate Case Activity" sheetId="11" r:id="rId10"/>
    <sheet name="Sheet1" sheetId="15" r:id="rId11"/>
    <sheet name="Sheet4" sheetId="14" r:id="rId12"/>
  </sheets>
  <definedNames>
    <definedName name="_3300" localSheetId="1">#REF!</definedName>
    <definedName name="_3300" localSheetId="0">#REF!</definedName>
    <definedName name="_3300">#REF!</definedName>
    <definedName name="_3310" localSheetId="1">#REF!</definedName>
    <definedName name="_3310" localSheetId="0">#REF!</definedName>
    <definedName name="_3310">#REF!</definedName>
    <definedName name="_3325" localSheetId="1">#REF!</definedName>
    <definedName name="_3325" localSheetId="0">#REF!</definedName>
    <definedName name="_3325">#REF!</definedName>
    <definedName name="_3500" localSheetId="1">#REF!</definedName>
    <definedName name="_3500" localSheetId="0">#REF!</definedName>
    <definedName name="_3500">#REF!</definedName>
    <definedName name="_3500TOT" localSheetId="1">#REF!</definedName>
    <definedName name="_3500TOT" localSheetId="0">#REF!</definedName>
    <definedName name="_3500TOT">#REF!</definedName>
    <definedName name="_3510" localSheetId="1">#REF!</definedName>
    <definedName name="_3510" localSheetId="0">#REF!</definedName>
    <definedName name="_3510">#REF!</definedName>
    <definedName name="_3510TOT" localSheetId="1">#REF!</definedName>
    <definedName name="_3510TOT" localSheetId="0">#REF!</definedName>
    <definedName name="_3510TOT">#REF!</definedName>
    <definedName name="_3560" localSheetId="1">#REF!</definedName>
    <definedName name="_3560" localSheetId="0">#REF!</definedName>
    <definedName name="_3560">#REF!</definedName>
    <definedName name="_3590" localSheetId="1">#REF!</definedName>
    <definedName name="_3590" localSheetId="0">#REF!</definedName>
    <definedName name="_3590">#REF!</definedName>
    <definedName name="_3590TOT" localSheetId="1">#REF!</definedName>
    <definedName name="_3590TOT" localSheetId="0">#REF!</definedName>
    <definedName name="_3590TOT">#REF!</definedName>
    <definedName name="_3600" localSheetId="1">#REF!</definedName>
    <definedName name="_3600" localSheetId="0">#REF!</definedName>
    <definedName name="_3600">#REF!</definedName>
    <definedName name="_3690" localSheetId="1">#REF!</definedName>
    <definedName name="_3690" localSheetId="0">#REF!</definedName>
    <definedName name="_3690">#REF!</definedName>
    <definedName name="_3730" localSheetId="1">#REF!</definedName>
    <definedName name="_3730" localSheetId="0">#REF!</definedName>
    <definedName name="_3730">#REF!</definedName>
    <definedName name="_3760" localSheetId="1">#REF!</definedName>
    <definedName name="_3760" localSheetId="0">#REF!</definedName>
    <definedName name="_3760">#REF!</definedName>
    <definedName name="_3760TOT" localSheetId="1">#REF!</definedName>
    <definedName name="_3760TOT" localSheetId="0">#REF!</definedName>
    <definedName name="_3760TOT">#REF!</definedName>
    <definedName name="_3890" localSheetId="1">#REF!</definedName>
    <definedName name="_3890" localSheetId="0">#REF!</definedName>
    <definedName name="_3890">#REF!</definedName>
    <definedName name="_3900" localSheetId="1">#REF!</definedName>
    <definedName name="_3900" localSheetId="0">#REF!</definedName>
    <definedName name="_3900">#REF!</definedName>
    <definedName name="_3910" localSheetId="1">#REF!</definedName>
    <definedName name="_3910" localSheetId="0">#REF!</definedName>
    <definedName name="_3910">#REF!</definedName>
    <definedName name="_3911" localSheetId="1">#REF!</definedName>
    <definedName name="_3911" localSheetId="0">#REF!</definedName>
    <definedName name="_3911">#REF!</definedName>
    <definedName name="_3912" localSheetId="1">#REF!</definedName>
    <definedName name="_3912" localSheetId="0">#REF!</definedName>
    <definedName name="_3912">#REF!</definedName>
    <definedName name="_3913" localSheetId="1">#REF!</definedName>
    <definedName name="_3913" localSheetId="0">#REF!</definedName>
    <definedName name="_3913">#REF!</definedName>
    <definedName name="_4040" localSheetId="1">#REF!</definedName>
    <definedName name="_4040" localSheetId="0">#REF!</definedName>
    <definedName name="_4040">#REF!</definedName>
    <definedName name="_4090" localSheetId="1">#REF!</definedName>
    <definedName name="_4090" localSheetId="0">#REF!</definedName>
    <definedName name="_4090">#REF!</definedName>
    <definedName name="_5000" localSheetId="1">#REF!</definedName>
    <definedName name="_5000" localSheetId="0">#REF!</definedName>
    <definedName name="_5000">#REF!</definedName>
    <definedName name="_5050" localSheetId="1">#REF!</definedName>
    <definedName name="_5050" localSheetId="0">#REF!</definedName>
    <definedName name="_5050">#REF!</definedName>
    <definedName name="_6050" localSheetId="1">#REF!</definedName>
    <definedName name="_6050" localSheetId="0">#REF!</definedName>
    <definedName name="_6050">#REF!</definedName>
    <definedName name="_6152" localSheetId="1">#REF!</definedName>
    <definedName name="_6152" localSheetId="0">#REF!</definedName>
    <definedName name="_6152">#REF!</definedName>
    <definedName name="_7060" localSheetId="1">#REF!</definedName>
    <definedName name="_7060" localSheetId="0">#REF!</definedName>
    <definedName name="_7060">#REF!</definedName>
    <definedName name="_xlnm._FilterDatabase" localSheetId="9" hidden="1">'Download of Rate Case Activity'!$A$1:$Q$368</definedName>
    <definedName name="DEBARY" localSheetId="1">#REF!</definedName>
    <definedName name="DEBARY" localSheetId="0">#REF!</definedName>
    <definedName name="DEBARY">#REF!</definedName>
    <definedName name="GEORGIA" localSheetId="1">#REF!</definedName>
    <definedName name="GEORGIA" localSheetId="0">#REF!</definedName>
    <definedName name="GEORGIA">#REF!</definedName>
    <definedName name="_xlnm.Print_Area" localSheetId="2">'Rate Case Expenses no hear old'!$B$1:$I$89</definedName>
    <definedName name="_xlnm.Print_Area" localSheetId="1">'Rate Case expenses no hearing'!$B$2:$I$96</definedName>
    <definedName name="_xlnm.Print_Area" localSheetId="0">'Rate Case expenses with hearing'!$B$2:$I$96</definedName>
    <definedName name="RECAP" localSheetId="1">#REF!</definedName>
    <definedName name="RECAP" localSheetId="0">#REF!</definedName>
    <definedName name="RECAP">#REF!</definedName>
    <definedName name="Y2K" localSheetId="1">#REF!</definedName>
    <definedName name="Y2K" localSheetId="0">#REF!</definedName>
    <definedName name="Y2K">#REF!</definedName>
  </definedNames>
  <calcPr calcId="162913"/>
  <pivotCaches>
    <pivotCache cacheId="0" r:id="rId13"/>
  </pivotCaches>
</workbook>
</file>

<file path=xl/calcChain.xml><?xml version="1.0" encoding="utf-8"?>
<calcChain xmlns="http://schemas.openxmlformats.org/spreadsheetml/2006/main">
  <c r="J97" i="16" l="1"/>
  <c r="G103" i="16"/>
  <c r="H100" i="16"/>
  <c r="H99" i="16"/>
  <c r="H98" i="16"/>
  <c r="J98" i="16" s="1"/>
  <c r="L98" i="16" s="1"/>
  <c r="H97" i="16"/>
  <c r="G98" i="16"/>
  <c r="G99" i="16"/>
  <c r="G100" i="16"/>
  <c r="I100" i="16" s="1"/>
  <c r="G97" i="16"/>
  <c r="F101" i="16"/>
  <c r="J100" i="16"/>
  <c r="L100" i="16" s="1"/>
  <c r="I99" i="16"/>
  <c r="J99" i="16"/>
  <c r="L99" i="16" s="1"/>
  <c r="I98" i="16"/>
  <c r="I97" i="16"/>
  <c r="J101" i="16" l="1"/>
  <c r="H101" i="16"/>
  <c r="H103" i="16" s="1"/>
  <c r="I101" i="16"/>
  <c r="L97" i="16"/>
  <c r="L101" i="16" s="1"/>
  <c r="G101" i="16"/>
  <c r="G61" i="18" l="1"/>
  <c r="F60" i="18"/>
  <c r="H60" i="18" s="1"/>
  <c r="G61" i="16" l="1"/>
  <c r="H60" i="16"/>
  <c r="F60" i="16"/>
  <c r="K6" i="8" l="1"/>
  <c r="K4" i="8"/>
  <c r="E15" i="10"/>
  <c r="D15" i="10"/>
  <c r="E16" i="10"/>
  <c r="L13" i="17"/>
  <c r="E5" i="9"/>
  <c r="F84" i="18"/>
  <c r="F83" i="18"/>
  <c r="F82" i="18"/>
  <c r="D9" i="17"/>
  <c r="D10" i="17"/>
  <c r="D8" i="17"/>
  <c r="D7" i="17"/>
  <c r="F86" i="18"/>
  <c r="F48" i="16"/>
  <c r="F48" i="7"/>
  <c r="E6" i="9" l="1"/>
  <c r="D17" i="10" l="1"/>
  <c r="D16" i="10"/>
  <c r="H9" i="17" l="1"/>
  <c r="F36" i="18" l="1"/>
  <c r="K35" i="6"/>
  <c r="D18" i="10"/>
  <c r="E18" i="10" s="1"/>
  <c r="I10" i="17"/>
  <c r="F85" i="18"/>
  <c r="F48" i="18" l="1"/>
  <c r="G48" i="7"/>
  <c r="K48" i="6"/>
  <c r="F40" i="18"/>
  <c r="K50" i="6"/>
  <c r="F38" i="18"/>
  <c r="K44" i="6"/>
  <c r="K41" i="6"/>
  <c r="F32" i="18"/>
  <c r="K38" i="6"/>
  <c r="F29" i="18"/>
  <c r="K36" i="6"/>
  <c r="E36" i="6"/>
  <c r="F28" i="18"/>
  <c r="F26" i="18"/>
  <c r="K34" i="6"/>
  <c r="K30" i="6"/>
  <c r="F8" i="18"/>
  <c r="F9" i="18"/>
  <c r="F14" i="18"/>
  <c r="F23" i="18"/>
  <c r="F22" i="18"/>
  <c r="K28" i="6"/>
  <c r="E28" i="6"/>
  <c r="K27" i="6"/>
  <c r="F18" i="18"/>
  <c r="F17" i="18"/>
  <c r="K21" i="6"/>
  <c r="K26" i="6"/>
  <c r="K23" i="6"/>
  <c r="K13" i="6" l="1"/>
  <c r="D50" i="6"/>
  <c r="E50" i="6" s="1"/>
  <c r="F40" i="16" s="1"/>
  <c r="F77" i="18" l="1"/>
  <c r="H77" i="18" s="1"/>
  <c r="F76" i="18"/>
  <c r="F70" i="18"/>
  <c r="F71" i="18"/>
  <c r="F70" i="16"/>
  <c r="F71" i="16"/>
  <c r="H70" i="18"/>
  <c r="F69" i="18"/>
  <c r="E10" i="10"/>
  <c r="E9" i="10"/>
  <c r="D8" i="10"/>
  <c r="E8" i="10" s="1"/>
  <c r="J8" i="10"/>
  <c r="D9" i="10"/>
  <c r="D7" i="10"/>
  <c r="E7" i="10" s="1"/>
  <c r="L7" i="10"/>
  <c r="F92" i="18"/>
  <c r="G89" i="18"/>
  <c r="H88" i="18"/>
  <c r="H87" i="18"/>
  <c r="H86" i="18"/>
  <c r="H85" i="18"/>
  <c r="H84" i="18"/>
  <c r="H83" i="18"/>
  <c r="F89" i="18"/>
  <c r="G80" i="18"/>
  <c r="H78" i="18"/>
  <c r="G73" i="18"/>
  <c r="F72" i="18"/>
  <c r="H72" i="18" s="1"/>
  <c r="G59" i="18"/>
  <c r="F59" i="18"/>
  <c r="G58" i="18"/>
  <c r="F54" i="18"/>
  <c r="H54" i="18" s="1"/>
  <c r="H50" i="18"/>
  <c r="G48" i="18"/>
  <c r="G52" i="18" s="1"/>
  <c r="H40" i="18"/>
  <c r="G38" i="18"/>
  <c r="H36" i="18"/>
  <c r="G34" i="18"/>
  <c r="G32" i="18"/>
  <c r="G30" i="18"/>
  <c r="H22" i="18"/>
  <c r="J20" i="18"/>
  <c r="G19" i="18"/>
  <c r="G17" i="18"/>
  <c r="G13" i="18"/>
  <c r="G15" i="18" s="1"/>
  <c r="H9" i="18"/>
  <c r="G8" i="18"/>
  <c r="G11" i="18" s="1"/>
  <c r="G94" i="18" s="1"/>
  <c r="G95" i="18" s="1"/>
  <c r="H59" i="18" l="1"/>
  <c r="H61" i="18" s="1"/>
  <c r="F61" i="18"/>
  <c r="H13" i="18"/>
  <c r="H28" i="18"/>
  <c r="F75" i="18"/>
  <c r="H75" i="18" s="1"/>
  <c r="H71" i="18"/>
  <c r="F73" i="18"/>
  <c r="H69" i="18"/>
  <c r="H48" i="18"/>
  <c r="H82" i="18"/>
  <c r="H89" i="18" s="1"/>
  <c r="F92" i="16"/>
  <c r="C16" i="6"/>
  <c r="C17" i="6"/>
  <c r="I8" i="10"/>
  <c r="K17" i="6" l="1"/>
  <c r="E17" i="6"/>
  <c r="E16" i="6"/>
  <c r="K16" i="6"/>
  <c r="H73" i="18"/>
  <c r="C6" i="9"/>
  <c r="C5" i="9"/>
  <c r="B6" i="9"/>
  <c r="B5" i="9"/>
  <c r="F44" i="18" l="1"/>
  <c r="F46" i="18" s="1"/>
  <c r="E18" i="6"/>
  <c r="F44" i="16"/>
  <c r="F14" i="16"/>
  <c r="K18" i="6"/>
  <c r="C44" i="6"/>
  <c r="F15" i="18" l="1"/>
  <c r="H14" i="18"/>
  <c r="H15" i="18" s="1"/>
  <c r="F46" i="16"/>
  <c r="G12" i="6" l="1"/>
  <c r="D12" i="6"/>
  <c r="E12" i="6"/>
  <c r="F83" i="16"/>
  <c r="F84" i="16"/>
  <c r="F82" i="16"/>
  <c r="K9" i="17"/>
  <c r="F77" i="16"/>
  <c r="F75" i="16"/>
  <c r="F72" i="16"/>
  <c r="H72" i="16" s="1"/>
  <c r="F69" i="16"/>
  <c r="D19" i="10"/>
  <c r="D21" i="10" s="1"/>
  <c r="D10" i="10"/>
  <c r="G9" i="10"/>
  <c r="H9" i="10"/>
  <c r="E58" i="7"/>
  <c r="F49" i="18" s="1"/>
  <c r="F59" i="7"/>
  <c r="H49" i="18" l="1"/>
  <c r="H52" i="18" s="1"/>
  <c r="F52" i="18"/>
  <c r="F8" i="16"/>
  <c r="F10" i="16" s="1"/>
  <c r="K12" i="6"/>
  <c r="K14" i="6" s="1"/>
  <c r="E19" i="10"/>
  <c r="E21" i="10" s="1"/>
  <c r="F76" i="16"/>
  <c r="D6" i="9"/>
  <c r="D5" i="9"/>
  <c r="E4" i="8"/>
  <c r="F54" i="16"/>
  <c r="F49" i="16"/>
  <c r="H8" i="18" l="1"/>
  <c r="F10" i="18"/>
  <c r="H10" i="18" s="1"/>
  <c r="H11" i="18" s="1"/>
  <c r="H76" i="18"/>
  <c r="H80" i="18" s="1"/>
  <c r="F80" i="18"/>
  <c r="F6" i="9"/>
  <c r="F5" i="9"/>
  <c r="F8" i="9" l="1"/>
  <c r="F58" i="18" s="1"/>
  <c r="H58" i="18"/>
  <c r="F11" i="18"/>
  <c r="E44" i="6"/>
  <c r="H38" i="18" s="1"/>
  <c r="H40" i="16"/>
  <c r="C38" i="6"/>
  <c r="C30" i="6"/>
  <c r="C21" i="6"/>
  <c r="F22" i="6"/>
  <c r="G30" i="16" l="1"/>
  <c r="C35" i="6"/>
  <c r="E35" i="6" s="1"/>
  <c r="E27" i="6"/>
  <c r="F29" i="16" l="1"/>
  <c r="H29" i="16" s="1"/>
  <c r="H23" i="18"/>
  <c r="H24" i="18" s="1"/>
  <c r="F24" i="18"/>
  <c r="F12" i="6"/>
  <c r="H29" i="18" l="1"/>
  <c r="H30" i="18" s="1"/>
  <c r="F30" i="18"/>
  <c r="G87" i="5"/>
  <c r="H83" i="5" l="1"/>
  <c r="H82" i="5"/>
  <c r="H81" i="5"/>
  <c r="H80" i="5"/>
  <c r="H79" i="5"/>
  <c r="H78" i="5"/>
  <c r="G89" i="16"/>
  <c r="F89" i="16"/>
  <c r="H88" i="16"/>
  <c r="H87" i="16"/>
  <c r="H86" i="16"/>
  <c r="H85" i="16"/>
  <c r="H84" i="16"/>
  <c r="H83" i="16"/>
  <c r="H82" i="16"/>
  <c r="G80" i="16"/>
  <c r="F80" i="16"/>
  <c r="H78" i="16"/>
  <c r="H77" i="16"/>
  <c r="H76" i="16"/>
  <c r="H75" i="16"/>
  <c r="G73" i="16"/>
  <c r="F73" i="16"/>
  <c r="H71" i="16"/>
  <c r="H70" i="16"/>
  <c r="H69" i="16"/>
  <c r="G59" i="16"/>
  <c r="F59" i="16"/>
  <c r="F61" i="16" s="1"/>
  <c r="G58" i="16"/>
  <c r="H54" i="16"/>
  <c r="H50" i="16"/>
  <c r="H49" i="16"/>
  <c r="G48" i="16"/>
  <c r="G52" i="16" s="1"/>
  <c r="G38" i="16"/>
  <c r="F38" i="16"/>
  <c r="H36" i="16"/>
  <c r="G34" i="16"/>
  <c r="G32" i="16"/>
  <c r="F28" i="16"/>
  <c r="F22" i="16"/>
  <c r="H22" i="16" s="1"/>
  <c r="J20" i="16"/>
  <c r="G17" i="16"/>
  <c r="G19" i="16" s="1"/>
  <c r="H14" i="16"/>
  <c r="G13" i="16"/>
  <c r="G15" i="16" s="1"/>
  <c r="F15" i="16"/>
  <c r="F9" i="16"/>
  <c r="H9" i="16" s="1"/>
  <c r="G8" i="16"/>
  <c r="H10" i="16"/>
  <c r="H13" i="5"/>
  <c r="F41" i="5"/>
  <c r="D51" i="7"/>
  <c r="E51" i="7" s="1"/>
  <c r="E52" i="7" s="1"/>
  <c r="C51" i="7"/>
  <c r="E48" i="7"/>
  <c r="D48" i="7"/>
  <c r="C38" i="7"/>
  <c r="H22" i="5"/>
  <c r="F23" i="16"/>
  <c r="H23" i="16" s="1"/>
  <c r="H80" i="16" l="1"/>
  <c r="H73" i="16"/>
  <c r="H28" i="16"/>
  <c r="H30" i="16" s="1"/>
  <c r="F30" i="16"/>
  <c r="H59" i="16"/>
  <c r="H61" i="16" s="1"/>
  <c r="H38" i="16"/>
  <c r="H24" i="16"/>
  <c r="H8" i="16"/>
  <c r="F52" i="16"/>
  <c r="F24" i="16"/>
  <c r="H89" i="16"/>
  <c r="H11" i="16"/>
  <c r="F11" i="16"/>
  <c r="G11" i="16"/>
  <c r="H13" i="16"/>
  <c r="H15" i="16" s="1"/>
  <c r="H48" i="16"/>
  <c r="H52" i="16" s="1"/>
  <c r="F85" i="5"/>
  <c r="F76" i="5"/>
  <c r="G51" i="5"/>
  <c r="F87" i="15"/>
  <c r="G87" i="15"/>
  <c r="G35" i="5"/>
  <c r="F35" i="5"/>
  <c r="G52" i="5"/>
  <c r="G12" i="5"/>
  <c r="G14" i="5" s="1"/>
  <c r="F12" i="5"/>
  <c r="F14" i="5" s="1"/>
  <c r="G16" i="5"/>
  <c r="G18" i="5" s="1"/>
  <c r="G29" i="5"/>
  <c r="G7" i="5"/>
  <c r="G10" i="5" s="1"/>
  <c r="G41" i="5"/>
  <c r="G31" i="5"/>
  <c r="G94" i="16" l="1"/>
  <c r="G95" i="16" s="1"/>
  <c r="H35" i="5"/>
  <c r="H37" i="5" s="1"/>
  <c r="H12" i="5"/>
  <c r="H14" i="5" s="1"/>
  <c r="E41" i="6"/>
  <c r="H47" i="5"/>
  <c r="F34" i="16" l="1"/>
  <c r="F34" i="18"/>
  <c r="H34" i="18" s="1"/>
  <c r="F31" i="5"/>
  <c r="H33" i="5"/>
  <c r="C4" i="8"/>
  <c r="H34" i="16" l="1"/>
  <c r="J7" i="14"/>
  <c r="F52" i="5"/>
  <c r="H52" i="5" s="1"/>
  <c r="G45" i="5" l="1"/>
  <c r="F45" i="5"/>
  <c r="H43" i="5"/>
  <c r="F27" i="5"/>
  <c r="E38" i="6"/>
  <c r="E14" i="6"/>
  <c r="E30" i="6"/>
  <c r="H26" i="18" s="1"/>
  <c r="F8" i="5"/>
  <c r="F7" i="5"/>
  <c r="H9" i="5" s="1"/>
  <c r="E22" i="6"/>
  <c r="E21" i="6"/>
  <c r="H17" i="18" s="1"/>
  <c r="F32" i="16" l="1"/>
  <c r="H32" i="16" s="1"/>
  <c r="H32" i="18"/>
  <c r="F18" i="16"/>
  <c r="H18" i="16" s="1"/>
  <c r="F25" i="5"/>
  <c r="F26" i="16"/>
  <c r="F16" i="5"/>
  <c r="F18" i="5" s="1"/>
  <c r="F17" i="16"/>
  <c r="F10" i="5"/>
  <c r="F29" i="5"/>
  <c r="H29" i="5" s="1"/>
  <c r="E23" i="6"/>
  <c r="H27" i="5"/>
  <c r="H25" i="5"/>
  <c r="H84" i="5"/>
  <c r="H74" i="5"/>
  <c r="H73" i="5"/>
  <c r="H72" i="5"/>
  <c r="H71" i="5"/>
  <c r="H67" i="5"/>
  <c r="H66" i="5"/>
  <c r="H65" i="5"/>
  <c r="H62" i="5"/>
  <c r="H61" i="5"/>
  <c r="H60" i="5"/>
  <c r="H59" i="5"/>
  <c r="H58" i="5"/>
  <c r="H42" i="5"/>
  <c r="H41" i="5"/>
  <c r="H17" i="5"/>
  <c r="H8" i="5"/>
  <c r="H7" i="5"/>
  <c r="H18" i="18" l="1"/>
  <c r="H19" i="18" s="1"/>
  <c r="H94" i="18" s="1"/>
  <c r="H95" i="18" s="1"/>
  <c r="F19" i="18"/>
  <c r="F94" i="18" s="1"/>
  <c r="F95" i="18" s="1"/>
  <c r="H16" i="5"/>
  <c r="H18" i="5" s="1"/>
  <c r="F51" i="5"/>
  <c r="H51" i="5" s="1"/>
  <c r="F58" i="16"/>
  <c r="H26" i="16"/>
  <c r="F19" i="16"/>
  <c r="H17" i="16"/>
  <c r="H19" i="16" s="1"/>
  <c r="H10" i="5"/>
  <c r="H31" i="5"/>
  <c r="H45" i="5"/>
  <c r="G76" i="5"/>
  <c r="G69" i="5"/>
  <c r="F69" i="5"/>
  <c r="F63" i="5"/>
  <c r="J19" i="5"/>
  <c r="F53" i="5" l="1"/>
  <c r="F94" i="16"/>
  <c r="H58" i="16"/>
  <c r="H94" i="16" s="1"/>
  <c r="H69" i="5"/>
  <c r="H76" i="5"/>
  <c r="G53" i="5"/>
  <c r="G85" i="5"/>
  <c r="H85" i="5"/>
  <c r="G63" i="5"/>
  <c r="H63" i="5"/>
  <c r="H53" i="5"/>
  <c r="H95" i="16" l="1"/>
  <c r="F95" i="16"/>
  <c r="G88" i="5"/>
  <c r="F21" i="5"/>
  <c r="H21" i="5" l="1"/>
  <c r="F23" i="5"/>
  <c r="F87" i="5" s="1"/>
  <c r="F88" i="5" s="1"/>
  <c r="H23" i="5" l="1"/>
  <c r="H87" i="5" s="1"/>
  <c r="H88" i="5" s="1"/>
</calcChain>
</file>

<file path=xl/comments1.xml><?xml version="1.0" encoding="utf-8"?>
<comments xmlns="http://schemas.openxmlformats.org/spreadsheetml/2006/main">
  <authors>
    <author>Napier, Michelle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Philip-remove tariff project costs and show on line below 
for it.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include OT incremental pay
</t>
        </r>
      </text>
    </comment>
  </commentList>
</comments>
</file>

<file path=xl/comments2.xml><?xml version="1.0" encoding="utf-8"?>
<comments xmlns="http://schemas.openxmlformats.org/spreadsheetml/2006/main">
  <authors>
    <author>Napier, Michelle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Philip-remove tariff project costs and show on line below 
for it.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include OT incremental pay
</t>
        </r>
      </text>
    </comment>
  </commentList>
</comments>
</file>

<file path=xl/comments3.xml><?xml version="1.0" encoding="utf-8"?>
<comments xmlns="http://schemas.openxmlformats.org/spreadsheetml/2006/main">
  <authors>
    <author>Onsomu, Philip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average rate per hour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estimate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Onsomu, Philip:</t>
        </r>
        <r>
          <rPr>
            <sz val="9"/>
            <color indexed="81"/>
            <rFont val="Tahoma"/>
            <family val="2"/>
          </rPr>
          <t xml:space="preserve">
This is an estimate
</t>
        </r>
      </text>
    </comment>
  </commentList>
</comments>
</file>

<file path=xl/comments4.xml><?xml version="1.0" encoding="utf-8"?>
<comments xmlns="http://schemas.openxmlformats.org/spreadsheetml/2006/main">
  <authors>
    <author>Napier, Michelle</author>
  </authors>
  <commentList>
    <comment ref="E48" authorId="0" shapeId="0">
      <text>
        <r>
          <rPr>
            <b/>
            <sz val="9"/>
            <color indexed="81"/>
            <rFont val="Tahoma"/>
            <family val="2"/>
          </rPr>
          <t>Napier, Michelle:</t>
        </r>
        <r>
          <rPr>
            <sz val="9"/>
            <color indexed="81"/>
            <rFont val="Tahoma"/>
            <family val="2"/>
          </rPr>
          <t xml:space="preserve">
removed 75k 
</t>
        </r>
      </text>
    </comment>
  </commentList>
</comments>
</file>

<file path=xl/sharedStrings.xml><?xml version="1.0" encoding="utf-8"?>
<sst xmlns="http://schemas.openxmlformats.org/spreadsheetml/2006/main" count="5750" uniqueCount="665">
  <si>
    <t>Outside Consultants:</t>
  </si>
  <si>
    <t>Consulting Fees</t>
  </si>
  <si>
    <t>Other Costs</t>
  </si>
  <si>
    <t>Rate Design</t>
  </si>
  <si>
    <t>Legal Services:</t>
  </si>
  <si>
    <t>Travel Expenses:</t>
  </si>
  <si>
    <t>2 Service Hearings</t>
  </si>
  <si>
    <t>Hotel</t>
  </si>
  <si>
    <t>Travel</t>
  </si>
  <si>
    <t>Meals</t>
  </si>
  <si>
    <t>Other</t>
  </si>
  <si>
    <t>Other Travel to WPB, and FPSC</t>
  </si>
  <si>
    <t xml:space="preserve">Meals </t>
  </si>
  <si>
    <t>Mailing, Office Supplies, Adm Costs, Other</t>
  </si>
  <si>
    <t>Office Supplies</t>
  </si>
  <si>
    <t>TOTAL</t>
  </si>
  <si>
    <t>Original Projected Amount</t>
  </si>
  <si>
    <t>Estimate</t>
  </si>
  <si>
    <t>Description or Calculation of Remaining amount</t>
  </si>
  <si>
    <t>Hearings Actual (2)</t>
  </si>
  <si>
    <t>Final rate notices</t>
  </si>
  <si>
    <t>Ads for newspapers</t>
  </si>
  <si>
    <t xml:space="preserve">Remaining </t>
  </si>
  <si>
    <t>5 years</t>
  </si>
  <si>
    <t>Customer hearing notices</t>
  </si>
  <si>
    <t>Hearing notices</t>
  </si>
  <si>
    <t>Description</t>
  </si>
  <si>
    <t>Amount</t>
  </si>
  <si>
    <t>Atrium Economics LLC</t>
  </si>
  <si>
    <t>Projected estimated expense</t>
  </si>
  <si>
    <t>Kathy Welch</t>
  </si>
  <si>
    <t>Estimated hours</t>
  </si>
  <si>
    <t>Rate per hour</t>
  </si>
  <si>
    <t>Total</t>
  </si>
  <si>
    <t>Preparation and review of the minimum filing requirements</t>
  </si>
  <si>
    <t>Consolidate FPU Natural Gas Rate Case</t>
  </si>
  <si>
    <t>Situation Assesment and Data Collections</t>
  </si>
  <si>
    <t>Billing Determinants</t>
  </si>
  <si>
    <t>Consolidation of Customer Class</t>
  </si>
  <si>
    <t>Class Cost of Service Study</t>
  </si>
  <si>
    <t>Pre-file Direct Testimonty</t>
  </si>
  <si>
    <t>Post Filing Support</t>
  </si>
  <si>
    <t>Task 1</t>
  </si>
  <si>
    <t>Task 2</t>
  </si>
  <si>
    <t>Task 3</t>
  </si>
  <si>
    <t>Task 4</t>
  </si>
  <si>
    <t>Task 5</t>
  </si>
  <si>
    <t>Task 6</t>
  </si>
  <si>
    <t>Task 7</t>
  </si>
  <si>
    <t xml:space="preserve">Total </t>
  </si>
  <si>
    <t>Other fees (travel, administrative expenses, printing, binding costs etc)</t>
  </si>
  <si>
    <t>Paul R. Moul</t>
  </si>
  <si>
    <t>Capital Structure Testimony</t>
  </si>
  <si>
    <t>Kathy McVay</t>
  </si>
  <si>
    <t>Kathryn McVay</t>
  </si>
  <si>
    <t>Pat Lee</t>
  </si>
  <si>
    <t>Grayson Accounting</t>
  </si>
  <si>
    <t>Philip Onsomu</t>
  </si>
  <si>
    <t>Jowi Baugh</t>
  </si>
  <si>
    <t>Additional Personnel</t>
  </si>
  <si>
    <t>ACCOUNTING PRINCIPALS DBA PARKER &amp; LYNCH</t>
  </si>
  <si>
    <t>Donna Rance - Temp services</t>
  </si>
  <si>
    <t>Estimated</t>
  </si>
  <si>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</si>
  <si>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</si>
  <si>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</si>
  <si>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</si>
  <si>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</si>
  <si>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</si>
  <si>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</si>
  <si>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</si>
  <si>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</si>
  <si>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Vendor_Name</t>
  </si>
  <si>
    <t>Document_1</t>
  </si>
  <si>
    <t>Document_2</t>
  </si>
  <si>
    <t>Apply_Date</t>
  </si>
  <si>
    <t>Posted_Date</t>
  </si>
  <si>
    <t>Posted_Status</t>
  </si>
  <si>
    <t>GJ</t>
  </si>
  <si>
    <t>00000</t>
  </si>
  <si>
    <t>1760</t>
  </si>
  <si>
    <t>1860</t>
  </si>
  <si>
    <t/>
  </si>
  <si>
    <t>Yes</t>
  </si>
  <si>
    <t>SYS-AP</t>
  </si>
  <si>
    <t>FC00</t>
  </si>
  <si>
    <t>JRNL00530509</t>
  </si>
  <si>
    <t>CF00</t>
  </si>
  <si>
    <t>TARIFF REWRITE PROJECT - COST A</t>
  </si>
  <si>
    <t>ATRIUM ECONOMICS LLC</t>
  </si>
  <si>
    <t>INV 0550-01</t>
  </si>
  <si>
    <t>VO836764</t>
  </si>
  <si>
    <t>FN00</t>
  </si>
  <si>
    <t>CU00</t>
  </si>
  <si>
    <t>JRNL00530711</t>
  </si>
  <si>
    <t>Reclass Pierpont and McLelland Invoice t</t>
  </si>
  <si>
    <t>VO828429</t>
  </si>
  <si>
    <t>AP-ACCR</t>
  </si>
  <si>
    <t>KATHY WELCH</t>
  </si>
  <si>
    <t>JRNL00531493</t>
  </si>
  <si>
    <t>Accrue - WELCH, KATHY L</t>
  </si>
  <si>
    <t>839213</t>
  </si>
  <si>
    <t>JRNL00531302</t>
  </si>
  <si>
    <t>Accrue - PIERPONT AND MCLELLAND LLC</t>
  </si>
  <si>
    <t>February Estimate</t>
  </si>
  <si>
    <t>JRNL00531974</t>
  </si>
  <si>
    <t>INV 0545-04</t>
  </si>
  <si>
    <t>VO840764</t>
  </si>
  <si>
    <t>FI00</t>
  </si>
  <si>
    <t>FT00</t>
  </si>
  <si>
    <t>TARIFF REWRITE PROJECT</t>
  </si>
  <si>
    <t>PIERPONT AND MCLELLAND LLC</t>
  </si>
  <si>
    <t>468</t>
  </si>
  <si>
    <t>VO840804</t>
  </si>
  <si>
    <t>JRNL00530461</t>
  </si>
  <si>
    <t>INV0565-03</t>
  </si>
  <si>
    <t>VO836557</t>
  </si>
  <si>
    <t>ATRIUM; TARIFF REWRITE PROJECT</t>
  </si>
  <si>
    <t>465</t>
  </si>
  <si>
    <t>VO836651</t>
  </si>
  <si>
    <t>JRNL00531329</t>
  </si>
  <si>
    <t>TARIFF PROJECT</t>
  </si>
  <si>
    <t>KATHY L WELCH</t>
  </si>
  <si>
    <t>VO839172</t>
  </si>
  <si>
    <t>JRNL00531492</t>
  </si>
  <si>
    <t>JRNL00531301</t>
  </si>
  <si>
    <t>JRNL00533130</t>
  </si>
  <si>
    <t>Accrue - KATHY L WELCH</t>
  </si>
  <si>
    <t>846163</t>
  </si>
  <si>
    <t>PIERPONT &amp; MCLELLAND</t>
  </si>
  <si>
    <t>ESTIMATE</t>
  </si>
  <si>
    <t>JRNL00533857</t>
  </si>
  <si>
    <t>471</t>
  </si>
  <si>
    <t>VO847298</t>
  </si>
  <si>
    <t>JRNL00528441</t>
  </si>
  <si>
    <t>ATRIUM</t>
  </si>
  <si>
    <t>458</t>
  </si>
  <si>
    <t>JRNL00531300</t>
  </si>
  <si>
    <t>JRNL00533061</t>
  </si>
  <si>
    <t>JRNL00533114</t>
  </si>
  <si>
    <t>March Estimate</t>
  </si>
  <si>
    <t>JRNL00534956</t>
  </si>
  <si>
    <t>851527</t>
  </si>
  <si>
    <t>JRNL00534973</t>
  </si>
  <si>
    <t>Accrue-PIERPONT &amp; MCLELLAND</t>
  </si>
  <si>
    <t>April Estimate</t>
  </si>
  <si>
    <t>Accrue-KATHY WELCH</t>
  </si>
  <si>
    <t>JRNL00535046</t>
  </si>
  <si>
    <t>JRNL00536670</t>
  </si>
  <si>
    <t>Accrue-KATHY L WELCH</t>
  </si>
  <si>
    <t>857013</t>
  </si>
  <si>
    <t>May Estimate</t>
  </si>
  <si>
    <t>JRNL00536717</t>
  </si>
  <si>
    <t>Accrue - Kathy Welch</t>
  </si>
  <si>
    <t>JRNL00536709</t>
  </si>
  <si>
    <t>JRNL00536758</t>
  </si>
  <si>
    <t>JRNL00537563</t>
  </si>
  <si>
    <t>478</t>
  </si>
  <si>
    <t>VO860940</t>
  </si>
  <si>
    <t>JRNL00538226</t>
  </si>
  <si>
    <t>accrue PIERPONT  MCLELLAND</t>
  </si>
  <si>
    <t>June Estimate</t>
  </si>
  <si>
    <t>JRNL00538588</t>
  </si>
  <si>
    <t>863383</t>
  </si>
  <si>
    <t>JRNL00538370</t>
  </si>
  <si>
    <t>JRNL00538678</t>
  </si>
  <si>
    <t>Accrue-WELCH, KATHY L</t>
  </si>
  <si>
    <t>JRNL00538531</t>
  </si>
  <si>
    <t>Accrue-PIERPONT&amp;MCLELLAND</t>
  </si>
  <si>
    <t>JRNL00539961</t>
  </si>
  <si>
    <t>RATE CASE; TARIFF PROJECT; CHEC</t>
  </si>
  <si>
    <t>868275</t>
  </si>
  <si>
    <t>VO868937</t>
  </si>
  <si>
    <t>JRNL00540009</t>
  </si>
  <si>
    <t>July Estimate</t>
  </si>
  <si>
    <t>JRNL00540179</t>
  </si>
  <si>
    <t>Accrue - Pierpont &amp; Mclelland</t>
  </si>
  <si>
    <t>JRNL00540171</t>
  </si>
  <si>
    <t>JRNL00541662</t>
  </si>
  <si>
    <t>August Estimate</t>
  </si>
  <si>
    <t>JRNL00541704</t>
  </si>
  <si>
    <t>Accrue - PIERPONT McClelland</t>
  </si>
  <si>
    <t>JRNL00541740</t>
  </si>
  <si>
    <t>MFR WAIVER</t>
  </si>
  <si>
    <t>GUNSTER YOAKLEY &amp; STEWART PA</t>
  </si>
  <si>
    <t>677403</t>
  </si>
  <si>
    <t>VO874611</t>
  </si>
  <si>
    <t>JRNL00541899</t>
  </si>
  <si>
    <t>JRNL00541828</t>
  </si>
  <si>
    <t>JRNL00541913</t>
  </si>
  <si>
    <t>JRNL00541780</t>
  </si>
  <si>
    <t>JRNL00545009</t>
  </si>
  <si>
    <t>RATE CASE</t>
  </si>
  <si>
    <t>684327</t>
  </si>
  <si>
    <t>VO884666</t>
  </si>
  <si>
    <t>883590</t>
  </si>
  <si>
    <t>VO884760</t>
  </si>
  <si>
    <t>FPU RATE CASE</t>
  </si>
  <si>
    <t>JRNL00545154</t>
  </si>
  <si>
    <t>October Estimate</t>
  </si>
  <si>
    <t>JRNL00545367</t>
  </si>
  <si>
    <t>Accrue - ACCOUNTING PRINCIPALS DBA PARKE</t>
  </si>
  <si>
    <t>12136469</t>
  </si>
  <si>
    <t>Accrue - GUNSTER YOAKLEY &amp; STEWART PA</t>
  </si>
  <si>
    <t>Accrue_PIERPONT &amp; MCLELLAND</t>
  </si>
  <si>
    <t>JRNL00545905</t>
  </si>
  <si>
    <t>VO886711</t>
  </si>
  <si>
    <t>JRNL00546753</t>
  </si>
  <si>
    <t>12174376</t>
  </si>
  <si>
    <t>JRNL00546710</t>
  </si>
  <si>
    <t>No</t>
  </si>
  <si>
    <t>688100</t>
  </si>
  <si>
    <t>888863</t>
  </si>
  <si>
    <t>Accrue GRAYSON ACCTG &amp; CONSULTING</t>
  </si>
  <si>
    <t>4441</t>
  </si>
  <si>
    <t>Accrue PIERPONT &amp; MCLELLAND</t>
  </si>
  <si>
    <t>November Estimate</t>
  </si>
  <si>
    <t>JRNL00530877</t>
  </si>
  <si>
    <t>Accrue- PIERPONT &amp; MCLELLAND</t>
  </si>
  <si>
    <t>JRNL00531469</t>
  </si>
  <si>
    <t>JRNL00533136</t>
  </si>
  <si>
    <t>JRNL00533262</t>
  </si>
  <si>
    <t>JRNL00533552</t>
  </si>
  <si>
    <t>JRNL00533343</t>
  </si>
  <si>
    <t>JRNL00534826</t>
  </si>
  <si>
    <t>TARIFF PROJECT; RATE CASE</t>
  </si>
  <si>
    <t>VO852393</t>
  </si>
  <si>
    <t>JRNL00535048</t>
  </si>
  <si>
    <t>April  Estimate</t>
  </si>
  <si>
    <t>JRNL00535212</t>
  </si>
  <si>
    <t>JRNL00536721</t>
  </si>
  <si>
    <t>Accrue - PATRICIA LEE</t>
  </si>
  <si>
    <t>JRNL00536712</t>
  </si>
  <si>
    <t>Accrue - RUTH ASSOCIATES</t>
  </si>
  <si>
    <t>JRNL00536759</t>
  </si>
  <si>
    <t>JRNL00536699</t>
  </si>
  <si>
    <t>JRNL00537063</t>
  </si>
  <si>
    <t>RATE CASE CHECKLIST</t>
  </si>
  <si>
    <t>VO858496</t>
  </si>
  <si>
    <t>JRNL00529002</t>
  </si>
  <si>
    <t>JRNL00531491</t>
  </si>
  <si>
    <t>JRNL00533050</t>
  </si>
  <si>
    <t>JRNL00533217</t>
  </si>
  <si>
    <t>JRNL00534951</t>
  </si>
  <si>
    <t>JRNL00534965</t>
  </si>
  <si>
    <t>JRNL00535132</t>
  </si>
  <si>
    <t>JRNL00535133</t>
  </si>
  <si>
    <t>JRNL00534958</t>
  </si>
  <si>
    <t>JRNL00538527</t>
  </si>
  <si>
    <t>VO864108</t>
  </si>
  <si>
    <t>JRNL00538426</t>
  </si>
  <si>
    <t>JRNL00538590</t>
  </si>
  <si>
    <t>JRNL00538373</t>
  </si>
  <si>
    <t>JRNL00540174</t>
  </si>
  <si>
    <t>Accrue - PIERPONT &amp; MCLELLAND</t>
  </si>
  <si>
    <t>JRNL00540136</t>
  </si>
  <si>
    <t>JRNL00541915</t>
  </si>
  <si>
    <t>JRNL00541776</t>
  </si>
  <si>
    <t>JRNL00543301</t>
  </si>
  <si>
    <t>878288</t>
  </si>
  <si>
    <t>VO879631</t>
  </si>
  <si>
    <t>JRNL00545145</t>
  </si>
  <si>
    <t>JRNL00545449</t>
  </si>
  <si>
    <t>JRNL00532673</t>
  </si>
  <si>
    <t>LDC TARIFF REVIEW</t>
  </si>
  <si>
    <t>INV0550-02</t>
  </si>
  <si>
    <t>VO845461</t>
  </si>
  <si>
    <t>JRNL00533053</t>
  </si>
  <si>
    <t>JRNL00533108</t>
  </si>
  <si>
    <t>JRNL00533112</t>
  </si>
  <si>
    <t>JRNL00533113</t>
  </si>
  <si>
    <t>JRNL00533726</t>
  </si>
  <si>
    <t>VO846776</t>
  </si>
  <si>
    <t>JRNL00535045</t>
  </si>
  <si>
    <t>JRNL00535066</t>
  </si>
  <si>
    <t>JRNL00535067</t>
  </si>
  <si>
    <t>JRNL00535220</t>
  </si>
  <si>
    <t>Accrue   KATHY L WELCH</t>
  </si>
  <si>
    <t>JRNL00535024</t>
  </si>
  <si>
    <t>Accrue  PIERPONT  MCLELLAND</t>
  </si>
  <si>
    <t>JRNL00540201</t>
  </si>
  <si>
    <t>JRNL00540013</t>
  </si>
  <si>
    <t>JRNL00542796</t>
  </si>
  <si>
    <t>680566</t>
  </si>
  <si>
    <t>VO878413</t>
  </si>
  <si>
    <t>JRNL00543599</t>
  </si>
  <si>
    <t>September Estimate</t>
  </si>
  <si>
    <t>JRNL00543390</t>
  </si>
  <si>
    <t>JRNL00543600</t>
  </si>
  <si>
    <t>JRNL00543410</t>
  </si>
  <si>
    <t>JRNL00544209</t>
  </si>
  <si>
    <t>FL NG RATE CASE DEPRECIATION ST</t>
  </si>
  <si>
    <t>BETY MAITRE</t>
  </si>
  <si>
    <t>00042</t>
  </si>
  <si>
    <t>VO881369</t>
  </si>
  <si>
    <t>JRNL00546614</t>
  </si>
  <si>
    <t>VO890695</t>
  </si>
  <si>
    <t>JRNL00546889</t>
  </si>
  <si>
    <t>JRNL00546718</t>
  </si>
  <si>
    <t>JRNL00533895</t>
  </si>
  <si>
    <t>INV 0550-03</t>
  </si>
  <si>
    <t>VO847541</t>
  </si>
  <si>
    <t>INV 0545-05</t>
  </si>
  <si>
    <t>VO847546</t>
  </si>
  <si>
    <t>JRNL00535619</t>
  </si>
  <si>
    <t>475</t>
  </si>
  <si>
    <t>VO853513</t>
  </si>
  <si>
    <t>JRNL00538364</t>
  </si>
  <si>
    <t>JRNL00538494</t>
  </si>
  <si>
    <t>JRNL00538496</t>
  </si>
  <si>
    <t>JRNL00538669</t>
  </si>
  <si>
    <t>JRNL00539983</t>
  </si>
  <si>
    <t>Accrue   WELCH KATHY L</t>
  </si>
  <si>
    <t>Accrue CONSULTING SERVICES</t>
  </si>
  <si>
    <t>JRNL00540314</t>
  </si>
  <si>
    <t>JRNL00542044</t>
  </si>
  <si>
    <t>JRNL00541965</t>
  </si>
  <si>
    <t>873566</t>
  </si>
  <si>
    <t>Accrue PIERPONT  MCLELLAND</t>
  </si>
  <si>
    <t>JRNL00545168</t>
  </si>
  <si>
    <t>JRNL00545330</t>
  </si>
  <si>
    <t>JRNL00545331</t>
  </si>
  <si>
    <t>JRNL00545815</t>
  </si>
  <si>
    <t>495</t>
  </si>
  <si>
    <t>VO885865</t>
  </si>
  <si>
    <t>JRNL00546898</t>
  </si>
  <si>
    <t>JRNL00546759</t>
  </si>
  <si>
    <t>JRNL00547050</t>
  </si>
  <si>
    <t>VO891329</t>
  </si>
  <si>
    <t>JRNL00533133</t>
  </si>
  <si>
    <t>JRNL00533134</t>
  </si>
  <si>
    <t>JRNL00533135</t>
  </si>
  <si>
    <t>JRNL00535065</t>
  </si>
  <si>
    <t>JRNL00536602</t>
  </si>
  <si>
    <t>Accrue    WELCH KATHY L</t>
  </si>
  <si>
    <t>Accrue    KATHY L WELCH</t>
  </si>
  <si>
    <t>accrue PIERPONT MCLELLAND</t>
  </si>
  <si>
    <t>JRNL00536796</t>
  </si>
  <si>
    <t>JRNL00540018</t>
  </si>
  <si>
    <t>JRNL00540146</t>
  </si>
  <si>
    <t>JRNL00540215</t>
  </si>
  <si>
    <t>JRNL00539044</t>
  </si>
  <si>
    <t>482</t>
  </si>
  <si>
    <t>VO864839</t>
  </si>
  <si>
    <t>JRNL00540751</t>
  </si>
  <si>
    <t>485</t>
  </si>
  <si>
    <t>VO870712</t>
  </si>
  <si>
    <t>JRNL00541772</t>
  </si>
  <si>
    <t>JRNL00541829</t>
  </si>
  <si>
    <t>JRNL00541917</t>
  </si>
  <si>
    <t>JRNL00541924</t>
  </si>
  <si>
    <t>JRNL00542326</t>
  </si>
  <si>
    <t>VO875615</t>
  </si>
  <si>
    <t>JRNL00543608</t>
  </si>
  <si>
    <t>JRNL00543563</t>
  </si>
  <si>
    <t>JRNL00543647</t>
  </si>
  <si>
    <t>JRNL00543345</t>
  </si>
  <si>
    <t>Accrue - BETY MAITRE</t>
  </si>
  <si>
    <t>JRNL00544077</t>
  </si>
  <si>
    <t>FPUC GAS RATE CASE</t>
  </si>
  <si>
    <t>INV 0567-01</t>
  </si>
  <si>
    <t>VO880629</t>
  </si>
  <si>
    <t>JRNL00545980</t>
  </si>
  <si>
    <t>INV 0567-02</t>
  </si>
  <si>
    <t>VO887387</t>
  </si>
  <si>
    <t>JRNL00546721</t>
  </si>
  <si>
    <t>JRNL00547401</t>
  </si>
  <si>
    <t>DONNA RANCE W/E 11/21/21</t>
  </si>
  <si>
    <t>VO892085</t>
  </si>
  <si>
    <t>FN RATE CASE ASSISTANCE</t>
  </si>
  <si>
    <t>GRAYSON ACCOUNTING &amp; CONSULTING</t>
  </si>
  <si>
    <t>VO892126</t>
  </si>
  <si>
    <t>JRNL00541759</t>
  </si>
  <si>
    <t>JRNL00541931</t>
  </si>
  <si>
    <t>JRNL00542525</t>
  </si>
  <si>
    <t>488</t>
  </si>
  <si>
    <t>VO877194</t>
  </si>
  <si>
    <t>JRNL00543872</t>
  </si>
  <si>
    <t>491</t>
  </si>
  <si>
    <t>VO880339</t>
  </si>
  <si>
    <t>JRNL00545328</t>
  </si>
  <si>
    <t>JRNL00546890</t>
  </si>
  <si>
    <t>CF00-00000-1760-1860</t>
  </si>
  <si>
    <t>FN00-00000-1760-1860</t>
  </si>
  <si>
    <t>FI00-00000-1760-1860</t>
  </si>
  <si>
    <t>FT00-00000-1760-1860</t>
  </si>
  <si>
    <t>Row Labels</t>
  </si>
  <si>
    <t>Grand Total</t>
  </si>
  <si>
    <t>Sum of Amount</t>
  </si>
  <si>
    <t>Legal</t>
  </si>
  <si>
    <t>EK00</t>
  </si>
  <si>
    <t>SLCLR</t>
  </si>
  <si>
    <t>JRNL00540246</t>
  </si>
  <si>
    <t>EK0022RC</t>
  </si>
  <si>
    <t>SL Clearing</t>
  </si>
  <si>
    <t>JRNL00541987</t>
  </si>
  <si>
    <t>JRNL00546878</t>
  </si>
  <si>
    <t>JRNL00545365</t>
  </si>
  <si>
    <t>JRNL00543557</t>
  </si>
  <si>
    <t>EK00-00000-1760-1860</t>
  </si>
  <si>
    <t>Gunster Yoakley</t>
  </si>
  <si>
    <t xml:space="preserve">Rate Case Projected Expenses-  Consolidated Natural Gas Rate Case </t>
  </si>
  <si>
    <t>Baker Hostetler</t>
  </si>
  <si>
    <t>Prudential</t>
  </si>
  <si>
    <t>Betty Maitre</t>
  </si>
  <si>
    <t>Temp services - Donna Rance</t>
  </si>
  <si>
    <t>FE00</t>
  </si>
  <si>
    <t>CONSULTING SERVICES</t>
  </si>
  <si>
    <t>AP-ADJ</t>
  </si>
  <si>
    <t>JRNL00508280</t>
  </si>
  <si>
    <t>ELECTRIC RATE SOCIAL MEDIA RESP</t>
  </si>
  <si>
    <t>MARKETING TALENT NETWORK INC</t>
  </si>
  <si>
    <t>RATE NOTICE TO CUSTOMERS DECEMB</t>
  </si>
  <si>
    <t>JRNL00531146</t>
  </si>
  <si>
    <t>JRNL00531434</t>
  </si>
  <si>
    <t>JRNL00548288</t>
  </si>
  <si>
    <t>December Estimate</t>
  </si>
  <si>
    <t>JRNL00548689</t>
  </si>
  <si>
    <t>894924</t>
  </si>
  <si>
    <t>JRNL00548746</t>
  </si>
  <si>
    <t>FN0022RC</t>
  </si>
  <si>
    <t>12222011</t>
  </si>
  <si>
    <t>JRNL00550459</t>
  </si>
  <si>
    <t>900978</t>
  </si>
  <si>
    <t>Accrue - ATRIUM ECONOMICS LLC</t>
  </si>
  <si>
    <t>INV 0567-05</t>
  </si>
  <si>
    <t>498</t>
  </si>
  <si>
    <t>Accrue ATRIUM ECONOMICS</t>
  </si>
  <si>
    <t>Accrue JAMES T DEASON</t>
  </si>
  <si>
    <t>Accrue Atrium difference</t>
  </si>
  <si>
    <t>0567-04</t>
  </si>
  <si>
    <t>JRNL00548340</t>
  </si>
  <si>
    <t>JRNL00548358</t>
  </si>
  <si>
    <t>JRNL00548397</t>
  </si>
  <si>
    <t>JRNL00548602</t>
  </si>
  <si>
    <t>JRNL00548604</t>
  </si>
  <si>
    <t>JRNL00548755</t>
  </si>
  <si>
    <t>Accrue - GRAYSON ACCOUNTING &amp; CONSULTING</t>
  </si>
  <si>
    <t>4470</t>
  </si>
  <si>
    <t>accrue JAMES T DEASON</t>
  </si>
  <si>
    <t>January Estimate</t>
  </si>
  <si>
    <t>JRNL00548613</t>
  </si>
  <si>
    <t>FPU NG RATE CASE</t>
  </si>
  <si>
    <t>VO897402</t>
  </si>
  <si>
    <t>JRNL00550046</t>
  </si>
  <si>
    <t>VO903341</t>
  </si>
  <si>
    <t>JRNL00548095</t>
  </si>
  <si>
    <t>VO896372</t>
  </si>
  <si>
    <t>FL BU RATE CASE</t>
  </si>
  <si>
    <t>JRNL00550321</t>
  </si>
  <si>
    <t>Accrue - PIEPONT &amp; MCLELLAND</t>
  </si>
  <si>
    <t>JRNL00550330</t>
  </si>
  <si>
    <t>accrue PIERPONT &amp; MCLELLAND</t>
  </si>
  <si>
    <t>JRNL00550527</t>
  </si>
  <si>
    <t>JRNL00550528</t>
  </si>
  <si>
    <t>JRNL00550327</t>
  </si>
  <si>
    <t>Accrue - PIERPONT &amp;MCLELLAND</t>
  </si>
  <si>
    <t>JRNL00550531</t>
  </si>
  <si>
    <t>JRNL00549390</t>
  </si>
  <si>
    <t>501</t>
  </si>
  <si>
    <t>VO899630</t>
  </si>
  <si>
    <t>JAMES T DEASON</t>
  </si>
  <si>
    <t>901070</t>
  </si>
  <si>
    <t>VO903338</t>
  </si>
  <si>
    <t>VO903340</t>
  </si>
  <si>
    <t>JRNL00547647</t>
  </si>
  <si>
    <t>INV 0567-03</t>
  </si>
  <si>
    <t>VO894156</t>
  </si>
  <si>
    <t>JRNL00547871</t>
  </si>
  <si>
    <t>4455</t>
  </si>
  <si>
    <t>VO895781</t>
  </si>
  <si>
    <t>NG RATE CASE</t>
  </si>
  <si>
    <t>691781</t>
  </si>
  <si>
    <t>VO895834</t>
  </si>
  <si>
    <t>JRNL00549775</t>
  </si>
  <si>
    <t>693946</t>
  </si>
  <si>
    <t>VO901994</t>
  </si>
  <si>
    <t>JRNL00549495</t>
  </si>
  <si>
    <t>2022 RATE RELIEF AND CONSOLIDAT</t>
  </si>
  <si>
    <t>693954</t>
  </si>
  <si>
    <t>VO900425</t>
  </si>
  <si>
    <t>JRNL00548202</t>
  </si>
  <si>
    <t>DONNA RANCE W/E 12/26/21 - FN N</t>
  </si>
  <si>
    <t>VO896637</t>
  </si>
  <si>
    <t>DONNA RANCE W/E 01/16/22 FPU NG</t>
  </si>
  <si>
    <t>12249696</t>
  </si>
  <si>
    <t>VO900388</t>
  </si>
  <si>
    <t>DONNA RANCE W/E 12/12/21</t>
  </si>
  <si>
    <t>12213345</t>
  </si>
  <si>
    <t>VO895722</t>
  </si>
  <si>
    <t>12204299</t>
  </si>
  <si>
    <t>VO895752</t>
  </si>
  <si>
    <t>JRNL00549078</t>
  </si>
  <si>
    <t>INV 0567-04</t>
  </si>
  <si>
    <t>VO898342</t>
  </si>
  <si>
    <t>FPU NG RATE CASE ASSISTANCE</t>
  </si>
  <si>
    <t>2021-12</t>
  </si>
  <si>
    <t>VO898376</t>
  </si>
  <si>
    <t>DONNA RANCE W/E 01/23/22 - FPU</t>
  </si>
  <si>
    <t>12257528</t>
  </si>
  <si>
    <t>VO902005</t>
  </si>
  <si>
    <t>VO903339</t>
  </si>
  <si>
    <t>FE00-00000-1760-1860</t>
  </si>
  <si>
    <t>Column Labels</t>
  </si>
  <si>
    <t>2020</t>
  </si>
  <si>
    <t>2021</t>
  </si>
  <si>
    <t>2022</t>
  </si>
  <si>
    <t>Pierpont and Mclelland LLC</t>
  </si>
  <si>
    <t>Pierpont Mclleland LLC</t>
  </si>
  <si>
    <t>James Deason</t>
  </si>
  <si>
    <t>EY LLP</t>
  </si>
  <si>
    <t>Temp services</t>
  </si>
  <si>
    <t>Actual as of 02/10/2022</t>
  </si>
  <si>
    <t>Other Costs - travel, administrative expenses etc</t>
  </si>
  <si>
    <t>Post filing support</t>
  </si>
  <si>
    <t>Full hearing - Witness preparation and attending hearings</t>
  </si>
  <si>
    <t>Full hearing support service</t>
  </si>
  <si>
    <t xml:space="preserve">Draft Petition for Permanent/Interim (includes research) – </t>
  </si>
  <si>
    <t xml:space="preserve">Review and Edits to Multiple Drafts of Testimony (includes strategy discussions on approach, conference calls to coordinate witness statements and issues  ) – </t>
  </si>
  <si>
    <t xml:space="preserve">Review MFRs – </t>
  </si>
  <si>
    <t xml:space="preserve">Compile and Finalize for Filing – </t>
  </si>
  <si>
    <t xml:space="preserve">Discussions with Staff Counsel Regarding Timing/Logistics – </t>
  </si>
  <si>
    <t xml:space="preserve">Calls with OPC to initiate settlement discussions – </t>
  </si>
  <si>
    <t>Preparations of Notices and Synopsis/Mailings to Affected Munis/Counties</t>
  </si>
  <si>
    <t xml:space="preserve">Review Audit Report and assist with response to same- </t>
  </si>
  <si>
    <t xml:space="preserve">Review Intervenor Petitions (if any) and strategy with client on same – </t>
  </si>
  <si>
    <t xml:space="preserve">Prepare for, attend and participate in Agenda for Interim rates – </t>
  </si>
  <si>
    <t>Review, coordinate with client and draft/edit responses to discovery from OPC/intervenors = (assume 3 rounds at 9 hours per round) –</t>
  </si>
  <si>
    <t xml:space="preserve">Review and strategy regarding staff and intervenor testimony – </t>
  </si>
  <si>
    <t xml:space="preserve">Draft, review and/or edit rebuttal testimony – </t>
  </si>
  <si>
    <t xml:space="preserve">Prepare for, attend and participate at 3 service hearings – </t>
  </si>
  <si>
    <t xml:space="preserve">Discovery Motions/Motions to Compel/Strike – </t>
  </si>
  <si>
    <t xml:space="preserve">Mock Hearing (highly recommended with counsel) </t>
  </si>
  <si>
    <t xml:space="preserve">Draft Prehearing Statements – </t>
  </si>
  <si>
    <t>Attend and participate at prehearing –</t>
  </si>
  <si>
    <t xml:space="preserve">Attend and participate in settlement discussions with OPC – </t>
  </si>
  <si>
    <t>Participate in PSC Technical Hearing – 2 days – multiplied by 2 attorneys</t>
  </si>
  <si>
    <t xml:space="preserve">Review Transcript/Draft Post Hearing Statement/Brief – </t>
  </si>
  <si>
    <t xml:space="preserve">Review Recommendation and attend Agenda Conference – </t>
  </si>
  <si>
    <t>Total (approx..) /</t>
  </si>
  <si>
    <t xml:space="preserve">Mock hearing  – </t>
  </si>
  <si>
    <t xml:space="preserve"> </t>
  </si>
  <si>
    <t>hearing, mock)</t>
  </si>
  <si>
    <t>Total Projected Legal Expense:</t>
  </si>
  <si>
    <t xml:space="preserve">                </t>
  </si>
  <si>
    <t xml:space="preserve">Prepare for, attend and participate in depositions for Company and intervenor witnesses (7 depositions at 1 hour a piece + prep, approx..) – </t>
  </si>
  <si>
    <t>Review, coordinate with client and draft/edit responses to rounds of discovery (staff) – (assume 4 rounds from staff at 8 hours per round) –</t>
  </si>
  <si>
    <t>Hearing Preparations (witness prep, document/evidence organization, strategy, opening argument) –  (x 2 attorneys)</t>
  </si>
  <si>
    <t xml:space="preserve">Draft Motion for Reconsideration (if appropriate), and participate in Agenda Conference on same – </t>
  </si>
  <si>
    <r>
      <t xml:space="preserve">(Beth Keating - $400-hour </t>
    </r>
    <r>
      <rPr>
        <i/>
        <sz val="10"/>
        <rFont val="Arial"/>
        <family val="2"/>
      </rPr>
      <t>discounted)</t>
    </r>
  </si>
  <si>
    <r>
      <t xml:space="preserve">(Greg Munson - $400-hour </t>
    </r>
    <r>
      <rPr>
        <i/>
        <sz val="10"/>
        <rFont val="Arial"/>
        <family val="2"/>
      </rPr>
      <t>discounted)</t>
    </r>
  </si>
  <si>
    <r>
      <t xml:space="preserve"> (Ron Brisé - $400 – hour </t>
    </r>
    <r>
      <rPr>
        <i/>
        <sz val="10"/>
        <rFont val="Arial"/>
        <family val="2"/>
      </rPr>
      <t>discounted</t>
    </r>
    <r>
      <rPr>
        <sz val="10"/>
        <rFont val="Arial"/>
        <family val="2"/>
      </rPr>
      <t>)</t>
    </r>
  </si>
  <si>
    <t>Hours</t>
  </si>
  <si>
    <t>Min $</t>
  </si>
  <si>
    <t>Max $</t>
  </si>
  <si>
    <t>Travel Expense - hearing, service hearing, mock)</t>
  </si>
  <si>
    <t>Take mid point as estimate</t>
  </si>
  <si>
    <t>Legal Services to support rate case</t>
  </si>
  <si>
    <t>Legal Services - consolidate BUs</t>
  </si>
  <si>
    <t>Consulting Fees - pension consulting</t>
  </si>
  <si>
    <t>Consulting Fees - pension termination analysis</t>
  </si>
  <si>
    <t>hearing hours</t>
  </si>
  <si>
    <t xml:space="preserve">hearing support </t>
  </si>
  <si>
    <t>Additonal Personnel and Temporary Pay:</t>
  </si>
  <si>
    <t>Payroll for additional staff</t>
  </si>
  <si>
    <t>90,000 customers</t>
  </si>
  <si>
    <t>Local ads, three times</t>
  </si>
  <si>
    <t xml:space="preserve">Rate Case Projected Expenses -  Consolidated Natural Gas Rate Case </t>
  </si>
  <si>
    <t>ok</t>
  </si>
  <si>
    <t>how did you get this?</t>
  </si>
  <si>
    <t>what is this for?</t>
  </si>
  <si>
    <t>flat fee</t>
  </si>
  <si>
    <t>electric rate case spent total of $61,135 (23,885-filing;37250-post filing); applied same % for post-filing work of 61%.</t>
  </si>
  <si>
    <t>Flat Fee</t>
  </si>
  <si>
    <t>OT/Incremental Pay</t>
  </si>
  <si>
    <t>Depreciation Study-Pat Lee</t>
  </si>
  <si>
    <t>Pension testimony support-Kathy McVay</t>
  </si>
  <si>
    <t>Full Hearing support</t>
  </si>
  <si>
    <t>Bety Maitre</t>
  </si>
  <si>
    <t>Depreciation Study-Bety Maitre</t>
  </si>
  <si>
    <t>Avg hours over 7 months =120/monthx10=1200 hours rest of the year on rate case (1500-840=660);Add 1200-660=540 additional hours less 150 for hearing prep below</t>
  </si>
  <si>
    <t>Deferred tax and MFR review-John Grayson</t>
  </si>
  <si>
    <t>1/2 the monthly hours for rate case from Oct to  December (3 months)</t>
  </si>
  <si>
    <t>Thru 2/22-53.75 hrs estimate about 60 additional for March (40) &amp; April (20) (worked 39.5 hrs in 2/22)</t>
  </si>
  <si>
    <t>Prudential-Pension analysis</t>
  </si>
  <si>
    <t>flat fee-Email</t>
  </si>
  <si>
    <t>James Terry Deason</t>
  </si>
  <si>
    <t>Materials/Binders</t>
  </si>
  <si>
    <t>Agreement</t>
  </si>
  <si>
    <t>Legal Services - Consolidation of BU's</t>
  </si>
  <si>
    <t>Payroll for staff dedicated to Rate Case</t>
  </si>
  <si>
    <t>benefits</t>
  </si>
  <si>
    <t>Average rate between regular and OT rate per hour</t>
  </si>
  <si>
    <t>update benefits %</t>
  </si>
  <si>
    <t>Binders in 2020 for Storm was $3764.80 for about 6 (invoice #643901)</t>
  </si>
  <si>
    <t>for about 20 people</t>
  </si>
  <si>
    <t>5 Service Hearings</t>
  </si>
  <si>
    <t>Lodging</t>
  </si>
  <si>
    <t>Venue</t>
  </si>
  <si>
    <t>Travel: WPB, Yulee, FPSC</t>
  </si>
  <si>
    <t>5 Service Hearings:</t>
  </si>
  <si>
    <t>WPB  Hotel</t>
  </si>
  <si>
    <t>Yulee  Hotel</t>
  </si>
  <si>
    <t>FPSC Hearing</t>
  </si>
  <si>
    <t>12 employees for 4 night avg room rate $400k (company employees testifying)</t>
  </si>
  <si>
    <t xml:space="preserve">417 miles from wpb to tallahassee; airfare for 7; rental cars $1000;  gas $1000 </t>
  </si>
  <si>
    <t>Notices</t>
  </si>
  <si>
    <t>#of cust</t>
  </si>
  <si>
    <t>rate/cust</t>
  </si>
  <si>
    <t>Total hours thru 1/2022</t>
  </si>
  <si>
    <t>Tariff Re-write</t>
  </si>
  <si>
    <t>Atrium</t>
  </si>
  <si>
    <t>Pierpont</t>
  </si>
  <si>
    <t>actual costs</t>
  </si>
  <si>
    <t xml:space="preserve">Description-Kathy Welch </t>
  </si>
  <si>
    <t>Rebranding</t>
  </si>
  <si>
    <t>Vertex Assistance w/Billing System Update</t>
  </si>
  <si>
    <t>Consulting Fees - customer care testimony</t>
  </si>
  <si>
    <t>Prudential &amp; EY</t>
  </si>
  <si>
    <t>Consulting Fees - pension analysis</t>
  </si>
  <si>
    <t>JamesTerry Deason</t>
  </si>
  <si>
    <t>do not have an estimate (checking with kelley)</t>
  </si>
  <si>
    <t>$80/day/person</t>
  </si>
  <si>
    <t>flights $400/round trip for 3 person; gas</t>
  </si>
  <si>
    <t>Vertex</t>
  </si>
  <si>
    <t>actual + estimated</t>
  </si>
  <si>
    <t>tariff</t>
  </si>
  <si>
    <t>10 employees for 2 night avg room $280k</t>
  </si>
  <si>
    <t>meals for all travel personnel and those at office</t>
  </si>
  <si>
    <t>Hearing</t>
  </si>
  <si>
    <t>No Hearing</t>
  </si>
  <si>
    <t xml:space="preserve">EY </t>
  </si>
  <si>
    <t xml:space="preserve">Customer Care </t>
  </si>
  <si>
    <t>post filing work (rogs and pods)</t>
  </si>
  <si>
    <t>Hearing work, witness prep</t>
  </si>
  <si>
    <t>Post filing support (rogs, pods, rebuttal testimony)</t>
  </si>
  <si>
    <t>Post filing support (rogs, pods, rebuttal testimony, hearing)</t>
  </si>
  <si>
    <t>100% of pre-filing costs</t>
  </si>
  <si>
    <t>30% of pre-filing costs-reduced  bc still have to rogs/pods rebuttal</t>
  </si>
  <si>
    <t>Post filing support (hearing)</t>
  </si>
  <si>
    <t>Consulting Fees includes rogs/pods</t>
  </si>
  <si>
    <t>average of low vs high</t>
  </si>
  <si>
    <t>Other Travel to WPB, Yulee</t>
  </si>
  <si>
    <t>Office Costs (supplies, postage, printing, filing MFRs)</t>
  </si>
  <si>
    <t>3 employees for 4 night avg room rate $300k (Mike, Cheryl, Matt)</t>
  </si>
  <si>
    <t>6 employees for 4 night avg room rate $300k (Matt, Michelle, Jowi, Kathy, Philip, Bob)</t>
  </si>
  <si>
    <t>Electric Rate case MTN for 31000 customers</t>
  </si>
  <si>
    <t>Benefits per Jowi-43%</t>
  </si>
  <si>
    <t>Vertex-Assistance with the ECIS update for new rate structure</t>
  </si>
  <si>
    <t>Post filing support (rogs, pods, rebuttal testimony,hearing)</t>
  </si>
  <si>
    <t>ask for a reg asset to amortize over 5 years.</t>
  </si>
  <si>
    <t>(data requests, filing)</t>
  </si>
  <si>
    <t>91,000 customers</t>
  </si>
  <si>
    <t xml:space="preserve">inflation </t>
  </si>
  <si>
    <t>Temp services - Accounting</t>
  </si>
  <si>
    <t>Cover staff working on rate case</t>
  </si>
  <si>
    <t>Accounting Temps</t>
  </si>
  <si>
    <t>Per Mike G's estimate</t>
  </si>
  <si>
    <t>Per P&amp;L allocation (see email screenshot below)</t>
  </si>
  <si>
    <t>Annual amort</t>
  </si>
  <si>
    <t>FN</t>
  </si>
  <si>
    <t>CFG</t>
  </si>
  <si>
    <t>FI</t>
  </si>
  <si>
    <t>FT</t>
  </si>
  <si>
    <t>2022 Build up per month beginning Feb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</si>
</sst>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;[Red]\-#,##0.00"/>
    <numFmt numFmtId="167" formatCode="_(&quot;$&quot;* #,##0.000_);_(&quot;$&quot;* \(#,##0.000\);_(&quot;$&quot;* &quot;-&quot;??_);_(@_)"/>
    <numFmt numFmtId="168" formatCode="0.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Franklin Gothic Book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8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9" fontId="17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left"/>
    </xf>
    <xf numFmtId="41" fontId="5" fillId="0" borderId="0" xfId="0" applyNumberFormat="1" applyFont="1" applyFill="1" applyAlignment="1">
      <alignment horizontal="left"/>
    </xf>
    <xf numFmtId="43" fontId="0" fillId="0" borderId="0" xfId="1" applyFont="1"/>
    <xf numFmtId="0" fontId="5" fillId="0" borderId="0" xfId="0" applyFont="1"/>
    <xf numFmtId="0" fontId="0" fillId="0" borderId="0" xfId="0" applyBorder="1"/>
    <xf numFmtId="43" fontId="0" fillId="0" borderId="0" xfId="1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wrapText="1"/>
    </xf>
    <xf numFmtId="41" fontId="7" fillId="0" borderId="0" xfId="0" applyNumberFormat="1" applyFont="1" applyBorder="1"/>
    <xf numFmtId="44" fontId="0" fillId="0" borderId="0" xfId="3" applyFont="1"/>
    <xf numFmtId="164" fontId="0" fillId="0" borderId="0" xfId="1" applyNumberFormat="1" applyFont="1"/>
    <xf numFmtId="165" fontId="0" fillId="0" borderId="0" xfId="3" applyNumberFormat="1" applyFont="1"/>
    <xf numFmtId="165" fontId="0" fillId="0" borderId="1" xfId="3" applyNumberFormat="1" applyFont="1" applyBorder="1"/>
    <xf numFmtId="0" fontId="11" fillId="0" borderId="0" xfId="0" applyFont="1"/>
    <xf numFmtId="0" fontId="0" fillId="0" borderId="0" xfId="0" pivotButton="1"/>
    <xf numFmtId="0" fontId="0" fillId="0" borderId="0" xfId="0" applyAlignment="1">
      <alignment horizontal="left" indent="1"/>
    </xf>
    <xf numFmtId="0" fontId="2" fillId="0" borderId="0" xfId="4"/>
    <xf numFmtId="14" fontId="2" fillId="0" borderId="0" xfId="4" applyNumberFormat="1"/>
    <xf numFmtId="43" fontId="0" fillId="2" borderId="0" xfId="1" applyFont="1" applyFill="1"/>
    <xf numFmtId="43" fontId="0" fillId="3" borderId="0" xfId="1" applyFont="1" applyFill="1"/>
    <xf numFmtId="43" fontId="2" fillId="0" borderId="0" xfId="1" applyFont="1"/>
    <xf numFmtId="43" fontId="2" fillId="2" borderId="0" xfId="1" applyFont="1" applyFill="1"/>
    <xf numFmtId="41" fontId="5" fillId="0" borderId="0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9" fontId="1" fillId="0" borderId="0" xfId="5" applyNumberFormat="1"/>
    <xf numFmtId="166" fontId="1" fillId="0" borderId="0" xfId="5" applyNumberFormat="1"/>
    <xf numFmtId="14" fontId="1" fillId="0" borderId="0" xfId="5" applyNumberFormat="1"/>
    <xf numFmtId="49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4" fontId="10" fillId="0" borderId="0" xfId="5" applyNumberFormat="1" applyFont="1" applyAlignment="1">
      <alignment horizontal="center"/>
    </xf>
    <xf numFmtId="41" fontId="5" fillId="0" borderId="0" xfId="0" applyNumberFormat="1" applyFont="1"/>
    <xf numFmtId="165" fontId="5" fillId="0" borderId="0" xfId="3" applyNumberFormat="1" applyFont="1" applyAlignment="1">
      <alignment horizontal="left"/>
    </xf>
    <xf numFmtId="165" fontId="5" fillId="0" borderId="0" xfId="3" applyNumberFormat="1" applyFont="1" applyFill="1" applyAlignment="1">
      <alignment horizontal="left"/>
    </xf>
    <xf numFmtId="41" fontId="5" fillId="0" borderId="0" xfId="0" applyNumberFormat="1" applyFont="1" applyAlignment="1">
      <alignment horizontal="left"/>
    </xf>
    <xf numFmtId="41" fontId="5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43" fontId="5" fillId="0" borderId="0" xfId="1" applyFont="1" applyFill="1" applyAlignment="1">
      <alignment horizontal="center"/>
    </xf>
    <xf numFmtId="41" fontId="5" fillId="0" borderId="1" xfId="0" applyNumberFormat="1" applyFont="1" applyBorder="1" applyAlignment="1">
      <alignment horizontal="left"/>
    </xf>
    <xf numFmtId="42" fontId="5" fillId="0" borderId="0" xfId="0" applyNumberFormat="1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6" fontId="5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5" fillId="0" borderId="0" xfId="0" applyFont="1"/>
    <xf numFmtId="165" fontId="0" fillId="0" borderId="0" xfId="0" applyNumberFormat="1"/>
    <xf numFmtId="0" fontId="3" fillId="0" borderId="0" xfId="0" applyFont="1"/>
    <xf numFmtId="164" fontId="3" fillId="0" borderId="0" xfId="1" applyNumberFormat="1" applyFont="1"/>
    <xf numFmtId="5" fontId="5" fillId="0" borderId="0" xfId="0" applyNumberFormat="1" applyFont="1"/>
    <xf numFmtId="167" fontId="0" fillId="0" borderId="0" xfId="3" applyNumberFormat="1" applyFont="1"/>
    <xf numFmtId="0" fontId="0" fillId="0" borderId="2" xfId="0" applyBorder="1"/>
    <xf numFmtId="41" fontId="5" fillId="0" borderId="0" xfId="0" applyNumberFormat="1" applyFont="1" applyFill="1" applyBorder="1" applyAlignment="1">
      <alignment horizontal="left"/>
    </xf>
    <xf numFmtId="0" fontId="16" fillId="0" borderId="0" xfId="0" applyFont="1"/>
    <xf numFmtId="165" fontId="0" fillId="0" borderId="2" xfId="3" applyNumberFormat="1" applyFont="1" applyBorder="1"/>
    <xf numFmtId="165" fontId="0" fillId="0" borderId="1" xfId="0" applyNumberFormat="1" applyBorder="1"/>
    <xf numFmtId="0" fontId="3" fillId="0" borderId="0" xfId="0" applyFont="1" applyAlignment="1">
      <alignment horizontal="justify" vertical="center"/>
    </xf>
    <xf numFmtId="0" fontId="5" fillId="0" borderId="0" xfId="0" applyFont="1" applyFill="1"/>
    <xf numFmtId="0" fontId="11" fillId="0" borderId="0" xfId="0" applyFont="1" applyFill="1" applyAlignment="1">
      <alignment wrapText="1"/>
    </xf>
    <xf numFmtId="41" fontId="5" fillId="0" borderId="0" xfId="0" applyNumberFormat="1" applyFont="1" applyFill="1"/>
    <xf numFmtId="41" fontId="5" fillId="0" borderId="2" xfId="0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41" fontId="5" fillId="0" borderId="1" xfId="0" applyNumberFormat="1" applyFont="1" applyFill="1" applyBorder="1" applyAlignment="1">
      <alignment horizontal="left"/>
    </xf>
    <xf numFmtId="42" fontId="5" fillId="0" borderId="0" xfId="0" applyNumberFormat="1" applyFont="1" applyFill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168" fontId="3" fillId="0" borderId="0" xfId="6" applyNumberFormat="1" applyFont="1" applyFill="1"/>
    <xf numFmtId="164" fontId="7" fillId="0" borderId="0" xfId="1" applyNumberFormat="1" applyFont="1"/>
    <xf numFmtId="168" fontId="3" fillId="0" borderId="1" xfId="6" applyNumberFormat="1" applyFont="1" applyFill="1" applyBorder="1"/>
    <xf numFmtId="164" fontId="3" fillId="0" borderId="1" xfId="1" applyNumberFormat="1" applyFont="1" applyBorder="1"/>
    <xf numFmtId="0" fontId="3" fillId="0" borderId="0" xfId="0" applyFont="1" applyFill="1"/>
    <xf numFmtId="43" fontId="3" fillId="0" borderId="0" xfId="0" applyNumberFormat="1" applyFont="1"/>
  </cellXfs>
  <cellStyles count="7">
    <cellStyle name="Comma" xfId="1" builtinId="3"/>
    <cellStyle name="Currency" xfId="3" builtinId="4"/>
    <cellStyle name="Normal" xfId="0" builtinId="0"/>
    <cellStyle name="Normal 2" xfId="2"/>
    <cellStyle name="Normal_Download of Rate Case Activity" xfId="5"/>
    <cellStyle name="Normal_Sheet4" xfId="4"/>
    <cellStyle name="Percent" xfId="6" builtinId="5"/>
  </cellStyles>
  <dxfs count="9"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pivotCacheDefinition" Target="pivotCache/pivotCacheDefinition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110</xdr:row>
      <xdr:rowOff>133350</xdr:rowOff>
    </xdr:from>
    <xdr:to>
      <xdr:col>9</xdr:col>
      <xdr:colOff>296329</xdr:colOff>
      <xdr:row>152</xdr:row>
      <xdr:rowOff>134298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8669000"/>
          <a:ext cx="7554379" cy="6801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7</xdr:row>
      <xdr:rowOff>114300</xdr:rowOff>
    </xdr:from>
    <xdr:to>
      <xdr:col>10</xdr:col>
      <xdr:colOff>219075</xdr:colOff>
      <xdr:row>16</xdr:row>
      <xdr:rowOff>152400</xdr:rowOff>
    </xdr:to>
    <xdr:sp macro="" textlink="">
      <xdr:nvSpPr>
        <xdr:cNvPr id="2" name="TextBox 1"/>
        <xdr:cNvSpPr txBox="1"/>
      </xdr:nvSpPr>
      <xdr:spPr>
        <a:xfrm>
          <a:off x="5105400" y="1419225"/>
          <a:ext cx="16478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will be reclassed</a:t>
          </a:r>
          <a:r>
            <a:rPr lang="en-US" sz="1100" baseline="0"/>
            <a:t> to the Florida NG consolidated rate case deferred account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nsomu, Philip" refreshedDate="44601.938816550923" createdVersion="6" refreshedVersion="6" minRefreshableVersion="3" recordCount="367">
  <cacheSource type="worksheet">
    <worksheetSource ref="A1:Q368" sheet="Download of Rate Case Activity"/>
  </cacheSource>
  <cacheFields count="19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Amount" numFmtId="166">
      <sharedItems containsSemiMixedTypes="0" containsString="0" containsNumber="1" minValue="-19160" maxValue="80759.240000000005"/>
    </cacheField>
    <cacheField name="Description" numFmtId="49">
      <sharedItems count="66">
        <s v="ATRIUM"/>
        <s v="TARIFF REWRITE PROJECT - COST A"/>
        <s v="TARIFF PROJECT"/>
        <s v="TARIFF REWRITE PROJECT"/>
        <s v="RATE CASE CHECKLIST"/>
        <s v="Accrue - WELCH, KATHY L"/>
        <s v="Accrue - Pierpont &amp; Mclelland"/>
        <s v="Accrue-KATHY L WELCH"/>
        <s v="Accrue - Kathy Welch"/>
        <s v="ELECTRIC RATE SOCIAL MEDIA RESP"/>
        <s v="Reclass Pierpont and McLelland Invoice t"/>
        <s v="PIERPONT &amp; MCLELLAND"/>
        <s v="Accrue-WELCH, KATHY L"/>
        <s v="Accrue   KATHY L WELCH"/>
        <s v="Accrue    KATHY L WELCH"/>
        <s v="Accrue- PIERPONT &amp; MCLELLAND"/>
        <s v="Accrue-PIERPONT &amp; MCLELLAND"/>
        <s v="accrue PIERPONT MCLELLAND"/>
        <s v="RATE CASE; TARIFF PROJECT; CHEC"/>
        <s v="Accrue-KATHY WELCH"/>
        <s v="FPU RATE CASE"/>
        <s v="Accrue - KATHY L WELCH"/>
        <s v="RATE NOTICE TO CUSTOMERS DECEMB"/>
        <s v="KATHY WELCH"/>
        <s v="Accrue - PIERPONT AND MCLELLAND LLC"/>
        <s v="Accrue - PATRICIA LEE"/>
        <s v="accrue PIERPONT  MCLELLAND"/>
        <s v="Accrue - RUTH ASSOCIATES"/>
        <s v="Accrue - BETY MAITRE"/>
        <s v="Accrue-PIERPONT&amp;MCLELLAND"/>
        <s v="Accrue PIERPONT &amp; MCLELLAND"/>
        <s v="Accrue  PIERPONT  MCLELLAND"/>
        <s v="Accrue    WELCH KATHY L"/>
        <s v="Accrue_PIERPONT &amp; MCLELLAND"/>
        <s v="SL Clearing"/>
        <s v="Accrue - GUNSTER YOAKLEY &amp; STEWART PA"/>
        <s v="Accrue - ACCOUNTING PRINCIPALS DBA PARKE"/>
        <s v="Accrue - ATRIUM ECONOMICS LLC"/>
        <s v="Accrue   WELCH KATHY L"/>
        <s v="Accrue CONSULTING SERVICES"/>
        <s v="Accrue GRAYSON ACCTG &amp; CONSULTING"/>
        <s v="Accrue ATRIUM ECONOMICS"/>
        <s v="Accrue JAMES T DEASON"/>
        <s v="Accrue Atrium difference"/>
        <s v="Accrue - GRAYSON ACCOUNTING &amp; CONSULTING"/>
        <s v="TARIFF PROJECT; RATE CASE"/>
        <s v="FPU NG RATE CASE"/>
        <s v="DONNA RANCE W/E 11/21/21"/>
        <s v="FL BU RATE CASE"/>
        <s v="Accrue - PIEPONT &amp; MCLELLAND"/>
        <s v="Accrue - PIERPONT McClelland"/>
        <s v="Accrue - PIERPONT &amp;MCLELLAND"/>
        <s v="ATRIUM; TARIFF REWRITE PROJECT"/>
        <s v="FPUC GAS RATE CASE"/>
        <s v="RATE CASE"/>
        <s v="FN RATE CASE ASSISTANCE"/>
        <s v="NG RATE CASE"/>
        <s v="LDC TARIFF REVIEW"/>
        <s v="2022 RATE RELIEF AND CONSOLIDAT"/>
        <s v="DONNA RANCE W/E 12/26/21 - FN N"/>
        <s v="DONNA RANCE W/E 01/16/22 FPU NG"/>
        <s v="MFR WAIVER"/>
        <s v="FL NG RATE CASE DEPRECIATION ST"/>
        <s v="DONNA RANCE W/E 12/12/21"/>
        <s v="FPU NG RATE CASE ASSISTANCE"/>
        <s v="DONNA RANCE W/E 01/23/22 - FPU"/>
      </sharedItems>
    </cacheField>
    <cacheField name="Vendor_Name" numFmtId="49">
      <sharedItems count="9">
        <s v="PIERPONT AND MCLELLAND LLC"/>
        <s v="ATRIUM ECONOMICS LLC"/>
        <s v="KATHY L WELCH"/>
        <s v=""/>
        <s v="ACCOUNTING PRINCIPALS DBA PARKER &amp; LYNCH"/>
        <s v="JAMES T DEASON"/>
        <s v="GRAYSON ACCOUNTING &amp; CONSULTING"/>
        <s v="GUNSTER YOAKLEY &amp; STEWART PA"/>
        <s v="BETY MAITRE"/>
      </sharedItems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0-01-31T00:00:00" maxDate="2022-03-01T00:00:00" count="57">
        <d v="2021-01-13T00:00:00"/>
        <d v="2021-02-19T00:00:00"/>
        <d v="2021-02-22T00:00:00"/>
        <d v="2021-03-03T00:00:00"/>
        <d v="2021-03-10T00:00:00"/>
        <d v="2021-04-07T00:00:00"/>
        <d v="2021-04-09T00:00:00"/>
        <d v="2021-04-12T00:00:00"/>
        <d v="2021-05-04T00:00:00"/>
        <d v="2021-05-11T00:00:00"/>
        <d v="2021-06-07T00:00:00"/>
        <d v="2021-06-18T00:00:00"/>
        <d v="2021-02-28T00:00:00"/>
        <d v="2021-03-31T00:00:00"/>
        <d v="2021-04-30T00:00:00"/>
        <d v="2021-05-31T00:00:00"/>
        <d v="2021-06-30T00:00:00"/>
        <d v="2020-01-31T00:00:00"/>
        <d v="2021-01-29T00:00:00"/>
        <d v="2021-02-26T00:00:00"/>
        <d v="2021-07-31T00:00:00"/>
        <d v="2021-08-03T00:00:00"/>
        <d v="2021-07-06T00:00:00"/>
        <d v="2021-07-12T00:00:00"/>
        <d v="2021-08-12T00:00:00"/>
        <d v="2021-09-13T00:00:00"/>
        <d v="2021-09-20T00:00:00"/>
        <d v="2021-10-04T00:00:00"/>
        <d v="2021-10-07T00:00:00"/>
        <d v="2021-08-31T00:00:00"/>
        <d v="2021-09-30T00:00:00"/>
        <d v="2021-10-31T00:00:00"/>
        <d v="2021-11-30T00:00:00"/>
        <d v="2021-12-31T00:00:00"/>
        <d v="2022-01-31T00:00:00"/>
        <d v="2022-01-06T00:00:00"/>
        <d v="2022-02-02T00:00:00"/>
        <d v="2021-11-01T00:00:00"/>
        <d v="2021-11-09T00:00:00"/>
        <d v="2021-12-06T00:00:00"/>
        <d v="2021-12-09T00:00:00"/>
        <d v="2022-01-03T00:00:00"/>
        <d v="2022-02-28T00:00:00"/>
        <d v="2022-01-19T00:00:00"/>
        <d v="2021-10-11T00:00:00"/>
        <d v="2021-11-11T00:00:00"/>
        <d v="2021-11-15T00:00:00"/>
        <d v="2021-12-20T00:00:00"/>
        <d v="2021-12-29T00:00:00"/>
        <d v="2022-01-28T00:00:00"/>
        <d v="2022-01-21T00:00:00"/>
        <d v="2022-01-04T00:00:00"/>
        <d v="2021-09-07T00:00:00"/>
        <d v="2021-09-27T00:00:00"/>
        <d v="2021-10-14T00:00:00"/>
        <d v="2021-12-01T00:00:00"/>
        <d v="2022-01-11T00:00:00"/>
      </sharedItems>
      <fieldGroup par="18" base="14">
        <rangePr groupBy="months" startDate="2020-01-31T00:00:00" endDate="2022-03-01T00:00:00"/>
        <groupItems count="14">
          <s v="&lt;1/3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1/2022"/>
        </groupItems>
      </fieldGroup>
    </cacheField>
    <cacheField name="Posted_Date" numFmtId="14">
      <sharedItems containsNonDate="0" containsDate="1" containsString="0" containsBlank="1" minDate="2020-02-13T00:00:00" maxDate="2022-02-10T00:00:00"/>
    </cacheField>
    <cacheField name="Posted_Status" numFmtId="49">
      <sharedItems/>
    </cacheField>
    <cacheField name="Quarters" numFmtId="0" databaseField="0">
      <fieldGroup base="14">
        <rangePr groupBy="quarters" startDate="2020-01-31T00:00:00" endDate="2022-03-01T00:00:00"/>
        <groupItems count="6">
          <s v="&lt;1/31/2020"/>
          <s v="Qtr1"/>
          <s v="Qtr2"/>
          <s v="Qtr3"/>
          <s v="Qtr4"/>
          <s v="&gt;3/1/2022"/>
        </groupItems>
      </fieldGroup>
    </cacheField>
    <cacheField name="Years" numFmtId="0" databaseField="0">
      <fieldGroup base="14">
        <rangePr groupBy="years" startDate="2020-01-31T00:00:00" endDate="2022-03-01T00:00:00"/>
        <groupItems count="5">
          <s v="&lt;1/31/2020"/>
          <s v="2020"/>
          <s v="2021"/>
          <s v="2022"/>
          <s v="&gt;3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7">
  <r>
    <s v="SYS-AP"/>
    <s v="FC00"/>
    <s v="JRNL00528441"/>
    <s v="CF00-00000-1760-1860"/>
    <s v="CF00"/>
    <s v="00000"/>
    <s v="1760"/>
    <s v="1860"/>
    <s v=""/>
    <n v="140.29"/>
    <x v="0"/>
    <x v="0"/>
    <s v="458"/>
    <s v="VO828429"/>
    <x v="0"/>
    <d v="2021-01-14T00:00:00"/>
    <s v="Yes"/>
  </r>
  <r>
    <s v="SYS-AP"/>
    <s v="FC00"/>
    <s v="JRNL00528441"/>
    <s v="FN00-00000-1760-1860"/>
    <s v="FN00"/>
    <s v="00000"/>
    <s v="1760"/>
    <s v="1860"/>
    <s v=""/>
    <n v="140.29"/>
    <x v="0"/>
    <x v="0"/>
    <s v="458"/>
    <s v="VO828429"/>
    <x v="0"/>
    <d v="2021-01-14T00:00:00"/>
    <s v="Yes"/>
  </r>
  <r>
    <s v="SYS-AP"/>
    <s v="FC00"/>
    <s v="JRNL00530461"/>
    <s v="CF00-00000-1760-1860"/>
    <s v="CF00"/>
    <s v="00000"/>
    <s v="1760"/>
    <s v="1860"/>
    <s v=""/>
    <n v="564.16"/>
    <x v="1"/>
    <x v="1"/>
    <s v="INV0565-03"/>
    <s v="VO836557"/>
    <x v="1"/>
    <d v="2021-02-22T00:00:00"/>
    <s v="Yes"/>
  </r>
  <r>
    <s v="SYS-AP"/>
    <s v="FC00"/>
    <s v="JRNL00530461"/>
    <s v="FN00-00000-1760-1860"/>
    <s v="FN00"/>
    <s v="00000"/>
    <s v="1760"/>
    <s v="1860"/>
    <s v=""/>
    <n v="564.16"/>
    <x v="1"/>
    <x v="1"/>
    <s v="INV0565-03"/>
    <s v="VO836557"/>
    <x v="1"/>
    <d v="2021-02-22T00:00:00"/>
    <s v="Yes"/>
  </r>
  <r>
    <s v="SYS-AP"/>
    <s v="FC00"/>
    <s v="JRNL00530509"/>
    <s v="CF00-00000-1760-1860"/>
    <s v="CF00"/>
    <s v="00000"/>
    <s v="1760"/>
    <s v="1860"/>
    <s v=""/>
    <n v="2430"/>
    <x v="1"/>
    <x v="1"/>
    <s v="INV 0550-01"/>
    <s v="VO836764"/>
    <x v="2"/>
    <d v="2021-02-23T00:00:00"/>
    <s v="Yes"/>
  </r>
  <r>
    <s v="SYS-AP"/>
    <s v="FC00"/>
    <s v="JRNL00530509"/>
    <s v="FN00-00000-1760-1860"/>
    <s v="FN00"/>
    <s v="00000"/>
    <s v="1760"/>
    <s v="1860"/>
    <s v=""/>
    <n v="2430"/>
    <x v="1"/>
    <x v="1"/>
    <s v="INV 0550-01"/>
    <s v="VO836764"/>
    <x v="2"/>
    <d v="2021-02-23T00:00:00"/>
    <s v="Yes"/>
  </r>
  <r>
    <s v="SYS-AP"/>
    <s v="FC00"/>
    <s v="JRNL00531329"/>
    <s v="CF00-00000-1760-1860"/>
    <s v="CF00"/>
    <s v="00000"/>
    <s v="1760"/>
    <s v="1860"/>
    <s v=""/>
    <n v="340.94"/>
    <x v="2"/>
    <x v="2"/>
    <s v="839213"/>
    <s v="VO839172"/>
    <x v="3"/>
    <d v="2021-03-04T00:00:00"/>
    <s v="Yes"/>
  </r>
  <r>
    <s v="SYS-AP"/>
    <s v="FC00"/>
    <s v="JRNL00531329"/>
    <s v="FE00-00000-1760-1860"/>
    <s v="FE00"/>
    <s v="00000"/>
    <s v="1760"/>
    <s v="1860"/>
    <s v=""/>
    <n v="300.64999999999998"/>
    <x v="2"/>
    <x v="2"/>
    <s v="839213"/>
    <s v="VO839172"/>
    <x v="3"/>
    <d v="2021-03-04T00:00:00"/>
    <s v="Yes"/>
  </r>
  <r>
    <s v="SYS-AP"/>
    <s v="FC00"/>
    <s v="JRNL00531329"/>
    <s v="FI00-00000-1760-1860"/>
    <s v="FI00"/>
    <s v="00000"/>
    <s v="1760"/>
    <s v="1860"/>
    <s v=""/>
    <n v="6.58"/>
    <x v="2"/>
    <x v="2"/>
    <s v="839213"/>
    <s v="VO839172"/>
    <x v="3"/>
    <d v="2021-03-04T00:00:00"/>
    <s v="Yes"/>
  </r>
  <r>
    <s v="SYS-AP"/>
    <s v="FC00"/>
    <s v="JRNL00531329"/>
    <s v="FN00-00000-1760-1860"/>
    <s v="FN00"/>
    <s v="00000"/>
    <s v="1760"/>
    <s v="1860"/>
    <s v=""/>
    <n v="726.29"/>
    <x v="2"/>
    <x v="2"/>
    <s v="839213"/>
    <s v="VO839172"/>
    <x v="3"/>
    <d v="2021-03-04T00:00:00"/>
    <s v="Yes"/>
  </r>
  <r>
    <s v="SYS-AP"/>
    <s v="FC00"/>
    <s v="JRNL00531329"/>
    <s v="FT00-00000-1760-1860"/>
    <s v="FT00"/>
    <s v="00000"/>
    <s v="1760"/>
    <s v="1860"/>
    <s v=""/>
    <n v="2.0499999999999998"/>
    <x v="2"/>
    <x v="2"/>
    <s v="839213"/>
    <s v="VO839172"/>
    <x v="3"/>
    <d v="2021-03-04T00:00:00"/>
    <s v="Yes"/>
  </r>
  <r>
    <s v="SYS-AP"/>
    <s v="FC00"/>
    <s v="JRNL00531974"/>
    <s v="CF00-00000-1760-1860"/>
    <s v="CF00"/>
    <s v="00000"/>
    <s v="1760"/>
    <s v="1860"/>
    <s v=""/>
    <n v="555.49"/>
    <x v="1"/>
    <x v="1"/>
    <s v="INV 0545-04"/>
    <s v="VO840764"/>
    <x v="4"/>
    <d v="2021-03-11T00:00:00"/>
    <s v="Yes"/>
  </r>
  <r>
    <s v="SYS-AP"/>
    <s v="FC00"/>
    <s v="JRNL00531974"/>
    <s v="FI00-00000-1760-1860"/>
    <s v="FI00"/>
    <s v="00000"/>
    <s v="1760"/>
    <s v="1860"/>
    <s v=""/>
    <n v="10.72"/>
    <x v="1"/>
    <x v="1"/>
    <s v="INV 0545-04"/>
    <s v="VO840764"/>
    <x v="4"/>
    <d v="2021-03-11T00:00:00"/>
    <s v="Yes"/>
  </r>
  <r>
    <s v="SYS-AP"/>
    <s v="FC00"/>
    <s v="JRNL00531974"/>
    <s v="FN00-00000-1760-1860"/>
    <s v="FN00"/>
    <s v="00000"/>
    <s v="1760"/>
    <s v="1860"/>
    <s v=""/>
    <n v="1183.3399999999999"/>
    <x v="1"/>
    <x v="1"/>
    <s v="INV 0545-04"/>
    <s v="VO840764"/>
    <x v="4"/>
    <d v="2021-03-11T00:00:00"/>
    <s v="Yes"/>
  </r>
  <r>
    <s v="SYS-AP"/>
    <s v="FC00"/>
    <s v="JRNL00531974"/>
    <s v="FT00-00000-1760-1860"/>
    <s v="FT00"/>
    <s v="00000"/>
    <s v="1760"/>
    <s v="1860"/>
    <s v=""/>
    <n v="3.34"/>
    <x v="1"/>
    <x v="1"/>
    <s v="INV 0545-04"/>
    <s v="VO840764"/>
    <x v="4"/>
    <d v="2021-03-11T00:00:00"/>
    <s v="Yes"/>
  </r>
  <r>
    <s v="SYS-AP"/>
    <s v="FC00"/>
    <s v="JRNL00531974"/>
    <s v="CF00-00000-1760-1860"/>
    <s v="CF00"/>
    <s v="00000"/>
    <s v="1760"/>
    <s v="1860"/>
    <s v=""/>
    <n v="1409.79"/>
    <x v="3"/>
    <x v="0"/>
    <s v="468"/>
    <s v="VO840804"/>
    <x v="4"/>
    <d v="2021-03-11T00:00:00"/>
    <s v="Yes"/>
  </r>
  <r>
    <s v="SYS-AP"/>
    <s v="FC00"/>
    <s v="JRNL00531974"/>
    <s v="FI00-00000-1760-1860"/>
    <s v="FI00"/>
    <s v="00000"/>
    <s v="1760"/>
    <s v="1860"/>
    <s v=""/>
    <n v="27.23"/>
    <x v="3"/>
    <x v="0"/>
    <s v="468"/>
    <s v="VO840804"/>
    <x v="4"/>
    <d v="2021-03-11T00:00:00"/>
    <s v="Yes"/>
  </r>
  <r>
    <s v="SYS-AP"/>
    <s v="FC00"/>
    <s v="JRNL00531974"/>
    <s v="FN00-00000-1760-1860"/>
    <s v="FN00"/>
    <s v="00000"/>
    <s v="1760"/>
    <s v="1860"/>
    <s v=""/>
    <n v="3003.31"/>
    <x v="3"/>
    <x v="0"/>
    <s v="468"/>
    <s v="VO840804"/>
    <x v="4"/>
    <d v="2021-03-11T00:00:00"/>
    <s v="Yes"/>
  </r>
  <r>
    <s v="SYS-AP"/>
    <s v="FC00"/>
    <s v="JRNL00531974"/>
    <s v="FT00-00000-1760-1860"/>
    <s v="FT00"/>
    <s v="00000"/>
    <s v="1760"/>
    <s v="1860"/>
    <s v=""/>
    <n v="8.4700000000000006"/>
    <x v="3"/>
    <x v="0"/>
    <s v="468"/>
    <s v="VO840804"/>
    <x v="4"/>
    <d v="2021-03-11T00:00:00"/>
    <s v="Yes"/>
  </r>
  <r>
    <s v="SYS-AP"/>
    <s v="FC00"/>
    <s v="JRNL00533726"/>
    <s v="CF00-00000-1760-1860"/>
    <s v="CF00"/>
    <s v="00000"/>
    <s v="1760"/>
    <s v="1860"/>
    <s v=""/>
    <n v="264.33999999999997"/>
    <x v="2"/>
    <x v="2"/>
    <s v="846163"/>
    <s v="VO846776"/>
    <x v="5"/>
    <d v="2021-04-08T00:00:00"/>
    <s v="Yes"/>
  </r>
  <r>
    <s v="SYS-AP"/>
    <s v="FC00"/>
    <s v="JRNL00533726"/>
    <s v="FI00-00000-1760-1860"/>
    <s v="FI00"/>
    <s v="00000"/>
    <s v="1760"/>
    <s v="1860"/>
    <s v=""/>
    <n v="5.0999999999999996"/>
    <x v="2"/>
    <x v="2"/>
    <s v="846163"/>
    <s v="VO846776"/>
    <x v="5"/>
    <d v="2021-04-08T00:00:00"/>
    <s v="Yes"/>
  </r>
  <r>
    <s v="SYS-AP"/>
    <s v="FC00"/>
    <s v="JRNL00533726"/>
    <s v="FN00-00000-1760-1860"/>
    <s v="FN00"/>
    <s v="00000"/>
    <s v="1760"/>
    <s v="1860"/>
    <s v=""/>
    <n v="563.13"/>
    <x v="2"/>
    <x v="2"/>
    <s v="846163"/>
    <s v="VO846776"/>
    <x v="5"/>
    <d v="2021-04-08T00:00:00"/>
    <s v="Yes"/>
  </r>
  <r>
    <s v="SYS-AP"/>
    <s v="FC00"/>
    <s v="JRNL00533726"/>
    <s v="FT00-00000-1760-1860"/>
    <s v="FT00"/>
    <s v="00000"/>
    <s v="1760"/>
    <s v="1860"/>
    <s v=""/>
    <n v="1.5899999999999999"/>
    <x v="2"/>
    <x v="2"/>
    <s v="846163"/>
    <s v="VO846776"/>
    <x v="5"/>
    <d v="2021-04-08T00:00:00"/>
    <s v="Yes"/>
  </r>
  <r>
    <s v="SYS-AP"/>
    <s v="FC00"/>
    <s v="JRNL00533857"/>
    <s v="CF00-00000-1760-1860"/>
    <s v="CF00"/>
    <s v="00000"/>
    <s v="1760"/>
    <s v="1860"/>
    <s v=""/>
    <n v="883.88"/>
    <x v="3"/>
    <x v="0"/>
    <s v="471"/>
    <s v="VO847298"/>
    <x v="6"/>
    <d v="2021-04-12T00:00:00"/>
    <s v="Yes"/>
  </r>
  <r>
    <s v="SYS-AP"/>
    <s v="FC00"/>
    <s v="JRNL00533857"/>
    <s v="FI00-00000-1760-1860"/>
    <s v="FI00"/>
    <s v="00000"/>
    <s v="1760"/>
    <s v="1860"/>
    <s v=""/>
    <n v="17.07"/>
    <x v="3"/>
    <x v="0"/>
    <s v="471"/>
    <s v="VO847298"/>
    <x v="6"/>
    <d v="2021-04-12T00:00:00"/>
    <s v="Yes"/>
  </r>
  <r>
    <s v="SYS-AP"/>
    <s v="FC00"/>
    <s v="JRNL00533857"/>
    <s v="FN00-00000-1760-1860"/>
    <s v="FN00"/>
    <s v="00000"/>
    <s v="1760"/>
    <s v="1860"/>
    <s v=""/>
    <n v="1882.95"/>
    <x v="3"/>
    <x v="0"/>
    <s v="471"/>
    <s v="VO847298"/>
    <x v="6"/>
    <d v="2021-04-12T00:00:00"/>
    <s v="Yes"/>
  </r>
  <r>
    <s v="SYS-AP"/>
    <s v="FC00"/>
    <s v="JRNL00533857"/>
    <s v="FT00-00000-1760-1860"/>
    <s v="FT00"/>
    <s v="00000"/>
    <s v="1760"/>
    <s v="1860"/>
    <s v=""/>
    <n v="5.31"/>
    <x v="3"/>
    <x v="0"/>
    <s v="471"/>
    <s v="VO847298"/>
    <x v="6"/>
    <d v="2021-04-12T00:00:00"/>
    <s v="Yes"/>
  </r>
  <r>
    <s v="SYS-AP"/>
    <s v="FC00"/>
    <s v="JRNL00533895"/>
    <s v="CF00-00000-1760-1860"/>
    <s v="CF00"/>
    <s v="00000"/>
    <s v="1760"/>
    <s v="1860"/>
    <s v=""/>
    <n v="1192.31"/>
    <x v="1"/>
    <x v="1"/>
    <s v="INV 0545-05"/>
    <s v="VO847546"/>
    <x v="7"/>
    <d v="2021-04-13T00:00:00"/>
    <s v="Yes"/>
  </r>
  <r>
    <s v="SYS-AP"/>
    <s v="FC00"/>
    <s v="JRNL00533895"/>
    <s v="FI00-00000-1760-1860"/>
    <s v="FI00"/>
    <s v="00000"/>
    <s v="1760"/>
    <s v="1860"/>
    <s v=""/>
    <n v="23"/>
    <x v="1"/>
    <x v="1"/>
    <s v="INV 0545-05"/>
    <s v="VO847546"/>
    <x v="7"/>
    <d v="2021-04-13T00:00:00"/>
    <s v="Yes"/>
  </r>
  <r>
    <s v="SYS-AP"/>
    <s v="FC00"/>
    <s v="JRNL00533895"/>
    <s v="FN00-00000-1760-1860"/>
    <s v="FN00"/>
    <s v="00000"/>
    <s v="1760"/>
    <s v="1860"/>
    <s v=""/>
    <n v="2539.9699999999998"/>
    <x v="1"/>
    <x v="1"/>
    <s v="INV 0545-05"/>
    <s v="VO847546"/>
    <x v="7"/>
    <d v="2021-04-13T00:00:00"/>
    <s v="Yes"/>
  </r>
  <r>
    <s v="SYS-AP"/>
    <s v="FC00"/>
    <s v="JRNL00533895"/>
    <s v="FT00-00000-1760-1860"/>
    <s v="FT00"/>
    <s v="00000"/>
    <s v="1760"/>
    <s v="1860"/>
    <s v=""/>
    <n v="7.18"/>
    <x v="1"/>
    <x v="1"/>
    <s v="INV 0545-05"/>
    <s v="VO847546"/>
    <x v="7"/>
    <d v="2021-04-13T00:00:00"/>
    <s v="Yes"/>
  </r>
  <r>
    <s v="SYS-AP"/>
    <s v="FC00"/>
    <s v="JRNL00534826"/>
    <s v="FT00-00000-1760-1860"/>
    <s v="FT00"/>
    <s v="00000"/>
    <s v="1760"/>
    <s v="1860"/>
    <s v=""/>
    <n v="2.71"/>
    <x v="2"/>
    <x v="2"/>
    <s v="851527"/>
    <s v="VO852393"/>
    <x v="8"/>
    <d v="2021-05-04T00:00:00"/>
    <s v="Yes"/>
  </r>
  <r>
    <s v="SYS-AP"/>
    <s v="FC00"/>
    <s v="JRNL00535619"/>
    <s v="CF00-00000-1760-1860"/>
    <s v="CF00"/>
    <s v="00000"/>
    <s v="1760"/>
    <s v="1860"/>
    <s v=""/>
    <n v="1064.5899999999999"/>
    <x v="3"/>
    <x v="0"/>
    <s v="475"/>
    <s v="VO853513"/>
    <x v="9"/>
    <d v="2021-05-12T00:00:00"/>
    <s v="Yes"/>
  </r>
  <r>
    <s v="SYS-AP"/>
    <s v="FC00"/>
    <s v="JRNL00535619"/>
    <s v="FI00-00000-1760-1860"/>
    <s v="FI00"/>
    <s v="00000"/>
    <s v="1760"/>
    <s v="1860"/>
    <s v=""/>
    <n v="20.56"/>
    <x v="3"/>
    <x v="0"/>
    <s v="475"/>
    <s v="VO853513"/>
    <x v="9"/>
    <d v="2021-05-12T00:00:00"/>
    <s v="Yes"/>
  </r>
  <r>
    <s v="SYS-AP"/>
    <s v="FC00"/>
    <s v="JRNL00535619"/>
    <s v="FN00-00000-1760-1860"/>
    <s v="FN00"/>
    <s v="00000"/>
    <s v="1760"/>
    <s v="1860"/>
    <s v=""/>
    <n v="2267.91"/>
    <x v="3"/>
    <x v="0"/>
    <s v="475"/>
    <s v="VO853513"/>
    <x v="9"/>
    <d v="2021-05-12T00:00:00"/>
    <s v="Yes"/>
  </r>
  <r>
    <s v="SYS-AP"/>
    <s v="FC00"/>
    <s v="JRNL00535619"/>
    <s v="FT00-00000-1760-1860"/>
    <s v="FT00"/>
    <s v="00000"/>
    <s v="1760"/>
    <s v="1860"/>
    <s v=""/>
    <n v="6.39"/>
    <x v="3"/>
    <x v="0"/>
    <s v="475"/>
    <s v="VO853513"/>
    <x v="9"/>
    <d v="2021-05-12T00:00:00"/>
    <s v="Yes"/>
  </r>
  <r>
    <s v="SYS-AP"/>
    <s v="FC00"/>
    <s v="JRNL00537063"/>
    <s v="CF00-00000-1760-1860"/>
    <s v="CF00"/>
    <s v="00000"/>
    <s v="1760"/>
    <s v="1860"/>
    <s v=""/>
    <n v="30.04"/>
    <x v="4"/>
    <x v="2"/>
    <s v="857013"/>
    <s v="VO858496"/>
    <x v="10"/>
    <d v="2021-06-08T00:00:00"/>
    <s v="Yes"/>
  </r>
  <r>
    <s v="SYS-AP"/>
    <s v="FC00"/>
    <s v="JRNL00537063"/>
    <s v="FI00-00000-1760-1860"/>
    <s v="FI00"/>
    <s v="00000"/>
    <s v="1760"/>
    <s v="1860"/>
    <s v=""/>
    <n v="0.57999999999999996"/>
    <x v="4"/>
    <x v="2"/>
    <s v="857013"/>
    <s v="VO858496"/>
    <x v="10"/>
    <d v="2021-06-08T00:00:00"/>
    <s v="Yes"/>
  </r>
  <r>
    <s v="SYS-AP"/>
    <s v="FC00"/>
    <s v="JRNL00537063"/>
    <s v="FN00-00000-1760-1860"/>
    <s v="FN00"/>
    <s v="00000"/>
    <s v="1760"/>
    <s v="1860"/>
    <s v=""/>
    <n v="63.99"/>
    <x v="4"/>
    <x v="2"/>
    <s v="857013"/>
    <s v="VO858496"/>
    <x v="10"/>
    <d v="2021-06-08T00:00:00"/>
    <s v="Yes"/>
  </r>
  <r>
    <s v="SYS-AP"/>
    <s v="FC00"/>
    <s v="JRNL00537063"/>
    <s v="FT00-00000-1760-1860"/>
    <s v="FT00"/>
    <s v="00000"/>
    <s v="1760"/>
    <s v="1860"/>
    <s v=""/>
    <n v="0.18"/>
    <x v="4"/>
    <x v="2"/>
    <s v="857013"/>
    <s v="VO858496"/>
    <x v="10"/>
    <d v="2021-06-08T00:00:00"/>
    <s v="Yes"/>
  </r>
  <r>
    <s v="SYS-AP"/>
    <s v="FC00"/>
    <s v="JRNL00537563"/>
    <s v="CF00-00000-1760-1860"/>
    <s v="CF00"/>
    <s v="00000"/>
    <s v="1760"/>
    <s v="1860"/>
    <s v=""/>
    <n v="1044.6600000000001"/>
    <x v="3"/>
    <x v="0"/>
    <s v="478"/>
    <s v="VO860940"/>
    <x v="11"/>
    <d v="2021-06-21T00:00:00"/>
    <s v="Yes"/>
  </r>
  <r>
    <s v="AP-ACCR"/>
    <s v="FI00"/>
    <s v="JRNL00531300"/>
    <s v="FI00-00000-1760-1860"/>
    <s v="FI00"/>
    <s v="00000"/>
    <s v="1760"/>
    <s v="1860"/>
    <s v=""/>
    <n v="6.58"/>
    <x v="5"/>
    <x v="3"/>
    <s v="839213"/>
    <s v="JRNL00531300"/>
    <x v="12"/>
    <d v="2021-03-06T00:00:00"/>
    <s v="Yes"/>
  </r>
  <r>
    <s v="AP-ACCR"/>
    <s v="FT00"/>
    <s v="JRNL00531301"/>
    <s v="FT00-00000-1760-1860"/>
    <s v="FT00"/>
    <s v="00000"/>
    <s v="1760"/>
    <s v="1860"/>
    <s v=""/>
    <n v="2.0499999999999998"/>
    <x v="5"/>
    <x v="3"/>
    <s v="839213"/>
    <s v="JRNL00531301"/>
    <x v="12"/>
    <d v="2021-03-06T00:00:00"/>
    <s v="Yes"/>
  </r>
  <r>
    <s v="AP-ACCR"/>
    <s v="CF00"/>
    <s v="JRNL00531302"/>
    <s v="CF00-00000-1760-1860"/>
    <s v="CF00"/>
    <s v="00000"/>
    <s v="1760"/>
    <s v="1860"/>
    <s v=""/>
    <n v="340.94"/>
    <x v="5"/>
    <x v="3"/>
    <s v="839213"/>
    <s v="JRNL00531302"/>
    <x v="12"/>
    <d v="2021-03-06T00:00:00"/>
    <s v="Yes"/>
  </r>
  <r>
    <s v="AP-ACCR"/>
    <s v="FI00"/>
    <s v="JRNL00531491"/>
    <s v="FI00-00000-1760-1860"/>
    <s v="FI00"/>
    <s v="00000"/>
    <s v="1760"/>
    <s v="1860"/>
    <s v=""/>
    <n v="-6.58"/>
    <x v="5"/>
    <x v="3"/>
    <s v="839213"/>
    <s v="JRNL00531300"/>
    <x v="13"/>
    <d v="2021-03-06T00:00:00"/>
    <s v="Yes"/>
  </r>
  <r>
    <s v="AP-ACCR"/>
    <s v="CF00"/>
    <s v="JRNL00535048"/>
    <s v="CF00-00000-1760-1860"/>
    <s v="CF00"/>
    <s v="00000"/>
    <s v="1760"/>
    <s v="1860"/>
    <s v=""/>
    <n v="277.27999999999997"/>
    <x v="6"/>
    <x v="3"/>
    <s v="April  Estimate"/>
    <s v="JRNL00535048"/>
    <x v="14"/>
    <d v="2021-05-05T00:00:00"/>
    <s v="Yes"/>
  </r>
  <r>
    <s v="AP-ACCR"/>
    <s v="CF00"/>
    <s v="JRNL00535065"/>
    <s v="CF00-00000-1760-1860"/>
    <s v="CF00"/>
    <s v="00000"/>
    <s v="1760"/>
    <s v="1860"/>
    <s v=""/>
    <n v="-277.27999999999997"/>
    <x v="6"/>
    <x v="3"/>
    <s v="April  Estimate"/>
    <s v="JRNL00535048"/>
    <x v="15"/>
    <d v="2021-06-03T00:00:00"/>
    <s v="Yes"/>
  </r>
  <r>
    <s v="AP-ACCR"/>
    <s v="FI00"/>
    <s v="JRNL00536670"/>
    <s v="FI00-00000-1760-1860"/>
    <s v="FI00"/>
    <s v="00000"/>
    <s v="1760"/>
    <s v="1860"/>
    <s v=""/>
    <n v="0.57999999999999996"/>
    <x v="7"/>
    <x v="3"/>
    <s v="857013"/>
    <s v="JRNL00536670"/>
    <x v="15"/>
    <d v="2021-06-04T00:00:00"/>
    <s v="Yes"/>
  </r>
  <r>
    <s v="AP-ACCR"/>
    <s v="FT00"/>
    <s v="JRNL00536699"/>
    <s v="FT00-00000-1760-1860"/>
    <s v="FT00"/>
    <s v="00000"/>
    <s v="1760"/>
    <s v="1860"/>
    <s v=""/>
    <n v="0.18"/>
    <x v="7"/>
    <x v="3"/>
    <s v="857013"/>
    <s v="JRNL00536699"/>
    <x v="15"/>
    <d v="2021-06-04T00:00:00"/>
    <s v="Yes"/>
  </r>
  <r>
    <s v="AP-ACCR"/>
    <s v="CF00"/>
    <s v="JRNL00536709"/>
    <s v="CF00-00000-1760-1860"/>
    <s v="CF00"/>
    <s v="00000"/>
    <s v="1760"/>
    <s v="1860"/>
    <s v=""/>
    <n v="30.04"/>
    <x v="8"/>
    <x v="3"/>
    <s v="857013"/>
    <s v="JRNL00536709"/>
    <x v="15"/>
    <d v="2021-06-03T00:00:00"/>
    <s v="Yes"/>
  </r>
  <r>
    <s v="AP-ACCR"/>
    <s v="CF00"/>
    <s v="JRNL00536717"/>
    <s v="CF00-00000-1760-1860"/>
    <s v="CF00"/>
    <s v="00000"/>
    <s v="1760"/>
    <s v="1860"/>
    <s v=""/>
    <n v="-30.04"/>
    <x v="8"/>
    <x v="3"/>
    <s v="857013"/>
    <s v="JRNL00536709"/>
    <x v="16"/>
    <d v="2021-06-03T00:00:00"/>
    <s v="Yes"/>
  </r>
  <r>
    <s v="AP-ACCR"/>
    <s v="FI00"/>
    <s v="JRNL00536758"/>
    <s v="FI00-00000-1760-1860"/>
    <s v="FI00"/>
    <s v="00000"/>
    <s v="1760"/>
    <s v="1860"/>
    <s v=""/>
    <n v="-0.57999999999999996"/>
    <x v="7"/>
    <x v="3"/>
    <s v="857013"/>
    <s v="JRNL00536670"/>
    <x v="16"/>
    <d v="2021-06-04T00:00:00"/>
    <s v="Yes"/>
  </r>
  <r>
    <s v="AP-ADJ"/>
    <s v="FE00"/>
    <s v="JRNL00508280"/>
    <s v="FE00-00000-1760-1860"/>
    <s v="FE00"/>
    <s v="00000"/>
    <s v="1760"/>
    <s v="1860"/>
    <s v=""/>
    <n v="-531.25"/>
    <x v="9"/>
    <x v="3"/>
    <s v="MARKETING TALENT NETWORK INC"/>
    <s v="JRNL00508280"/>
    <x v="17"/>
    <d v="2020-02-13T00:00:00"/>
    <s v="Yes"/>
  </r>
  <r>
    <s v="GJ"/>
    <s v="CU00"/>
    <s v="JRNL00529002"/>
    <s v="FN00-00000-1760-1860"/>
    <s v="FN00"/>
    <s v="00000"/>
    <s v="1760"/>
    <s v="1860"/>
    <s v=""/>
    <n v="561.16"/>
    <x v="10"/>
    <x v="3"/>
    <s v="VO828429"/>
    <s v="JRNL00529002"/>
    <x v="18"/>
    <d v="2021-02-01T00:00:00"/>
    <s v="Yes"/>
  </r>
  <r>
    <s v="GJ"/>
    <s v="CU00"/>
    <s v="JRNL00530711"/>
    <s v="FN00-00000-1760-1860"/>
    <s v="FN00"/>
    <s v="00000"/>
    <s v="1760"/>
    <s v="1860"/>
    <s v=""/>
    <n v="-561.16"/>
    <x v="10"/>
    <x v="3"/>
    <s v="VO828429"/>
    <s v="JRNL00530711"/>
    <x v="19"/>
    <d v="2021-03-01T00:00:00"/>
    <s v="Yes"/>
  </r>
  <r>
    <s v="AP-ACCR"/>
    <s v="CF00"/>
    <s v="JRNL00533114"/>
    <s v="CF00-00000-1760-1860"/>
    <s v="CF00"/>
    <s v="00000"/>
    <s v="1760"/>
    <s v="1860"/>
    <s v=""/>
    <n v="1000"/>
    <x v="11"/>
    <x v="3"/>
    <s v="March Estimate"/>
    <s v="JRNL00533114"/>
    <x v="13"/>
    <d v="2021-04-05T00:00:00"/>
    <s v="Yes"/>
  </r>
  <r>
    <s v="AP-ACCR"/>
    <s v="FN00"/>
    <s v="JRNL00533130"/>
    <s v="FN00-00000-1760-1860"/>
    <s v="FN00"/>
    <s v="00000"/>
    <s v="1760"/>
    <s v="1860"/>
    <s v=""/>
    <n v="1000"/>
    <x v="11"/>
    <x v="3"/>
    <s v="ESTIMATE"/>
    <s v="JRNL00533130"/>
    <x v="13"/>
    <d v="2021-04-06T00:00:00"/>
    <s v="Yes"/>
  </r>
  <r>
    <s v="AP-ACCR"/>
    <s v="CF00"/>
    <s v="JRNL00533136"/>
    <s v="CF00-00000-1760-1860"/>
    <s v="CF00"/>
    <s v="00000"/>
    <s v="1760"/>
    <s v="1860"/>
    <s v=""/>
    <n v="-1000"/>
    <x v="11"/>
    <x v="3"/>
    <s v="March Estimate"/>
    <s v="JRNL00533114"/>
    <x v="14"/>
    <d v="2021-04-05T00:00:00"/>
    <s v="Yes"/>
  </r>
  <r>
    <s v="AP-ACCR"/>
    <s v="FN00"/>
    <s v="JRNL00533217"/>
    <s v="FN00-00000-1760-1860"/>
    <s v="FN00"/>
    <s v="00000"/>
    <s v="1760"/>
    <s v="1860"/>
    <s v=""/>
    <n v="-1000"/>
    <x v="11"/>
    <x v="3"/>
    <s v="ESTIMATE"/>
    <s v="JRNL00533130"/>
    <x v="14"/>
    <d v="2021-04-06T00:00:00"/>
    <s v="Yes"/>
  </r>
  <r>
    <s v="AP-ACCR"/>
    <s v="FI00"/>
    <s v="JRNL00534951"/>
    <s v="FI00-00000-1760-1860"/>
    <s v="FI00"/>
    <s v="00000"/>
    <s v="1760"/>
    <s v="1860"/>
    <s v=""/>
    <n v="8.69"/>
    <x v="12"/>
    <x v="3"/>
    <s v="851527"/>
    <s v="JRNL00534951"/>
    <x v="14"/>
    <d v="2021-05-06T00:00:00"/>
    <s v="Yes"/>
  </r>
  <r>
    <s v="AP-ACCR"/>
    <s v="FT00"/>
    <s v="JRNL00534958"/>
    <s v="FT00-00000-1760-1860"/>
    <s v="FT00"/>
    <s v="00000"/>
    <s v="1760"/>
    <s v="1860"/>
    <s v=""/>
    <n v="2.71"/>
    <x v="12"/>
    <x v="3"/>
    <s v="851527"/>
    <s v="JRNL00534958"/>
    <x v="14"/>
    <d v="2021-05-06T00:00:00"/>
    <s v="Yes"/>
  </r>
  <r>
    <s v="AP-ACCR"/>
    <s v="FN00"/>
    <s v="JRNL00535024"/>
    <s v="FN00-00000-1760-1860"/>
    <s v="FN00"/>
    <s v="00000"/>
    <s v="1760"/>
    <s v="1860"/>
    <s v=""/>
    <n v="959.87"/>
    <x v="13"/>
    <x v="3"/>
    <s v="851527"/>
    <s v="JRNL00535024"/>
    <x v="14"/>
    <d v="2021-05-06T00:00:00"/>
    <s v="Yes"/>
  </r>
  <r>
    <s v="AP-ACCR"/>
    <s v="FN00"/>
    <s v="JRNL00535066"/>
    <s v="FN00-00000-1760-1860"/>
    <s v="FN00"/>
    <s v="00000"/>
    <s v="1760"/>
    <s v="1860"/>
    <s v=""/>
    <n v="590.69000000000005"/>
    <x v="11"/>
    <x v="3"/>
    <s v="April Estimate"/>
    <s v="JRNL00535066"/>
    <x v="14"/>
    <d v="2021-05-05T00:00:00"/>
    <s v="Yes"/>
  </r>
  <r>
    <s v="AP-ACCR"/>
    <s v="FN00"/>
    <s v="JRNL00535067"/>
    <s v="FN00-00000-1760-1860"/>
    <s v="FN00"/>
    <s v="00000"/>
    <s v="1760"/>
    <s v="1860"/>
    <s v=""/>
    <n v="-590.69000000000005"/>
    <x v="11"/>
    <x v="3"/>
    <s v="April Estimate"/>
    <s v="JRNL00535066"/>
    <x v="15"/>
    <d v="2021-05-05T00:00:00"/>
    <s v="Yes"/>
  </r>
  <r>
    <s v="AP-ACCR"/>
    <s v="FI00"/>
    <s v="JRNL00535132"/>
    <s v="FI00-00000-1760-1860"/>
    <s v="FI00"/>
    <s v="00000"/>
    <s v="1760"/>
    <s v="1860"/>
    <s v=""/>
    <n v="-8.69"/>
    <x v="12"/>
    <x v="3"/>
    <s v="851527"/>
    <s v="JRNL00534951"/>
    <x v="15"/>
    <d v="2021-05-06T00:00:00"/>
    <s v="Yes"/>
  </r>
  <r>
    <s v="AP-ACCR"/>
    <s v="FT00"/>
    <s v="JRNL00535133"/>
    <s v="FT00-00000-1760-1860"/>
    <s v="FT00"/>
    <s v="00000"/>
    <s v="1760"/>
    <s v="1860"/>
    <s v=""/>
    <n v="-2.71"/>
    <x v="12"/>
    <x v="3"/>
    <s v="851527"/>
    <s v="JRNL00534958"/>
    <x v="15"/>
    <d v="2021-05-06T00:00:00"/>
    <s v="Yes"/>
  </r>
  <r>
    <s v="AP-ACCR"/>
    <s v="FN00"/>
    <s v="JRNL00535220"/>
    <s v="FN00-00000-1760-1860"/>
    <s v="FN00"/>
    <s v="00000"/>
    <s v="1760"/>
    <s v="1860"/>
    <s v=""/>
    <n v="-959.87"/>
    <x v="13"/>
    <x v="3"/>
    <s v="851527"/>
    <s v="JRNL00535024"/>
    <x v="15"/>
    <d v="2021-05-06T00:00:00"/>
    <s v="Yes"/>
  </r>
  <r>
    <s v="AP-ACCR"/>
    <s v="FN00"/>
    <s v="JRNL00536602"/>
    <s v="FN00-00000-1760-1860"/>
    <s v="FN00"/>
    <s v="00000"/>
    <s v="1760"/>
    <s v="1860"/>
    <s v=""/>
    <n v="63.99"/>
    <x v="14"/>
    <x v="3"/>
    <s v="857013"/>
    <s v="JRNL00536602"/>
    <x v="15"/>
    <d v="2021-06-04T00:00:00"/>
    <s v="Yes"/>
  </r>
  <r>
    <s v="AP-ACCR"/>
    <s v="FN00"/>
    <s v="JRNL00536796"/>
    <s v="FN00-00000-1760-1860"/>
    <s v="FN00"/>
    <s v="00000"/>
    <s v="1760"/>
    <s v="1860"/>
    <s v=""/>
    <n v="-63.99"/>
    <x v="14"/>
    <x v="3"/>
    <s v="857013"/>
    <s v="JRNL00536602"/>
    <x v="16"/>
    <d v="2021-06-04T00:00:00"/>
    <s v="Yes"/>
  </r>
  <r>
    <s v="AP-ACCR"/>
    <s v="CF00"/>
    <s v="JRNL00538531"/>
    <s v="CF00-00000-1760-1860"/>
    <s v="CF00"/>
    <s v="00000"/>
    <s v="1760"/>
    <s v="1860"/>
    <s v=""/>
    <n v="48.06"/>
    <x v="12"/>
    <x v="3"/>
    <s v="863383"/>
    <s v="JRNL00538531"/>
    <x v="16"/>
    <d v="2021-07-08T00:00:00"/>
    <s v="Yes"/>
  </r>
  <r>
    <s v="AP-ACCR"/>
    <s v="CF00"/>
    <s v="JRNL00538678"/>
    <s v="CF00-00000-1760-1860"/>
    <s v="CF00"/>
    <s v="00000"/>
    <s v="1760"/>
    <s v="1860"/>
    <s v=""/>
    <n v="-48.06"/>
    <x v="12"/>
    <x v="3"/>
    <s v="863383"/>
    <s v="JRNL00538531"/>
    <x v="20"/>
    <d v="2021-07-08T00:00:00"/>
    <s v="Yes"/>
  </r>
  <r>
    <s v="AP-ACCR"/>
    <s v="FI00"/>
    <s v="JRNL00540009"/>
    <s v="FI00-00000-1760-1860"/>
    <s v="FI00"/>
    <s v="00000"/>
    <s v="1760"/>
    <s v="1860"/>
    <s v=""/>
    <n v="15.65"/>
    <x v="12"/>
    <x v="3"/>
    <s v="868275"/>
    <s v="JRNL00540009"/>
    <x v="20"/>
    <d v="2021-08-05T00:00:00"/>
    <s v="Yes"/>
  </r>
  <r>
    <s v="AP-ACCR"/>
    <s v="FT00"/>
    <s v="JRNL00540013"/>
    <s v="FT00-00000-1760-1860"/>
    <s v="FT00"/>
    <s v="00000"/>
    <s v="1760"/>
    <s v="1860"/>
    <s v=""/>
    <n v="4.88"/>
    <x v="12"/>
    <x v="3"/>
    <s v="868275"/>
    <s v="JRNL00540013"/>
    <x v="20"/>
    <d v="2021-08-05T00:00:00"/>
    <s v="Yes"/>
  </r>
  <r>
    <s v="AP-ACCR"/>
    <s v="CF00"/>
    <s v="JRNL00540018"/>
    <s v="CF00-00000-1760-1860"/>
    <s v="CF00"/>
    <s v="00000"/>
    <s v="1760"/>
    <s v="1860"/>
    <s v=""/>
    <n v="811.05"/>
    <x v="12"/>
    <x v="3"/>
    <s v="868275"/>
    <s v="JRNL00540018"/>
    <x v="20"/>
    <d v="2021-08-04T00:00:00"/>
    <s v="Yes"/>
  </r>
  <r>
    <s v="SYS-AP"/>
    <s v="FC00"/>
    <s v="JRNL00537563"/>
    <s v="FI00-00000-1760-1860"/>
    <s v="FI00"/>
    <s v="00000"/>
    <s v="1760"/>
    <s v="1860"/>
    <s v=""/>
    <n v="20.18"/>
    <x v="3"/>
    <x v="0"/>
    <s v="478"/>
    <s v="VO860940"/>
    <x v="11"/>
    <d v="2021-06-21T00:00:00"/>
    <s v="Yes"/>
  </r>
  <r>
    <s v="SYS-AP"/>
    <s v="FC00"/>
    <s v="JRNL00537563"/>
    <s v="FN00-00000-1760-1860"/>
    <s v="FN00"/>
    <s v="00000"/>
    <s v="1760"/>
    <s v="1860"/>
    <s v=""/>
    <n v="2225.46"/>
    <x v="3"/>
    <x v="0"/>
    <s v="478"/>
    <s v="VO860940"/>
    <x v="11"/>
    <d v="2021-06-21T00:00:00"/>
    <s v="Yes"/>
  </r>
  <r>
    <s v="SYS-AP"/>
    <s v="FC00"/>
    <s v="JRNL00537563"/>
    <s v="FT00-00000-1760-1860"/>
    <s v="FT00"/>
    <s v="00000"/>
    <s v="1760"/>
    <s v="1860"/>
    <s v=""/>
    <n v="6.27"/>
    <x v="3"/>
    <x v="0"/>
    <s v="478"/>
    <s v="VO860940"/>
    <x v="11"/>
    <d v="2021-06-21T00:00:00"/>
    <s v="Yes"/>
  </r>
  <r>
    <s v="AP-ACCR"/>
    <s v="FN00"/>
    <s v="JRNL00530877"/>
    <s v="FN00-00000-1760-1860"/>
    <s v="FN00"/>
    <s v="00000"/>
    <s v="1760"/>
    <s v="1860"/>
    <s v=""/>
    <n v="2725"/>
    <x v="15"/>
    <x v="3"/>
    <s v="February Estimate"/>
    <s v="JRNL00530877"/>
    <x v="12"/>
    <d v="2021-03-05T00:00:00"/>
    <s v="Yes"/>
  </r>
  <r>
    <s v="AP-ACCR"/>
    <s v="FN00"/>
    <s v="JRNL00531469"/>
    <s v="FN00-00000-1760-1860"/>
    <s v="FN00"/>
    <s v="00000"/>
    <s v="1760"/>
    <s v="1860"/>
    <s v=""/>
    <n v="-2725"/>
    <x v="15"/>
    <x v="3"/>
    <s v="February Estimate"/>
    <s v="JRNL00530877"/>
    <x v="13"/>
    <d v="2021-03-05T00:00:00"/>
    <s v="Yes"/>
  </r>
  <r>
    <s v="AP-ACCR"/>
    <s v="FN00"/>
    <s v="JRNL00533343"/>
    <s v="FN00-00000-1760-1860"/>
    <s v="FN00"/>
    <s v="00000"/>
    <s v="1760"/>
    <s v="1860"/>
    <s v=""/>
    <n v="1000"/>
    <x v="15"/>
    <x v="3"/>
    <s v="March Estimate"/>
    <s v="JRNL00533343"/>
    <x v="13"/>
    <d v="2021-04-07T00:00:00"/>
    <s v="Yes"/>
  </r>
  <r>
    <s v="AP-ACCR"/>
    <s v="FN00"/>
    <s v="JRNL00533552"/>
    <s v="FN00-00000-1760-1860"/>
    <s v="FN00"/>
    <s v="00000"/>
    <s v="1760"/>
    <s v="1860"/>
    <s v=""/>
    <n v="-1000"/>
    <x v="15"/>
    <x v="3"/>
    <s v="March Estimate"/>
    <s v="JRNL00533343"/>
    <x v="14"/>
    <d v="2021-04-07T00:00:00"/>
    <s v="Yes"/>
  </r>
  <r>
    <s v="AP-ACCR"/>
    <s v="FI00"/>
    <s v="JRNL00534951"/>
    <s v="FI00-00000-1760-1860"/>
    <s v="FI00"/>
    <s v="00000"/>
    <s v="1760"/>
    <s v="1860"/>
    <s v=""/>
    <n v="5.35"/>
    <x v="16"/>
    <x v="3"/>
    <s v="April Estimate"/>
    <s v="JRNL00534951"/>
    <x v="14"/>
    <d v="2021-05-06T00:00:00"/>
    <s v="Yes"/>
  </r>
  <r>
    <s v="AP-ACCR"/>
    <s v="FT00"/>
    <s v="JRNL00534958"/>
    <s v="FT00-00000-1760-1860"/>
    <s v="FT00"/>
    <s v="00000"/>
    <s v="1760"/>
    <s v="1860"/>
    <s v=""/>
    <n v="1.67"/>
    <x v="16"/>
    <x v="3"/>
    <s v="April Estimate"/>
    <s v="JRNL00534958"/>
    <x v="14"/>
    <d v="2021-05-06T00:00:00"/>
    <s v="Yes"/>
  </r>
  <r>
    <s v="AP-ACCR"/>
    <s v="CF00"/>
    <s v="JRNL00534973"/>
    <s v="CF00-00000-1760-1860"/>
    <s v="CF00"/>
    <s v="00000"/>
    <s v="1760"/>
    <s v="1860"/>
    <s v=""/>
    <n v="277.27999999999997"/>
    <x v="16"/>
    <x v="3"/>
    <s v="April Estimate"/>
    <s v="JRNL00534973"/>
    <x v="14"/>
    <d v="2021-05-06T00:00:00"/>
    <s v="Yes"/>
  </r>
  <r>
    <s v="AP-ACCR"/>
    <s v="FI00"/>
    <s v="JRNL00535132"/>
    <s v="FI00-00000-1760-1860"/>
    <s v="FI00"/>
    <s v="00000"/>
    <s v="1760"/>
    <s v="1860"/>
    <s v=""/>
    <n v="-5.35"/>
    <x v="16"/>
    <x v="3"/>
    <s v="April Estimate"/>
    <s v="JRNL00534951"/>
    <x v="15"/>
    <d v="2021-05-06T00:00:00"/>
    <s v="Yes"/>
  </r>
  <r>
    <s v="AP-ACCR"/>
    <s v="FT00"/>
    <s v="JRNL00535133"/>
    <s v="FT00-00000-1760-1860"/>
    <s v="FT00"/>
    <s v="00000"/>
    <s v="1760"/>
    <s v="1860"/>
    <s v=""/>
    <n v="-1.67"/>
    <x v="16"/>
    <x v="3"/>
    <s v="April Estimate"/>
    <s v="JRNL00534958"/>
    <x v="15"/>
    <d v="2021-05-06T00:00:00"/>
    <s v="Yes"/>
  </r>
  <r>
    <s v="AP-ACCR"/>
    <s v="CF00"/>
    <s v="JRNL00535212"/>
    <s v="CF00-00000-1760-1860"/>
    <s v="CF00"/>
    <s v="00000"/>
    <s v="1760"/>
    <s v="1860"/>
    <s v=""/>
    <n v="-277.27999999999997"/>
    <x v="16"/>
    <x v="3"/>
    <s v="April Estimate"/>
    <s v="JRNL00534973"/>
    <x v="15"/>
    <d v="2021-05-06T00:00:00"/>
    <s v="Yes"/>
  </r>
  <r>
    <s v="AP-ACCR"/>
    <s v="FN00"/>
    <s v="JRNL00536602"/>
    <s v="FN00-00000-1760-1860"/>
    <s v="FN00"/>
    <s v="00000"/>
    <s v="1760"/>
    <s v="1860"/>
    <s v=""/>
    <n v="936.64"/>
    <x v="17"/>
    <x v="3"/>
    <s v="May Estimate"/>
    <s v="JRNL00536602"/>
    <x v="15"/>
    <d v="2021-06-04T00:00:00"/>
    <s v="Yes"/>
  </r>
  <r>
    <s v="AP-ACCR"/>
    <s v="FI00"/>
    <s v="JRNL00536670"/>
    <s v="FI00-00000-1760-1860"/>
    <s v="FI00"/>
    <s v="00000"/>
    <s v="1760"/>
    <s v="1860"/>
    <s v=""/>
    <n v="8.49"/>
    <x v="16"/>
    <x v="3"/>
    <s v="May Estimate"/>
    <s v="JRNL00536670"/>
    <x v="15"/>
    <d v="2021-06-04T00:00:00"/>
    <s v="Yes"/>
  </r>
  <r>
    <s v="AP-ACCR"/>
    <s v="FT00"/>
    <s v="JRNL00531492"/>
    <s v="FT00-00000-1760-1860"/>
    <s v="FT00"/>
    <s v="00000"/>
    <s v="1760"/>
    <s v="1860"/>
    <s v=""/>
    <n v="-2.0499999999999998"/>
    <x v="5"/>
    <x v="3"/>
    <s v="839213"/>
    <s v="JRNL00531301"/>
    <x v="13"/>
    <d v="2021-03-06T00:00:00"/>
    <s v="Yes"/>
  </r>
  <r>
    <s v="AP-ACCR"/>
    <s v="CF00"/>
    <s v="JRNL00531493"/>
    <s v="CF00-00000-1760-1860"/>
    <s v="CF00"/>
    <s v="00000"/>
    <s v="1760"/>
    <s v="1860"/>
    <s v=""/>
    <n v="-340.94"/>
    <x v="5"/>
    <x v="3"/>
    <s v="839213"/>
    <s v="JRNL00531302"/>
    <x v="13"/>
    <d v="2021-03-06T00:00:00"/>
    <s v="Yes"/>
  </r>
  <r>
    <s v="SYS-AP"/>
    <s v="FC00"/>
    <s v="JRNL00539961"/>
    <s v="CF00-00000-1760-1860"/>
    <s v="CF00"/>
    <s v="00000"/>
    <s v="1760"/>
    <s v="1860"/>
    <s v=""/>
    <n v="811.05"/>
    <x v="18"/>
    <x v="2"/>
    <s v="868275"/>
    <s v="VO868937"/>
    <x v="21"/>
    <d v="2021-08-04T00:00:00"/>
    <s v="Yes"/>
  </r>
  <r>
    <s v="AP-ACCR"/>
    <s v="FI00"/>
    <s v="JRNL00534956"/>
    <s v="FI00-00000-1760-1860"/>
    <s v="FI00"/>
    <s v="00000"/>
    <s v="1760"/>
    <s v="1860"/>
    <s v=""/>
    <n v="8.69"/>
    <x v="5"/>
    <x v="3"/>
    <s v="851527"/>
    <s v="JRNL00534956"/>
    <x v="14"/>
    <d v="2021-05-05T00:00:00"/>
    <s v="Yes"/>
  </r>
  <r>
    <s v="AP-ACCR"/>
    <s v="FT00"/>
    <s v="JRNL00534965"/>
    <s v="FT00-00000-1760-1860"/>
    <s v="FT00"/>
    <s v="00000"/>
    <s v="1760"/>
    <s v="1860"/>
    <s v=""/>
    <n v="2.71"/>
    <x v="5"/>
    <x v="3"/>
    <s v="851527"/>
    <s v="JRNL00534965"/>
    <x v="14"/>
    <d v="2021-05-05T00:00:00"/>
    <s v="Yes"/>
  </r>
  <r>
    <s v="AP-ACCR"/>
    <s v="CF00"/>
    <s v="JRNL00534973"/>
    <s v="CF00-00000-1760-1860"/>
    <s v="CF00"/>
    <s v="00000"/>
    <s v="1760"/>
    <s v="1860"/>
    <s v=""/>
    <n v="450.58"/>
    <x v="19"/>
    <x v="3"/>
    <s v="851527"/>
    <s v="JRNL00534973"/>
    <x v="14"/>
    <d v="2021-05-06T00:00:00"/>
    <s v="Yes"/>
  </r>
  <r>
    <s v="AP-ACCR"/>
    <s v="FT00"/>
    <s v="JRNL00535045"/>
    <s v="FT00-00000-1760-1860"/>
    <s v="FT00"/>
    <s v="00000"/>
    <s v="1760"/>
    <s v="1860"/>
    <s v=""/>
    <n v="-2.71"/>
    <x v="5"/>
    <x v="3"/>
    <s v="851527"/>
    <s v="JRNL00534965"/>
    <x v="15"/>
    <d v="2021-06-08T00:00:00"/>
    <s v="Yes"/>
  </r>
  <r>
    <s v="AP-ACCR"/>
    <s v="FI00"/>
    <s v="JRNL00535046"/>
    <s v="FI00-00000-1760-1860"/>
    <s v="FI00"/>
    <s v="00000"/>
    <s v="1760"/>
    <s v="1860"/>
    <s v=""/>
    <n v="-8.69"/>
    <x v="5"/>
    <x v="3"/>
    <s v="851527"/>
    <s v="JRNL00534956"/>
    <x v="15"/>
    <d v="2021-06-03T00:00:00"/>
    <s v="Yes"/>
  </r>
  <r>
    <s v="AP-ACCR"/>
    <s v="CF00"/>
    <s v="JRNL00535048"/>
    <s v="CF00-00000-1760-1860"/>
    <s v="CF00"/>
    <s v="00000"/>
    <s v="1760"/>
    <s v="1860"/>
    <s v=""/>
    <n v="450.58"/>
    <x v="5"/>
    <x v="3"/>
    <s v="851527"/>
    <s v="JRNL00535048"/>
    <x v="14"/>
    <d v="2021-05-05T00:00:00"/>
    <s v="Yes"/>
  </r>
  <r>
    <s v="AP-ACCR"/>
    <s v="CF00"/>
    <s v="JRNL00535065"/>
    <s v="CF00-00000-1760-1860"/>
    <s v="CF00"/>
    <s v="00000"/>
    <s v="1760"/>
    <s v="1860"/>
    <s v=""/>
    <n v="-450.58"/>
    <x v="5"/>
    <x v="3"/>
    <s v="851527"/>
    <s v="JRNL00535048"/>
    <x v="15"/>
    <d v="2021-06-03T00:00:00"/>
    <s v="Yes"/>
  </r>
  <r>
    <s v="AP-ACCR"/>
    <s v="FN00"/>
    <s v="JRNL00535066"/>
    <s v="FN00-00000-1760-1860"/>
    <s v="FN00"/>
    <s v="00000"/>
    <s v="1760"/>
    <s v="1860"/>
    <s v=""/>
    <n v="959.87"/>
    <x v="5"/>
    <x v="3"/>
    <s v="851527"/>
    <s v="JRNL00535066"/>
    <x v="14"/>
    <d v="2021-05-05T00:00:00"/>
    <s v="Yes"/>
  </r>
  <r>
    <s v="AP-ACCR"/>
    <s v="FN00"/>
    <s v="JRNL00535067"/>
    <s v="FN00-00000-1760-1860"/>
    <s v="FN00"/>
    <s v="00000"/>
    <s v="1760"/>
    <s v="1860"/>
    <s v=""/>
    <n v="-959.87"/>
    <x v="5"/>
    <x v="3"/>
    <s v="851527"/>
    <s v="JRNL00535066"/>
    <x v="15"/>
    <d v="2021-05-05T00:00:00"/>
    <s v="Yes"/>
  </r>
  <r>
    <s v="AP-ACCR"/>
    <s v="CF00"/>
    <s v="JRNL00535212"/>
    <s v="CF00-00000-1760-1860"/>
    <s v="CF00"/>
    <s v="00000"/>
    <s v="1760"/>
    <s v="1860"/>
    <s v=""/>
    <n v="-450.58"/>
    <x v="19"/>
    <x v="3"/>
    <s v="851527"/>
    <s v="JRNL00534973"/>
    <x v="15"/>
    <d v="2021-05-06T00:00:00"/>
    <s v="Yes"/>
  </r>
  <r>
    <s v="SYS-AP"/>
    <s v="FC00"/>
    <s v="JRNL00538527"/>
    <s v="CF00-00000-1760-1860"/>
    <s v="CF00"/>
    <s v="00000"/>
    <s v="1760"/>
    <s v="1860"/>
    <s v=""/>
    <n v="48.06"/>
    <x v="4"/>
    <x v="2"/>
    <s v="863383"/>
    <s v="VO864108"/>
    <x v="22"/>
    <d v="2021-07-07T00:00:00"/>
    <s v="Yes"/>
  </r>
  <r>
    <s v="SYS-AP"/>
    <s v="FC00"/>
    <s v="JRNL00538527"/>
    <s v="FI00-00000-1760-1860"/>
    <s v="FI00"/>
    <s v="00000"/>
    <s v="1760"/>
    <s v="1860"/>
    <s v=""/>
    <n v="0.93"/>
    <x v="4"/>
    <x v="2"/>
    <s v="863383"/>
    <s v="VO864108"/>
    <x v="22"/>
    <d v="2021-07-07T00:00:00"/>
    <s v="Yes"/>
  </r>
  <r>
    <s v="SYS-AP"/>
    <s v="FC00"/>
    <s v="JRNL00538527"/>
    <s v="FN00-00000-1760-1860"/>
    <s v="FN00"/>
    <s v="00000"/>
    <s v="1760"/>
    <s v="1860"/>
    <s v=""/>
    <n v="102.39"/>
    <x v="4"/>
    <x v="2"/>
    <s v="863383"/>
    <s v="VO864108"/>
    <x v="22"/>
    <d v="2021-07-07T00:00:00"/>
    <s v="Yes"/>
  </r>
  <r>
    <s v="SYS-AP"/>
    <s v="FC00"/>
    <s v="JRNL00538527"/>
    <s v="FT00-00000-1760-1860"/>
    <s v="FT00"/>
    <s v="00000"/>
    <s v="1760"/>
    <s v="1860"/>
    <s v=""/>
    <n v="0.28999999999999998"/>
    <x v="4"/>
    <x v="2"/>
    <s v="863383"/>
    <s v="VO864108"/>
    <x v="22"/>
    <d v="2021-07-07T00:00:00"/>
    <s v="Yes"/>
  </r>
  <r>
    <s v="SYS-AP"/>
    <s v="FC00"/>
    <s v="JRNL00539044"/>
    <s v="CF00-00000-1760-1860"/>
    <s v="CF00"/>
    <s v="00000"/>
    <s v="1760"/>
    <s v="1860"/>
    <s v=""/>
    <n v="1599.99"/>
    <x v="3"/>
    <x v="0"/>
    <s v="482"/>
    <s v="VO864839"/>
    <x v="23"/>
    <d v="2021-07-13T00:00:00"/>
    <s v="Yes"/>
  </r>
  <r>
    <s v="SYS-AP"/>
    <s v="FC00"/>
    <s v="JRNL00539044"/>
    <s v="FI00-00000-1760-1860"/>
    <s v="FI00"/>
    <s v="00000"/>
    <s v="1760"/>
    <s v="1860"/>
    <s v=""/>
    <n v="30.9"/>
    <x v="3"/>
    <x v="0"/>
    <s v="482"/>
    <s v="VO864839"/>
    <x v="23"/>
    <d v="2021-07-13T00:00:00"/>
    <s v="Yes"/>
  </r>
  <r>
    <s v="SYS-AP"/>
    <s v="FC00"/>
    <s v="JRNL00539044"/>
    <s v="FN00-00000-1760-1860"/>
    <s v="FN00"/>
    <s v="00000"/>
    <s v="1760"/>
    <s v="1860"/>
    <s v=""/>
    <n v="3408.5"/>
    <x v="3"/>
    <x v="0"/>
    <s v="482"/>
    <s v="VO864839"/>
    <x v="23"/>
    <d v="2021-07-13T00:00:00"/>
    <s v="Yes"/>
  </r>
  <r>
    <s v="SYS-AP"/>
    <s v="FC00"/>
    <s v="JRNL00539044"/>
    <s v="FT00-00000-1760-1860"/>
    <s v="FT00"/>
    <s v="00000"/>
    <s v="1760"/>
    <s v="1860"/>
    <s v=""/>
    <n v="9.61"/>
    <x v="3"/>
    <x v="0"/>
    <s v="482"/>
    <s v="VO864839"/>
    <x v="23"/>
    <d v="2021-07-13T00:00:00"/>
    <s v="Yes"/>
  </r>
  <r>
    <s v="SYS-AP"/>
    <s v="FC00"/>
    <s v="JRNL00540751"/>
    <s v="CF00-00000-1760-1860"/>
    <s v="CF00"/>
    <s v="00000"/>
    <s v="1760"/>
    <s v="1860"/>
    <s v=""/>
    <n v="1883.39"/>
    <x v="3"/>
    <x v="0"/>
    <s v="485"/>
    <s v="VO870712"/>
    <x v="24"/>
    <d v="2021-08-13T00:00:00"/>
    <s v="Yes"/>
  </r>
  <r>
    <s v="SYS-AP"/>
    <s v="FC00"/>
    <s v="JRNL00540751"/>
    <s v="FI00-00000-1760-1860"/>
    <s v="FI00"/>
    <s v="00000"/>
    <s v="1760"/>
    <s v="1860"/>
    <s v=""/>
    <n v="36.369999999999997"/>
    <x v="3"/>
    <x v="0"/>
    <s v="485"/>
    <s v="VO870712"/>
    <x v="24"/>
    <d v="2021-08-13T00:00:00"/>
    <s v="Yes"/>
  </r>
  <r>
    <s v="SYS-AP"/>
    <s v="FC00"/>
    <s v="JRNL00540751"/>
    <s v="FN00-00000-1760-1860"/>
    <s v="FN00"/>
    <s v="00000"/>
    <s v="1760"/>
    <s v="1860"/>
    <s v=""/>
    <n v="4012.23"/>
    <x v="3"/>
    <x v="0"/>
    <s v="485"/>
    <s v="VO870712"/>
    <x v="24"/>
    <d v="2021-08-13T00:00:00"/>
    <s v="Yes"/>
  </r>
  <r>
    <s v="SYS-AP"/>
    <s v="FC00"/>
    <s v="JRNL00540751"/>
    <s v="FT00-00000-1760-1860"/>
    <s v="FT00"/>
    <s v="00000"/>
    <s v="1760"/>
    <s v="1860"/>
    <s v=""/>
    <n v="11.31"/>
    <x v="3"/>
    <x v="0"/>
    <s v="485"/>
    <s v="VO870712"/>
    <x v="24"/>
    <d v="2021-08-13T00:00:00"/>
    <s v="Yes"/>
  </r>
  <r>
    <s v="SYS-AP"/>
    <s v="FC00"/>
    <s v="JRNL00542326"/>
    <s v="FN00-00000-1760-1860"/>
    <s v="FN00"/>
    <s v="00000"/>
    <s v="1760"/>
    <s v="1860"/>
    <s v=""/>
    <n v="10920"/>
    <x v="20"/>
    <x v="2"/>
    <s v="873566"/>
    <s v="VO875615"/>
    <x v="25"/>
    <d v="2021-09-14T00:00:00"/>
    <s v="Yes"/>
  </r>
  <r>
    <s v="AP-ACCR"/>
    <s v="FN00"/>
    <s v="JRNL00530877"/>
    <s v="FN00-00000-1760-1860"/>
    <s v="FN00"/>
    <s v="00000"/>
    <s v="1760"/>
    <s v="1860"/>
    <s v=""/>
    <n v="726.29"/>
    <x v="21"/>
    <x v="3"/>
    <s v="839213"/>
    <s v="JRNL00530877"/>
    <x v="12"/>
    <d v="2021-03-05T00:00:00"/>
    <s v="Yes"/>
  </r>
  <r>
    <s v="AP-ACCR"/>
    <s v="FN00"/>
    <s v="JRNL00531469"/>
    <s v="FN00-00000-1760-1860"/>
    <s v="FN00"/>
    <s v="00000"/>
    <s v="1760"/>
    <s v="1860"/>
    <s v=""/>
    <n v="-726.29"/>
    <x v="21"/>
    <x v="3"/>
    <s v="839213"/>
    <s v="JRNL00530877"/>
    <x v="13"/>
    <d v="2021-03-05T00:00:00"/>
    <s v="Yes"/>
  </r>
  <r>
    <s v="AP-ACCR"/>
    <s v="FI00"/>
    <s v="JRNL00533050"/>
    <s v="FI00-00000-1760-1860"/>
    <s v="FI00"/>
    <s v="00000"/>
    <s v="1760"/>
    <s v="1860"/>
    <s v=""/>
    <n v="5.0999999999999996"/>
    <x v="21"/>
    <x v="3"/>
    <s v="846163"/>
    <s v="JRNL00533050"/>
    <x v="13"/>
    <d v="2021-04-05T00:00:00"/>
    <s v="Yes"/>
  </r>
  <r>
    <s v="AP-ACCR"/>
    <s v="FT00"/>
    <s v="JRNL00533053"/>
    <s v="FT00-00000-1760-1860"/>
    <s v="FT00"/>
    <s v="00000"/>
    <s v="1760"/>
    <s v="1860"/>
    <s v=""/>
    <n v="1.5899999999999999"/>
    <x v="21"/>
    <x v="3"/>
    <s v="846163"/>
    <s v="JRNL00533053"/>
    <x v="13"/>
    <d v="2021-04-05T00:00:00"/>
    <s v="Yes"/>
  </r>
  <r>
    <s v="AP-ACCR"/>
    <s v="CF00"/>
    <s v="JRNL00533061"/>
    <s v="CF00-00000-1760-1860"/>
    <s v="CF00"/>
    <s v="00000"/>
    <s v="1760"/>
    <s v="1860"/>
    <s v=""/>
    <n v="264.33999999999997"/>
    <x v="21"/>
    <x v="3"/>
    <s v="846163"/>
    <s v="JRNL00533061"/>
    <x v="13"/>
    <d v="2021-04-06T00:00:00"/>
    <s v="Yes"/>
  </r>
  <r>
    <s v="AP-ACCR"/>
    <s v="FI00"/>
    <s v="JRNL00533108"/>
    <s v="FI00-00000-1760-1860"/>
    <s v="FI00"/>
    <s v="00000"/>
    <s v="1760"/>
    <s v="1860"/>
    <s v=""/>
    <n v="5.0999999999999996"/>
    <x v="21"/>
    <x v="3"/>
    <s v="846163"/>
    <s v="JRNL00533108"/>
    <x v="13"/>
    <d v="2021-04-05T00:00:00"/>
    <s v="Yes"/>
  </r>
  <r>
    <s v="AP-ACCR"/>
    <s v="FI00"/>
    <s v="JRNL00533112"/>
    <s v="FI00-00000-1760-1860"/>
    <s v="FI00"/>
    <s v="00000"/>
    <s v="1760"/>
    <s v="1860"/>
    <s v=""/>
    <n v="-5.0999999999999996"/>
    <x v="21"/>
    <x v="3"/>
    <s v="846163"/>
    <s v="JRNL00533050"/>
    <x v="14"/>
    <d v="2021-04-05T00:00:00"/>
    <s v="Yes"/>
  </r>
  <r>
    <s v="AP-ADJ"/>
    <s v="FE00"/>
    <s v="JRNL00508280"/>
    <s v="FE00-00000-1760-1860"/>
    <s v="FE00"/>
    <s v="00000"/>
    <s v="1760"/>
    <s v="1860"/>
    <s v=""/>
    <n v="-4613.34"/>
    <x v="22"/>
    <x v="3"/>
    <s v="MARKETING TALENT NETWORK INC"/>
    <s v="JRNL00508280"/>
    <x v="17"/>
    <d v="2020-02-13T00:00:00"/>
    <s v="Yes"/>
  </r>
  <r>
    <s v="AP-ADJ"/>
    <s v="FE00"/>
    <s v="JRNL00508280"/>
    <s v="FE00-00000-1760-1860"/>
    <s v="FE00"/>
    <s v="00000"/>
    <s v="1760"/>
    <s v="1860"/>
    <s v=""/>
    <n v="-9339"/>
    <x v="22"/>
    <x v="3"/>
    <s v="MARKETING TALENT NETWORK INC"/>
    <s v="JRNL00508280"/>
    <x v="17"/>
    <d v="2020-02-13T00:00:00"/>
    <s v="Yes"/>
  </r>
  <r>
    <s v="AP-ACCR"/>
    <s v="FE00"/>
    <s v="JRNL00531146"/>
    <s v="FE00-00000-1760-1860"/>
    <s v="FE00"/>
    <s v="00000"/>
    <s v="1760"/>
    <s v="1860"/>
    <s v=""/>
    <n v="300.64999999999998"/>
    <x v="23"/>
    <x v="3"/>
    <s v="CONSULTING SERVICES"/>
    <s v="JRNL00531146"/>
    <x v="12"/>
    <d v="2021-03-05T00:00:00"/>
    <s v="Yes"/>
  </r>
  <r>
    <s v="AP-ACCR"/>
    <s v="CF00"/>
    <s v="JRNL00531302"/>
    <s v="CF00-00000-1760-1860"/>
    <s v="CF00"/>
    <s v="00000"/>
    <s v="1760"/>
    <s v="1860"/>
    <s v=""/>
    <n v="3050"/>
    <x v="24"/>
    <x v="3"/>
    <s v="February Estimate"/>
    <s v="JRNL00531302"/>
    <x v="12"/>
    <d v="2021-03-06T00:00:00"/>
    <s v="Yes"/>
  </r>
  <r>
    <s v="AP-ACCR"/>
    <s v="FE00"/>
    <s v="JRNL00531434"/>
    <s v="FE00-00000-1760-1860"/>
    <s v="FE00"/>
    <s v="00000"/>
    <s v="1760"/>
    <s v="1860"/>
    <s v=""/>
    <n v="-300.64999999999998"/>
    <x v="23"/>
    <x v="3"/>
    <s v="CONSULTING SERVICES"/>
    <s v="JRNL00531146"/>
    <x v="13"/>
    <d v="2021-03-05T00:00:00"/>
    <s v="Yes"/>
  </r>
  <r>
    <s v="AP-ACCR"/>
    <s v="CF00"/>
    <s v="JRNL00531493"/>
    <s v="CF00-00000-1760-1860"/>
    <s v="CF00"/>
    <s v="00000"/>
    <s v="1760"/>
    <s v="1860"/>
    <s v=""/>
    <n v="-3050"/>
    <x v="24"/>
    <x v="3"/>
    <s v="February Estimate"/>
    <s v="JRNL00531302"/>
    <x v="13"/>
    <d v="2021-03-06T00:00:00"/>
    <s v="Yes"/>
  </r>
  <r>
    <s v="AP-ACCR"/>
    <s v="FN00"/>
    <s v="JRNL00533130"/>
    <s v="FN00-00000-1760-1860"/>
    <s v="FN00"/>
    <s v="00000"/>
    <s v="1760"/>
    <s v="1860"/>
    <s v=""/>
    <n v="563.13"/>
    <x v="23"/>
    <x v="3"/>
    <s v="846163"/>
    <s v="JRNL00533130"/>
    <x v="13"/>
    <d v="2021-04-06T00:00:00"/>
    <s v="Yes"/>
  </r>
  <r>
    <s v="AP-ACCR"/>
    <s v="FN00"/>
    <s v="JRNL00533217"/>
    <s v="FN00-00000-1760-1860"/>
    <s v="FN00"/>
    <s v="00000"/>
    <s v="1760"/>
    <s v="1860"/>
    <s v=""/>
    <n v="-563.13"/>
    <x v="23"/>
    <x v="3"/>
    <s v="846163"/>
    <s v="JRNL00533130"/>
    <x v="14"/>
    <d v="2021-04-06T00:00:00"/>
    <s v="Yes"/>
  </r>
  <r>
    <s v="AP-ACCR"/>
    <s v="FN00"/>
    <s v="JRNL00536712"/>
    <s v="FN00-00000-1760-1860"/>
    <s v="FN00"/>
    <s v="00000"/>
    <s v="1760"/>
    <s v="1860"/>
    <s v=""/>
    <n v="936.64"/>
    <x v="25"/>
    <x v="3"/>
    <s v="May Estimate"/>
    <s v="JRNL00536712"/>
    <x v="15"/>
    <d v="2021-06-03T00:00:00"/>
    <s v="Yes"/>
  </r>
  <r>
    <s v="AP-ACCR"/>
    <s v="FN00"/>
    <s v="JRNL00536721"/>
    <s v="FN00-00000-1760-1860"/>
    <s v="FN00"/>
    <s v="00000"/>
    <s v="1760"/>
    <s v="1860"/>
    <s v=""/>
    <n v="-936.64"/>
    <x v="25"/>
    <x v="3"/>
    <s v="May Estimate"/>
    <s v="JRNL00536712"/>
    <x v="16"/>
    <d v="2021-06-03T00:00:00"/>
    <s v="Yes"/>
  </r>
  <r>
    <s v="AP-ACCR"/>
    <s v="FN00"/>
    <s v="JRNL00538226"/>
    <s v="FN00-00000-1760-1860"/>
    <s v="FN00"/>
    <s v="00000"/>
    <s v="1760"/>
    <s v="1860"/>
    <s v=""/>
    <n v="3307.83"/>
    <x v="26"/>
    <x v="3"/>
    <s v="June Estimate"/>
    <s v="JRNL00538226"/>
    <x v="16"/>
    <d v="2021-07-08T00:00:00"/>
    <s v="Yes"/>
  </r>
  <r>
    <s v="AP-ACCR"/>
    <s v="FT00"/>
    <s v="JRNL00536699"/>
    <s v="FT00-00000-1760-1860"/>
    <s v="FT00"/>
    <s v="00000"/>
    <s v="1760"/>
    <s v="1860"/>
    <s v=""/>
    <n v="2.64"/>
    <x v="16"/>
    <x v="3"/>
    <s v="May Estimate"/>
    <s v="JRNL00536699"/>
    <x v="15"/>
    <d v="2021-06-04T00:00:00"/>
    <s v="Yes"/>
  </r>
  <r>
    <s v="AP-ACCR"/>
    <s v="FN00"/>
    <s v="JRNL00536712"/>
    <s v="FN00-00000-1760-1860"/>
    <s v="FN00"/>
    <s v="00000"/>
    <s v="1760"/>
    <s v="1860"/>
    <s v=""/>
    <n v="63.99"/>
    <x v="27"/>
    <x v="3"/>
    <s v="May Estimate"/>
    <s v="JRNL00536712"/>
    <x v="15"/>
    <d v="2021-06-03T00:00:00"/>
    <s v="Yes"/>
  </r>
  <r>
    <s v="AP-ACCR"/>
    <s v="FN00"/>
    <s v="JRNL00536721"/>
    <s v="FN00-00000-1760-1860"/>
    <s v="FN00"/>
    <s v="00000"/>
    <s v="1760"/>
    <s v="1860"/>
    <s v=""/>
    <n v="-63.99"/>
    <x v="27"/>
    <x v="3"/>
    <s v="May Estimate"/>
    <s v="JRNL00536712"/>
    <x v="16"/>
    <d v="2021-06-03T00:00:00"/>
    <s v="Yes"/>
  </r>
  <r>
    <s v="AP-ACCR"/>
    <s v="FI00"/>
    <s v="JRNL00536758"/>
    <s v="FI00-00000-1760-1860"/>
    <s v="FI00"/>
    <s v="00000"/>
    <s v="1760"/>
    <s v="1860"/>
    <s v=""/>
    <n v="-8.49"/>
    <x v="16"/>
    <x v="3"/>
    <s v="May Estimate"/>
    <s v="JRNL00536670"/>
    <x v="16"/>
    <d v="2021-06-04T00:00:00"/>
    <s v="Yes"/>
  </r>
  <r>
    <s v="AP-ACCR"/>
    <s v="FT00"/>
    <s v="JRNL00536759"/>
    <s v="FT00-00000-1760-1860"/>
    <s v="FT00"/>
    <s v="00000"/>
    <s v="1760"/>
    <s v="1860"/>
    <s v=""/>
    <n v="-2.64"/>
    <x v="16"/>
    <x v="3"/>
    <s v="May Estimate"/>
    <s v="JRNL00536699"/>
    <x v="16"/>
    <d v="2021-06-04T00:00:00"/>
    <s v="Yes"/>
  </r>
  <r>
    <s v="AP-ACCR"/>
    <s v="FN00"/>
    <s v="JRNL00536796"/>
    <s v="FN00-00000-1760-1860"/>
    <s v="FN00"/>
    <s v="00000"/>
    <s v="1760"/>
    <s v="1860"/>
    <s v=""/>
    <n v="-936.64"/>
    <x v="17"/>
    <x v="3"/>
    <s v="May Estimate"/>
    <s v="JRNL00536602"/>
    <x v="16"/>
    <d v="2021-06-04T00:00:00"/>
    <s v="Yes"/>
  </r>
  <r>
    <s v="SYS-AP"/>
    <s v="FC00"/>
    <s v="JRNL00542525"/>
    <s v="CF00-00000-1760-1860"/>
    <s v="CF00"/>
    <s v="00000"/>
    <s v="1760"/>
    <s v="1860"/>
    <s v=""/>
    <n v="1569.49"/>
    <x v="3"/>
    <x v="0"/>
    <s v="488"/>
    <s v="VO877194"/>
    <x v="26"/>
    <d v="2021-09-21T00:00:00"/>
    <s v="Yes"/>
  </r>
  <r>
    <s v="SYS-AP"/>
    <s v="FC00"/>
    <s v="JRNL00542525"/>
    <s v="FI00-00000-1760-1860"/>
    <s v="FI00"/>
    <s v="00000"/>
    <s v="1760"/>
    <s v="1860"/>
    <s v=""/>
    <n v="30.31"/>
    <x v="3"/>
    <x v="0"/>
    <s v="488"/>
    <s v="VO877194"/>
    <x v="26"/>
    <d v="2021-09-21T00:00:00"/>
    <s v="Yes"/>
  </r>
  <r>
    <s v="SYS-AP"/>
    <s v="FC00"/>
    <s v="JRNL00542525"/>
    <s v="FN00-00000-1760-1860"/>
    <s v="FN00"/>
    <s v="00000"/>
    <s v="1760"/>
    <s v="1860"/>
    <s v=""/>
    <n v="3343.52"/>
    <x v="3"/>
    <x v="0"/>
    <s v="488"/>
    <s v="VO877194"/>
    <x v="26"/>
    <d v="2021-09-21T00:00:00"/>
    <s v="Yes"/>
  </r>
  <r>
    <s v="SYS-AP"/>
    <s v="FC00"/>
    <s v="JRNL00542525"/>
    <s v="FT00-00000-1760-1860"/>
    <s v="FT00"/>
    <s v="00000"/>
    <s v="1760"/>
    <s v="1860"/>
    <s v=""/>
    <n v="9.42"/>
    <x v="3"/>
    <x v="0"/>
    <s v="488"/>
    <s v="VO877194"/>
    <x v="26"/>
    <d v="2021-09-21T00:00:00"/>
    <s v="Yes"/>
  </r>
  <r>
    <s v="SYS-AP"/>
    <s v="FC00"/>
    <s v="JRNL00543301"/>
    <s v="FN00-00000-1760-1860"/>
    <s v="FN00"/>
    <s v="00000"/>
    <s v="1760"/>
    <s v="1860"/>
    <s v=""/>
    <n v="16280"/>
    <x v="20"/>
    <x v="2"/>
    <s v="878288"/>
    <s v="VO879631"/>
    <x v="27"/>
    <d v="2021-10-05T00:00:00"/>
    <s v="Yes"/>
  </r>
  <r>
    <s v="SYS-AP"/>
    <s v="FC00"/>
    <s v="JRNL00543872"/>
    <s v="CF00-00000-1760-1860"/>
    <s v="CF00"/>
    <s v="00000"/>
    <s v="1760"/>
    <s v="1860"/>
    <s v=""/>
    <n v="1679.63"/>
    <x v="3"/>
    <x v="0"/>
    <s v="491"/>
    <s v="VO880339"/>
    <x v="28"/>
    <d v="2021-10-08T00:00:00"/>
    <s v="Yes"/>
  </r>
  <r>
    <s v="AP-ACCR"/>
    <s v="FI00"/>
    <s v="JRNL00538370"/>
    <s v="FI00-00000-1760-1860"/>
    <s v="FI00"/>
    <s v="00000"/>
    <s v="1760"/>
    <s v="1860"/>
    <s v=""/>
    <n v="29.99"/>
    <x v="16"/>
    <x v="3"/>
    <s v="June Estimate"/>
    <s v="JRNL00538370"/>
    <x v="16"/>
    <d v="2021-07-07T00:00:00"/>
    <s v="Yes"/>
  </r>
  <r>
    <s v="AP-ACCR"/>
    <s v="FT00"/>
    <s v="JRNL00538373"/>
    <s v="FT00-00000-1760-1860"/>
    <s v="FT00"/>
    <s v="00000"/>
    <s v="1760"/>
    <s v="1860"/>
    <s v=""/>
    <n v="9.32"/>
    <x v="16"/>
    <x v="3"/>
    <s v="June Estimate"/>
    <s v="JRNL00538373"/>
    <x v="16"/>
    <d v="2021-07-07T00:00:00"/>
    <s v="Yes"/>
  </r>
  <r>
    <s v="AP-ACCR"/>
    <s v="FN00"/>
    <s v="JRNL00538426"/>
    <s v="FN00-00000-1760-1860"/>
    <s v="FN00"/>
    <s v="00000"/>
    <s v="1760"/>
    <s v="1860"/>
    <s v=""/>
    <n v="102.39"/>
    <x v="27"/>
    <x v="3"/>
    <s v="June Estimate"/>
    <s v="JRNL00538426"/>
    <x v="16"/>
    <d v="2021-07-06T00:00:00"/>
    <s v="Yes"/>
  </r>
  <r>
    <s v="AP-ACCR"/>
    <s v="FN00"/>
    <s v="JRNL00538494"/>
    <s v="FN00-00000-1760-1860"/>
    <s v="FN00"/>
    <s v="00000"/>
    <s v="1760"/>
    <s v="1860"/>
    <s v=""/>
    <n v="-102.39"/>
    <x v="27"/>
    <x v="3"/>
    <s v="June Estimate"/>
    <s v="JRNL00538426"/>
    <x v="20"/>
    <d v="2021-07-06T00:00:00"/>
    <s v="Yes"/>
  </r>
  <r>
    <s v="AP-ACCR"/>
    <s v="FI00"/>
    <s v="JRNL00538588"/>
    <s v="FI00-00000-1760-1860"/>
    <s v="FI00"/>
    <s v="00000"/>
    <s v="1760"/>
    <s v="1860"/>
    <s v=""/>
    <n v="-29.99"/>
    <x v="16"/>
    <x v="3"/>
    <s v="June Estimate"/>
    <s v="JRNL00538370"/>
    <x v="20"/>
    <d v="2021-07-07T00:00:00"/>
    <s v="Yes"/>
  </r>
  <r>
    <s v="AP-ACCR"/>
    <s v="FT00"/>
    <s v="JRNL00538590"/>
    <s v="FT00-00000-1760-1860"/>
    <s v="FT00"/>
    <s v="00000"/>
    <s v="1760"/>
    <s v="1860"/>
    <s v=""/>
    <n v="-9.32"/>
    <x v="16"/>
    <x v="3"/>
    <s v="June Estimate"/>
    <s v="JRNL00538373"/>
    <x v="20"/>
    <d v="2021-07-07T00:00:00"/>
    <s v="Yes"/>
  </r>
  <r>
    <s v="AP-ACCR"/>
    <s v="FI00"/>
    <s v="JRNL00540009"/>
    <s v="FI00-00000-1760-1860"/>
    <s v="FI00"/>
    <s v="00000"/>
    <s v="1760"/>
    <s v="1860"/>
    <s v=""/>
    <n v="20.68"/>
    <x v="16"/>
    <x v="3"/>
    <s v="July Estimate"/>
    <s v="JRNL00540009"/>
    <x v="20"/>
    <d v="2021-08-05T00:00:00"/>
    <s v="Yes"/>
  </r>
  <r>
    <s v="AP-ACCR"/>
    <s v="FT00"/>
    <s v="JRNL00540013"/>
    <s v="FT00-00000-1760-1860"/>
    <s v="FT00"/>
    <s v="00000"/>
    <s v="1760"/>
    <s v="1860"/>
    <s v=""/>
    <n v="6.45"/>
    <x v="16"/>
    <x v="3"/>
    <s v="July Estimate"/>
    <s v="JRNL00540013"/>
    <x v="20"/>
    <d v="2021-08-05T00:00:00"/>
    <s v="Yes"/>
  </r>
  <r>
    <s v="AP-ACCR"/>
    <s v="CF00"/>
    <s v="JRNL00540018"/>
    <s v="CF00-00000-1760-1860"/>
    <s v="CF00"/>
    <s v="00000"/>
    <s v="1760"/>
    <s v="1860"/>
    <s v=""/>
    <n v="1072.1500000000001"/>
    <x v="16"/>
    <x v="3"/>
    <s v="July Estimate"/>
    <s v="JRNL00540018"/>
    <x v="20"/>
    <d v="2021-08-04T00:00:00"/>
    <s v="Yes"/>
  </r>
  <r>
    <s v="AP-ACCR"/>
    <s v="CF00"/>
    <s v="JRNL00540146"/>
    <s v="CF00-00000-1760-1860"/>
    <s v="CF00"/>
    <s v="00000"/>
    <s v="1760"/>
    <s v="1860"/>
    <s v=""/>
    <n v="-1072.1500000000001"/>
    <x v="16"/>
    <x v="3"/>
    <s v="July Estimate"/>
    <s v="JRNL00540018"/>
    <x v="29"/>
    <d v="2021-08-05T00:00:00"/>
    <s v="Yes"/>
  </r>
  <r>
    <s v="AP-ACCR"/>
    <s v="FT00"/>
    <s v="JRNL00540201"/>
    <s v="FT00-00000-1760-1860"/>
    <s v="FT00"/>
    <s v="00000"/>
    <s v="1760"/>
    <s v="1860"/>
    <s v=""/>
    <n v="-6.45"/>
    <x v="16"/>
    <x v="3"/>
    <s v="July Estimate"/>
    <s v="JRNL00540013"/>
    <x v="29"/>
    <d v="2021-08-05T00:00:00"/>
    <s v="Yes"/>
  </r>
  <r>
    <s v="AP-ACCR"/>
    <s v="FI00"/>
    <s v="JRNL00540314"/>
    <s v="FI00-00000-1760-1860"/>
    <s v="FI00"/>
    <s v="00000"/>
    <s v="1760"/>
    <s v="1860"/>
    <s v=""/>
    <n v="-20.68"/>
    <x v="16"/>
    <x v="3"/>
    <s v="July Estimate"/>
    <s v="JRNL00540009"/>
    <x v="29"/>
    <d v="2021-08-05T00:00:00"/>
    <s v="Yes"/>
  </r>
  <r>
    <s v="AP-ACCR"/>
    <s v="FI00"/>
    <s v="JRNL00541662"/>
    <s v="FI00-00000-1760-1860"/>
    <s v="FI00"/>
    <s v="00000"/>
    <s v="1760"/>
    <s v="1860"/>
    <s v=""/>
    <n v="33.159999999999997"/>
    <x v="16"/>
    <x v="3"/>
    <s v="August Estimate"/>
    <s v="JRNL00541662"/>
    <x v="29"/>
    <d v="2021-09-08T00:00:00"/>
    <s v="Yes"/>
  </r>
  <r>
    <s v="AP-ACCR"/>
    <s v="FI00"/>
    <s v="JRNL00541772"/>
    <s v="FI00-00000-1760-1860"/>
    <s v="FI00"/>
    <s v="00000"/>
    <s v="1760"/>
    <s v="1860"/>
    <s v=""/>
    <n v="-33.159999999999997"/>
    <x v="16"/>
    <x v="3"/>
    <s v="August Estimate"/>
    <s v="JRNL00541662"/>
    <x v="30"/>
    <d v="2021-09-08T00:00:00"/>
    <s v="Yes"/>
  </r>
  <r>
    <s v="AP-ACCR"/>
    <s v="FT00"/>
    <s v="JRNL00541776"/>
    <s v="FT00-00000-1760-1860"/>
    <s v="FT00"/>
    <s v="00000"/>
    <s v="1760"/>
    <s v="1860"/>
    <s v=""/>
    <n v="10.35"/>
    <x v="16"/>
    <x v="3"/>
    <s v="August Estimate"/>
    <s v="JRNL00541776"/>
    <x v="29"/>
    <d v="2021-09-08T00:00:00"/>
    <s v="Yes"/>
  </r>
  <r>
    <s v="AP-ACCR"/>
    <s v="CF00"/>
    <s v="JRNL00541780"/>
    <s v="CF00-00000-1760-1860"/>
    <s v="CF00"/>
    <s v="00000"/>
    <s v="1760"/>
    <s v="1860"/>
    <s v=""/>
    <n v="1719.14"/>
    <x v="16"/>
    <x v="3"/>
    <s v="August Estimate"/>
    <s v="JRNL00541780"/>
    <x v="29"/>
    <d v="2021-09-08T00:00:00"/>
    <s v="Yes"/>
  </r>
  <r>
    <s v="AP-ACCR"/>
    <s v="FI00"/>
    <s v="JRNL00541828"/>
    <s v="FI00-00000-1760-1860"/>
    <s v="FI00"/>
    <s v="00000"/>
    <s v="1760"/>
    <s v="1860"/>
    <s v=""/>
    <n v="-33.159999999999997"/>
    <x v="16"/>
    <x v="3"/>
    <s v="August Estimate"/>
    <s v="JRNL00541662"/>
    <x v="29"/>
    <d v="2021-09-08T00:00:00"/>
    <s v="Yes"/>
  </r>
  <r>
    <s v="AP-ACCR"/>
    <s v="FI00"/>
    <s v="JRNL00541829"/>
    <s v="FI00-00000-1760-1860"/>
    <s v="FI00"/>
    <s v="00000"/>
    <s v="1760"/>
    <s v="1860"/>
    <s v=""/>
    <n v="33.159999999999997"/>
    <x v="16"/>
    <x v="3"/>
    <s v="August Estimate"/>
    <s v="JRNL00541829"/>
    <x v="29"/>
    <d v="2021-09-08T00:00:00"/>
    <s v="Yes"/>
  </r>
  <r>
    <s v="AP-ACCR"/>
    <s v="FI00"/>
    <s v="JRNL00541899"/>
    <s v="FI00-00000-1760-1860"/>
    <s v="FI00"/>
    <s v="00000"/>
    <s v="1760"/>
    <s v="1860"/>
    <s v=""/>
    <n v="33.159999999999997"/>
    <x v="16"/>
    <x v="3"/>
    <s v="August Estimate"/>
    <s v="JRNL00541828"/>
    <x v="30"/>
    <d v="2021-09-08T00:00:00"/>
    <s v="Yes"/>
  </r>
  <r>
    <s v="AP-ACCR"/>
    <s v="CF00"/>
    <s v="JRNL00541913"/>
    <s v="CF00-00000-1760-1860"/>
    <s v="CF00"/>
    <s v="00000"/>
    <s v="1760"/>
    <s v="1860"/>
    <s v=""/>
    <n v="-1719.14"/>
    <x v="16"/>
    <x v="3"/>
    <s v="August Estimate"/>
    <s v="JRNL00541780"/>
    <x v="30"/>
    <d v="2021-09-08T00:00:00"/>
    <s v="Yes"/>
  </r>
  <r>
    <s v="AP-ACCR"/>
    <s v="FT00"/>
    <s v="JRNL00541915"/>
    <s v="FT00-00000-1760-1860"/>
    <s v="FT00"/>
    <s v="00000"/>
    <s v="1760"/>
    <s v="1860"/>
    <s v=""/>
    <n v="-10.35"/>
    <x v="16"/>
    <x v="3"/>
    <s v="August Estimate"/>
    <s v="JRNL00541776"/>
    <x v="30"/>
    <d v="2021-09-08T00:00:00"/>
    <s v="Yes"/>
  </r>
  <r>
    <s v="AP-ACCR"/>
    <s v="FI00"/>
    <s v="JRNL00541917"/>
    <s v="FI00-00000-1760-1860"/>
    <s v="FI00"/>
    <s v="00000"/>
    <s v="1760"/>
    <s v="1860"/>
    <s v=""/>
    <n v="-33.159999999999997"/>
    <x v="16"/>
    <x v="3"/>
    <s v="August Estimate"/>
    <s v="JRNL00541829"/>
    <x v="30"/>
    <d v="2021-09-08T00:00:00"/>
    <s v="Yes"/>
  </r>
  <r>
    <s v="AP-ACCR"/>
    <s v="FN00"/>
    <s v="JRNL00543345"/>
    <s v="FN00-00000-1760-1860"/>
    <s v="FN00"/>
    <s v="00000"/>
    <s v="1760"/>
    <s v="1860"/>
    <s v=""/>
    <n v="280"/>
    <x v="28"/>
    <x v="3"/>
    <s v="00042"/>
    <s v="JRNL00543345"/>
    <x v="30"/>
    <d v="2021-10-06T00:00:00"/>
    <s v="Yes"/>
  </r>
  <r>
    <s v="AP-ACCR"/>
    <s v="FI00"/>
    <s v="JRNL00543390"/>
    <s v="FI00-00000-1760-1860"/>
    <s v="FI00"/>
    <s v="00000"/>
    <s v="1760"/>
    <s v="1860"/>
    <s v=""/>
    <n v="49.62"/>
    <x v="16"/>
    <x v="3"/>
    <s v="September Estimate"/>
    <s v="JRNL00543390"/>
    <x v="30"/>
    <d v="2021-10-06T00:00:00"/>
    <s v="Yes"/>
  </r>
  <r>
    <s v="AP-ACCR"/>
    <s v="FT00"/>
    <s v="JRNL00543410"/>
    <s v="FT00-00000-1760-1860"/>
    <s v="FT00"/>
    <s v="00000"/>
    <s v="1760"/>
    <s v="1860"/>
    <s v=""/>
    <n v="15.42"/>
    <x v="16"/>
    <x v="3"/>
    <s v="September Estimate"/>
    <s v="JRNL00543410"/>
    <x v="30"/>
    <d v="2021-10-06T00:00:00"/>
    <s v="Yes"/>
  </r>
  <r>
    <s v="AP-ACCR"/>
    <s v="FT00"/>
    <s v="JRNL00536759"/>
    <s v="FT00-00000-1760-1860"/>
    <s v="FT00"/>
    <s v="00000"/>
    <s v="1760"/>
    <s v="1860"/>
    <s v=""/>
    <n v="-0.18"/>
    <x v="7"/>
    <x v="3"/>
    <s v="857013"/>
    <s v="JRNL00536699"/>
    <x v="16"/>
    <d v="2021-06-04T00:00:00"/>
    <s v="Yes"/>
  </r>
  <r>
    <s v="AP-ACCR"/>
    <s v="CF00"/>
    <s v="JRNL00538364"/>
    <s v="CF00-00000-1760-1860"/>
    <s v="CF00"/>
    <s v="00000"/>
    <s v="1760"/>
    <s v="1860"/>
    <s v=""/>
    <n v="1552.74"/>
    <x v="6"/>
    <x v="3"/>
    <s v="June Estimate"/>
    <s v="JRNL00538364"/>
    <x v="16"/>
    <d v="2021-07-06T00:00:00"/>
    <s v="Yes"/>
  </r>
  <r>
    <s v="AP-ACCR"/>
    <s v="CF00"/>
    <s v="JRNL00538364"/>
    <s v="CF00-00000-1760-1860"/>
    <s v="CF00"/>
    <s v="00000"/>
    <s v="1760"/>
    <s v="1860"/>
    <s v=""/>
    <n v="48.06"/>
    <x v="8"/>
    <x v="3"/>
    <s v="863383"/>
    <s v="JRNL00538364"/>
    <x v="16"/>
    <d v="2021-07-06T00:00:00"/>
    <s v="Yes"/>
  </r>
  <r>
    <s v="AP-ACCR"/>
    <s v="FI00"/>
    <s v="JRNL00538370"/>
    <s v="FI00-00000-1760-1860"/>
    <s v="FI00"/>
    <s v="00000"/>
    <s v="1760"/>
    <s v="1860"/>
    <s v=""/>
    <n v="0.93"/>
    <x v="7"/>
    <x v="3"/>
    <s v="863383"/>
    <s v="JRNL00538370"/>
    <x v="16"/>
    <d v="2021-07-07T00:00:00"/>
    <s v="Yes"/>
  </r>
  <r>
    <s v="AP-ACCR"/>
    <s v="FT00"/>
    <s v="JRNL00538373"/>
    <s v="FT00-00000-1760-1860"/>
    <s v="FT00"/>
    <s v="00000"/>
    <s v="1760"/>
    <s v="1860"/>
    <s v=""/>
    <n v="0.28999999999999998"/>
    <x v="7"/>
    <x v="3"/>
    <s v="863383"/>
    <s v="JRNL00538373"/>
    <x v="16"/>
    <d v="2021-07-07T00:00:00"/>
    <s v="Yes"/>
  </r>
  <r>
    <s v="AP-ACCR"/>
    <s v="CF00"/>
    <s v="JRNL00538496"/>
    <s v="CF00-00000-1760-1860"/>
    <s v="CF00"/>
    <s v="00000"/>
    <s v="1760"/>
    <s v="1860"/>
    <s v=""/>
    <n v="-1552.74"/>
    <x v="6"/>
    <x v="3"/>
    <s v="June Estimate"/>
    <s v="JRNL00538364"/>
    <x v="20"/>
    <d v="2021-07-06T00:00:00"/>
    <s v="Yes"/>
  </r>
  <r>
    <s v="AP-ACCR"/>
    <s v="CF00"/>
    <s v="JRNL00538496"/>
    <s v="CF00-00000-1760-1860"/>
    <s v="CF00"/>
    <s v="00000"/>
    <s v="1760"/>
    <s v="1860"/>
    <s v=""/>
    <n v="-48.06"/>
    <x v="8"/>
    <x v="3"/>
    <s v="863383"/>
    <s v="JRNL00538364"/>
    <x v="20"/>
    <d v="2021-07-06T00:00:00"/>
    <s v="Yes"/>
  </r>
  <r>
    <s v="AP-ACCR"/>
    <s v="CF00"/>
    <s v="JRNL00538531"/>
    <s v="CF00-00000-1760-1860"/>
    <s v="CF00"/>
    <s v="00000"/>
    <s v="1760"/>
    <s v="1860"/>
    <s v=""/>
    <n v="1552.74"/>
    <x v="29"/>
    <x v="3"/>
    <s v="June Estimate"/>
    <s v="JRNL00538531"/>
    <x v="16"/>
    <d v="2021-07-08T00:00:00"/>
    <s v="Yes"/>
  </r>
  <r>
    <s v="AP-ACCR"/>
    <s v="FI00"/>
    <s v="JRNL00538588"/>
    <s v="FI00-00000-1760-1860"/>
    <s v="FI00"/>
    <s v="00000"/>
    <s v="1760"/>
    <s v="1860"/>
    <s v=""/>
    <n v="-0.93"/>
    <x v="7"/>
    <x v="3"/>
    <s v="863383"/>
    <s v="JRNL00538370"/>
    <x v="20"/>
    <d v="2021-07-07T00:00:00"/>
    <s v="Yes"/>
  </r>
  <r>
    <s v="AP-ACCR"/>
    <s v="FT00"/>
    <s v="JRNL00538590"/>
    <s v="FT00-00000-1760-1860"/>
    <s v="FT00"/>
    <s v="00000"/>
    <s v="1760"/>
    <s v="1860"/>
    <s v=""/>
    <n v="-0.28999999999999998"/>
    <x v="7"/>
    <x v="3"/>
    <s v="863383"/>
    <s v="JRNL00538373"/>
    <x v="20"/>
    <d v="2021-07-07T00:00:00"/>
    <s v="Yes"/>
  </r>
  <r>
    <s v="AP-ACCR"/>
    <s v="CF00"/>
    <s v="JRNL00538678"/>
    <s v="CF00-00000-1760-1860"/>
    <s v="CF00"/>
    <s v="00000"/>
    <s v="1760"/>
    <s v="1860"/>
    <s v=""/>
    <n v="-1552.74"/>
    <x v="29"/>
    <x v="3"/>
    <s v="June Estimate"/>
    <s v="JRNL00538531"/>
    <x v="20"/>
    <d v="2021-07-08T00:00:00"/>
    <s v="Yes"/>
  </r>
  <r>
    <s v="AP-ACCR"/>
    <s v="FC00"/>
    <s v="JRNL00540136"/>
    <s v="FN00-00000-1760-1860"/>
    <s v="FN00"/>
    <s v="00000"/>
    <s v="1760"/>
    <s v="1860"/>
    <s v=""/>
    <n v="2284"/>
    <x v="6"/>
    <x v="3"/>
    <s v="July Estimate"/>
    <s v="JRNL00540136"/>
    <x v="20"/>
    <d v="2021-08-04T00:00:00"/>
    <s v="Yes"/>
  </r>
  <r>
    <s v="AP-ACCR"/>
    <s v="FC00"/>
    <s v="JRNL00540136"/>
    <s v="FN00-00000-1760-1860"/>
    <s v="FN00"/>
    <s v="00000"/>
    <s v="1760"/>
    <s v="1860"/>
    <s v=""/>
    <n v="1727.77"/>
    <x v="8"/>
    <x v="3"/>
    <s v="868275"/>
    <s v="JRNL00540136"/>
    <x v="20"/>
    <d v="2021-08-04T00:00:00"/>
    <s v="Yes"/>
  </r>
  <r>
    <s v="AP-ACCR"/>
    <s v="CF00"/>
    <s v="JRNL00540171"/>
    <s v="CF00-00000-1760-1860"/>
    <s v="CF00"/>
    <s v="00000"/>
    <s v="1760"/>
    <s v="1860"/>
    <s v=""/>
    <n v="1072.1500000000001"/>
    <x v="6"/>
    <x v="3"/>
    <s v="July Estimate"/>
    <s v="JRNL00540171"/>
    <x v="20"/>
    <d v="2021-08-04T00:00:00"/>
    <s v="Yes"/>
  </r>
  <r>
    <s v="AP-ACCR"/>
    <s v="CF00"/>
    <s v="JRNL00540171"/>
    <s v="CF00-00000-1760-1860"/>
    <s v="CF00"/>
    <s v="00000"/>
    <s v="1760"/>
    <s v="1860"/>
    <s v=""/>
    <n v="811.05"/>
    <x v="8"/>
    <x v="3"/>
    <s v="868275"/>
    <s v="JRNL00540171"/>
    <x v="20"/>
    <d v="2021-08-04T00:00:00"/>
    <s v="Yes"/>
  </r>
  <r>
    <s v="AP-ACCR"/>
    <s v="FC00"/>
    <s v="JRNL00540174"/>
    <s v="FN00-00000-1760-1860"/>
    <s v="FN00"/>
    <s v="00000"/>
    <s v="1760"/>
    <s v="1860"/>
    <s v=""/>
    <n v="-2284"/>
    <x v="6"/>
    <x v="3"/>
    <s v="July Estimate"/>
    <s v="JRNL00540136"/>
    <x v="29"/>
    <d v="2021-08-04T00:00:00"/>
    <s v="Yes"/>
  </r>
  <r>
    <s v="AP-ACCR"/>
    <s v="FC00"/>
    <s v="JRNL00540174"/>
    <s v="FN00-00000-1760-1860"/>
    <s v="FN00"/>
    <s v="00000"/>
    <s v="1760"/>
    <s v="1860"/>
    <s v=""/>
    <n v="-1727.77"/>
    <x v="8"/>
    <x v="3"/>
    <s v="868275"/>
    <s v="JRNL00540136"/>
    <x v="29"/>
    <d v="2021-08-04T00:00:00"/>
    <s v="Yes"/>
  </r>
  <r>
    <s v="AP-ACCR"/>
    <s v="CF00"/>
    <s v="JRNL00540179"/>
    <s v="CF00-00000-1760-1860"/>
    <s v="CF00"/>
    <s v="00000"/>
    <s v="1760"/>
    <s v="1860"/>
    <s v=""/>
    <n v="-1072.1500000000001"/>
    <x v="6"/>
    <x v="3"/>
    <s v="July Estimate"/>
    <s v="JRNL00540171"/>
    <x v="29"/>
    <d v="2021-08-04T00:00:00"/>
    <s v="Yes"/>
  </r>
  <r>
    <s v="AP-ACCR"/>
    <s v="CF00"/>
    <s v="JRNL00540179"/>
    <s v="CF00-00000-1760-1860"/>
    <s v="CF00"/>
    <s v="00000"/>
    <s v="1760"/>
    <s v="1860"/>
    <s v=""/>
    <n v="-811.05"/>
    <x v="8"/>
    <x v="3"/>
    <s v="868275"/>
    <s v="JRNL00540171"/>
    <x v="29"/>
    <d v="2021-08-04T00:00:00"/>
    <s v="Yes"/>
  </r>
  <r>
    <s v="AP-ACCR"/>
    <s v="FN00"/>
    <s v="JRNL00541759"/>
    <s v="FN00-00000-1760-1860"/>
    <s v="FN00"/>
    <s v="00000"/>
    <s v="1760"/>
    <s v="1860"/>
    <s v=""/>
    <n v="3662.28"/>
    <x v="6"/>
    <x v="3"/>
    <s v="August Estimate"/>
    <s v="JRNL00541759"/>
    <x v="29"/>
    <d v="2021-09-08T00:00:00"/>
    <s v="Yes"/>
  </r>
  <r>
    <s v="AP-ACCR"/>
    <s v="FN00"/>
    <s v="JRNL00541759"/>
    <s v="FN00-00000-1760-1860"/>
    <s v="FN00"/>
    <s v="00000"/>
    <s v="1760"/>
    <s v="1860"/>
    <s v=""/>
    <n v="10920"/>
    <x v="8"/>
    <x v="3"/>
    <s v="873566"/>
    <s v="JRNL00541759"/>
    <x v="29"/>
    <d v="2021-09-08T00:00:00"/>
    <s v="Yes"/>
  </r>
  <r>
    <s v="AP-ACCR"/>
    <s v="FN00"/>
    <s v="JRNL00541931"/>
    <s v="FN00-00000-1760-1860"/>
    <s v="FN00"/>
    <s v="00000"/>
    <s v="1760"/>
    <s v="1860"/>
    <s v=""/>
    <n v="-3662.28"/>
    <x v="6"/>
    <x v="3"/>
    <s v="August Estimate"/>
    <s v="JRNL00541759"/>
    <x v="30"/>
    <d v="2021-09-08T00:00:00"/>
    <s v="Yes"/>
  </r>
  <r>
    <s v="AP-ACCR"/>
    <s v="FN00"/>
    <s v="JRNL00541931"/>
    <s v="FN00-00000-1760-1860"/>
    <s v="FN00"/>
    <s v="00000"/>
    <s v="1760"/>
    <s v="1860"/>
    <s v=""/>
    <n v="-10920"/>
    <x v="8"/>
    <x v="3"/>
    <s v="873566"/>
    <s v="JRNL00541759"/>
    <x v="30"/>
    <d v="2021-09-08T00:00:00"/>
    <s v="Yes"/>
  </r>
  <r>
    <s v="AP-ACCR"/>
    <s v="FN00"/>
    <s v="JRNL00543345"/>
    <s v="FN00-00000-1760-1860"/>
    <s v="FN00"/>
    <s v="00000"/>
    <s v="1760"/>
    <s v="1860"/>
    <s v=""/>
    <n v="5473.68"/>
    <x v="30"/>
    <x v="3"/>
    <s v="September Estimate"/>
    <s v="JRNL00543345"/>
    <x v="30"/>
    <d v="2021-10-06T00:00:00"/>
    <s v="Yes"/>
  </r>
  <r>
    <s v="AP-ACCR"/>
    <s v="FN00"/>
    <s v="JRNL00543647"/>
    <s v="FN00-00000-1760-1860"/>
    <s v="FN00"/>
    <s v="00000"/>
    <s v="1760"/>
    <s v="1860"/>
    <s v=""/>
    <n v="-5473.68"/>
    <x v="30"/>
    <x v="3"/>
    <s v="September Estimate"/>
    <s v="JRNL00543345"/>
    <x v="31"/>
    <d v="2021-10-08T00:00:00"/>
    <s v="Yes"/>
  </r>
  <r>
    <s v="AP-ACCR"/>
    <s v="FN00"/>
    <s v="JRNL00546710"/>
    <s v="FN00-00000-1760-1860"/>
    <s v="FN00"/>
    <s v="00000"/>
    <s v="1760"/>
    <s v="1860"/>
    <s v=""/>
    <n v="1181.3800000000001"/>
    <x v="30"/>
    <x v="3"/>
    <s v="November Estimate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181.3800000000001"/>
    <x v="30"/>
    <x v="3"/>
    <s v="November Estimate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3032.2"/>
    <x v="30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1500"/>
    <x v="30"/>
    <x v="3"/>
    <s v="December Estimate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3032.2"/>
    <x v="30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1500"/>
    <x v="30"/>
    <x v="3"/>
    <s v="December Estimate"/>
    <s v="JRNL00548288"/>
    <x v="34"/>
    <d v="2022-01-08T00:00:00"/>
    <s v="Yes"/>
  </r>
  <r>
    <s v="AP-ACCR"/>
    <s v="FT00"/>
    <s v="JRNL00533113"/>
    <s v="FT00-00000-1760-1860"/>
    <s v="FT00"/>
    <s v="00000"/>
    <s v="1760"/>
    <s v="1860"/>
    <s v=""/>
    <n v="-1.5899999999999999"/>
    <x v="21"/>
    <x v="3"/>
    <s v="846163"/>
    <s v="JRNL00533053"/>
    <x v="14"/>
    <d v="2021-04-05T00:00:00"/>
    <s v="Yes"/>
  </r>
  <r>
    <s v="AP-ACCR"/>
    <s v="CF00"/>
    <s v="JRNL00533114"/>
    <s v="CF00-00000-1760-1860"/>
    <s v="CF00"/>
    <s v="00000"/>
    <s v="1760"/>
    <s v="1860"/>
    <s v=""/>
    <n v="264.33999999999997"/>
    <x v="21"/>
    <x v="3"/>
    <s v="846163"/>
    <s v="JRNL00533114"/>
    <x v="13"/>
    <d v="2021-04-05T00:00:00"/>
    <s v="Yes"/>
  </r>
  <r>
    <s v="AP-ACCR"/>
    <s v="FN00"/>
    <s v="JRNL00533130"/>
    <s v="FN00-00000-1760-1860"/>
    <s v="FN00"/>
    <s v="00000"/>
    <s v="1760"/>
    <s v="1860"/>
    <s v=""/>
    <n v="563.13"/>
    <x v="21"/>
    <x v="3"/>
    <s v="846163"/>
    <s v="JRNL00533130"/>
    <x v="13"/>
    <d v="2021-04-06T00:00:00"/>
    <s v="Yes"/>
  </r>
  <r>
    <s v="AP-ACCR"/>
    <s v="FI00"/>
    <s v="JRNL00533133"/>
    <s v="FI00-00000-1760-1860"/>
    <s v="FI00"/>
    <s v="00000"/>
    <s v="1760"/>
    <s v="1860"/>
    <s v=""/>
    <n v="-5.0999999999999996"/>
    <x v="21"/>
    <x v="3"/>
    <s v="846163"/>
    <s v="JRNL00533108"/>
    <x v="14"/>
    <d v="2021-05-06T00:00:00"/>
    <s v="Yes"/>
  </r>
  <r>
    <s v="AP-ACCR"/>
    <s v="FC00"/>
    <s v="JRNL00533134"/>
    <s v="FT00-00000-1760-1860"/>
    <s v="FT00"/>
    <s v="00000"/>
    <s v="1760"/>
    <s v="1860"/>
    <s v=""/>
    <n v="1.5899999999999999"/>
    <x v="21"/>
    <x v="3"/>
    <s v="846163"/>
    <s v="JRNL00533134"/>
    <x v="13"/>
    <d v="2021-04-05T00:00:00"/>
    <s v="Yes"/>
  </r>
  <r>
    <s v="AP-ACCR"/>
    <s v="FC00"/>
    <s v="JRNL00533135"/>
    <s v="FT00-00000-1760-1860"/>
    <s v="FT00"/>
    <s v="00000"/>
    <s v="1760"/>
    <s v="1860"/>
    <s v=""/>
    <n v="-1.5899999999999999"/>
    <x v="21"/>
    <x v="3"/>
    <s v="846163"/>
    <s v="JRNL00533134"/>
    <x v="14"/>
    <d v="2021-04-05T00:00:00"/>
    <s v="Yes"/>
  </r>
  <r>
    <s v="AP-ACCR"/>
    <s v="CF00"/>
    <s v="JRNL00533136"/>
    <s v="CF00-00000-1760-1860"/>
    <s v="CF00"/>
    <s v="00000"/>
    <s v="1760"/>
    <s v="1860"/>
    <s v=""/>
    <n v="-264.33999999999997"/>
    <x v="21"/>
    <x v="3"/>
    <s v="846163"/>
    <s v="JRNL00533114"/>
    <x v="14"/>
    <d v="2021-04-05T00:00:00"/>
    <s v="Yes"/>
  </r>
  <r>
    <s v="AP-ACCR"/>
    <s v="FN00"/>
    <s v="JRNL00533217"/>
    <s v="FN00-00000-1760-1860"/>
    <s v="FN00"/>
    <s v="00000"/>
    <s v="1760"/>
    <s v="1860"/>
    <s v=""/>
    <n v="-563.13"/>
    <x v="21"/>
    <x v="3"/>
    <s v="846163"/>
    <s v="JRNL00533130"/>
    <x v="14"/>
    <d v="2021-04-06T00:00:00"/>
    <s v="Yes"/>
  </r>
  <r>
    <s v="AP-ACCR"/>
    <s v="CF00"/>
    <s v="JRNL00533262"/>
    <s v="CF00-00000-1760-1860"/>
    <s v="CF00"/>
    <s v="00000"/>
    <s v="1760"/>
    <s v="1860"/>
    <s v=""/>
    <n v="-264.33999999999997"/>
    <x v="21"/>
    <x v="3"/>
    <s v="846163"/>
    <s v="JRNL00533061"/>
    <x v="14"/>
    <d v="2021-04-06T00:00:00"/>
    <s v="Yes"/>
  </r>
  <r>
    <s v="AP-ACCR"/>
    <s v="FN00"/>
    <s v="JRNL00533343"/>
    <s v="FN00-00000-1760-1860"/>
    <s v="FN00"/>
    <s v="00000"/>
    <s v="1760"/>
    <s v="1860"/>
    <s v=""/>
    <n v="563.13"/>
    <x v="21"/>
    <x v="3"/>
    <s v="846163"/>
    <s v="JRNL00533343"/>
    <x v="13"/>
    <d v="2021-04-07T00:00:00"/>
    <s v="Yes"/>
  </r>
  <r>
    <s v="AP-ACCR"/>
    <s v="FN00"/>
    <s v="JRNL00533552"/>
    <s v="FN00-00000-1760-1860"/>
    <s v="FN00"/>
    <s v="00000"/>
    <s v="1760"/>
    <s v="1860"/>
    <s v=""/>
    <n v="-563.13"/>
    <x v="21"/>
    <x v="3"/>
    <s v="846163"/>
    <s v="JRNL00533343"/>
    <x v="14"/>
    <d v="2021-04-07T00:00:00"/>
    <s v="Yes"/>
  </r>
  <r>
    <s v="AP-ACCR"/>
    <s v="FN00"/>
    <s v="JRNL00535024"/>
    <s v="FN00-00000-1760-1860"/>
    <s v="FN00"/>
    <s v="00000"/>
    <s v="1760"/>
    <s v="1860"/>
    <s v=""/>
    <n v="590.69000000000005"/>
    <x v="31"/>
    <x v="3"/>
    <s v="April Estimate"/>
    <s v="JRNL00535024"/>
    <x v="14"/>
    <d v="2021-05-06T00:00:00"/>
    <s v="Yes"/>
  </r>
  <r>
    <s v="AP-ACCR"/>
    <s v="FN00"/>
    <s v="JRNL00535220"/>
    <s v="FN00-00000-1760-1860"/>
    <s v="FN00"/>
    <s v="00000"/>
    <s v="1760"/>
    <s v="1860"/>
    <s v=""/>
    <n v="-590.69000000000005"/>
    <x v="31"/>
    <x v="3"/>
    <s v="April Estimate"/>
    <s v="JRNL00535024"/>
    <x v="15"/>
    <d v="2021-05-06T00:00:00"/>
    <s v="Yes"/>
  </r>
  <r>
    <s v="AP-ACCR"/>
    <s v="FN00"/>
    <s v="JRNL00536602"/>
    <s v="FN00-00000-1760-1860"/>
    <s v="FN00"/>
    <s v="00000"/>
    <s v="1760"/>
    <s v="1860"/>
    <s v=""/>
    <n v="959.87"/>
    <x v="32"/>
    <x v="3"/>
    <s v="851527"/>
    <s v="JRNL00536602"/>
    <x v="15"/>
    <d v="2021-06-04T00:00:00"/>
    <s v="Yes"/>
  </r>
  <r>
    <s v="AP-ACCR"/>
    <s v="FN00"/>
    <s v="JRNL00536796"/>
    <s v="FN00-00000-1760-1860"/>
    <s v="FN00"/>
    <s v="00000"/>
    <s v="1760"/>
    <s v="1860"/>
    <s v=""/>
    <n v="-959.87"/>
    <x v="32"/>
    <x v="3"/>
    <s v="851527"/>
    <s v="JRNL00536602"/>
    <x v="16"/>
    <d v="2021-06-04T00:00:00"/>
    <s v="Yes"/>
  </r>
  <r>
    <s v="AP-ACCR"/>
    <s v="FN00"/>
    <s v="JRNL00541965"/>
    <s v="FN00-00000-1760-1860"/>
    <s v="FN00"/>
    <s v="00000"/>
    <s v="1760"/>
    <s v="1860"/>
    <s v=""/>
    <n v="10920"/>
    <x v="21"/>
    <x v="3"/>
    <s v="873566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10920"/>
    <x v="21"/>
    <x v="3"/>
    <s v="873566"/>
    <s v="JRNL00541965"/>
    <x v="30"/>
    <d v="2021-09-09T00:00:00"/>
    <s v="Yes"/>
  </r>
  <r>
    <s v="AP-ACCR"/>
    <s v="FN00"/>
    <s v="JRNL00543345"/>
    <s v="FN00-00000-1760-1860"/>
    <s v="FN00"/>
    <s v="00000"/>
    <s v="1760"/>
    <s v="1860"/>
    <s v=""/>
    <n v="16280"/>
    <x v="21"/>
    <x v="3"/>
    <s v="878288"/>
    <s v="JRNL00543345"/>
    <x v="30"/>
    <d v="2021-10-06T00:00:00"/>
    <s v="Yes"/>
  </r>
  <r>
    <s v="AP-ACCR"/>
    <s v="FN00"/>
    <s v="JRNL00543647"/>
    <s v="FN00-00000-1760-1860"/>
    <s v="FN00"/>
    <s v="00000"/>
    <s v="1760"/>
    <s v="1860"/>
    <s v=""/>
    <n v="-16280"/>
    <x v="21"/>
    <x v="3"/>
    <s v="878288"/>
    <s v="JRNL00543345"/>
    <x v="31"/>
    <d v="2021-10-08T00:00:00"/>
    <s v="Yes"/>
  </r>
  <r>
    <s v="AP-ACCR"/>
    <s v="FN00"/>
    <s v="JRNL00545367"/>
    <s v="FN00-00000-1760-1860"/>
    <s v="FN00"/>
    <s v="00000"/>
    <s v="1760"/>
    <s v="1860"/>
    <s v=""/>
    <n v="3307.84"/>
    <x v="33"/>
    <x v="3"/>
    <s v="October Estimate"/>
    <s v="JRNL00545367"/>
    <x v="31"/>
    <d v="2021-11-04T00:00:00"/>
    <s v="Yes"/>
  </r>
  <r>
    <s v="AP-ACCR"/>
    <s v="FN00"/>
    <s v="JRNL00545449"/>
    <s v="FN00-00000-1760-1860"/>
    <s v="FN00"/>
    <s v="00000"/>
    <s v="1760"/>
    <s v="1860"/>
    <s v=""/>
    <n v="-3307.84"/>
    <x v="33"/>
    <x v="3"/>
    <s v="October Estimate"/>
    <s v="JRNL00545367"/>
    <x v="32"/>
    <d v="2021-11-08T00:00:00"/>
    <s v="Yes"/>
  </r>
  <r>
    <s v="AP-ACCR"/>
    <s v="FN00"/>
    <s v="JRNL00546710"/>
    <s v="FN00-00000-1760-1860"/>
    <s v="FN00"/>
    <s v="00000"/>
    <s v="1760"/>
    <s v="1860"/>
    <s v=""/>
    <n v="15320"/>
    <x v="21"/>
    <x v="3"/>
    <s v="888863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5320"/>
    <x v="21"/>
    <x v="3"/>
    <s v="888863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19160"/>
    <x v="21"/>
    <x v="3"/>
    <s v="894924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19160"/>
    <x v="21"/>
    <x v="3"/>
    <s v="894924"/>
    <s v="JRNL00548288"/>
    <x v="34"/>
    <d v="2022-01-08T00:00:00"/>
    <s v="Yes"/>
  </r>
  <r>
    <s v="AP-ACCR"/>
    <s v="CF00"/>
    <s v="JRNL00543563"/>
    <s v="CF00-00000-1760-1860"/>
    <s v="CF00"/>
    <s v="00000"/>
    <s v="1760"/>
    <s v="1860"/>
    <s v=""/>
    <n v="2569.41"/>
    <x v="16"/>
    <x v="3"/>
    <s v="September Estimate"/>
    <s v="JRNL00543563"/>
    <x v="30"/>
    <d v="2021-10-06T00:00:00"/>
    <s v="Yes"/>
  </r>
  <r>
    <s v="AP-ACCR"/>
    <s v="FI00"/>
    <s v="JRNL00543599"/>
    <s v="FI00-00000-1760-1860"/>
    <s v="FI00"/>
    <s v="00000"/>
    <s v="1760"/>
    <s v="1860"/>
    <s v=""/>
    <n v="-49.62"/>
    <x v="16"/>
    <x v="3"/>
    <s v="September Estimate"/>
    <s v="JRNL00543390"/>
    <x v="31"/>
    <d v="2021-10-06T00:00:00"/>
    <s v="Yes"/>
  </r>
  <r>
    <s v="AP-ACCR"/>
    <s v="FT00"/>
    <s v="JRNL00543600"/>
    <s v="FT00-00000-1760-1860"/>
    <s v="FT00"/>
    <s v="00000"/>
    <s v="1760"/>
    <s v="1860"/>
    <s v=""/>
    <n v="-15.42"/>
    <x v="16"/>
    <x v="3"/>
    <s v="September Estimate"/>
    <s v="JRNL00543410"/>
    <x v="31"/>
    <d v="2021-10-06T00:00:00"/>
    <s v="Yes"/>
  </r>
  <r>
    <s v="AP-ACCR"/>
    <s v="CF00"/>
    <s v="JRNL00543608"/>
    <s v="CF00-00000-1760-1860"/>
    <s v="CF00"/>
    <s v="00000"/>
    <s v="1760"/>
    <s v="1860"/>
    <s v=""/>
    <n v="-2569.41"/>
    <x v="16"/>
    <x v="3"/>
    <s v="September Estimate"/>
    <s v="JRNL00543563"/>
    <x v="31"/>
    <d v="2021-10-06T00:00:00"/>
    <s v="Yes"/>
  </r>
  <r>
    <s v="AP-ACCR"/>
    <s v="FN00"/>
    <s v="JRNL00543647"/>
    <s v="FN00-00000-1760-1860"/>
    <s v="FN00"/>
    <s v="00000"/>
    <s v="1760"/>
    <s v="1860"/>
    <s v=""/>
    <n v="-280"/>
    <x v="28"/>
    <x v="3"/>
    <s v="00042"/>
    <s v="JRNL00543345"/>
    <x v="31"/>
    <d v="2021-10-08T00:00:00"/>
    <s v="Yes"/>
  </r>
  <r>
    <s v="AP-ACCR"/>
    <s v="CF00"/>
    <s v="JRNL00545145"/>
    <s v="CF00-00000-1760-1860"/>
    <s v="CF00"/>
    <s v="00000"/>
    <s v="1760"/>
    <s v="1860"/>
    <s v=""/>
    <n v="1552.73"/>
    <x v="16"/>
    <x v="3"/>
    <s v="October Estimate"/>
    <s v="JRNL00545145"/>
    <x v="31"/>
    <d v="2021-11-04T00:00:00"/>
    <s v="Yes"/>
  </r>
  <r>
    <s v="AP-ACCR"/>
    <s v="FT00"/>
    <s v="JRNL00545154"/>
    <s v="FT00-00000-1760-1860"/>
    <s v="FT00"/>
    <s v="00000"/>
    <s v="1760"/>
    <s v="1860"/>
    <s v=""/>
    <n v="9.33"/>
    <x v="16"/>
    <x v="3"/>
    <s v="October Estimate"/>
    <s v="JRNL00545154"/>
    <x v="31"/>
    <d v="2021-11-04T00:00:00"/>
    <s v="Yes"/>
  </r>
  <r>
    <s v="AP-ACCR"/>
    <s v="FI00"/>
    <s v="JRNL00545168"/>
    <s v="FI00-00000-1760-1860"/>
    <s v="FI00"/>
    <s v="00000"/>
    <s v="1760"/>
    <s v="1860"/>
    <s v=""/>
    <n v="29.99"/>
    <x v="16"/>
    <x v="3"/>
    <s v="October Estimate"/>
    <s v="JRNL00545168"/>
    <x v="31"/>
    <d v="2021-11-04T00:00:00"/>
    <s v="Yes"/>
  </r>
  <r>
    <s v="AP-ACCR"/>
    <s v="CF00"/>
    <s v="JRNL00545328"/>
    <s v="CF00-00000-1760-1860"/>
    <s v="CF00"/>
    <s v="00000"/>
    <s v="1760"/>
    <s v="1860"/>
    <s v=""/>
    <n v="-1552.73"/>
    <x v="16"/>
    <x v="3"/>
    <s v="October Estimate"/>
    <s v="JRNL00545145"/>
    <x v="32"/>
    <d v="2021-11-04T00:00:00"/>
    <s v="Yes"/>
  </r>
  <r>
    <s v="AP-ACCR"/>
    <s v="FT00"/>
    <s v="JRNL00545330"/>
    <s v="FT00-00000-1760-1860"/>
    <s v="FT00"/>
    <s v="00000"/>
    <s v="1760"/>
    <s v="1860"/>
    <s v=""/>
    <n v="-9.33"/>
    <x v="16"/>
    <x v="3"/>
    <s v="October Estimate"/>
    <s v="JRNL00545154"/>
    <x v="32"/>
    <d v="2021-11-04T00:00:00"/>
    <s v="Yes"/>
  </r>
  <r>
    <s v="AP-ACCR"/>
    <s v="FI00"/>
    <s v="JRNL00545331"/>
    <s v="FI00-00000-1760-1860"/>
    <s v="FI00"/>
    <s v="00000"/>
    <s v="1760"/>
    <s v="1860"/>
    <s v=""/>
    <n v="-29.99"/>
    <x v="16"/>
    <x v="3"/>
    <s v="October Estimate"/>
    <s v="JRNL00545168"/>
    <x v="32"/>
    <d v="2021-11-04T00:00:00"/>
    <s v="Yes"/>
  </r>
  <r>
    <s v="AP-ACCR"/>
    <s v="FI00"/>
    <s v="JRNL00546718"/>
    <s v="FI00-00000-1760-1860"/>
    <s v="FI00"/>
    <s v="00000"/>
    <s v="1760"/>
    <s v="1860"/>
    <s v=""/>
    <n v="10.7"/>
    <x v="16"/>
    <x v="3"/>
    <s v="November Estimate"/>
    <s v="JRNL00546718"/>
    <x v="32"/>
    <d v="2021-12-06T00:00:00"/>
    <s v="Yes"/>
  </r>
  <r>
    <s v="AP-ACCR"/>
    <s v="FT00"/>
    <s v="JRNL00546721"/>
    <s v="FT00-00000-1760-1860"/>
    <s v="FT00"/>
    <s v="00000"/>
    <s v="1760"/>
    <s v="1860"/>
    <s v=""/>
    <n v="3.34"/>
    <x v="16"/>
    <x v="3"/>
    <s v="November Estimate"/>
    <s v="JRNL00546721"/>
    <x v="32"/>
    <d v="2021-12-06T00:00:00"/>
    <s v="Yes"/>
  </r>
  <r>
    <s v="AP-ACCR"/>
    <s v="CF00"/>
    <s v="JRNL00546759"/>
    <s v="CF00-00000-1760-1860"/>
    <s v="CF00"/>
    <s v="00000"/>
    <s v="1760"/>
    <s v="1860"/>
    <s v=""/>
    <n v="554.55999999999995"/>
    <x v="16"/>
    <x v="3"/>
    <s v="November Estimate"/>
    <s v="JRNL00546759"/>
    <x v="32"/>
    <d v="2021-12-06T00:00:00"/>
    <s v="Yes"/>
  </r>
  <r>
    <s v="AP-ACCR"/>
    <s v="FI00"/>
    <s v="JRNL00546889"/>
    <s v="FI00-00000-1760-1860"/>
    <s v="FI00"/>
    <s v="00000"/>
    <s v="1760"/>
    <s v="1860"/>
    <s v=""/>
    <n v="-10.7"/>
    <x v="16"/>
    <x v="3"/>
    <s v="November Estimate"/>
    <s v="JRNL00546718"/>
    <x v="33"/>
    <d v="2021-12-06T00:00:00"/>
    <s v="Yes"/>
  </r>
  <r>
    <s v="AP-ACCR"/>
    <s v="FT00"/>
    <s v="JRNL00546890"/>
    <s v="FT00-00000-1760-1860"/>
    <s v="FT00"/>
    <s v="00000"/>
    <s v="1760"/>
    <s v="1860"/>
    <s v=""/>
    <n v="-3.34"/>
    <x v="16"/>
    <x v="3"/>
    <s v="November Estimate"/>
    <s v="JRNL00546721"/>
    <x v="33"/>
    <d v="2021-12-06T00:00:00"/>
    <s v="Yes"/>
  </r>
  <r>
    <s v="AP-ACCR"/>
    <s v="CF00"/>
    <s v="JRNL00546898"/>
    <s v="CF00-00000-1760-1860"/>
    <s v="CF00"/>
    <s v="00000"/>
    <s v="1760"/>
    <s v="1860"/>
    <s v=""/>
    <n v="-554.55999999999995"/>
    <x v="16"/>
    <x v="3"/>
    <s v="November Estimate"/>
    <s v="JRNL00546759"/>
    <x v="33"/>
    <d v="2021-12-06T00:00:00"/>
    <s v="Yes"/>
  </r>
  <r>
    <s v="SLCLR"/>
    <s v="CU00"/>
    <s v="JRNL00548746"/>
    <s v="FN00-00000-1760-1860"/>
    <s v="FN00"/>
    <s v="00000"/>
    <s v="1760"/>
    <s v="1860"/>
    <s v="FN0022RC"/>
    <n v="80759.240000000005"/>
    <x v="34"/>
    <x v="3"/>
    <s v=""/>
    <s v="JRNL00548746"/>
    <x v="33"/>
    <d v="2022-01-09T00:00:00"/>
    <s v="Yes"/>
  </r>
  <r>
    <s v="AP-ACCR"/>
    <s v="FN00"/>
    <s v="JRNL00541965"/>
    <s v="FN00-00000-1760-1860"/>
    <s v="FN00"/>
    <s v="00000"/>
    <s v="1760"/>
    <s v="1860"/>
    <s v=""/>
    <n v="264.39999999999998"/>
    <x v="35"/>
    <x v="3"/>
    <s v="677403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264.39999999999998"/>
    <x v="35"/>
    <x v="3"/>
    <s v="677403"/>
    <s v="JRNL00541965"/>
    <x v="30"/>
    <d v="2021-09-09T00:00:00"/>
    <s v="Yes"/>
  </r>
  <r>
    <s v="AP-ACCR"/>
    <s v="FN00"/>
    <s v="JRNL00545367"/>
    <s v="FN00-00000-1760-1860"/>
    <s v="FN00"/>
    <s v="00000"/>
    <s v="1760"/>
    <s v="1860"/>
    <s v=""/>
    <n v="195.75"/>
    <x v="36"/>
    <x v="3"/>
    <s v="12136469"/>
    <s v="JRNL00545367"/>
    <x v="31"/>
    <d v="2021-11-04T00:00:00"/>
    <s v="Yes"/>
  </r>
  <r>
    <s v="AP-ACCR"/>
    <s v="FN00"/>
    <s v="JRNL00545367"/>
    <s v="FN00-00000-1760-1860"/>
    <s v="FN00"/>
    <s v="00000"/>
    <s v="1760"/>
    <s v="1860"/>
    <s v=""/>
    <n v="401.86"/>
    <x v="35"/>
    <x v="3"/>
    <s v="684327"/>
    <s v="JRNL00545367"/>
    <x v="31"/>
    <d v="2021-11-04T00:00:00"/>
    <s v="Yes"/>
  </r>
  <r>
    <s v="AP-ACCR"/>
    <s v="FN00"/>
    <s v="JRNL00545367"/>
    <s v="FN00-00000-1760-1860"/>
    <s v="FN00"/>
    <s v="00000"/>
    <s v="1760"/>
    <s v="1860"/>
    <s v=""/>
    <n v="15440"/>
    <x v="5"/>
    <x v="3"/>
    <s v="883590"/>
    <s v="JRNL00545367"/>
    <x v="31"/>
    <d v="2021-11-04T00:00:00"/>
    <s v="Yes"/>
  </r>
  <r>
    <s v="AP-ACCR"/>
    <s v="FN00"/>
    <s v="JRNL00545449"/>
    <s v="FN00-00000-1760-1860"/>
    <s v="FN00"/>
    <s v="00000"/>
    <s v="1760"/>
    <s v="1860"/>
    <s v=""/>
    <n v="-195.75"/>
    <x v="36"/>
    <x v="3"/>
    <s v="12136469"/>
    <s v="JRNL00545367"/>
    <x v="32"/>
    <d v="2021-11-08T00:00:00"/>
    <s v="Yes"/>
  </r>
  <r>
    <s v="AP-ACCR"/>
    <s v="FN00"/>
    <s v="JRNL00545449"/>
    <s v="FN00-00000-1760-1860"/>
    <s v="FN00"/>
    <s v="00000"/>
    <s v="1760"/>
    <s v="1860"/>
    <s v=""/>
    <n v="-401.86"/>
    <x v="35"/>
    <x v="3"/>
    <s v="684327"/>
    <s v="JRNL00545367"/>
    <x v="32"/>
    <d v="2021-11-08T00:00:00"/>
    <s v="Yes"/>
  </r>
  <r>
    <s v="AP-ACCR"/>
    <s v="FN00"/>
    <s v="JRNL00545449"/>
    <s v="FN00-00000-1760-1860"/>
    <s v="FN00"/>
    <s v="00000"/>
    <s v="1760"/>
    <s v="1860"/>
    <s v=""/>
    <n v="-15440"/>
    <x v="5"/>
    <x v="3"/>
    <s v="883590"/>
    <s v="JRNL00545367"/>
    <x v="32"/>
    <d v="2021-11-08T00:00:00"/>
    <s v="Yes"/>
  </r>
  <r>
    <s v="AP-ACCR"/>
    <s v="FN00"/>
    <s v="JRNL00546710"/>
    <s v="FN00-00000-1760-1860"/>
    <s v="FN00"/>
    <s v="00000"/>
    <s v="1760"/>
    <s v="1860"/>
    <s v=""/>
    <n v="630.75"/>
    <x v="36"/>
    <x v="3"/>
    <s v="12174376"/>
    <s v="JRNL00546710"/>
    <x v="32"/>
    <d v="2021-12-03T00:00:00"/>
    <s v="Yes"/>
  </r>
  <r>
    <s v="AP-ACCR"/>
    <s v="FN00"/>
    <s v="JRNL00546710"/>
    <s v="FN00-00000-1760-1860"/>
    <s v="FN00"/>
    <s v="00000"/>
    <s v="1760"/>
    <s v="1860"/>
    <s v=""/>
    <n v="2810.73"/>
    <x v="35"/>
    <x v="3"/>
    <s v="688100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630.75"/>
    <x v="36"/>
    <x v="3"/>
    <s v="12174376"/>
    <s v="JRNL00546710"/>
    <x v="33"/>
    <d v="2021-12-20T00:00:00"/>
    <s v="Yes"/>
  </r>
  <r>
    <s v="AP-ACCR"/>
    <s v="FN00"/>
    <s v="JRNL00546753"/>
    <s v="FN00-00000-1760-1860"/>
    <s v="FN00"/>
    <s v="00000"/>
    <s v="1760"/>
    <s v="1860"/>
    <s v=""/>
    <n v="-2810.73"/>
    <x v="35"/>
    <x v="3"/>
    <s v="688100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391.5"/>
    <x v="36"/>
    <x v="3"/>
    <s v="12222011"/>
    <s v="JRNL00548288"/>
    <x v="33"/>
    <d v="2022-01-07T00:00:00"/>
    <s v="Yes"/>
  </r>
  <r>
    <s v="AP-ACCR"/>
    <s v="FN00"/>
    <s v="JRNL00548689"/>
    <s v="FN00-00000-1760-1860"/>
    <s v="FN00"/>
    <s v="00000"/>
    <s v="1760"/>
    <s v="1860"/>
    <s v=""/>
    <n v="-391.5"/>
    <x v="36"/>
    <x v="3"/>
    <s v="12222011"/>
    <s v="JRNL00548288"/>
    <x v="34"/>
    <d v="2022-01-08T00:00:00"/>
    <s v="Yes"/>
  </r>
  <r>
    <s v="AP-ACCR"/>
    <s v="FN00"/>
    <s v="JRNL00550459"/>
    <s v="FN00-00000-1760-1860"/>
    <s v="FN00"/>
    <s v="00000"/>
    <s v="1760"/>
    <s v="1860"/>
    <s v="FN0022RC"/>
    <n v="23720"/>
    <x v="5"/>
    <x v="3"/>
    <s v="900978"/>
    <s v="JRNL00550459"/>
    <x v="34"/>
    <m/>
    <s v="No"/>
  </r>
  <r>
    <s v="AP-ACCR"/>
    <s v="FN00"/>
    <s v="JRNL00550459"/>
    <s v="FN00-00000-1760-1860"/>
    <s v="FN00"/>
    <s v="00000"/>
    <s v="1760"/>
    <s v="1860"/>
    <s v="FN0022RC"/>
    <n v="17230"/>
    <x v="37"/>
    <x v="3"/>
    <s v="INV 0567-05"/>
    <s v="JRNL00550459"/>
    <x v="34"/>
    <m/>
    <s v="No"/>
  </r>
  <r>
    <s v="AP-ACCR"/>
    <s v="FN00"/>
    <s v="JRNL00538426"/>
    <s v="FN00-00000-1760-1860"/>
    <s v="FN00"/>
    <s v="00000"/>
    <s v="1760"/>
    <s v="1860"/>
    <s v=""/>
    <n v="3307.83"/>
    <x v="25"/>
    <x v="3"/>
    <s v="June Estimate"/>
    <s v="JRNL00538426"/>
    <x v="16"/>
    <d v="2021-07-06T00:00:00"/>
    <s v="Yes"/>
  </r>
  <r>
    <s v="AP-ACCR"/>
    <s v="FN00"/>
    <s v="JRNL00538494"/>
    <s v="FN00-00000-1760-1860"/>
    <s v="FN00"/>
    <s v="00000"/>
    <s v="1760"/>
    <s v="1860"/>
    <s v=""/>
    <n v="-3307.83"/>
    <x v="25"/>
    <x v="3"/>
    <s v="June Estimate"/>
    <s v="JRNL00538426"/>
    <x v="20"/>
    <d v="2021-07-06T00:00:00"/>
    <s v="Yes"/>
  </r>
  <r>
    <s v="AP-ACCR"/>
    <s v="FN00"/>
    <s v="JRNL00538669"/>
    <s v="FN00-00000-1760-1860"/>
    <s v="FN00"/>
    <s v="00000"/>
    <s v="1760"/>
    <s v="1860"/>
    <s v=""/>
    <n v="-3307.83"/>
    <x v="26"/>
    <x v="3"/>
    <s v="June Estimate"/>
    <s v="JRNL00538226"/>
    <x v="20"/>
    <d v="2021-07-08T00:00:00"/>
    <s v="Yes"/>
  </r>
  <r>
    <s v="AP-ACCR"/>
    <s v="FN00"/>
    <s v="JRNL00539983"/>
    <s v="FN00-00000-1760-1860"/>
    <s v="FN00"/>
    <s v="00000"/>
    <s v="1760"/>
    <s v="1860"/>
    <s v=""/>
    <n v="1727.77"/>
    <x v="38"/>
    <x v="3"/>
    <s v="868275"/>
    <s v="JRNL00539983"/>
    <x v="20"/>
    <d v="2021-08-05T00:00:00"/>
    <s v="Yes"/>
  </r>
  <r>
    <s v="AP-ACCR"/>
    <s v="FN00"/>
    <s v="JRNL00539983"/>
    <s v="FN00-00000-1760-1860"/>
    <s v="FN00"/>
    <s v="00000"/>
    <s v="1760"/>
    <s v="1860"/>
    <s v=""/>
    <n v="2284"/>
    <x v="39"/>
    <x v="3"/>
    <s v="July Estimate"/>
    <s v="JRNL00539983"/>
    <x v="20"/>
    <d v="2021-08-05T00:00:00"/>
    <s v="Yes"/>
  </r>
  <r>
    <s v="AP-ACCR"/>
    <s v="FN00"/>
    <s v="JRNL00540215"/>
    <s v="FN00-00000-1760-1860"/>
    <s v="FN00"/>
    <s v="00000"/>
    <s v="1760"/>
    <s v="1860"/>
    <s v=""/>
    <n v="-1727.77"/>
    <x v="38"/>
    <x v="3"/>
    <s v="868275"/>
    <s v="JRNL00539983"/>
    <x v="29"/>
    <d v="2021-08-08T00:00:00"/>
    <s v="Yes"/>
  </r>
  <r>
    <s v="AP-ACCR"/>
    <s v="FN00"/>
    <s v="JRNL00540215"/>
    <s v="FN00-00000-1760-1860"/>
    <s v="FN00"/>
    <s v="00000"/>
    <s v="1760"/>
    <s v="1860"/>
    <s v=""/>
    <n v="-2284"/>
    <x v="39"/>
    <x v="3"/>
    <s v="July Estimate"/>
    <s v="JRNL00539983"/>
    <x v="29"/>
    <d v="2021-08-08T00:00:00"/>
    <s v="Yes"/>
  </r>
  <r>
    <s v="AP-ACCR"/>
    <s v="FN00"/>
    <s v="JRNL00541965"/>
    <s v="FN00-00000-1760-1860"/>
    <s v="FN00"/>
    <s v="00000"/>
    <s v="1760"/>
    <s v="1860"/>
    <s v=""/>
    <n v="3662.28"/>
    <x v="26"/>
    <x v="3"/>
    <s v="August Estimate"/>
    <s v="JRNL00541965"/>
    <x v="29"/>
    <d v="2021-09-09T00:00:00"/>
    <s v="Yes"/>
  </r>
  <r>
    <s v="AP-ACCR"/>
    <s v="FN00"/>
    <s v="JRNL00542044"/>
    <s v="FN00-00000-1760-1860"/>
    <s v="FN00"/>
    <s v="00000"/>
    <s v="1760"/>
    <s v="1860"/>
    <s v=""/>
    <n v="-3662.28"/>
    <x v="26"/>
    <x v="3"/>
    <s v="August Estimate"/>
    <s v="JRNL00541965"/>
    <x v="30"/>
    <d v="2021-09-09T00:00:00"/>
    <s v="Yes"/>
  </r>
  <r>
    <s v="AP-ACCR"/>
    <s v="FN00"/>
    <s v="JRNL00546710"/>
    <s v="FN00-00000-1760-1860"/>
    <s v="FN00"/>
    <s v="00000"/>
    <s v="1760"/>
    <s v="1860"/>
    <s v=""/>
    <n v="1687.5"/>
    <x v="40"/>
    <x v="3"/>
    <s v="4441"/>
    <s v="JRNL00546710"/>
    <x v="32"/>
    <d v="2021-12-03T00:00:00"/>
    <s v="Yes"/>
  </r>
  <r>
    <s v="AP-ACCR"/>
    <s v="FN00"/>
    <s v="JRNL00546753"/>
    <s v="FN00-00000-1760-1860"/>
    <s v="FN00"/>
    <s v="00000"/>
    <s v="1760"/>
    <s v="1860"/>
    <s v=""/>
    <n v="-1687.5"/>
    <x v="40"/>
    <x v="3"/>
    <s v="4441"/>
    <s v="JRNL00546710"/>
    <x v="33"/>
    <d v="2021-12-20T00:00:00"/>
    <s v="Yes"/>
  </r>
  <r>
    <s v="AP-ACCR"/>
    <s v="FN00"/>
    <s v="JRNL00548288"/>
    <s v="FN00-00000-1760-1860"/>
    <s v="FN00"/>
    <s v="00000"/>
    <s v="1760"/>
    <s v="1860"/>
    <s v=""/>
    <n v="2174.79"/>
    <x v="24"/>
    <x v="3"/>
    <s v="498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2932.94"/>
    <x v="24"/>
    <x v="3"/>
    <s v="498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12000"/>
    <x v="41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2762.5"/>
    <x v="42"/>
    <x v="3"/>
    <s v="December Estimate"/>
    <s v="JRNL00548288"/>
    <x v="33"/>
    <d v="2022-01-07T00:00:00"/>
    <s v="Yes"/>
  </r>
  <r>
    <s v="AP-ACCR"/>
    <s v="FN00"/>
    <s v="JRNL00548288"/>
    <s v="FN00-00000-1760-1860"/>
    <s v="FN00"/>
    <s v="00000"/>
    <s v="1760"/>
    <s v="1860"/>
    <s v=""/>
    <n v="7718.75"/>
    <x v="43"/>
    <x v="3"/>
    <s v="0567-04"/>
    <s v="JRNL00548288"/>
    <x v="33"/>
    <d v="2022-01-07T00:00:00"/>
    <s v="Yes"/>
  </r>
  <r>
    <s v="AP-ACCR"/>
    <s v="FI00"/>
    <s v="JRNL00548340"/>
    <s v="FI00-00000-1760-1860"/>
    <s v="FI00"/>
    <s v="00000"/>
    <s v="1760"/>
    <s v="1860"/>
    <s v=""/>
    <n v="26.59"/>
    <x v="24"/>
    <x v="3"/>
    <s v="498"/>
    <s v="JRNL00548340"/>
    <x v="33"/>
    <d v="2022-01-07T00:00:00"/>
    <s v="Yes"/>
  </r>
  <r>
    <s v="AP-ACCR"/>
    <s v="FT00"/>
    <s v="JRNL00548358"/>
    <s v="FT00-00000-1760-1860"/>
    <s v="FT00"/>
    <s v="00000"/>
    <s v="1760"/>
    <s v="1860"/>
    <s v=""/>
    <n v="8.27"/>
    <x v="24"/>
    <x v="3"/>
    <s v="498"/>
    <s v="JRNL00548358"/>
    <x v="33"/>
    <d v="2022-01-07T00:00:00"/>
    <s v="Yes"/>
  </r>
  <r>
    <s v="AP-ACCR"/>
    <s v="CF00"/>
    <s v="JRNL00548397"/>
    <s v="CF00-00000-1760-1860"/>
    <s v="CF00"/>
    <s v="00000"/>
    <s v="1760"/>
    <s v="1860"/>
    <s v=""/>
    <n v="1376.75"/>
    <x v="24"/>
    <x v="3"/>
    <s v="498"/>
    <s v="JRNL00548397"/>
    <x v="33"/>
    <d v="2022-01-10T00:00:00"/>
    <s v="Yes"/>
  </r>
  <r>
    <s v="AP-ACCR"/>
    <s v="CF00"/>
    <s v="JRNL00548397"/>
    <s v="CF00-00000-1760-1860"/>
    <s v="CF00"/>
    <s v="00000"/>
    <s v="1760"/>
    <s v="1860"/>
    <s v=""/>
    <n v="1423.34"/>
    <x v="24"/>
    <x v="3"/>
    <s v="December Estimate"/>
    <s v="JRNL00548397"/>
    <x v="33"/>
    <d v="2022-01-10T00:00:00"/>
    <s v="Yes"/>
  </r>
  <r>
    <s v="AP-ACCR"/>
    <s v="FI00"/>
    <s v="JRNL00548602"/>
    <s v="FI00-00000-1760-1860"/>
    <s v="FI00"/>
    <s v="00000"/>
    <s v="1760"/>
    <s v="1860"/>
    <s v=""/>
    <n v="-26.59"/>
    <x v="24"/>
    <x v="3"/>
    <s v="498"/>
    <s v="JRNL00548340"/>
    <x v="34"/>
    <d v="2022-01-07T00:00:00"/>
    <s v="Yes"/>
  </r>
  <r>
    <s v="AP-ACCR"/>
    <s v="FT00"/>
    <s v="JRNL00548604"/>
    <s v="FT00-00000-1760-1860"/>
    <s v="FT00"/>
    <s v="00000"/>
    <s v="1760"/>
    <s v="1860"/>
    <s v=""/>
    <n v="-8.27"/>
    <x v="24"/>
    <x v="3"/>
    <s v="498"/>
    <s v="JRNL00548358"/>
    <x v="34"/>
    <d v="2022-01-07T00:00:00"/>
    <s v="Yes"/>
  </r>
  <r>
    <s v="AP-ACCR"/>
    <s v="FN00"/>
    <s v="JRNL00548689"/>
    <s v="FN00-00000-1760-1860"/>
    <s v="FN00"/>
    <s v="00000"/>
    <s v="1760"/>
    <s v="1860"/>
    <s v=""/>
    <n v="-2174.79"/>
    <x v="24"/>
    <x v="3"/>
    <s v="498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2932.94"/>
    <x v="24"/>
    <x v="3"/>
    <s v="498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12000"/>
    <x v="41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2762.5"/>
    <x v="42"/>
    <x v="3"/>
    <s v="December Estimate"/>
    <s v="JRNL00548288"/>
    <x v="34"/>
    <d v="2022-01-08T00:00:00"/>
    <s v="Yes"/>
  </r>
  <r>
    <s v="AP-ACCR"/>
    <s v="FN00"/>
    <s v="JRNL00548689"/>
    <s v="FN00-00000-1760-1860"/>
    <s v="FN00"/>
    <s v="00000"/>
    <s v="1760"/>
    <s v="1860"/>
    <s v=""/>
    <n v="-7718.75"/>
    <x v="43"/>
    <x v="3"/>
    <s v="0567-04"/>
    <s v="JRNL00548288"/>
    <x v="34"/>
    <d v="2022-01-08T00:00:00"/>
    <s v="Yes"/>
  </r>
  <r>
    <s v="AP-ACCR"/>
    <s v="CF00"/>
    <s v="JRNL00548755"/>
    <s v="CF00-00000-1760-1860"/>
    <s v="CF00"/>
    <s v="00000"/>
    <s v="1760"/>
    <s v="1860"/>
    <s v=""/>
    <n v="-1376.75"/>
    <x v="24"/>
    <x v="3"/>
    <s v="498"/>
    <s v="JRNL00548397"/>
    <x v="34"/>
    <d v="2022-01-10T00:00:00"/>
    <s v="Yes"/>
  </r>
  <r>
    <s v="AP-ACCR"/>
    <s v="CF00"/>
    <s v="JRNL00548755"/>
    <s v="CF00-00000-1760-1860"/>
    <s v="CF00"/>
    <s v="00000"/>
    <s v="1760"/>
    <s v="1860"/>
    <s v=""/>
    <n v="-1423.34"/>
    <x v="24"/>
    <x v="3"/>
    <s v="December Estimate"/>
    <s v="JRNL00548397"/>
    <x v="34"/>
    <d v="2022-01-10T00:00:00"/>
    <s v="Yes"/>
  </r>
  <r>
    <s v="AP-ACCR"/>
    <s v="FN00"/>
    <s v="JRNL00550459"/>
    <s v="FN00-00000-1760-1860"/>
    <s v="FN00"/>
    <s v="00000"/>
    <s v="1760"/>
    <s v="1860"/>
    <s v="FN0022RC"/>
    <n v="1012.5"/>
    <x v="44"/>
    <x v="3"/>
    <s v="4470"/>
    <s v="JRNL00550459"/>
    <x v="34"/>
    <m/>
    <s v="No"/>
  </r>
  <r>
    <s v="AP-ACCR"/>
    <s v="FN00"/>
    <s v="JRNL00550459"/>
    <s v="FN00-00000-1760-1860"/>
    <s v="FN00"/>
    <s v="00000"/>
    <s v="1760"/>
    <s v="1860"/>
    <s v="FN0022RC"/>
    <n v="3000"/>
    <x v="42"/>
    <x v="3"/>
    <s v="January Estimate"/>
    <s v="JRNL00550459"/>
    <x v="34"/>
    <m/>
    <s v="No"/>
  </r>
  <r>
    <s v="SYS-AP"/>
    <s v="FC00"/>
    <s v="JRNL00534826"/>
    <s v="CF00-00000-1760-1860"/>
    <s v="CF00"/>
    <s v="00000"/>
    <s v="1760"/>
    <s v="1860"/>
    <s v=""/>
    <n v="450.58"/>
    <x v="45"/>
    <x v="2"/>
    <s v="851527"/>
    <s v="VO852393"/>
    <x v="8"/>
    <d v="2021-05-04T00:00:00"/>
    <s v="Yes"/>
  </r>
  <r>
    <s v="SYS-AP"/>
    <s v="FC00"/>
    <s v="JRNL00534826"/>
    <s v="FI00-00000-1760-1860"/>
    <s v="FI00"/>
    <s v="00000"/>
    <s v="1760"/>
    <s v="1860"/>
    <s v=""/>
    <n v="8.69"/>
    <x v="45"/>
    <x v="2"/>
    <s v="851527"/>
    <s v="VO852393"/>
    <x v="8"/>
    <d v="2021-05-04T00:00:00"/>
    <s v="Yes"/>
  </r>
  <r>
    <s v="SYS-AP"/>
    <s v="FC00"/>
    <s v="JRNL00534826"/>
    <s v="FN00-00000-1760-1860"/>
    <s v="FN00"/>
    <s v="00000"/>
    <s v="1760"/>
    <s v="1860"/>
    <s v=""/>
    <n v="959.87"/>
    <x v="45"/>
    <x v="2"/>
    <s v="851527"/>
    <s v="VO852393"/>
    <x v="8"/>
    <d v="2021-05-04T00:00:00"/>
    <s v="Yes"/>
  </r>
  <r>
    <s v="SYS-AP"/>
    <s v="FC00"/>
    <s v="JRNL00548613"/>
    <s v="FN00-00000-1760-1860"/>
    <s v="FN00"/>
    <s v="00000"/>
    <s v="1760"/>
    <s v="1860"/>
    <s v=""/>
    <n v="19160"/>
    <x v="46"/>
    <x v="2"/>
    <s v="894924"/>
    <s v="VO897402"/>
    <x v="35"/>
    <d v="2022-01-07T00:00:00"/>
    <s v="Yes"/>
  </r>
  <r>
    <s v="SYS-AP"/>
    <s v="FC00"/>
    <s v="JRNL00550046"/>
    <s v="FN00-00000-1760-1860"/>
    <s v="FN00"/>
    <s v="00000"/>
    <s v="1760"/>
    <s v="1860"/>
    <s v="FN0022RC"/>
    <n v="23720"/>
    <x v="46"/>
    <x v="2"/>
    <s v="900978"/>
    <s v="VO903341"/>
    <x v="36"/>
    <d v="2022-02-03T00:00:00"/>
    <s v="Yes"/>
  </r>
  <r>
    <s v="SYS-AP"/>
    <s v="FC00"/>
    <s v="JRNL00543872"/>
    <s v="FI00-00000-1760-1860"/>
    <s v="FI00"/>
    <s v="00000"/>
    <s v="1760"/>
    <s v="1860"/>
    <s v=""/>
    <n v="32.44"/>
    <x v="3"/>
    <x v="0"/>
    <s v="491"/>
    <s v="VO880339"/>
    <x v="28"/>
    <d v="2021-10-08T00:00:00"/>
    <s v="Yes"/>
  </r>
  <r>
    <s v="SYS-AP"/>
    <s v="FC00"/>
    <s v="JRNL00543872"/>
    <s v="FN00-00000-1760-1860"/>
    <s v="FN00"/>
    <s v="00000"/>
    <s v="1760"/>
    <s v="1860"/>
    <s v=""/>
    <n v="3578.17"/>
    <x v="3"/>
    <x v="0"/>
    <s v="491"/>
    <s v="VO880339"/>
    <x v="28"/>
    <d v="2021-10-08T00:00:00"/>
    <s v="Yes"/>
  </r>
  <r>
    <s v="SYS-AP"/>
    <s v="FC00"/>
    <s v="JRNL00543872"/>
    <s v="FT00-00000-1760-1860"/>
    <s v="FT00"/>
    <s v="00000"/>
    <s v="1760"/>
    <s v="1860"/>
    <s v=""/>
    <n v="10.09"/>
    <x v="3"/>
    <x v="0"/>
    <s v="491"/>
    <s v="VO880339"/>
    <x v="28"/>
    <d v="2021-10-08T00:00:00"/>
    <s v="Yes"/>
  </r>
  <r>
    <s v="SYS-AP"/>
    <s v="FC00"/>
    <s v="JRNL00545009"/>
    <s v="FN00-00000-1760-1860"/>
    <s v="FN00"/>
    <s v="00000"/>
    <s v="1760"/>
    <s v="1860"/>
    <s v=""/>
    <n v="15440"/>
    <x v="20"/>
    <x v="2"/>
    <s v="883590"/>
    <s v="VO884760"/>
    <x v="37"/>
    <d v="2021-11-02T00:00:00"/>
    <s v="Yes"/>
  </r>
  <r>
    <s v="SYS-AP"/>
    <s v="FC00"/>
    <s v="JRNL00545815"/>
    <s v="CF00-00000-1760-1860"/>
    <s v="CF00"/>
    <s v="00000"/>
    <s v="1760"/>
    <s v="1860"/>
    <s v=""/>
    <n v="598.89"/>
    <x v="3"/>
    <x v="0"/>
    <s v="495"/>
    <s v="VO885865"/>
    <x v="38"/>
    <d v="2021-11-10T00:00:00"/>
    <s v="Yes"/>
  </r>
  <r>
    <s v="SYS-AP"/>
    <s v="FC00"/>
    <s v="JRNL00545815"/>
    <s v="FI00-00000-1760-1860"/>
    <s v="FI00"/>
    <s v="00000"/>
    <s v="1760"/>
    <s v="1860"/>
    <s v=""/>
    <n v="11.57"/>
    <x v="3"/>
    <x v="0"/>
    <s v="495"/>
    <s v="VO885865"/>
    <x v="38"/>
    <d v="2021-11-10T00:00:00"/>
    <s v="Yes"/>
  </r>
  <r>
    <s v="SYS-AP"/>
    <s v="FC00"/>
    <s v="JRNL00545815"/>
    <s v="FN00-00000-1760-1860"/>
    <s v="FN00"/>
    <s v="00000"/>
    <s v="1760"/>
    <s v="1860"/>
    <s v=""/>
    <n v="1365.19"/>
    <x v="3"/>
    <x v="0"/>
    <s v="495"/>
    <s v="VO885865"/>
    <x v="38"/>
    <d v="2021-11-10T00:00:00"/>
    <s v="Yes"/>
  </r>
  <r>
    <s v="SYS-AP"/>
    <s v="FC00"/>
    <s v="JRNL00545815"/>
    <s v="FT00-00000-1760-1860"/>
    <s v="FT00"/>
    <s v="00000"/>
    <s v="1760"/>
    <s v="1860"/>
    <s v=""/>
    <n v="3.6"/>
    <x v="3"/>
    <x v="0"/>
    <s v="495"/>
    <s v="VO885865"/>
    <x v="38"/>
    <d v="2021-11-10T00:00:00"/>
    <s v="Yes"/>
  </r>
  <r>
    <s v="SYS-AP"/>
    <s v="FC00"/>
    <s v="JRNL00547050"/>
    <s v="FN00-00000-1760-1860"/>
    <s v="FN00"/>
    <s v="00000"/>
    <s v="1760"/>
    <s v="1860"/>
    <s v=""/>
    <n v="15320"/>
    <x v="20"/>
    <x v="2"/>
    <s v="888863"/>
    <s v="VO891329"/>
    <x v="39"/>
    <d v="2021-12-07T00:00:00"/>
    <s v="Yes"/>
  </r>
  <r>
    <s v="SYS-AP"/>
    <s v="FC00"/>
    <s v="JRNL00547401"/>
    <s v="FN00-00000-1760-1860"/>
    <s v="FN00"/>
    <s v="00000"/>
    <s v="1760"/>
    <s v="1860"/>
    <s v=""/>
    <n v="630.75"/>
    <x v="47"/>
    <x v="4"/>
    <s v="12174376"/>
    <s v="VO892085"/>
    <x v="40"/>
    <d v="2021-12-10T00:00:00"/>
    <s v="Yes"/>
  </r>
  <r>
    <s v="SYS-AP"/>
    <s v="FC00"/>
    <s v="JRNL00548095"/>
    <s v="CF00-00000-1760-1860"/>
    <s v="CF00"/>
    <s v="00000"/>
    <s v="1760"/>
    <s v="1860"/>
    <s v=""/>
    <n v="1376.75"/>
    <x v="3"/>
    <x v="0"/>
    <s v="498"/>
    <s v="VO896372"/>
    <x v="41"/>
    <d v="2022-01-04T00:00:00"/>
    <s v="Yes"/>
  </r>
  <r>
    <s v="SYS-AP"/>
    <s v="FC00"/>
    <s v="JRNL00548095"/>
    <s v="FI00-00000-1760-1860"/>
    <s v="FI00"/>
    <s v="00000"/>
    <s v="1760"/>
    <s v="1860"/>
    <s v=""/>
    <n v="26.59"/>
    <x v="3"/>
    <x v="0"/>
    <s v="498"/>
    <s v="VO896372"/>
    <x v="41"/>
    <d v="2022-01-04T00:00:00"/>
    <s v="Yes"/>
  </r>
  <r>
    <s v="SYS-AP"/>
    <s v="FC00"/>
    <s v="JRNL00548095"/>
    <s v="FN00-00000-1760-1860"/>
    <s v="FN00"/>
    <s v="00000"/>
    <s v="1760"/>
    <s v="1860"/>
    <s v=""/>
    <n v="2174.79"/>
    <x v="48"/>
    <x v="0"/>
    <s v="498"/>
    <s v="VO896372"/>
    <x v="41"/>
    <d v="2022-01-04T00:00:00"/>
    <s v="Yes"/>
  </r>
  <r>
    <s v="AP-ACCR"/>
    <s v="CF00"/>
    <s v="JRNL00550321"/>
    <s v="CF00-00000-1760-1860"/>
    <s v="CF00"/>
    <s v="00000"/>
    <s v="1760"/>
    <s v="1860"/>
    <s v=""/>
    <n v="865.23"/>
    <x v="49"/>
    <x v="3"/>
    <s v="January Estimate"/>
    <s v="JRNL00550321"/>
    <x v="34"/>
    <d v="2022-02-09T00:00:00"/>
    <s v="Yes"/>
  </r>
  <r>
    <s v="AP-ACCR"/>
    <s v="FI00"/>
    <s v="JRNL00550330"/>
    <s v="FI00-00000-1760-1860"/>
    <s v="FI00"/>
    <s v="00000"/>
    <s v="1760"/>
    <s v="1860"/>
    <s v=""/>
    <n v="16.690000000000001"/>
    <x v="6"/>
    <x v="3"/>
    <s v="January Estimate"/>
    <s v="JRNL00550330"/>
    <x v="34"/>
    <d v="2022-02-09T00:00:00"/>
    <s v="Yes"/>
  </r>
  <r>
    <s v="AP-ACCR"/>
    <s v="FN00"/>
    <s v="JRNL00550459"/>
    <s v="FN00-00000-1760-1860"/>
    <s v="FN00"/>
    <s v="00000"/>
    <s v="1760"/>
    <s v="1860"/>
    <s v=""/>
    <n v="4996.1899999999996"/>
    <x v="30"/>
    <x v="3"/>
    <s v="January Estimate"/>
    <s v="JRNL00550459"/>
    <x v="34"/>
    <m/>
    <s v="No"/>
  </r>
  <r>
    <s v="AP-ACCR"/>
    <s v="CF00"/>
    <s v="JRNL00550527"/>
    <s v="CF00-00000-1760-1860"/>
    <s v="CF00"/>
    <s v="00000"/>
    <s v="1760"/>
    <s v="1860"/>
    <s v=""/>
    <n v="-865.23"/>
    <x v="49"/>
    <x v="3"/>
    <s v="January Estimate"/>
    <s v="JRNL00550321"/>
    <x v="42"/>
    <d v="2022-02-09T00:00:00"/>
    <s v="Yes"/>
  </r>
  <r>
    <s v="AP-ACCR"/>
    <s v="FI00"/>
    <s v="JRNL00550528"/>
    <s v="FI00-00000-1760-1860"/>
    <s v="FI00"/>
    <s v="00000"/>
    <s v="1760"/>
    <s v="1860"/>
    <s v=""/>
    <n v="-16.690000000000001"/>
    <x v="6"/>
    <x v="3"/>
    <s v="January Estimate"/>
    <s v="JRNL00550330"/>
    <x v="42"/>
    <d v="2022-02-09T00:00:00"/>
    <s v="Yes"/>
  </r>
  <r>
    <s v="AP-ACCR"/>
    <s v="CF00"/>
    <s v="JRNL00540146"/>
    <s v="CF00-00000-1760-1860"/>
    <s v="CF00"/>
    <s v="00000"/>
    <s v="1760"/>
    <s v="1860"/>
    <s v=""/>
    <n v="-811.05"/>
    <x v="12"/>
    <x v="3"/>
    <s v="868275"/>
    <s v="JRNL00540018"/>
    <x v="29"/>
    <d v="2021-08-05T00:00:00"/>
    <s v="Yes"/>
  </r>
  <r>
    <s v="AP-ACCR"/>
    <s v="FT00"/>
    <s v="JRNL00540201"/>
    <s v="FT00-00000-1760-1860"/>
    <s v="FT00"/>
    <s v="00000"/>
    <s v="1760"/>
    <s v="1860"/>
    <s v=""/>
    <n v="-4.88"/>
    <x v="12"/>
    <x v="3"/>
    <s v="868275"/>
    <s v="JRNL00540013"/>
    <x v="29"/>
    <d v="2021-08-05T00:00:00"/>
    <s v="Yes"/>
  </r>
  <r>
    <s v="AP-ACCR"/>
    <s v="FI00"/>
    <s v="JRNL00540314"/>
    <s v="FI00-00000-1760-1860"/>
    <s v="FI00"/>
    <s v="00000"/>
    <s v="1760"/>
    <s v="1860"/>
    <s v=""/>
    <n v="-15.65"/>
    <x v="12"/>
    <x v="3"/>
    <s v="868275"/>
    <s v="JRNL00540009"/>
    <x v="29"/>
    <d v="2021-08-05T00:00:00"/>
    <s v="Yes"/>
  </r>
  <r>
    <s v="AP-ACCR"/>
    <s v="CF00"/>
    <s v="JRNL00541704"/>
    <s v="CF00-00000-1760-1860"/>
    <s v="CF00"/>
    <s v="00000"/>
    <s v="1760"/>
    <s v="1860"/>
    <s v=""/>
    <n v="1719.14"/>
    <x v="50"/>
    <x v="3"/>
    <s v="August Estimate"/>
    <s v="JRNL00541704"/>
    <x v="29"/>
    <d v="2021-09-08T00:00:00"/>
    <s v="Yes"/>
  </r>
  <r>
    <s v="AP-ACCR"/>
    <s v="CF00"/>
    <s v="JRNL00541924"/>
    <s v="CF00-00000-1760-1860"/>
    <s v="CF00"/>
    <s v="00000"/>
    <s v="1760"/>
    <s v="1860"/>
    <s v=""/>
    <n v="-1719.14"/>
    <x v="50"/>
    <x v="3"/>
    <s v="August Estimate"/>
    <s v="JRNL00541704"/>
    <x v="30"/>
    <d v="2021-09-08T00:00:00"/>
    <s v="Yes"/>
  </r>
  <r>
    <s v="AP-ACCR"/>
    <s v="FT00"/>
    <s v="JRNL00550327"/>
    <s v="FT00-00000-1760-1860"/>
    <s v="FT00"/>
    <s v="00000"/>
    <s v="1760"/>
    <s v="1860"/>
    <s v=""/>
    <n v="5.21"/>
    <x v="51"/>
    <x v="3"/>
    <s v="January Estimate"/>
    <s v="JRNL00550327"/>
    <x v="34"/>
    <d v="2022-02-09T00:00:00"/>
    <s v="Yes"/>
  </r>
  <r>
    <s v="AP-ACCR"/>
    <s v="FT00"/>
    <s v="JRNL00550531"/>
    <s v="FT00-00000-1760-1860"/>
    <s v="FT00"/>
    <s v="00000"/>
    <s v="1760"/>
    <s v="1860"/>
    <s v=""/>
    <n v="-5.21"/>
    <x v="51"/>
    <x v="3"/>
    <s v="January Estimate"/>
    <s v="JRNL00550327"/>
    <x v="42"/>
    <d v="2022-02-09T00:00:00"/>
    <s v="Yes"/>
  </r>
  <r>
    <s v="SYS-AP"/>
    <s v="FC00"/>
    <s v="JRNL00548095"/>
    <s v="FN00-00000-1760-1860"/>
    <s v="FN00"/>
    <s v="00000"/>
    <s v="1760"/>
    <s v="1860"/>
    <s v=""/>
    <n v="2932.94"/>
    <x v="3"/>
    <x v="0"/>
    <s v="498"/>
    <s v="VO896372"/>
    <x v="41"/>
    <d v="2022-01-04T00:00:00"/>
    <s v="Yes"/>
  </r>
  <r>
    <s v="SYS-AP"/>
    <s v="FC00"/>
    <s v="JRNL00548095"/>
    <s v="FT00-00000-1760-1860"/>
    <s v="FT00"/>
    <s v="00000"/>
    <s v="1760"/>
    <s v="1860"/>
    <s v=""/>
    <n v="8.27"/>
    <x v="3"/>
    <x v="0"/>
    <s v="498"/>
    <s v="VO896372"/>
    <x v="41"/>
    <d v="2022-01-04T00:00:00"/>
    <s v="Yes"/>
  </r>
  <r>
    <s v="SYS-AP"/>
    <s v="FC00"/>
    <s v="JRNL00549390"/>
    <s v="CF00-00000-1760-1860"/>
    <s v="CF00"/>
    <s v="00000"/>
    <s v="1760"/>
    <s v="1860"/>
    <s v=""/>
    <n v="735.18"/>
    <x v="3"/>
    <x v="0"/>
    <s v="501"/>
    <s v="VO899630"/>
    <x v="43"/>
    <d v="2022-01-20T00:00:00"/>
    <s v="Yes"/>
  </r>
  <r>
    <s v="SYS-AP"/>
    <s v="FC00"/>
    <s v="JRNL00549390"/>
    <s v="FI00-00000-1760-1860"/>
    <s v="FI00"/>
    <s v="00000"/>
    <s v="1760"/>
    <s v="1860"/>
    <s v=""/>
    <n v="14.2"/>
    <x v="3"/>
    <x v="0"/>
    <s v="501"/>
    <s v="VO899630"/>
    <x v="43"/>
    <d v="2022-01-20T00:00:00"/>
    <s v="Yes"/>
  </r>
  <r>
    <s v="SYS-AP"/>
    <s v="FC00"/>
    <s v="JRNL00549390"/>
    <s v="FN00-00000-1760-1860"/>
    <s v="FN00"/>
    <s v="00000"/>
    <s v="1760"/>
    <s v="1860"/>
    <s v=""/>
    <n v="1566.18"/>
    <x v="3"/>
    <x v="0"/>
    <s v="501"/>
    <s v="VO899630"/>
    <x v="43"/>
    <d v="2022-01-20T00:00:00"/>
    <s v="Yes"/>
  </r>
  <r>
    <s v="SYS-AP"/>
    <s v="FC00"/>
    <s v="JRNL00549390"/>
    <s v="FN00-00000-1760-1860"/>
    <s v="FN00"/>
    <s v="00000"/>
    <s v="1760"/>
    <s v="1860"/>
    <s v=""/>
    <n v="4245.33"/>
    <x v="46"/>
    <x v="0"/>
    <s v="501"/>
    <s v="VO899630"/>
    <x v="43"/>
    <d v="2022-01-20T00:00:00"/>
    <s v="Yes"/>
  </r>
  <r>
    <s v="SYS-AP"/>
    <s v="FC00"/>
    <s v="JRNL00549390"/>
    <s v="FT00-00000-1760-1860"/>
    <s v="FT00"/>
    <s v="00000"/>
    <s v="1760"/>
    <s v="1860"/>
    <s v=""/>
    <n v="4.41"/>
    <x v="3"/>
    <x v="0"/>
    <s v="501"/>
    <s v="VO899630"/>
    <x v="43"/>
    <d v="2022-01-20T00:00:00"/>
    <s v="Yes"/>
  </r>
  <r>
    <s v="SYS-AP"/>
    <s v="FC00"/>
    <s v="JRNL00550046"/>
    <s v="FN00-00000-1760-1860"/>
    <s v="FN00"/>
    <s v="00000"/>
    <s v="1760"/>
    <s v="1860"/>
    <s v="FN0022RC"/>
    <n v="5312.5"/>
    <x v="46"/>
    <x v="5"/>
    <s v="901070"/>
    <s v="VO903338"/>
    <x v="36"/>
    <d v="2022-02-03T00:00:00"/>
    <s v="Yes"/>
  </r>
  <r>
    <s v="SYS-AP"/>
    <s v="FC00"/>
    <s v="JRNL00550046"/>
    <s v="FN00-00000-1760-1860"/>
    <s v="FN00"/>
    <s v="00000"/>
    <s v="1760"/>
    <s v="1860"/>
    <s v="FN0022RC"/>
    <n v="1012.5"/>
    <x v="46"/>
    <x v="6"/>
    <s v="4470"/>
    <s v="VO903340"/>
    <x v="36"/>
    <d v="2022-02-03T00:00:00"/>
    <s v="Yes"/>
  </r>
  <r>
    <s v="SYS-AP"/>
    <s v="FC00"/>
    <s v="JRNL00530461"/>
    <s v="CF00-00000-1760-1860"/>
    <s v="CF00"/>
    <s v="00000"/>
    <s v="1760"/>
    <s v="1860"/>
    <s v=""/>
    <n v="612.24"/>
    <x v="52"/>
    <x v="0"/>
    <s v="465"/>
    <s v="VO836651"/>
    <x v="1"/>
    <d v="2021-02-22T00:00:00"/>
    <s v="Yes"/>
  </r>
  <r>
    <s v="SYS-AP"/>
    <s v="FC00"/>
    <s v="JRNL00530461"/>
    <s v="FN00-00000-1760-1860"/>
    <s v="FN00"/>
    <s v="00000"/>
    <s v="1760"/>
    <s v="1860"/>
    <s v=""/>
    <n v="612.24"/>
    <x v="52"/>
    <x v="0"/>
    <s v="465"/>
    <s v="VO836651"/>
    <x v="1"/>
    <d v="2021-02-22T00:00:00"/>
    <s v="Yes"/>
  </r>
  <r>
    <s v="SYS-AP"/>
    <s v="FC00"/>
    <s v="JRNL00544077"/>
    <s v="FN00-00000-1760-1860"/>
    <s v="FN00"/>
    <s v="00000"/>
    <s v="1760"/>
    <s v="1860"/>
    <s v=""/>
    <n v="16531.25"/>
    <x v="53"/>
    <x v="1"/>
    <s v="INV 0567-01"/>
    <s v="VO880629"/>
    <x v="44"/>
    <d v="2021-10-12T00:00:00"/>
    <s v="Yes"/>
  </r>
  <r>
    <s v="SYS-AP"/>
    <s v="FC00"/>
    <s v="JRNL00545905"/>
    <s v="FN00-00000-1760-1860"/>
    <s v="FN00"/>
    <s v="00000"/>
    <s v="1760"/>
    <s v="1860"/>
    <s v=""/>
    <n v="195.75"/>
    <x v="54"/>
    <x v="4"/>
    <s v="12136469"/>
    <s v="VO886711"/>
    <x v="45"/>
    <d v="2021-11-12T00:00:00"/>
    <s v="Yes"/>
  </r>
  <r>
    <s v="SYS-AP"/>
    <s v="FC00"/>
    <s v="JRNL00545980"/>
    <s v="FN00-00000-1760-1860"/>
    <s v="FN00"/>
    <s v="00000"/>
    <s v="1760"/>
    <s v="1860"/>
    <s v=""/>
    <n v="7640"/>
    <x v="53"/>
    <x v="1"/>
    <s v="INV 0567-02"/>
    <s v="VO887387"/>
    <x v="46"/>
    <d v="2021-11-16T00:00:00"/>
    <s v="Yes"/>
  </r>
  <r>
    <s v="SYS-AP"/>
    <s v="FC00"/>
    <s v="JRNL00547401"/>
    <s v="FN00-00000-1760-1860"/>
    <s v="FN00"/>
    <s v="00000"/>
    <s v="1760"/>
    <s v="1860"/>
    <s v=""/>
    <n v="1687.5"/>
    <x v="55"/>
    <x v="6"/>
    <s v="4441"/>
    <s v="VO892126"/>
    <x v="40"/>
    <d v="2021-12-10T00:00:00"/>
    <s v="Yes"/>
  </r>
  <r>
    <s v="SYS-AP"/>
    <s v="FC00"/>
    <s v="JRNL00547647"/>
    <s v="FN00-00000-1760-1860"/>
    <s v="FN00"/>
    <s v="00000"/>
    <s v="1760"/>
    <s v="1860"/>
    <s v=""/>
    <n v="20798.75"/>
    <x v="53"/>
    <x v="1"/>
    <s v="INV 0567-03"/>
    <s v="VO894156"/>
    <x v="47"/>
    <d v="2021-12-21T00:00:00"/>
    <s v="Yes"/>
  </r>
  <r>
    <s v="SYS-AP"/>
    <s v="FC00"/>
    <s v="JRNL00547871"/>
    <s v="FN00-00000-1760-1860"/>
    <s v="FN00"/>
    <s v="00000"/>
    <s v="1760"/>
    <s v="1860"/>
    <s v=""/>
    <n v="506.25"/>
    <x v="55"/>
    <x v="6"/>
    <s v="4455"/>
    <s v="VO895781"/>
    <x v="48"/>
    <d v="2021-12-30T00:00:00"/>
    <s v="Yes"/>
  </r>
  <r>
    <s v="SYS-AP"/>
    <s v="FC00"/>
    <s v="JRNL00547871"/>
    <s v="FN00-00000-1760-1860"/>
    <s v="FN00"/>
    <s v="00000"/>
    <s v="1760"/>
    <s v="1860"/>
    <s v=""/>
    <n v="1151.32"/>
    <x v="56"/>
    <x v="7"/>
    <s v="691781"/>
    <s v="VO895834"/>
    <x v="48"/>
    <d v="2021-12-30T00:00:00"/>
    <s v="Yes"/>
  </r>
  <r>
    <s v="SYS-AP"/>
    <s v="FC00"/>
    <s v="JRNL00549775"/>
    <s v="FN00-00000-1760-1860"/>
    <s v="FN00"/>
    <s v="00000"/>
    <s v="1760"/>
    <s v="1860"/>
    <s v="FN0022RC"/>
    <n v="785.54"/>
    <x v="56"/>
    <x v="7"/>
    <s v="693946"/>
    <s v="VO901994"/>
    <x v="49"/>
    <d v="2022-01-29T00:00:00"/>
    <s v="Yes"/>
  </r>
  <r>
    <s v="SYS-AP"/>
    <s v="FC00"/>
    <s v="JRNL00532673"/>
    <s v="CF00-00000-1760-1860"/>
    <s v="CF00"/>
    <s v="00000"/>
    <s v="1760"/>
    <s v="1860"/>
    <s v=""/>
    <n v="3644"/>
    <x v="57"/>
    <x v="1"/>
    <s v="INV0550-02"/>
    <s v="VO845461"/>
    <x v="13"/>
    <d v="2021-03-31T00:00:00"/>
    <s v="Yes"/>
  </r>
  <r>
    <s v="SYS-AP"/>
    <s v="FC00"/>
    <s v="JRNL00532673"/>
    <s v="FE00-00000-1760-1860"/>
    <s v="FE00"/>
    <s v="00000"/>
    <s v="1760"/>
    <s v="1860"/>
    <s v=""/>
    <n v="3215"/>
    <x v="57"/>
    <x v="1"/>
    <s v="INV0550-02"/>
    <s v="VO845461"/>
    <x v="13"/>
    <d v="2021-03-31T00:00:00"/>
    <s v="Yes"/>
  </r>
  <r>
    <s v="SYS-AP"/>
    <s v="FC00"/>
    <s v="JRNL00532673"/>
    <s v="FI00-00000-1760-1860"/>
    <s v="FI00"/>
    <s v="00000"/>
    <s v="1760"/>
    <s v="1860"/>
    <s v=""/>
    <n v="71"/>
    <x v="57"/>
    <x v="1"/>
    <s v="INV0550-02"/>
    <s v="VO845461"/>
    <x v="13"/>
    <d v="2021-03-31T00:00:00"/>
    <s v="Yes"/>
  </r>
  <r>
    <s v="SYS-AP"/>
    <s v="FC00"/>
    <s v="JRNL00532673"/>
    <s v="FN00-00000-1760-1860"/>
    <s v="FN00"/>
    <s v="00000"/>
    <s v="1760"/>
    <s v="1860"/>
    <s v=""/>
    <n v="7764"/>
    <x v="57"/>
    <x v="1"/>
    <s v="INV0550-02"/>
    <s v="VO845461"/>
    <x v="13"/>
    <d v="2021-03-31T00:00:00"/>
    <s v="Yes"/>
  </r>
  <r>
    <s v="SYS-AP"/>
    <s v="FC00"/>
    <s v="JRNL00532673"/>
    <s v="FT00-00000-1760-1860"/>
    <s v="FT00"/>
    <s v="00000"/>
    <s v="1760"/>
    <s v="1860"/>
    <s v=""/>
    <n v="23"/>
    <x v="57"/>
    <x v="1"/>
    <s v="INV0550-02"/>
    <s v="VO845461"/>
    <x v="13"/>
    <d v="2021-03-31T00:00:00"/>
    <s v="Yes"/>
  </r>
  <r>
    <s v="SYS-AP"/>
    <s v="FC00"/>
    <s v="JRNL00533895"/>
    <s v="CF00-00000-1760-1860"/>
    <s v="CF00"/>
    <s v="00000"/>
    <s v="1760"/>
    <s v="1860"/>
    <s v=""/>
    <n v="395.5"/>
    <x v="57"/>
    <x v="1"/>
    <s v="INV 0550-03"/>
    <s v="VO847541"/>
    <x v="7"/>
    <d v="2021-04-13T00:00:00"/>
    <s v="Yes"/>
  </r>
  <r>
    <s v="SYS-AP"/>
    <s v="FC00"/>
    <s v="JRNL00533895"/>
    <s v="FE00-00000-1760-1860"/>
    <s v="FE00"/>
    <s v="00000"/>
    <s v="1760"/>
    <s v="1860"/>
    <s v=""/>
    <n v="348.96"/>
    <x v="57"/>
    <x v="1"/>
    <s v="INV 0550-03"/>
    <s v="VO847541"/>
    <x v="7"/>
    <d v="2021-04-13T00:00:00"/>
    <s v="Yes"/>
  </r>
  <r>
    <s v="SYS-AP"/>
    <s v="FC00"/>
    <s v="JRNL00533895"/>
    <s v="FI00-00000-1760-1860"/>
    <s v="FI00"/>
    <s v="00000"/>
    <s v="1760"/>
    <s v="1860"/>
    <s v=""/>
    <n v="7.72"/>
    <x v="57"/>
    <x v="1"/>
    <s v="INV 0550-03"/>
    <s v="VO847541"/>
    <x v="7"/>
    <d v="2021-04-13T00:00:00"/>
    <s v="Yes"/>
  </r>
  <r>
    <s v="SYS-AP"/>
    <s v="FC00"/>
    <s v="JRNL00533895"/>
    <s v="FN00-00000-1760-1860"/>
    <s v="FN00"/>
    <s v="00000"/>
    <s v="1760"/>
    <s v="1860"/>
    <s v=""/>
    <n v="842.77"/>
    <x v="57"/>
    <x v="1"/>
    <s v="INV 0550-03"/>
    <s v="VO847541"/>
    <x v="7"/>
    <d v="2021-04-13T00:00:00"/>
    <s v="Yes"/>
  </r>
  <r>
    <s v="SYS-AP"/>
    <s v="FC00"/>
    <s v="JRNL00533895"/>
    <s v="FT00-00000-1760-1860"/>
    <s v="FT00"/>
    <s v="00000"/>
    <s v="1760"/>
    <s v="1860"/>
    <s v=""/>
    <n v="2.4900000000000002"/>
    <x v="57"/>
    <x v="1"/>
    <s v="INV 0550-03"/>
    <s v="VO847541"/>
    <x v="7"/>
    <d v="2021-04-13T00:00:00"/>
    <s v="Yes"/>
  </r>
  <r>
    <s v="SYS-AP"/>
    <s v="FC00"/>
    <s v="JRNL00549495"/>
    <s v="FN00-00000-1760-1860"/>
    <s v="FN00"/>
    <s v="00000"/>
    <s v="1760"/>
    <s v="1860"/>
    <s v="FN0022RC"/>
    <n v="5784"/>
    <x v="58"/>
    <x v="7"/>
    <s v="693954"/>
    <s v="VO900425"/>
    <x v="50"/>
    <d v="2022-01-24T00:00:00"/>
    <s v="Yes"/>
  </r>
  <r>
    <s v="SYS-AP"/>
    <s v="FC00"/>
    <s v="JRNL00539961"/>
    <s v="FI00-00000-1760-1860"/>
    <s v="FI00"/>
    <s v="00000"/>
    <s v="1760"/>
    <s v="1860"/>
    <s v=""/>
    <n v="15.65"/>
    <x v="18"/>
    <x v="2"/>
    <s v="868275"/>
    <s v="VO868937"/>
    <x v="21"/>
    <d v="2021-08-04T00:00:00"/>
    <s v="Yes"/>
  </r>
  <r>
    <s v="SYS-AP"/>
    <s v="FC00"/>
    <s v="JRNL00539961"/>
    <s v="FN00-00000-1760-1860"/>
    <s v="FN00"/>
    <s v="00000"/>
    <s v="1760"/>
    <s v="1860"/>
    <s v=""/>
    <n v="1727.77"/>
    <x v="18"/>
    <x v="2"/>
    <s v="868275"/>
    <s v="VO868937"/>
    <x v="21"/>
    <d v="2021-08-04T00:00:00"/>
    <s v="Yes"/>
  </r>
  <r>
    <s v="SYS-AP"/>
    <s v="FC00"/>
    <s v="JRNL00539961"/>
    <s v="FT00-00000-1760-1860"/>
    <s v="FT00"/>
    <s v="00000"/>
    <s v="1760"/>
    <s v="1860"/>
    <s v=""/>
    <n v="4.88"/>
    <x v="18"/>
    <x v="2"/>
    <s v="868275"/>
    <s v="VO868937"/>
    <x v="21"/>
    <d v="2021-08-04T00:00:00"/>
    <s v="Yes"/>
  </r>
  <r>
    <s v="SYS-AP"/>
    <s v="FC00"/>
    <s v="JRNL00548202"/>
    <s v="FN00-00000-1760-1860"/>
    <s v="FN00"/>
    <s v="00000"/>
    <s v="1760"/>
    <s v="1860"/>
    <s v=""/>
    <n v="391.5"/>
    <x v="59"/>
    <x v="4"/>
    <s v="12222011"/>
    <s v="VO896637"/>
    <x v="51"/>
    <d v="2022-01-05T00:00:00"/>
    <s v="Yes"/>
  </r>
  <r>
    <s v="SYS-AP"/>
    <s v="FC00"/>
    <s v="JRNL00549495"/>
    <s v="FN00-00000-1760-1860"/>
    <s v="FN00"/>
    <s v="00000"/>
    <s v="1760"/>
    <s v="1860"/>
    <s v="FN0022RC"/>
    <n v="663.38"/>
    <x v="60"/>
    <x v="4"/>
    <s v="12249696"/>
    <s v="VO900388"/>
    <x v="50"/>
    <d v="2022-01-24T00:00:00"/>
    <s v="Yes"/>
  </r>
  <r>
    <s v="SYS-AP"/>
    <s v="FC00"/>
    <s v="JRNL00541740"/>
    <s v="FN00-00000-1760-1860"/>
    <s v="FN00"/>
    <s v="00000"/>
    <s v="1760"/>
    <s v="1860"/>
    <s v=""/>
    <n v="264.39999999999998"/>
    <x v="61"/>
    <x v="7"/>
    <s v="677403"/>
    <s v="VO874611"/>
    <x v="52"/>
    <d v="2021-09-07T00:00:00"/>
    <s v="Yes"/>
  </r>
  <r>
    <s v="SYS-AP"/>
    <s v="FC00"/>
    <s v="JRNL00542796"/>
    <s v="FN00-00000-1760-1860"/>
    <s v="FN00"/>
    <s v="00000"/>
    <s v="1760"/>
    <s v="1860"/>
    <s v=""/>
    <n v="811.46"/>
    <x v="54"/>
    <x v="7"/>
    <s v="680566"/>
    <s v="VO878413"/>
    <x v="53"/>
    <d v="2021-09-28T00:00:00"/>
    <s v="Yes"/>
  </r>
  <r>
    <s v="SYS-AP"/>
    <s v="FC00"/>
    <s v="JRNL00544209"/>
    <s v="FN00-00000-1760-1860"/>
    <s v="FN00"/>
    <s v="00000"/>
    <s v="1760"/>
    <s v="1860"/>
    <s v=""/>
    <n v="280"/>
    <x v="62"/>
    <x v="8"/>
    <s v="00042"/>
    <s v="VO881369"/>
    <x v="54"/>
    <d v="2021-10-15T00:00:00"/>
    <s v="Yes"/>
  </r>
  <r>
    <s v="SYS-AP"/>
    <s v="FC00"/>
    <s v="JRNL00545009"/>
    <s v="FN00-00000-1760-1860"/>
    <s v="FN00"/>
    <s v="00000"/>
    <s v="1760"/>
    <s v="1860"/>
    <s v=""/>
    <n v="401.86"/>
    <x v="54"/>
    <x v="7"/>
    <s v="684327"/>
    <s v="VO884666"/>
    <x v="37"/>
    <d v="2021-11-02T00:00:00"/>
    <s v="Yes"/>
  </r>
  <r>
    <s v="SYS-AP"/>
    <s v="FC00"/>
    <s v="JRNL00546614"/>
    <s v="FN00-00000-1760-1860"/>
    <s v="FN00"/>
    <s v="00000"/>
    <s v="1760"/>
    <s v="1860"/>
    <s v=""/>
    <n v="2810.73"/>
    <x v="54"/>
    <x v="7"/>
    <s v="688100"/>
    <s v="VO890695"/>
    <x v="55"/>
    <d v="2021-12-02T00:00:00"/>
    <s v="Yes"/>
  </r>
  <r>
    <s v="SYS-AP"/>
    <s v="FC00"/>
    <s v="JRNL00547871"/>
    <s v="FN00-00000-1760-1860"/>
    <s v="FN00"/>
    <s v="00000"/>
    <s v="1760"/>
    <s v="1860"/>
    <s v=""/>
    <n v="87"/>
    <x v="63"/>
    <x v="4"/>
    <s v="12213345"/>
    <s v="VO895722"/>
    <x v="48"/>
    <d v="2021-12-30T00:00:00"/>
    <s v="Yes"/>
  </r>
  <r>
    <s v="SYS-AP"/>
    <s v="FC00"/>
    <s v="JRNL00547871"/>
    <s v="FN00-00000-1760-1860"/>
    <s v="FN00"/>
    <s v="00000"/>
    <s v="1760"/>
    <s v="1860"/>
    <s v=""/>
    <n v="298.45999999999998"/>
    <x v="63"/>
    <x v="4"/>
    <s v="12204299"/>
    <s v="VO895752"/>
    <x v="48"/>
    <d v="2021-12-30T00:00:00"/>
    <s v="Yes"/>
  </r>
  <r>
    <s v="SYS-AP"/>
    <s v="FC00"/>
    <s v="JRNL00549078"/>
    <s v="FN00-00000-1760-1860"/>
    <s v="FN00"/>
    <s v="00000"/>
    <s v="1760"/>
    <s v="1860"/>
    <s v=""/>
    <n v="19718.75"/>
    <x v="46"/>
    <x v="1"/>
    <s v="INV 0567-04"/>
    <s v="VO898342"/>
    <x v="56"/>
    <d v="2022-01-11T00:00:00"/>
    <s v="Yes"/>
  </r>
  <r>
    <s v="SYS-AP"/>
    <s v="FC00"/>
    <s v="JRNL00549078"/>
    <s v="FN00-00000-1760-1860"/>
    <s v="FN00"/>
    <s v="00000"/>
    <s v="1760"/>
    <s v="1860"/>
    <s v=""/>
    <n v="2762.5"/>
    <x v="64"/>
    <x v="5"/>
    <s v="2021-12"/>
    <s v="VO898376"/>
    <x v="56"/>
    <d v="2022-01-11T00:00:00"/>
    <s v="Yes"/>
  </r>
  <r>
    <s v="SYS-AP"/>
    <s v="FC00"/>
    <s v="JRNL00549775"/>
    <s v="FN00-00000-1760-1860"/>
    <s v="FN00"/>
    <s v="00000"/>
    <s v="1760"/>
    <s v="1860"/>
    <s v=""/>
    <n v="206.63"/>
    <x v="65"/>
    <x v="4"/>
    <s v="12257528"/>
    <s v="VO902005"/>
    <x v="49"/>
    <d v="2022-01-29T00:00:00"/>
    <s v="Yes"/>
  </r>
  <r>
    <s v="SYS-AP"/>
    <s v="FC00"/>
    <s v="JRNL00550046"/>
    <s v="FN00-00000-1760-1860"/>
    <s v="FN00"/>
    <s v="00000"/>
    <s v="1760"/>
    <s v="1860"/>
    <s v="FN0022RC"/>
    <n v="17230"/>
    <x v="46"/>
    <x v="1"/>
    <s v="INV 0567-05"/>
    <s v="VO903339"/>
    <x v="36"/>
    <d v="2022-02-03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87" firstHeaderRow="1" firstDataRow="4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6" showAll="0"/>
    <pivotField axis="axisRow" showAll="0">
      <items count="67">
        <item x="58"/>
        <item x="14"/>
        <item x="32"/>
        <item x="13"/>
        <item x="38"/>
        <item x="36"/>
        <item x="37"/>
        <item x="28"/>
        <item x="44"/>
        <item x="35"/>
        <item x="21"/>
        <item x="8"/>
        <item x="25"/>
        <item x="49"/>
        <item x="31"/>
        <item x="6"/>
        <item x="51"/>
        <item x="24"/>
        <item x="50"/>
        <item x="27"/>
        <item x="5"/>
        <item x="43"/>
        <item x="41"/>
        <item x="39"/>
        <item x="40"/>
        <item x="42"/>
        <item x="26"/>
        <item x="30"/>
        <item x="15"/>
        <item x="17"/>
        <item x="33"/>
        <item x="7"/>
        <item x="19"/>
        <item x="16"/>
        <item x="29"/>
        <item x="12"/>
        <item x="0"/>
        <item x="52"/>
        <item x="60"/>
        <item x="65"/>
        <item x="47"/>
        <item x="63"/>
        <item x="59"/>
        <item x="9"/>
        <item x="48"/>
        <item x="62"/>
        <item x="55"/>
        <item x="46"/>
        <item x="64"/>
        <item x="20"/>
        <item x="53"/>
        <item x="23"/>
        <item x="57"/>
        <item x="61"/>
        <item x="56"/>
        <item x="11"/>
        <item x="54"/>
        <item x="4"/>
        <item x="18"/>
        <item x="22"/>
        <item x="10"/>
        <item x="34"/>
        <item x="2"/>
        <item x="45"/>
        <item x="3"/>
        <item x="1"/>
        <item t="default"/>
      </items>
    </pivotField>
    <pivotField axis="axisRow" showAll="0">
      <items count="10">
        <item x="3"/>
        <item x="4"/>
        <item x="1"/>
        <item x="8"/>
        <item x="6"/>
        <item x="7"/>
        <item x="5"/>
        <item x="2"/>
        <item x="0"/>
        <item t="default"/>
      </items>
    </pivotField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2">
    <field x="11"/>
    <field x="10"/>
  </rowFields>
  <rowItems count="81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43"/>
    </i>
    <i r="1">
      <x v="51"/>
    </i>
    <i r="1">
      <x v="55"/>
    </i>
    <i r="1">
      <x v="59"/>
    </i>
    <i r="1">
      <x v="60"/>
    </i>
    <i r="1">
      <x v="61"/>
    </i>
    <i>
      <x v="1"/>
    </i>
    <i r="1">
      <x v="38"/>
    </i>
    <i r="1">
      <x v="39"/>
    </i>
    <i r="1">
      <x v="40"/>
    </i>
    <i r="1">
      <x v="41"/>
    </i>
    <i r="1">
      <x v="42"/>
    </i>
    <i r="1">
      <x v="56"/>
    </i>
    <i>
      <x v="2"/>
    </i>
    <i r="1">
      <x v="47"/>
    </i>
    <i r="1">
      <x v="50"/>
    </i>
    <i r="1">
      <x v="52"/>
    </i>
    <i r="1">
      <x v="65"/>
    </i>
    <i>
      <x v="3"/>
    </i>
    <i r="1">
      <x v="45"/>
    </i>
    <i>
      <x v="4"/>
    </i>
    <i r="1">
      <x v="46"/>
    </i>
    <i r="1">
      <x v="47"/>
    </i>
    <i>
      <x v="5"/>
    </i>
    <i r="1">
      <x/>
    </i>
    <i r="1">
      <x v="53"/>
    </i>
    <i r="1">
      <x v="54"/>
    </i>
    <i r="1">
      <x v="56"/>
    </i>
    <i>
      <x v="6"/>
    </i>
    <i r="1">
      <x v="47"/>
    </i>
    <i r="1">
      <x v="48"/>
    </i>
    <i>
      <x v="7"/>
    </i>
    <i r="1">
      <x v="47"/>
    </i>
    <i r="1">
      <x v="49"/>
    </i>
    <i r="1">
      <x v="57"/>
    </i>
    <i r="1">
      <x v="58"/>
    </i>
    <i r="1">
      <x v="62"/>
    </i>
    <i r="1">
      <x v="63"/>
    </i>
    <i>
      <x v="8"/>
    </i>
    <i r="1">
      <x v="36"/>
    </i>
    <i r="1">
      <x v="37"/>
    </i>
    <i r="1">
      <x v="44"/>
    </i>
    <i r="1">
      <x v="47"/>
    </i>
    <i r="1">
      <x v="64"/>
    </i>
    <i t="grand">
      <x/>
    </i>
  </rowItems>
  <colFields count="3">
    <field x="18"/>
    <field x="17"/>
    <field x="14"/>
  </colFields>
  <colItems count="4">
    <i>
      <x v="1"/>
    </i>
    <i>
      <x v="2"/>
    </i>
    <i>
      <x v="3"/>
    </i>
    <i t="grand">
      <x/>
    </i>
  </colItems>
  <dataFields count="1">
    <dataField name="Sum of Amount" fld="9" baseField="0" baseItem="0"/>
  </dataFields>
  <formats count="9">
    <format dxfId="8">
      <pivotArea field="11" grandCol="1" collapsedLevelsAreSubtotals="1" axis="axisRow" fieldPosition="0">
        <references count="2">
          <reference field="10" count="1">
            <x v="61"/>
          </reference>
          <reference field="11" count="1" selected="0">
            <x v="0"/>
          </reference>
        </references>
      </pivotArea>
    </format>
    <format dxfId="7">
      <pivotArea field="11" grandCol="1" collapsedLevelsAreSubtotals="1" axis="axisRow" fieldPosition="0">
        <references count="1">
          <reference field="11" count="1">
            <x v="1"/>
          </reference>
        </references>
      </pivotArea>
    </format>
    <format dxfId="6">
      <pivotArea field="11" grandCol="1" collapsedLevelsAreSubtotals="1" axis="axisRow" fieldPosition="0">
        <references count="2">
          <reference field="10" count="1">
            <x v="56"/>
          </reference>
          <reference field="11" count="1" selected="0">
            <x v="1"/>
          </reference>
        </references>
      </pivotArea>
    </format>
    <format dxfId="5">
      <pivotArea field="11" grandCol="1" collapsedLevelsAreSubtotals="1" axis="axisRow" fieldPosition="0">
        <references count="1">
          <reference field="11" count="1">
            <x v="2"/>
          </reference>
        </references>
      </pivotArea>
    </format>
    <format dxfId="4">
      <pivotArea field="11" grandCol="1" collapsedLevelsAreSubtotals="1" axis="axisRow" fieldPosition="0">
        <references count="1">
          <reference field="11" count="1">
            <x v="3"/>
          </reference>
        </references>
      </pivotArea>
    </format>
    <format dxfId="3">
      <pivotArea field="11" grandCol="1" collapsedLevelsAreSubtotals="1" axis="axisRow" fieldPosition="0">
        <references count="1">
          <reference field="11" count="1">
            <x v="5"/>
          </reference>
        </references>
      </pivotArea>
    </format>
    <format dxfId="2">
      <pivotArea field="11" grandCol="1" collapsedLevelsAreSubtotals="1" axis="axisRow" fieldPosition="0">
        <references count="1">
          <reference field="11" count="1">
            <x v="6"/>
          </reference>
        </references>
      </pivotArea>
    </format>
    <format dxfId="1">
      <pivotArea field="11" grandCol="1" collapsedLevelsAreSubtotals="1" axis="axisRow" fieldPosition="0">
        <references count="1">
          <reference field="11" count="1">
            <x v="7"/>
          </reference>
        </references>
      </pivotArea>
    </format>
    <format dxfId="0">
      <pivotArea field="11" grandCol="1" collapsedLevelsAreSubtotals="1" axis="axisRow" fieldPosition="0">
        <references count="1">
          <reference field="1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65"/>
  <sheetViews>
    <sheetView tabSelected="1" topLeftCell="A85" zoomScaleNormal="100" zoomScalePageLayoutView="80" workbookViewId="0">
      <selection activeCell="F97" sqref="F97"/>
    </sheetView>
  </sheetViews>
  <sheetFormatPr defaultRowHeight="12.75" x14ac:dyDescent="0.2"/>
  <cols>
    <col min="2" max="2" width="34.5703125" customWidth="1"/>
    <col min="3" max="3" width="2.42578125" customWidth="1"/>
    <col min="4" max="4" width="41.140625" customWidth="1"/>
    <col min="5" max="5" width="7.140625" customWidth="1"/>
    <col min="6" max="6" width="12.85546875" style="66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1" spans="2:12" x14ac:dyDescent="0.2">
      <c r="I1" s="62"/>
    </row>
    <row r="2" spans="2:12" x14ac:dyDescent="0.2">
      <c r="I2" s="62"/>
    </row>
    <row r="3" spans="2:12" x14ac:dyDescent="0.2">
      <c r="B3" s="1" t="s">
        <v>401</v>
      </c>
      <c r="I3" s="62"/>
    </row>
    <row r="4" spans="2:12" x14ac:dyDescent="0.2">
      <c r="I4" s="62"/>
    </row>
    <row r="5" spans="2:12" s="2" customFormat="1" ht="38.25" x14ac:dyDescent="0.2">
      <c r="F5" s="67" t="s">
        <v>16</v>
      </c>
      <c r="G5" s="44" t="s">
        <v>512</v>
      </c>
      <c r="H5" s="44" t="s">
        <v>22</v>
      </c>
      <c r="I5" s="45" t="s">
        <v>18</v>
      </c>
      <c r="J5" s="12"/>
      <c r="K5" s="12"/>
      <c r="L5" s="12"/>
    </row>
    <row r="6" spans="2:12" x14ac:dyDescent="0.2">
      <c r="B6" s="1" t="s">
        <v>0</v>
      </c>
      <c r="C6" s="1"/>
    </row>
    <row r="7" spans="2:12" ht="12" customHeight="1" x14ac:dyDescent="0.2">
      <c r="F7" s="68"/>
      <c r="G7" s="35"/>
      <c r="H7" s="35"/>
    </row>
    <row r="8" spans="2:12" x14ac:dyDescent="0.2">
      <c r="B8" s="1" t="s">
        <v>28</v>
      </c>
      <c r="C8" s="1"/>
      <c r="D8" t="s">
        <v>1</v>
      </c>
      <c r="F8" s="37">
        <f>+Consulting!E12</f>
        <v>198000</v>
      </c>
      <c r="G8" s="37">
        <f>Sheet1!E56</f>
        <v>109736.86</v>
      </c>
      <c r="H8" s="36">
        <f>+F8-G8</f>
        <v>88263.14</v>
      </c>
    </row>
    <row r="9" spans="2:12" x14ac:dyDescent="0.2">
      <c r="D9" t="s">
        <v>513</v>
      </c>
      <c r="F9" s="5">
        <f>+Consulting!E13</f>
        <v>20000</v>
      </c>
      <c r="G9" s="38">
        <v>0</v>
      </c>
      <c r="H9" s="38">
        <f>+F9-G9</f>
        <v>20000</v>
      </c>
    </row>
    <row r="10" spans="2:12" x14ac:dyDescent="0.2">
      <c r="D10" s="56" t="s">
        <v>636</v>
      </c>
      <c r="F10" s="5">
        <f>ROUND(+F8*1,0)</f>
        <v>198000</v>
      </c>
      <c r="G10" s="38"/>
      <c r="H10" s="38">
        <f>+F10-G10</f>
        <v>198000</v>
      </c>
      <c r="I10" s="11" t="s">
        <v>637</v>
      </c>
    </row>
    <row r="11" spans="2:12" x14ac:dyDescent="0.2">
      <c r="E11" s="1"/>
      <c r="F11" s="69">
        <f>SUM(F8:F10)</f>
        <v>416000</v>
      </c>
      <c r="G11" s="39">
        <f>SUM(G8:G10)</f>
        <v>109736.86</v>
      </c>
      <c r="H11" s="39">
        <f>SUM(H8:H10)</f>
        <v>306263.14</v>
      </c>
    </row>
    <row r="12" spans="2:12" x14ac:dyDescent="0.2">
      <c r="E12" s="1"/>
      <c r="F12" s="61"/>
      <c r="G12" s="27"/>
      <c r="H12" s="27"/>
    </row>
    <row r="13" spans="2:12" x14ac:dyDescent="0.2">
      <c r="B13" s="1" t="s">
        <v>507</v>
      </c>
      <c r="C13" s="1"/>
      <c r="D13" t="s">
        <v>1</v>
      </c>
      <c r="F13" s="5"/>
      <c r="G13" s="38">
        <f>Sheet1!E81</f>
        <v>51708.35</v>
      </c>
      <c r="H13" s="38">
        <f>+F13-G13</f>
        <v>-51708.35</v>
      </c>
    </row>
    <row r="14" spans="2:12" x14ac:dyDescent="0.2">
      <c r="B14" s="1"/>
      <c r="C14" s="1"/>
      <c r="D14" s="56" t="s">
        <v>635</v>
      </c>
      <c r="F14" s="5">
        <f>+Consulting!E17</f>
        <v>12513</v>
      </c>
      <c r="G14" s="38"/>
      <c r="H14" s="38">
        <f>+F14-G14</f>
        <v>12513</v>
      </c>
    </row>
    <row r="15" spans="2:12" x14ac:dyDescent="0.2">
      <c r="F15" s="69">
        <f>SUM(F12:F14)</f>
        <v>12513</v>
      </c>
      <c r="G15" s="39">
        <f>SUM(G12:G14)</f>
        <v>51708.35</v>
      </c>
      <c r="H15" s="39">
        <f>SUM(H12:H14)</f>
        <v>-39195.35</v>
      </c>
    </row>
    <row r="16" spans="2:12" x14ac:dyDescent="0.2">
      <c r="F16" s="61"/>
      <c r="G16" s="27"/>
      <c r="H16" s="27"/>
    </row>
    <row r="17" spans="2:10" x14ac:dyDescent="0.2">
      <c r="B17" s="1" t="s">
        <v>30</v>
      </c>
      <c r="C17" s="1"/>
      <c r="D17" s="56" t="s">
        <v>640</v>
      </c>
      <c r="F17" s="5">
        <f>+Consulting!E21</f>
        <v>302400</v>
      </c>
      <c r="G17" s="38">
        <f>Sheet1!E74</f>
        <v>107278.33000000002</v>
      </c>
      <c r="H17" s="38">
        <f t="shared" ref="H17:H18" si="0">+F17-G17</f>
        <v>195121.66999999998</v>
      </c>
    </row>
    <row r="18" spans="2:10" x14ac:dyDescent="0.2">
      <c r="D18" s="56" t="s">
        <v>639</v>
      </c>
      <c r="F18" s="5">
        <f>+Consulting!E22</f>
        <v>24000</v>
      </c>
      <c r="G18" s="38"/>
      <c r="H18" s="38">
        <f t="shared" si="0"/>
        <v>24000</v>
      </c>
    </row>
    <row r="19" spans="2:10" x14ac:dyDescent="0.2">
      <c r="E19" s="1"/>
      <c r="F19" s="69">
        <f>SUM(F17:F18)</f>
        <v>326400</v>
      </c>
      <c r="G19" s="39">
        <f t="shared" ref="G19:H19" si="1">SUM(G17:G18)</f>
        <v>107278.33000000002</v>
      </c>
      <c r="H19" s="39">
        <f t="shared" si="1"/>
        <v>219121.66999999998</v>
      </c>
      <c r="I19" s="13"/>
    </row>
    <row r="20" spans="2:10" hidden="1" x14ac:dyDescent="0.2">
      <c r="F20" s="5"/>
      <c r="G20" s="38"/>
      <c r="H20" s="38"/>
      <c r="J20" s="11">
        <f>850+58888.74+9500+76974.77+23468.42+162066.24-538053.13</f>
        <v>-206304.96000000002</v>
      </c>
    </row>
    <row r="21" spans="2:10" x14ac:dyDescent="0.2">
      <c r="F21" s="5"/>
      <c r="G21" s="38"/>
      <c r="H21" s="38"/>
    </row>
    <row r="22" spans="2:10" x14ac:dyDescent="0.2">
      <c r="B22" s="1" t="s">
        <v>51</v>
      </c>
      <c r="C22" s="1"/>
      <c r="D22" t="s">
        <v>1</v>
      </c>
      <c r="F22" s="5">
        <f>Consulting!E26</f>
        <v>34000</v>
      </c>
      <c r="G22" s="38"/>
      <c r="H22" s="38">
        <f t="shared" ref="H22:H23" si="2">+F22-G22</f>
        <v>34000</v>
      </c>
      <c r="I22" s="11" t="s">
        <v>568</v>
      </c>
    </row>
    <row r="23" spans="2:10" x14ac:dyDescent="0.2">
      <c r="B23" s="1"/>
      <c r="C23" s="1"/>
      <c r="D23" s="56" t="s">
        <v>649</v>
      </c>
      <c r="F23" s="5">
        <f>Consulting!E27</f>
        <v>54740</v>
      </c>
      <c r="G23" s="38"/>
      <c r="H23" s="38">
        <f t="shared" si="2"/>
        <v>54740</v>
      </c>
    </row>
    <row r="24" spans="2:10" x14ac:dyDescent="0.2">
      <c r="B24" s="1"/>
      <c r="C24" s="1"/>
      <c r="F24" s="69">
        <f>SUM(F22:F23)</f>
        <v>88740</v>
      </c>
      <c r="G24" s="39"/>
      <c r="H24" s="39">
        <f>SUM(H22:H23)</f>
        <v>88740</v>
      </c>
    </row>
    <row r="25" spans="2:10" x14ac:dyDescent="0.2">
      <c r="E25" s="1"/>
      <c r="F25" s="61"/>
      <c r="G25" s="27"/>
      <c r="H25" s="27"/>
      <c r="I25" s="13"/>
    </row>
    <row r="26" spans="2:10" x14ac:dyDescent="0.2">
      <c r="B26" s="1" t="s">
        <v>53</v>
      </c>
      <c r="C26" s="1"/>
      <c r="D26" t="s">
        <v>1</v>
      </c>
      <c r="F26" s="5">
        <f>Consulting!E30</f>
        <v>2358.75</v>
      </c>
      <c r="G26" s="38">
        <v>0</v>
      </c>
      <c r="H26" s="38">
        <f t="shared" ref="H26" si="3">+F26-G26</f>
        <v>2358.75</v>
      </c>
      <c r="I26" s="13"/>
    </row>
    <row r="27" spans="2:10" x14ac:dyDescent="0.2">
      <c r="E27" s="1"/>
      <c r="F27" s="61"/>
      <c r="G27" s="27"/>
      <c r="H27" s="27"/>
      <c r="I27" s="13"/>
    </row>
    <row r="28" spans="2:10" x14ac:dyDescent="0.2">
      <c r="B28" s="1" t="s">
        <v>55</v>
      </c>
      <c r="D28" t="s">
        <v>1</v>
      </c>
      <c r="E28" s="1"/>
      <c r="F28" s="61">
        <f>Consulting!E34</f>
        <v>29000</v>
      </c>
      <c r="G28" s="27"/>
      <c r="H28" s="38">
        <f t="shared" ref="H28:H29" si="4">+F28-G28</f>
        <v>29000</v>
      </c>
      <c r="I28" s="13" t="s">
        <v>573</v>
      </c>
    </row>
    <row r="29" spans="2:10" x14ac:dyDescent="0.2">
      <c r="D29" s="56" t="s">
        <v>649</v>
      </c>
      <c r="E29" s="1"/>
      <c r="F29" s="61">
        <f>+Consulting!E35</f>
        <v>131200</v>
      </c>
      <c r="G29" s="27"/>
      <c r="H29" s="38">
        <f t="shared" si="4"/>
        <v>131200</v>
      </c>
      <c r="I29" s="13"/>
    </row>
    <row r="30" spans="2:10" x14ac:dyDescent="0.2">
      <c r="E30" s="1"/>
      <c r="F30" s="69">
        <f>+F28+F29</f>
        <v>160200</v>
      </c>
      <c r="G30" s="39">
        <f t="shared" ref="G30:H30" si="5">+G28+G29</f>
        <v>0</v>
      </c>
      <c r="H30" s="39">
        <f t="shared" si="5"/>
        <v>160200</v>
      </c>
      <c r="I30" s="13"/>
    </row>
    <row r="31" spans="2:10" x14ac:dyDescent="0.2">
      <c r="E31" s="1"/>
      <c r="F31" s="61"/>
      <c r="G31" s="27"/>
      <c r="H31" s="27"/>
      <c r="I31" s="13"/>
    </row>
    <row r="32" spans="2:10" x14ac:dyDescent="0.2">
      <c r="B32" s="1" t="s">
        <v>56</v>
      </c>
      <c r="D32" t="s">
        <v>1</v>
      </c>
      <c r="E32" s="1"/>
      <c r="F32" s="61">
        <f>Consulting!E38</f>
        <v>25593.75</v>
      </c>
      <c r="G32" s="27">
        <f>Sheet1!E63</f>
        <v>3206.25</v>
      </c>
      <c r="H32" s="38">
        <f t="shared" ref="H32" si="6">+F32-G32</f>
        <v>22387.5</v>
      </c>
      <c r="I32" s="13"/>
    </row>
    <row r="33" spans="2:9" x14ac:dyDescent="0.2">
      <c r="E33" s="1"/>
      <c r="F33" s="61"/>
      <c r="G33" s="27"/>
      <c r="H33" s="27"/>
      <c r="I33" s="13"/>
    </row>
    <row r="34" spans="2:9" x14ac:dyDescent="0.2">
      <c r="B34" s="1" t="s">
        <v>578</v>
      </c>
      <c r="D34" t="s">
        <v>1</v>
      </c>
      <c r="E34" s="1"/>
      <c r="F34" s="61">
        <f>Consulting!E41</f>
        <v>42000</v>
      </c>
      <c r="G34" s="27">
        <f>Sheet1!E61</f>
        <v>280</v>
      </c>
      <c r="H34" s="38">
        <f t="shared" ref="H34" si="7">+F34-G34</f>
        <v>41720</v>
      </c>
      <c r="I34" s="13"/>
    </row>
    <row r="35" spans="2:9" x14ac:dyDescent="0.2">
      <c r="F35" s="61"/>
      <c r="G35" s="27"/>
      <c r="H35" s="27"/>
      <c r="I35" s="13"/>
    </row>
    <row r="36" spans="2:9" x14ac:dyDescent="0.2">
      <c r="B36" s="1" t="s">
        <v>618</v>
      </c>
      <c r="D36" t="s">
        <v>619</v>
      </c>
      <c r="E36" s="1"/>
      <c r="F36" s="61">
        <v>150000</v>
      </c>
      <c r="G36" s="27">
        <v>0</v>
      </c>
      <c r="H36" s="38">
        <f t="shared" ref="H36" si="8">+F36-G36</f>
        <v>150000</v>
      </c>
      <c r="I36" s="13" t="s">
        <v>568</v>
      </c>
    </row>
    <row r="37" spans="2:9" x14ac:dyDescent="0.2">
      <c r="F37" s="61"/>
      <c r="G37" s="27"/>
      <c r="H37" s="27"/>
      <c r="I37" s="13"/>
    </row>
    <row r="38" spans="2:9" x14ac:dyDescent="0.2">
      <c r="B38" s="1" t="s">
        <v>586</v>
      </c>
      <c r="D38" t="s">
        <v>1</v>
      </c>
      <c r="E38" s="1"/>
      <c r="F38" s="61">
        <f>Consulting!E44</f>
        <v>26350</v>
      </c>
      <c r="G38" s="27">
        <f>Sheet1!E71</f>
        <v>8075</v>
      </c>
      <c r="H38" s="38">
        <f t="shared" ref="H38:H40" si="9">+F38-G38</f>
        <v>18275</v>
      </c>
      <c r="I38" s="13"/>
    </row>
    <row r="39" spans="2:9" x14ac:dyDescent="0.2">
      <c r="B39" s="1"/>
      <c r="E39" s="1"/>
      <c r="F39" s="61"/>
      <c r="G39" s="27"/>
      <c r="H39" s="38"/>
      <c r="I39" s="13"/>
    </row>
    <row r="40" spans="2:9" x14ac:dyDescent="0.2">
      <c r="B40" s="1" t="s">
        <v>510</v>
      </c>
      <c r="D40" t="s">
        <v>617</v>
      </c>
      <c r="E40" s="1"/>
      <c r="F40" s="61">
        <f>+Consulting!E50</f>
        <v>60000</v>
      </c>
      <c r="G40" s="27">
        <v>0</v>
      </c>
      <c r="H40" s="38">
        <f t="shared" si="9"/>
        <v>60000</v>
      </c>
      <c r="I40" s="13"/>
    </row>
    <row r="41" spans="2:9" x14ac:dyDescent="0.2">
      <c r="D41" s="56"/>
      <c r="F41" s="61"/>
      <c r="G41" s="27"/>
      <c r="H41" s="27"/>
      <c r="I41" s="13"/>
    </row>
    <row r="42" spans="2:9" x14ac:dyDescent="0.2">
      <c r="F42" s="61"/>
      <c r="G42" s="27"/>
      <c r="H42" s="27"/>
      <c r="I42" s="13"/>
    </row>
    <row r="43" spans="2:9" x14ac:dyDescent="0.2">
      <c r="B43" s="1" t="s">
        <v>610</v>
      </c>
      <c r="D43" s="56" t="s">
        <v>611</v>
      </c>
      <c r="F43" s="5">
        <v>27818.11</v>
      </c>
      <c r="G43" s="38"/>
      <c r="H43" s="38"/>
      <c r="I43" s="11" t="s">
        <v>613</v>
      </c>
    </row>
    <row r="44" spans="2:9" x14ac:dyDescent="0.2">
      <c r="B44" s="1"/>
      <c r="D44" s="56" t="s">
        <v>612</v>
      </c>
      <c r="F44" s="5">
        <f>43783+Consulting!E16</f>
        <v>63446</v>
      </c>
      <c r="G44" s="38"/>
      <c r="H44" s="38"/>
      <c r="I44" s="11" t="s">
        <v>625</v>
      </c>
    </row>
    <row r="45" spans="2:9" x14ac:dyDescent="0.2">
      <c r="B45" s="1"/>
      <c r="D45" s="56" t="s">
        <v>30</v>
      </c>
      <c r="F45" s="5">
        <v>3332</v>
      </c>
      <c r="G45" s="38"/>
      <c r="H45" s="38"/>
      <c r="I45" s="11" t="s">
        <v>613</v>
      </c>
    </row>
    <row r="46" spans="2:9" x14ac:dyDescent="0.2">
      <c r="B46" s="1"/>
      <c r="D46" s="56"/>
      <c r="F46" s="69">
        <f>SUM(F43:F45)</f>
        <v>94596.11</v>
      </c>
      <c r="G46" s="38"/>
      <c r="H46" s="38"/>
    </row>
    <row r="47" spans="2:9" x14ac:dyDescent="0.2">
      <c r="F47" s="5"/>
      <c r="G47" s="38"/>
      <c r="H47" s="38"/>
    </row>
    <row r="48" spans="2:9" x14ac:dyDescent="0.2">
      <c r="B48" s="1" t="s">
        <v>400</v>
      </c>
      <c r="D48" t="s">
        <v>557</v>
      </c>
      <c r="F48" s="5">
        <f>+Legal!F48</f>
        <v>366000</v>
      </c>
      <c r="G48" s="5">
        <f>Sheet1!E66</f>
        <v>12009.31</v>
      </c>
      <c r="H48" s="38">
        <f>+F48-G48</f>
        <v>353990.69</v>
      </c>
    </row>
    <row r="49" spans="2:9" x14ac:dyDescent="0.2">
      <c r="D49" s="56" t="s">
        <v>587</v>
      </c>
      <c r="F49" s="5">
        <f>+Legal!E58</f>
        <v>21719.131200000003</v>
      </c>
      <c r="G49" s="38"/>
      <c r="H49" s="38">
        <f>+F49-G49</f>
        <v>21719.131200000003</v>
      </c>
    </row>
    <row r="50" spans="2:9" x14ac:dyDescent="0.2">
      <c r="F50" s="5"/>
      <c r="G50" s="38"/>
      <c r="H50" s="38">
        <f>+F50-G50</f>
        <v>0</v>
      </c>
    </row>
    <row r="51" spans="2:9" x14ac:dyDescent="0.2">
      <c r="F51" s="5"/>
      <c r="G51" s="38"/>
      <c r="H51" s="38"/>
    </row>
    <row r="52" spans="2:9" x14ac:dyDescent="0.2">
      <c r="E52" s="1"/>
      <c r="F52" s="69">
        <f>SUM(F48:F51)</f>
        <v>387719.1312</v>
      </c>
      <c r="G52" s="39">
        <f>SUM(G48:G51)</f>
        <v>12009.31</v>
      </c>
      <c r="H52" s="39">
        <f>SUM(H48:H51)</f>
        <v>375709.82120000001</v>
      </c>
    </row>
    <row r="53" spans="2:9" x14ac:dyDescent="0.2">
      <c r="E53" s="1"/>
      <c r="F53" s="61"/>
      <c r="G53" s="27"/>
      <c r="H53" s="27"/>
    </row>
    <row r="54" spans="2:9" x14ac:dyDescent="0.2">
      <c r="B54" s="1" t="s">
        <v>402</v>
      </c>
      <c r="D54" s="56" t="s">
        <v>589</v>
      </c>
      <c r="F54" s="70">
        <f>+Legal!E61</f>
        <v>75000</v>
      </c>
      <c r="G54" s="5"/>
      <c r="H54" s="38">
        <f>+F54-G54</f>
        <v>75000</v>
      </c>
    </row>
    <row r="55" spans="2:9" x14ac:dyDescent="0.2">
      <c r="B55" s="1"/>
      <c r="F55" s="5"/>
      <c r="G55" s="5"/>
      <c r="H55" s="38"/>
    </row>
    <row r="56" spans="2:9" x14ac:dyDescent="0.2">
      <c r="B56" s="1" t="s">
        <v>563</v>
      </c>
      <c r="F56" s="5"/>
      <c r="G56" s="38"/>
      <c r="H56" s="38"/>
    </row>
    <row r="57" spans="2:9" x14ac:dyDescent="0.2">
      <c r="B57" s="1"/>
      <c r="F57" s="5"/>
      <c r="G57" s="38"/>
      <c r="H57" s="38"/>
    </row>
    <row r="58" spans="2:9" x14ac:dyDescent="0.2">
      <c r="B58" t="s">
        <v>59</v>
      </c>
      <c r="D58" s="56" t="s">
        <v>590</v>
      </c>
      <c r="F58" s="5">
        <f>Payroll!F8</f>
        <v>625594</v>
      </c>
      <c r="G58" s="5">
        <f>Sheet1!E48</f>
        <v>80759.240000000005</v>
      </c>
      <c r="H58" s="38">
        <f t="shared" ref="H58:H60" si="10">+F58-G58</f>
        <v>544834.76</v>
      </c>
    </row>
    <row r="59" spans="2:9" x14ac:dyDescent="0.2">
      <c r="B59" t="s">
        <v>405</v>
      </c>
      <c r="D59" t="s">
        <v>511</v>
      </c>
      <c r="F59" s="5">
        <f>Temp!C4</f>
        <v>27187.5</v>
      </c>
      <c r="G59" s="5">
        <f>Sheet1!E49</f>
        <v>2473.4700000000003</v>
      </c>
      <c r="H59" s="38">
        <f t="shared" si="10"/>
        <v>24714.03</v>
      </c>
      <c r="I59" s="28"/>
    </row>
    <row r="60" spans="2:9" x14ac:dyDescent="0.2">
      <c r="B60" s="56" t="s">
        <v>654</v>
      </c>
      <c r="D60" s="56" t="s">
        <v>655</v>
      </c>
      <c r="F60" s="5">
        <f>+Temp!C7</f>
        <v>514000</v>
      </c>
      <c r="G60" s="5"/>
      <c r="H60" s="38">
        <f t="shared" si="10"/>
        <v>514000</v>
      </c>
      <c r="I60" s="74"/>
    </row>
    <row r="61" spans="2:9" x14ac:dyDescent="0.2">
      <c r="E61" s="1"/>
      <c r="F61" s="69">
        <f>SUM(F58:F60)</f>
        <v>1166781.5</v>
      </c>
      <c r="G61" s="69">
        <f t="shared" ref="G61:H61" si="11">SUM(G58:G60)</f>
        <v>83232.710000000006</v>
      </c>
      <c r="H61" s="69">
        <f t="shared" si="11"/>
        <v>1083548.79</v>
      </c>
    </row>
    <row r="62" spans="2:9" x14ac:dyDescent="0.2">
      <c r="E62" s="1"/>
      <c r="F62" s="61"/>
      <c r="G62" s="27"/>
      <c r="H62" s="27"/>
    </row>
    <row r="63" spans="2:9" x14ac:dyDescent="0.2">
      <c r="B63" s="56"/>
      <c r="E63" s="1"/>
      <c r="F63" s="61"/>
      <c r="G63" s="27"/>
      <c r="H63" s="38"/>
    </row>
    <row r="64" spans="2:9" x14ac:dyDescent="0.2">
      <c r="E64" s="1"/>
      <c r="F64" s="61"/>
      <c r="G64" s="27"/>
      <c r="H64" s="27"/>
    </row>
    <row r="65" spans="2:8" x14ac:dyDescent="0.2">
      <c r="B65" s="1" t="s">
        <v>5</v>
      </c>
      <c r="F65" s="71"/>
      <c r="G65" s="40"/>
      <c r="H65" s="40"/>
    </row>
    <row r="66" spans="2:8" x14ac:dyDescent="0.2">
      <c r="F66" s="71"/>
      <c r="G66" s="40"/>
      <c r="H66" s="40"/>
    </row>
    <row r="67" spans="2:8" x14ac:dyDescent="0.2">
      <c r="B67" s="1" t="s">
        <v>596</v>
      </c>
      <c r="F67" s="5"/>
      <c r="G67" s="38"/>
      <c r="H67" s="38"/>
    </row>
    <row r="68" spans="2:8" x14ac:dyDescent="0.2">
      <c r="F68" s="5"/>
      <c r="G68" s="38"/>
      <c r="H68" s="38"/>
    </row>
    <row r="69" spans="2:8" x14ac:dyDescent="0.2">
      <c r="B69" t="s">
        <v>7</v>
      </c>
      <c r="F69" s="5">
        <f>+Travel!D7</f>
        <v>5600</v>
      </c>
      <c r="G69" s="38"/>
      <c r="H69" s="38">
        <f t="shared" ref="H69:H72" si="12">+F69-G69</f>
        <v>5600</v>
      </c>
    </row>
    <row r="70" spans="2:8" x14ac:dyDescent="0.2">
      <c r="B70" t="s">
        <v>8</v>
      </c>
      <c r="F70" s="5">
        <f>+Travel!D9</f>
        <v>3787</v>
      </c>
      <c r="G70" s="38"/>
      <c r="H70" s="38">
        <f t="shared" si="12"/>
        <v>3787</v>
      </c>
    </row>
    <row r="71" spans="2:8" x14ac:dyDescent="0.2">
      <c r="B71" t="s">
        <v>9</v>
      </c>
      <c r="F71" s="5">
        <f>+Travel!D8</f>
        <v>1600</v>
      </c>
      <c r="G71" s="38"/>
      <c r="H71" s="38">
        <f t="shared" si="12"/>
        <v>1600</v>
      </c>
    </row>
    <row r="72" spans="2:8" x14ac:dyDescent="0.2">
      <c r="B72" s="56" t="s">
        <v>598</v>
      </c>
      <c r="F72" s="5">
        <f>+Travel!D6</f>
        <v>0</v>
      </c>
      <c r="G72" s="40"/>
      <c r="H72" s="38">
        <f t="shared" si="12"/>
        <v>0</v>
      </c>
    </row>
    <row r="73" spans="2:8" x14ac:dyDescent="0.2">
      <c r="E73" s="1"/>
      <c r="F73" s="69">
        <f>SUM(F69:F72)</f>
        <v>10987</v>
      </c>
      <c r="G73" s="39">
        <f>SUM(G69:G72)</f>
        <v>0</v>
      </c>
      <c r="H73" s="39">
        <f>SUM(H69:H72)</f>
        <v>10987</v>
      </c>
    </row>
    <row r="74" spans="2:8" x14ac:dyDescent="0.2">
      <c r="B74" s="1" t="s">
        <v>11</v>
      </c>
      <c r="F74" s="71"/>
      <c r="G74" s="40"/>
      <c r="H74" s="40"/>
    </row>
    <row r="75" spans="2:8" x14ac:dyDescent="0.2">
      <c r="B75" t="s">
        <v>7</v>
      </c>
      <c r="F75" s="5">
        <f>+Travel!D15+Travel!D16+Travel!D17</f>
        <v>32100</v>
      </c>
      <c r="G75" s="38">
        <v>0</v>
      </c>
      <c r="H75" s="38">
        <f t="shared" ref="H75:H78" si="13">+F75-G75</f>
        <v>32100</v>
      </c>
    </row>
    <row r="76" spans="2:8" x14ac:dyDescent="0.2">
      <c r="B76" t="s">
        <v>8</v>
      </c>
      <c r="F76" s="5">
        <f>+Travel!D19</f>
        <v>5532</v>
      </c>
      <c r="G76" s="38">
        <v>0</v>
      </c>
      <c r="H76" s="38">
        <f t="shared" si="13"/>
        <v>5532</v>
      </c>
    </row>
    <row r="77" spans="2:8" x14ac:dyDescent="0.2">
      <c r="B77" t="s">
        <v>12</v>
      </c>
      <c r="F77" s="5">
        <f>+Travel!D18</f>
        <v>32640</v>
      </c>
      <c r="G77" s="38">
        <v>0</v>
      </c>
      <c r="H77" s="38">
        <f t="shared" si="13"/>
        <v>32640</v>
      </c>
    </row>
    <row r="78" spans="2:8" x14ac:dyDescent="0.2">
      <c r="B78" t="s">
        <v>10</v>
      </c>
      <c r="F78" s="5"/>
      <c r="G78" s="38">
        <v>0</v>
      </c>
      <c r="H78" s="38">
        <f t="shared" si="13"/>
        <v>0</v>
      </c>
    </row>
    <row r="79" spans="2:8" ht="3.75" customHeight="1" x14ac:dyDescent="0.2">
      <c r="F79" s="5"/>
      <c r="G79" s="38"/>
      <c r="H79" s="38"/>
    </row>
    <row r="80" spans="2:8" x14ac:dyDescent="0.2">
      <c r="E80" s="1"/>
      <c r="F80" s="69">
        <f>SUM(F75:F79)</f>
        <v>70272</v>
      </c>
      <c r="G80" s="39">
        <f>SUM(G75:G79)</f>
        <v>0</v>
      </c>
      <c r="H80" s="39">
        <f>SUM(H75:H79)</f>
        <v>70272</v>
      </c>
    </row>
    <row r="81" spans="2:13" x14ac:dyDescent="0.2">
      <c r="B81" s="1" t="s">
        <v>13</v>
      </c>
      <c r="F81" s="5"/>
      <c r="G81" s="38"/>
      <c r="H81" s="38"/>
    </row>
    <row r="82" spans="2:13" x14ac:dyDescent="0.2">
      <c r="B82" t="s">
        <v>24</v>
      </c>
      <c r="F82" s="5">
        <f>+'Misc Charges'!D7</f>
        <v>81000</v>
      </c>
      <c r="G82" s="38">
        <v>0</v>
      </c>
      <c r="H82" s="38">
        <f t="shared" ref="H82:H88" si="14">+F82-G82</f>
        <v>81000</v>
      </c>
      <c r="I82" s="11" t="s">
        <v>652</v>
      </c>
    </row>
    <row r="83" spans="2:13" x14ac:dyDescent="0.2">
      <c r="B83" t="s">
        <v>25</v>
      </c>
      <c r="F83" s="5">
        <f>+'Misc Charges'!D8</f>
        <v>81000</v>
      </c>
      <c r="G83" s="38">
        <v>0</v>
      </c>
      <c r="H83" s="38">
        <f t="shared" si="14"/>
        <v>81000</v>
      </c>
      <c r="I83" s="11" t="s">
        <v>652</v>
      </c>
    </row>
    <row r="84" spans="2:13" x14ac:dyDescent="0.2">
      <c r="B84" t="s">
        <v>20</v>
      </c>
      <c r="F84" s="5">
        <f>+'Misc Charges'!D9</f>
        <v>82000</v>
      </c>
      <c r="G84" s="38">
        <v>0</v>
      </c>
      <c r="H84" s="38">
        <f t="shared" si="14"/>
        <v>82000</v>
      </c>
      <c r="I84" s="11" t="s">
        <v>652</v>
      </c>
    </row>
    <row r="85" spans="2:13" x14ac:dyDescent="0.2">
      <c r="B85" t="s">
        <v>21</v>
      </c>
      <c r="F85" s="5">
        <v>10000</v>
      </c>
      <c r="G85" s="38">
        <v>0</v>
      </c>
      <c r="H85" s="38">
        <f t="shared" si="14"/>
        <v>10000</v>
      </c>
      <c r="I85" s="11" t="s">
        <v>566</v>
      </c>
    </row>
    <row r="86" spans="2:13" x14ac:dyDescent="0.2">
      <c r="B86" s="56" t="s">
        <v>643</v>
      </c>
      <c r="F86" s="5">
        <v>50000</v>
      </c>
      <c r="G86" s="38">
        <v>0</v>
      </c>
      <c r="H86" s="38">
        <f t="shared" si="14"/>
        <v>50000</v>
      </c>
      <c r="I86" s="11" t="s">
        <v>17</v>
      </c>
    </row>
    <row r="87" spans="2:13" x14ac:dyDescent="0.2">
      <c r="F87" s="5"/>
      <c r="G87" s="38">
        <v>0</v>
      </c>
      <c r="H87" s="38">
        <f t="shared" si="14"/>
        <v>0</v>
      </c>
      <c r="I87" s="11" t="s">
        <v>17</v>
      </c>
    </row>
    <row r="88" spans="2:13" x14ac:dyDescent="0.2">
      <c r="B88" s="7"/>
      <c r="F88" s="5">
        <v>0</v>
      </c>
      <c r="G88" s="41">
        <v>0</v>
      </c>
      <c r="H88" s="38">
        <f t="shared" si="14"/>
        <v>0</v>
      </c>
      <c r="M88" s="3"/>
    </row>
    <row r="89" spans="2:13" x14ac:dyDescent="0.2">
      <c r="E89" s="1"/>
      <c r="F89" s="69">
        <f>SUM(F82:F88)</f>
        <v>304000</v>
      </c>
      <c r="G89" s="39">
        <f>SUM(G82:G88)</f>
        <v>0</v>
      </c>
      <c r="H89" s="39">
        <f>SUM(H82:H88)</f>
        <v>304000</v>
      </c>
    </row>
    <row r="90" spans="2:13" x14ac:dyDescent="0.2">
      <c r="E90" s="1"/>
      <c r="F90" s="61"/>
      <c r="G90" s="27"/>
      <c r="H90" s="27"/>
    </row>
    <row r="91" spans="2:13" x14ac:dyDescent="0.2">
      <c r="B91" s="1"/>
      <c r="E91" s="1"/>
      <c r="F91" s="61"/>
      <c r="G91" s="27"/>
      <c r="H91" s="27"/>
    </row>
    <row r="92" spans="2:13" x14ac:dyDescent="0.2">
      <c r="B92" s="1" t="s">
        <v>616</v>
      </c>
      <c r="E92" s="1"/>
      <c r="F92" s="61">
        <f>+Consulting!E48</f>
        <v>8063</v>
      </c>
      <c r="G92" s="27"/>
      <c r="H92" s="27"/>
    </row>
    <row r="93" spans="2:13" x14ac:dyDescent="0.2">
      <c r="F93" s="71"/>
      <c r="G93" s="40"/>
      <c r="H93" s="40"/>
      <c r="I93" s="10"/>
      <c r="J93" s="8"/>
      <c r="K93" s="8"/>
      <c r="L93" s="8"/>
      <c r="M93" s="10"/>
    </row>
    <row r="94" spans="2:13" ht="13.5" thickBot="1" x14ac:dyDescent="0.25">
      <c r="E94" s="1" t="s">
        <v>15</v>
      </c>
      <c r="F94" s="72">
        <f>+SUM(F11,F15,F19,F24,F26,F30,F32,F34,F36,F38,F40,F41,F46,F52,F54,F61,F73,F80,F89,F91,F92)</f>
        <v>3427574.2412</v>
      </c>
      <c r="G94" s="42">
        <f t="shared" ref="G94:H94" si="15">+SUM(G11,G15,G19,G24,G26,G30,G32,G34,G36,G38,G40,G41,G46,G52,G54,G61,G73,G80,G89,G91,G92)</f>
        <v>375526.81000000006</v>
      </c>
      <c r="H94" s="42">
        <f t="shared" si="15"/>
        <v>2949388.3212000001</v>
      </c>
      <c r="I94" s="8"/>
      <c r="J94" s="8"/>
      <c r="K94" s="8"/>
      <c r="L94" s="8"/>
      <c r="M94" s="8"/>
    </row>
    <row r="95" spans="2:13" ht="13.5" thickTop="1" x14ac:dyDescent="0.2">
      <c r="B95" t="s">
        <v>23</v>
      </c>
      <c r="F95" s="73">
        <f>ROUND(+F94/5,0)</f>
        <v>685515</v>
      </c>
      <c r="G95" s="43">
        <f>ROUND(+G94/5,0)</f>
        <v>75105</v>
      </c>
      <c r="H95" s="43">
        <f>ROUND(+H94/5,0)</f>
        <v>589878</v>
      </c>
      <c r="I95" s="10"/>
      <c r="J95" s="8"/>
      <c r="K95" s="8"/>
      <c r="L95" s="9"/>
      <c r="M95" s="9"/>
    </row>
    <row r="96" spans="2:13" ht="63.75" x14ac:dyDescent="0.2">
      <c r="F96" s="75" t="s">
        <v>658</v>
      </c>
      <c r="G96" s="56"/>
      <c r="H96" s="56" t="s">
        <v>659</v>
      </c>
      <c r="I96" s="75" t="s">
        <v>664</v>
      </c>
      <c r="J96" s="8"/>
      <c r="K96" s="8"/>
      <c r="L96" s="9"/>
      <c r="M96" s="9"/>
    </row>
    <row r="97" spans="5:13" x14ac:dyDescent="0.2">
      <c r="E97" t="s">
        <v>660</v>
      </c>
      <c r="F97" s="76">
        <v>0.71879999999999999</v>
      </c>
      <c r="G97" s="57">
        <f>ROUND(F97*$F$94,0)</f>
        <v>2463740</v>
      </c>
      <c r="H97" s="57">
        <f>ROUND(F97*$F$95,0)-1</f>
        <v>492747</v>
      </c>
      <c r="I97" s="57">
        <f>+G97/11</f>
        <v>223976.36363636365</v>
      </c>
      <c r="J97" s="57">
        <f>ROUND(H97/12,0)</f>
        <v>41062</v>
      </c>
      <c r="K97" s="77"/>
      <c r="L97" s="57">
        <f>ROUND(J97/2,0)</f>
        <v>20531</v>
      </c>
      <c r="M97" s="15"/>
    </row>
    <row r="98" spans="5:13" x14ac:dyDescent="0.2">
      <c r="E98" t="s">
        <v>661</v>
      </c>
      <c r="F98" s="76">
        <v>0.27679999999999999</v>
      </c>
      <c r="G98" s="57">
        <f t="shared" ref="G98:G100" si="16">ROUND(F98*$F$94,0)</f>
        <v>948753</v>
      </c>
      <c r="H98" s="57">
        <f>ROUND(F98*$F$95,0)</f>
        <v>189751</v>
      </c>
      <c r="I98" s="57">
        <f t="shared" ref="I98:I100" si="17">+G98/11</f>
        <v>86250.272727272721</v>
      </c>
      <c r="J98" s="57">
        <f t="shared" ref="J98:J100" si="18">ROUND(H98/12,0)</f>
        <v>15813</v>
      </c>
      <c r="K98" s="77"/>
      <c r="L98" s="57">
        <f t="shared" ref="L98:L100" si="19">ROUND(J98/2,0)</f>
        <v>7907</v>
      </c>
      <c r="M98" s="15"/>
    </row>
    <row r="99" spans="5:13" x14ac:dyDescent="0.2">
      <c r="E99" t="s">
        <v>662</v>
      </c>
      <c r="F99" s="76">
        <v>1.6999999999999999E-3</v>
      </c>
      <c r="G99" s="57">
        <f t="shared" si="16"/>
        <v>5827</v>
      </c>
      <c r="H99" s="57">
        <f t="shared" ref="H99:H100" si="20">ROUND(F99*$F$95,0)</f>
        <v>1165</v>
      </c>
      <c r="I99" s="57">
        <f t="shared" si="17"/>
        <v>529.72727272727275</v>
      </c>
      <c r="J99" s="57">
        <f t="shared" si="18"/>
        <v>97</v>
      </c>
      <c r="K99" s="77"/>
      <c r="L99" s="57">
        <f t="shared" si="19"/>
        <v>49</v>
      </c>
      <c r="M99" s="15"/>
    </row>
    <row r="100" spans="5:13" x14ac:dyDescent="0.2">
      <c r="E100" t="s">
        <v>663</v>
      </c>
      <c r="F100" s="76">
        <v>2.7000000000000001E-3</v>
      </c>
      <c r="G100" s="57">
        <f t="shared" si="16"/>
        <v>9254</v>
      </c>
      <c r="H100" s="57">
        <f t="shared" si="20"/>
        <v>1851</v>
      </c>
      <c r="I100" s="57">
        <f t="shared" si="17"/>
        <v>841.27272727272725</v>
      </c>
      <c r="J100" s="57">
        <f t="shared" si="18"/>
        <v>154</v>
      </c>
      <c r="K100" s="77"/>
      <c r="L100" s="57">
        <f t="shared" si="19"/>
        <v>77</v>
      </c>
      <c r="M100" s="15"/>
    </row>
    <row r="101" spans="5:13" ht="13.5" thickBot="1" x14ac:dyDescent="0.25">
      <c r="F101" s="78">
        <f>SUM(F97:F100)</f>
        <v>1</v>
      </c>
      <c r="G101" s="79">
        <f>SUM(G97:G100)</f>
        <v>3427574</v>
      </c>
      <c r="H101" s="79">
        <f>SUM(H97:H100)</f>
        <v>685514</v>
      </c>
      <c r="I101" s="79">
        <f>SUM(I97:I100)</f>
        <v>311597.63636363635</v>
      </c>
      <c r="J101" s="79">
        <f>SUM(J97:J100)</f>
        <v>57126</v>
      </c>
      <c r="K101" s="79"/>
      <c r="L101" s="79">
        <f>SUM(L97:L100)</f>
        <v>28564</v>
      </c>
      <c r="M101" s="15"/>
    </row>
    <row r="102" spans="5:13" ht="13.5" thickTop="1" x14ac:dyDescent="0.2">
      <c r="F102" s="80"/>
      <c r="G102" s="56"/>
      <c r="H102" s="56"/>
    </row>
    <row r="103" spans="5:13" x14ac:dyDescent="0.2">
      <c r="F103" s="80"/>
      <c r="G103" s="81">
        <f>+G101-F94</f>
        <v>-0.24120000004768372</v>
      </c>
      <c r="H103" s="81">
        <f>+H101-F95</f>
        <v>-1</v>
      </c>
    </row>
    <row r="104" spans="5:13" x14ac:dyDescent="0.2">
      <c r="F104" s="80"/>
      <c r="G104" s="56"/>
      <c r="H104" s="56"/>
    </row>
    <row r="105" spans="5:13" x14ac:dyDescent="0.2">
      <c r="F105" s="80"/>
      <c r="G105" s="56"/>
      <c r="H105" s="56"/>
    </row>
    <row r="106" spans="5:13" x14ac:dyDescent="0.2">
      <c r="F106" s="80"/>
      <c r="G106" s="56"/>
      <c r="H106" s="56"/>
    </row>
    <row r="107" spans="5:13" x14ac:dyDescent="0.2">
      <c r="F107" s="80"/>
      <c r="G107" s="56"/>
      <c r="H107" s="56"/>
    </row>
    <row r="108" spans="5:13" x14ac:dyDescent="0.2">
      <c r="F108" s="80"/>
      <c r="G108" s="56"/>
      <c r="H108" s="56"/>
    </row>
    <row r="109" spans="5:13" x14ac:dyDescent="0.2">
      <c r="F109" s="80"/>
      <c r="G109" s="56"/>
      <c r="H109" s="56"/>
    </row>
    <row r="110" spans="5:13" x14ac:dyDescent="0.2">
      <c r="F110" s="80"/>
      <c r="G110" s="56"/>
      <c r="H110" s="56"/>
    </row>
    <row r="111" spans="5:13" x14ac:dyDescent="0.2">
      <c r="F111" s="80"/>
      <c r="G111" s="56"/>
      <c r="H111" s="56"/>
    </row>
    <row r="112" spans="5:13" x14ac:dyDescent="0.2">
      <c r="F112" s="80"/>
      <c r="G112" s="56"/>
      <c r="H112" s="56"/>
    </row>
    <row r="113" spans="6:8" x14ac:dyDescent="0.2">
      <c r="F113" s="80"/>
      <c r="G113" s="56"/>
      <c r="H113" s="56"/>
    </row>
    <row r="114" spans="6:8" x14ac:dyDescent="0.2">
      <c r="F114" s="80"/>
      <c r="G114" s="56"/>
      <c r="H114" s="56"/>
    </row>
    <row r="115" spans="6:8" x14ac:dyDescent="0.2">
      <c r="F115" s="80"/>
      <c r="G115" s="56"/>
      <c r="H115" s="56"/>
    </row>
    <row r="116" spans="6:8" x14ac:dyDescent="0.2">
      <c r="F116" s="80"/>
      <c r="G116" s="56"/>
      <c r="H116" s="56"/>
    </row>
    <row r="117" spans="6:8" x14ac:dyDescent="0.2">
      <c r="F117" s="80"/>
      <c r="G117" s="56"/>
      <c r="H117" s="56"/>
    </row>
    <row r="118" spans="6:8" x14ac:dyDescent="0.2">
      <c r="F118" s="80"/>
      <c r="G118" s="56"/>
      <c r="H118" s="56"/>
    </row>
    <row r="119" spans="6:8" x14ac:dyDescent="0.2">
      <c r="F119" s="80"/>
      <c r="G119" s="56"/>
      <c r="H119" s="56"/>
    </row>
    <row r="120" spans="6:8" x14ac:dyDescent="0.2">
      <c r="F120" s="80"/>
      <c r="G120" s="56"/>
      <c r="H120" s="56"/>
    </row>
    <row r="121" spans="6:8" x14ac:dyDescent="0.2">
      <c r="F121" s="80"/>
      <c r="G121" s="56"/>
      <c r="H121" s="56"/>
    </row>
    <row r="122" spans="6:8" x14ac:dyDescent="0.2">
      <c r="F122" s="80"/>
      <c r="G122" s="56"/>
      <c r="H122" s="56"/>
    </row>
    <row r="123" spans="6:8" x14ac:dyDescent="0.2">
      <c r="F123" s="80"/>
      <c r="G123" s="56"/>
      <c r="H123" s="56"/>
    </row>
    <row r="124" spans="6:8" x14ac:dyDescent="0.2">
      <c r="F124" s="80"/>
      <c r="G124" s="56"/>
      <c r="H124" s="56"/>
    </row>
    <row r="125" spans="6:8" x14ac:dyDescent="0.2">
      <c r="F125" s="80"/>
      <c r="G125" s="56"/>
      <c r="H125" s="56"/>
    </row>
    <row r="126" spans="6:8" x14ac:dyDescent="0.2">
      <c r="F126" s="80"/>
      <c r="G126" s="56"/>
      <c r="H126" s="56"/>
    </row>
    <row r="127" spans="6:8" x14ac:dyDescent="0.2">
      <c r="F127" s="80"/>
      <c r="G127" s="56"/>
      <c r="H127" s="56"/>
    </row>
    <row r="128" spans="6:8" x14ac:dyDescent="0.2">
      <c r="F128" s="80"/>
      <c r="G128" s="56"/>
      <c r="H128" s="56"/>
    </row>
    <row r="129" spans="6:8" x14ac:dyDescent="0.2">
      <c r="F129" s="80"/>
      <c r="G129" s="56"/>
      <c r="H129" s="56"/>
    </row>
    <row r="130" spans="6:8" x14ac:dyDescent="0.2">
      <c r="F130" s="80"/>
      <c r="G130" s="56"/>
      <c r="H130" s="56"/>
    </row>
    <row r="131" spans="6:8" x14ac:dyDescent="0.2">
      <c r="F131" s="80"/>
      <c r="G131" s="56"/>
      <c r="H131" s="56"/>
    </row>
    <row r="132" spans="6:8" x14ac:dyDescent="0.2">
      <c r="F132" s="80"/>
      <c r="G132" s="56"/>
      <c r="H132" s="56"/>
    </row>
    <row r="133" spans="6:8" x14ac:dyDescent="0.2">
      <c r="F133" s="80"/>
      <c r="G133" s="56"/>
      <c r="H133" s="56"/>
    </row>
    <row r="134" spans="6:8" x14ac:dyDescent="0.2">
      <c r="F134" s="80"/>
      <c r="G134" s="56"/>
      <c r="H134" s="56"/>
    </row>
    <row r="135" spans="6:8" x14ac:dyDescent="0.2">
      <c r="F135" s="80"/>
      <c r="G135" s="56"/>
      <c r="H135" s="56"/>
    </row>
    <row r="136" spans="6:8" x14ac:dyDescent="0.2">
      <c r="F136" s="80"/>
      <c r="G136" s="56"/>
      <c r="H136" s="56"/>
    </row>
    <row r="137" spans="6:8" x14ac:dyDescent="0.2">
      <c r="F137" s="80"/>
      <c r="G137" s="56"/>
      <c r="H137" s="56"/>
    </row>
    <row r="138" spans="6:8" x14ac:dyDescent="0.2">
      <c r="F138" s="80"/>
      <c r="G138" s="56"/>
      <c r="H138" s="56"/>
    </row>
    <row r="139" spans="6:8" x14ac:dyDescent="0.2">
      <c r="F139" s="80"/>
      <c r="G139" s="56"/>
      <c r="H139" s="56"/>
    </row>
    <row r="140" spans="6:8" x14ac:dyDescent="0.2">
      <c r="F140" s="80"/>
      <c r="G140" s="56"/>
      <c r="H140" s="56"/>
    </row>
    <row r="141" spans="6:8" x14ac:dyDescent="0.2">
      <c r="F141" s="80"/>
      <c r="G141" s="56"/>
      <c r="H141" s="56"/>
    </row>
    <row r="142" spans="6:8" x14ac:dyDescent="0.2">
      <c r="F142" s="80"/>
      <c r="G142" s="56"/>
      <c r="H142" s="56"/>
    </row>
    <row r="143" spans="6:8" x14ac:dyDescent="0.2">
      <c r="F143" s="80"/>
      <c r="G143" s="56"/>
      <c r="H143" s="56"/>
    </row>
    <row r="144" spans="6:8" x14ac:dyDescent="0.2">
      <c r="F144" s="80"/>
      <c r="G144" s="56"/>
      <c r="H144" s="56"/>
    </row>
    <row r="145" spans="6:8" x14ac:dyDescent="0.2">
      <c r="F145" s="80"/>
      <c r="G145" s="56"/>
      <c r="H145" s="56"/>
    </row>
    <row r="146" spans="6:8" x14ac:dyDescent="0.2">
      <c r="F146" s="80"/>
      <c r="G146" s="56"/>
      <c r="H146" s="56"/>
    </row>
    <row r="147" spans="6:8" x14ac:dyDescent="0.2">
      <c r="F147" s="80"/>
      <c r="G147" s="56"/>
      <c r="H147" s="56"/>
    </row>
    <row r="148" spans="6:8" x14ac:dyDescent="0.2">
      <c r="F148" s="80"/>
      <c r="G148" s="56"/>
      <c r="H148" s="56"/>
    </row>
    <row r="149" spans="6:8" x14ac:dyDescent="0.2">
      <c r="F149" s="80"/>
      <c r="G149" s="56"/>
      <c r="H149" s="56"/>
    </row>
    <row r="150" spans="6:8" x14ac:dyDescent="0.2">
      <c r="F150" s="80"/>
      <c r="G150" s="56"/>
      <c r="H150" s="56"/>
    </row>
    <row r="151" spans="6:8" x14ac:dyDescent="0.2">
      <c r="F151" s="80"/>
      <c r="G151" s="56"/>
      <c r="H151" s="56"/>
    </row>
    <row r="152" spans="6:8" x14ac:dyDescent="0.2">
      <c r="F152" s="80"/>
      <c r="G152" s="56"/>
      <c r="H152" s="56"/>
    </row>
    <row r="153" spans="6:8" x14ac:dyDescent="0.2">
      <c r="F153" s="80"/>
      <c r="G153" s="56"/>
      <c r="H153" s="56"/>
    </row>
    <row r="154" spans="6:8" x14ac:dyDescent="0.2">
      <c r="F154" s="80"/>
      <c r="G154" s="56"/>
      <c r="H154" s="56"/>
    </row>
    <row r="155" spans="6:8" x14ac:dyDescent="0.2">
      <c r="F155" s="80"/>
      <c r="G155" s="56"/>
      <c r="H155" s="56"/>
    </row>
    <row r="156" spans="6:8" x14ac:dyDescent="0.2">
      <c r="F156" s="80"/>
      <c r="G156" s="56"/>
      <c r="H156" s="56"/>
    </row>
    <row r="157" spans="6:8" x14ac:dyDescent="0.2">
      <c r="F157" s="80"/>
      <c r="G157" s="56"/>
      <c r="H157" s="56"/>
    </row>
    <row r="158" spans="6:8" x14ac:dyDescent="0.2">
      <c r="F158" s="80"/>
      <c r="G158" s="56"/>
      <c r="H158" s="56"/>
    </row>
    <row r="159" spans="6:8" x14ac:dyDescent="0.2">
      <c r="F159" s="80"/>
      <c r="G159" s="56"/>
      <c r="H159" s="56"/>
    </row>
    <row r="160" spans="6:8" x14ac:dyDescent="0.2">
      <c r="F160" s="80"/>
      <c r="G160" s="56"/>
      <c r="H160" s="56"/>
    </row>
    <row r="161" spans="6:8" x14ac:dyDescent="0.2">
      <c r="F161" s="80"/>
      <c r="G161" s="56"/>
      <c r="H161" s="56"/>
    </row>
    <row r="162" spans="6:8" x14ac:dyDescent="0.2">
      <c r="F162" s="80"/>
      <c r="G162" s="56"/>
      <c r="H162" s="56"/>
    </row>
    <row r="163" spans="6:8" x14ac:dyDescent="0.2">
      <c r="F163" s="80"/>
      <c r="G163" s="56"/>
      <c r="H163" s="56"/>
    </row>
    <row r="164" spans="6:8" x14ac:dyDescent="0.2">
      <c r="F164" s="80"/>
      <c r="G164" s="56"/>
      <c r="H164" s="56"/>
    </row>
    <row r="165" spans="6:8" x14ac:dyDescent="0.2">
      <c r="F165" s="80"/>
      <c r="G165" s="56"/>
      <c r="H165" s="56"/>
    </row>
    <row r="166" spans="6:8" x14ac:dyDescent="0.2">
      <c r="F166" s="80"/>
      <c r="G166" s="56"/>
      <c r="H166" s="56"/>
    </row>
    <row r="167" spans="6:8" x14ac:dyDescent="0.2">
      <c r="F167" s="80"/>
      <c r="G167" s="56"/>
      <c r="H167" s="56"/>
    </row>
    <row r="168" spans="6:8" x14ac:dyDescent="0.2">
      <c r="F168" s="80"/>
      <c r="G168" s="56"/>
      <c r="H168" s="56"/>
    </row>
    <row r="169" spans="6:8" x14ac:dyDescent="0.2">
      <c r="F169" s="80"/>
      <c r="G169" s="56"/>
      <c r="H169" s="56"/>
    </row>
    <row r="170" spans="6:8" x14ac:dyDescent="0.2">
      <c r="F170" s="80"/>
      <c r="G170" s="56"/>
      <c r="H170" s="56"/>
    </row>
    <row r="171" spans="6:8" x14ac:dyDescent="0.2">
      <c r="F171" s="80"/>
      <c r="G171" s="56"/>
      <c r="H171" s="56"/>
    </row>
    <row r="172" spans="6:8" x14ac:dyDescent="0.2">
      <c r="F172" s="80"/>
      <c r="G172" s="56"/>
      <c r="H172" s="56"/>
    </row>
    <row r="173" spans="6:8" x14ac:dyDescent="0.2">
      <c r="F173" s="80"/>
      <c r="G173" s="56"/>
      <c r="H173" s="56"/>
    </row>
    <row r="174" spans="6:8" x14ac:dyDescent="0.2">
      <c r="F174" s="80"/>
      <c r="G174" s="56"/>
      <c r="H174" s="56"/>
    </row>
    <row r="175" spans="6:8" x14ac:dyDescent="0.2">
      <c r="F175" s="80"/>
      <c r="G175" s="56"/>
      <c r="H175" s="56"/>
    </row>
    <row r="176" spans="6:8" x14ac:dyDescent="0.2">
      <c r="F176" s="80"/>
      <c r="G176" s="56"/>
      <c r="H176" s="56"/>
    </row>
    <row r="177" spans="6:8" x14ac:dyDescent="0.2">
      <c r="F177" s="80"/>
      <c r="G177" s="56"/>
      <c r="H177" s="56"/>
    </row>
    <row r="178" spans="6:8" x14ac:dyDescent="0.2">
      <c r="F178" s="80"/>
      <c r="G178" s="56"/>
      <c r="H178" s="56"/>
    </row>
    <row r="179" spans="6:8" x14ac:dyDescent="0.2">
      <c r="F179" s="80"/>
      <c r="G179" s="56"/>
      <c r="H179" s="56"/>
    </row>
    <row r="180" spans="6:8" x14ac:dyDescent="0.2">
      <c r="F180" s="80"/>
      <c r="G180" s="56"/>
      <c r="H180" s="56"/>
    </row>
    <row r="181" spans="6:8" x14ac:dyDescent="0.2">
      <c r="F181" s="80"/>
      <c r="G181" s="56"/>
      <c r="H181" s="56"/>
    </row>
    <row r="182" spans="6:8" x14ac:dyDescent="0.2">
      <c r="F182" s="80"/>
      <c r="G182" s="56"/>
      <c r="H182" s="56"/>
    </row>
    <row r="183" spans="6:8" x14ac:dyDescent="0.2">
      <c r="F183" s="80"/>
      <c r="G183" s="56"/>
      <c r="H183" s="56"/>
    </row>
    <row r="184" spans="6:8" x14ac:dyDescent="0.2">
      <c r="F184" s="80"/>
      <c r="G184" s="56"/>
      <c r="H184" s="56"/>
    </row>
    <row r="185" spans="6:8" x14ac:dyDescent="0.2">
      <c r="F185" s="80"/>
      <c r="G185" s="56"/>
      <c r="H185" s="56"/>
    </row>
    <row r="186" spans="6:8" x14ac:dyDescent="0.2">
      <c r="F186" s="80"/>
      <c r="G186" s="56"/>
      <c r="H186" s="56"/>
    </row>
    <row r="187" spans="6:8" x14ac:dyDescent="0.2">
      <c r="F187" s="80"/>
      <c r="G187" s="56"/>
      <c r="H187" s="56"/>
    </row>
    <row r="188" spans="6:8" x14ac:dyDescent="0.2">
      <c r="F188" s="80"/>
      <c r="G188" s="56"/>
      <c r="H188" s="56"/>
    </row>
    <row r="189" spans="6:8" x14ac:dyDescent="0.2">
      <c r="F189" s="80"/>
      <c r="G189" s="56"/>
      <c r="H189" s="56"/>
    </row>
    <row r="190" spans="6:8" x14ac:dyDescent="0.2">
      <c r="F190" s="80"/>
      <c r="G190" s="56"/>
      <c r="H190" s="56"/>
    </row>
    <row r="191" spans="6:8" x14ac:dyDescent="0.2">
      <c r="F191" s="80"/>
      <c r="G191" s="56"/>
      <c r="H191" s="56"/>
    </row>
    <row r="192" spans="6:8" x14ac:dyDescent="0.2">
      <c r="F192" s="80"/>
      <c r="G192" s="56"/>
      <c r="H192" s="56"/>
    </row>
    <row r="193" spans="6:8" x14ac:dyDescent="0.2">
      <c r="F193" s="80"/>
      <c r="G193" s="56"/>
      <c r="H193" s="56"/>
    </row>
    <row r="194" spans="6:8" x14ac:dyDescent="0.2">
      <c r="F194" s="80"/>
      <c r="G194" s="56"/>
      <c r="H194" s="56"/>
    </row>
    <row r="195" spans="6:8" x14ac:dyDescent="0.2">
      <c r="F195" s="80"/>
      <c r="G195" s="56"/>
      <c r="H195" s="56"/>
    </row>
    <row r="196" spans="6:8" x14ac:dyDescent="0.2">
      <c r="F196" s="80"/>
      <c r="G196" s="56"/>
      <c r="H196" s="56"/>
    </row>
    <row r="197" spans="6:8" x14ac:dyDescent="0.2">
      <c r="F197" s="80"/>
      <c r="G197" s="56"/>
      <c r="H197" s="56"/>
    </row>
    <row r="198" spans="6:8" x14ac:dyDescent="0.2">
      <c r="F198" s="80"/>
      <c r="G198" s="56"/>
      <c r="H198" s="56"/>
    </row>
    <row r="199" spans="6:8" x14ac:dyDescent="0.2">
      <c r="F199" s="80"/>
      <c r="G199" s="56"/>
      <c r="H199" s="56"/>
    </row>
    <row r="200" spans="6:8" x14ac:dyDescent="0.2">
      <c r="F200" s="80"/>
      <c r="G200" s="56"/>
      <c r="H200" s="56"/>
    </row>
    <row r="201" spans="6:8" x14ac:dyDescent="0.2">
      <c r="F201" s="80"/>
      <c r="G201" s="56"/>
      <c r="H201" s="56"/>
    </row>
    <row r="202" spans="6:8" x14ac:dyDescent="0.2">
      <c r="F202" s="80"/>
      <c r="G202" s="56"/>
      <c r="H202" s="56"/>
    </row>
    <row r="203" spans="6:8" x14ac:dyDescent="0.2">
      <c r="F203" s="80"/>
      <c r="G203" s="56"/>
      <c r="H203" s="56"/>
    </row>
    <row r="204" spans="6:8" x14ac:dyDescent="0.2">
      <c r="F204" s="80"/>
      <c r="G204" s="56"/>
      <c r="H204" s="56"/>
    </row>
    <row r="205" spans="6:8" x14ac:dyDescent="0.2">
      <c r="F205" s="80"/>
      <c r="G205" s="56"/>
      <c r="H205" s="56"/>
    </row>
    <row r="206" spans="6:8" x14ac:dyDescent="0.2">
      <c r="F206" s="80"/>
      <c r="G206" s="56"/>
      <c r="H206" s="56"/>
    </row>
    <row r="207" spans="6:8" x14ac:dyDescent="0.2">
      <c r="F207" s="80"/>
      <c r="G207" s="56"/>
      <c r="H207" s="56"/>
    </row>
    <row r="208" spans="6:8" x14ac:dyDescent="0.2">
      <c r="F208" s="80"/>
      <c r="G208" s="56"/>
      <c r="H208" s="56"/>
    </row>
    <row r="209" spans="6:8" x14ac:dyDescent="0.2">
      <c r="F209" s="80"/>
      <c r="G209" s="56"/>
      <c r="H209" s="56"/>
    </row>
    <row r="210" spans="6:8" x14ac:dyDescent="0.2">
      <c r="F210" s="80"/>
      <c r="G210" s="56"/>
      <c r="H210" s="56"/>
    </row>
    <row r="211" spans="6:8" x14ac:dyDescent="0.2">
      <c r="F211" s="80"/>
      <c r="G211" s="56"/>
      <c r="H211" s="56"/>
    </row>
    <row r="212" spans="6:8" x14ac:dyDescent="0.2">
      <c r="F212" s="80"/>
      <c r="G212" s="56"/>
      <c r="H212" s="56"/>
    </row>
    <row r="213" spans="6:8" x14ac:dyDescent="0.2">
      <c r="F213" s="80"/>
      <c r="G213" s="56"/>
      <c r="H213" s="56"/>
    </row>
    <row r="214" spans="6:8" x14ac:dyDescent="0.2">
      <c r="F214" s="80"/>
      <c r="G214" s="56"/>
      <c r="H214" s="56"/>
    </row>
    <row r="215" spans="6:8" x14ac:dyDescent="0.2">
      <c r="F215" s="80"/>
      <c r="G215" s="56"/>
      <c r="H215" s="56"/>
    </row>
    <row r="216" spans="6:8" x14ac:dyDescent="0.2">
      <c r="F216" s="80"/>
      <c r="G216" s="56"/>
      <c r="H216" s="56"/>
    </row>
    <row r="217" spans="6:8" x14ac:dyDescent="0.2">
      <c r="F217" s="80"/>
      <c r="G217" s="56"/>
      <c r="H217" s="56"/>
    </row>
    <row r="218" spans="6:8" x14ac:dyDescent="0.2">
      <c r="F218" s="80"/>
      <c r="G218" s="56"/>
      <c r="H218" s="56"/>
    </row>
    <row r="219" spans="6:8" x14ac:dyDescent="0.2">
      <c r="F219" s="80"/>
      <c r="G219" s="56"/>
      <c r="H219" s="56"/>
    </row>
    <row r="220" spans="6:8" x14ac:dyDescent="0.2">
      <c r="F220" s="80"/>
      <c r="G220" s="56"/>
      <c r="H220" s="56"/>
    </row>
    <row r="221" spans="6:8" x14ac:dyDescent="0.2">
      <c r="F221" s="80"/>
      <c r="G221" s="56"/>
      <c r="H221" s="56"/>
    </row>
    <row r="222" spans="6:8" x14ac:dyDescent="0.2">
      <c r="F222" s="80"/>
      <c r="G222" s="56"/>
      <c r="H222" s="56"/>
    </row>
    <row r="223" spans="6:8" x14ac:dyDescent="0.2">
      <c r="F223" s="80"/>
      <c r="G223" s="56"/>
      <c r="H223" s="56"/>
    </row>
    <row r="224" spans="6:8" x14ac:dyDescent="0.2">
      <c r="F224" s="80"/>
      <c r="G224" s="56"/>
      <c r="H224" s="56"/>
    </row>
    <row r="225" spans="6:8" x14ac:dyDescent="0.2">
      <c r="F225" s="80"/>
      <c r="G225" s="56"/>
      <c r="H225" s="56"/>
    </row>
    <row r="226" spans="6:8" x14ac:dyDescent="0.2">
      <c r="F226" s="80"/>
      <c r="G226" s="56"/>
      <c r="H226" s="56"/>
    </row>
    <row r="227" spans="6:8" x14ac:dyDescent="0.2">
      <c r="F227" s="80"/>
      <c r="G227" s="56"/>
      <c r="H227" s="56"/>
    </row>
    <row r="228" spans="6:8" x14ac:dyDescent="0.2">
      <c r="F228" s="80"/>
      <c r="G228" s="56"/>
      <c r="H228" s="56"/>
    </row>
    <row r="229" spans="6:8" x14ac:dyDescent="0.2">
      <c r="F229" s="80"/>
      <c r="G229" s="56"/>
      <c r="H229" s="56"/>
    </row>
    <row r="230" spans="6:8" x14ac:dyDescent="0.2">
      <c r="F230" s="80"/>
      <c r="G230" s="56"/>
      <c r="H230" s="56"/>
    </row>
    <row r="231" spans="6:8" x14ac:dyDescent="0.2">
      <c r="F231" s="80"/>
      <c r="G231" s="56"/>
      <c r="H231" s="56"/>
    </row>
    <row r="232" spans="6:8" x14ac:dyDescent="0.2">
      <c r="F232" s="80"/>
      <c r="G232" s="56"/>
      <c r="H232" s="56"/>
    </row>
    <row r="233" spans="6:8" x14ac:dyDescent="0.2">
      <c r="F233" s="80"/>
      <c r="G233" s="56"/>
      <c r="H233" s="56"/>
    </row>
    <row r="234" spans="6:8" x14ac:dyDescent="0.2">
      <c r="F234" s="80"/>
      <c r="G234" s="56"/>
      <c r="H234" s="56"/>
    </row>
    <row r="235" spans="6:8" x14ac:dyDescent="0.2">
      <c r="F235" s="80"/>
      <c r="G235" s="56"/>
      <c r="H235" s="56"/>
    </row>
    <row r="236" spans="6:8" x14ac:dyDescent="0.2">
      <c r="F236" s="80"/>
      <c r="G236" s="56"/>
      <c r="H236" s="56"/>
    </row>
    <row r="237" spans="6:8" x14ac:dyDescent="0.2">
      <c r="F237" s="80"/>
      <c r="G237" s="56"/>
      <c r="H237" s="56"/>
    </row>
    <row r="238" spans="6:8" x14ac:dyDescent="0.2">
      <c r="F238" s="80"/>
      <c r="G238" s="56"/>
      <c r="H238" s="56"/>
    </row>
    <row r="239" spans="6:8" x14ac:dyDescent="0.2">
      <c r="F239" s="80"/>
      <c r="G239" s="56"/>
      <c r="H239" s="56"/>
    </row>
    <row r="240" spans="6:8" x14ac:dyDescent="0.2">
      <c r="F240" s="80"/>
      <c r="G240" s="56"/>
      <c r="H240" s="56"/>
    </row>
    <row r="241" spans="6:8" x14ac:dyDescent="0.2">
      <c r="F241" s="80"/>
      <c r="G241" s="56"/>
      <c r="H241" s="56"/>
    </row>
    <row r="242" spans="6:8" x14ac:dyDescent="0.2">
      <c r="F242" s="80"/>
      <c r="G242" s="56"/>
      <c r="H242" s="56"/>
    </row>
    <row r="243" spans="6:8" x14ac:dyDescent="0.2">
      <c r="F243" s="80"/>
      <c r="G243" s="56"/>
      <c r="H243" s="56"/>
    </row>
    <row r="244" spans="6:8" x14ac:dyDescent="0.2">
      <c r="F244" s="80"/>
      <c r="G244" s="56"/>
      <c r="H244" s="56"/>
    </row>
    <row r="245" spans="6:8" x14ac:dyDescent="0.2">
      <c r="F245" s="80"/>
      <c r="G245" s="56"/>
      <c r="H245" s="56"/>
    </row>
    <row r="246" spans="6:8" x14ac:dyDescent="0.2">
      <c r="F246" s="80"/>
      <c r="G246" s="56"/>
      <c r="H246" s="56"/>
    </row>
    <row r="247" spans="6:8" x14ac:dyDescent="0.2">
      <c r="F247" s="80"/>
      <c r="G247" s="56"/>
      <c r="H247" s="56"/>
    </row>
    <row r="248" spans="6:8" x14ac:dyDescent="0.2">
      <c r="F248" s="80"/>
      <c r="G248" s="56"/>
      <c r="H248" s="56"/>
    </row>
    <row r="249" spans="6:8" x14ac:dyDescent="0.2">
      <c r="F249" s="80"/>
      <c r="G249" s="56"/>
      <c r="H249" s="56"/>
    </row>
    <row r="250" spans="6:8" x14ac:dyDescent="0.2">
      <c r="F250" s="80"/>
      <c r="G250" s="56"/>
      <c r="H250" s="56"/>
    </row>
    <row r="251" spans="6:8" x14ac:dyDescent="0.2">
      <c r="F251" s="80"/>
      <c r="G251" s="56"/>
      <c r="H251" s="56"/>
    </row>
    <row r="252" spans="6:8" x14ac:dyDescent="0.2">
      <c r="F252" s="80"/>
      <c r="G252" s="56"/>
      <c r="H252" s="56"/>
    </row>
    <row r="253" spans="6:8" x14ac:dyDescent="0.2">
      <c r="F253" s="80"/>
      <c r="G253" s="56"/>
      <c r="H253" s="56"/>
    </row>
    <row r="254" spans="6:8" x14ac:dyDescent="0.2">
      <c r="F254" s="80"/>
      <c r="G254" s="56"/>
      <c r="H254" s="56"/>
    </row>
    <row r="255" spans="6:8" x14ac:dyDescent="0.2">
      <c r="F255" s="80"/>
      <c r="G255" s="56"/>
      <c r="H255" s="56"/>
    </row>
    <row r="256" spans="6:8" x14ac:dyDescent="0.2">
      <c r="F256" s="80"/>
      <c r="G256" s="56"/>
      <c r="H256" s="56"/>
    </row>
    <row r="257" spans="6:8" x14ac:dyDescent="0.2">
      <c r="F257" s="80"/>
      <c r="G257" s="56"/>
      <c r="H257" s="56"/>
    </row>
    <row r="258" spans="6:8" x14ac:dyDescent="0.2">
      <c r="F258" s="80"/>
      <c r="G258" s="56"/>
      <c r="H258" s="56"/>
    </row>
    <row r="259" spans="6:8" x14ac:dyDescent="0.2">
      <c r="F259" s="80"/>
      <c r="G259" s="56"/>
      <c r="H259" s="56"/>
    </row>
    <row r="260" spans="6:8" x14ac:dyDescent="0.2">
      <c r="F260" s="80"/>
      <c r="G260" s="56"/>
      <c r="H260" s="56"/>
    </row>
    <row r="261" spans="6:8" x14ac:dyDescent="0.2">
      <c r="F261" s="80"/>
      <c r="G261" s="56"/>
      <c r="H261" s="56"/>
    </row>
    <row r="262" spans="6:8" x14ac:dyDescent="0.2">
      <c r="F262" s="80"/>
      <c r="G262" s="56"/>
      <c r="H262" s="56"/>
    </row>
    <row r="263" spans="6:8" x14ac:dyDescent="0.2">
      <c r="F263" s="80"/>
      <c r="G263" s="56"/>
      <c r="H263" s="56"/>
    </row>
    <row r="264" spans="6:8" x14ac:dyDescent="0.2">
      <c r="F264" s="80"/>
      <c r="G264" s="56"/>
      <c r="H264" s="56"/>
    </row>
    <row r="265" spans="6:8" x14ac:dyDescent="0.2">
      <c r="F265" s="80"/>
      <c r="G265" s="56"/>
      <c r="H265" s="56"/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in="1" max="1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68"/>
  <sheetViews>
    <sheetView topLeftCell="I1" workbookViewId="0">
      <selection activeCell="L309" sqref="L309"/>
    </sheetView>
  </sheetViews>
  <sheetFormatPr defaultRowHeight="12.75" x14ac:dyDescent="0.2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8" width="10.7109375" bestFit="1" customWidth="1"/>
    <col min="9" max="9" width="15.85546875" bestFit="1" customWidth="1"/>
    <col min="10" max="10" width="9.85546875" bestFit="1" customWidth="1"/>
    <col min="11" max="11" width="42.7109375" bestFit="1" customWidth="1"/>
    <col min="12" max="12" width="44.28515625" bestFit="1" customWidth="1"/>
    <col min="13" max="13" width="19.2851562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 ht="15" x14ac:dyDescent="0.25">
      <c r="A1" s="32" t="s">
        <v>63</v>
      </c>
      <c r="B1" s="32" t="s">
        <v>64</v>
      </c>
      <c r="C1" s="32" t="s">
        <v>65</v>
      </c>
      <c r="D1" s="32" t="s">
        <v>66</v>
      </c>
      <c r="E1" s="32" t="s">
        <v>67</v>
      </c>
      <c r="F1" s="32" t="s">
        <v>68</v>
      </c>
      <c r="G1" s="32" t="s">
        <v>69</v>
      </c>
      <c r="H1" s="32" t="s">
        <v>70</v>
      </c>
      <c r="I1" s="32" t="s">
        <v>71</v>
      </c>
      <c r="J1" s="33" t="s">
        <v>27</v>
      </c>
      <c r="K1" s="32" t="s">
        <v>26</v>
      </c>
      <c r="L1" s="32" t="s">
        <v>72</v>
      </c>
      <c r="M1" s="32" t="s">
        <v>73</v>
      </c>
      <c r="N1" s="32" t="s">
        <v>74</v>
      </c>
      <c r="O1" s="34" t="s">
        <v>75</v>
      </c>
      <c r="P1" s="34" t="s">
        <v>76</v>
      </c>
      <c r="Q1" s="32" t="s">
        <v>77</v>
      </c>
    </row>
    <row r="2" spans="1:17" ht="15" x14ac:dyDescent="0.25">
      <c r="A2" s="29" t="s">
        <v>84</v>
      </c>
      <c r="B2" s="29" t="s">
        <v>85</v>
      </c>
      <c r="C2" s="29" t="s">
        <v>134</v>
      </c>
      <c r="D2" s="29" t="s">
        <v>382</v>
      </c>
      <c r="E2" s="29" t="s">
        <v>87</v>
      </c>
      <c r="F2" s="29" t="s">
        <v>79</v>
      </c>
      <c r="G2" s="29" t="s">
        <v>80</v>
      </c>
      <c r="H2" s="29" t="s">
        <v>81</v>
      </c>
      <c r="I2" s="29" t="s">
        <v>82</v>
      </c>
      <c r="J2" s="30">
        <v>140.29</v>
      </c>
      <c r="K2" s="29" t="s">
        <v>135</v>
      </c>
      <c r="L2" s="29" t="s">
        <v>111</v>
      </c>
      <c r="M2" s="29" t="s">
        <v>136</v>
      </c>
      <c r="N2" s="29" t="s">
        <v>96</v>
      </c>
      <c r="O2" s="31">
        <v>44209</v>
      </c>
      <c r="P2" s="31">
        <v>44210</v>
      </c>
      <c r="Q2" s="29" t="s">
        <v>83</v>
      </c>
    </row>
    <row r="3" spans="1:17" ht="15" x14ac:dyDescent="0.25">
      <c r="A3" s="29" t="s">
        <v>84</v>
      </c>
      <c r="B3" s="29" t="s">
        <v>85</v>
      </c>
      <c r="C3" s="29" t="s">
        <v>134</v>
      </c>
      <c r="D3" s="29" t="s">
        <v>383</v>
      </c>
      <c r="E3" s="29" t="s">
        <v>92</v>
      </c>
      <c r="F3" s="29" t="s">
        <v>79</v>
      </c>
      <c r="G3" s="29" t="s">
        <v>80</v>
      </c>
      <c r="H3" s="29" t="s">
        <v>81</v>
      </c>
      <c r="I3" s="29" t="s">
        <v>82</v>
      </c>
      <c r="J3" s="30">
        <v>140.29</v>
      </c>
      <c r="K3" s="29" t="s">
        <v>135</v>
      </c>
      <c r="L3" s="29" t="s">
        <v>111</v>
      </c>
      <c r="M3" s="29" t="s">
        <v>136</v>
      </c>
      <c r="N3" s="29" t="s">
        <v>96</v>
      </c>
      <c r="O3" s="31">
        <v>44209</v>
      </c>
      <c r="P3" s="31">
        <v>44210</v>
      </c>
      <c r="Q3" s="29" t="s">
        <v>83</v>
      </c>
    </row>
    <row r="4" spans="1:17" ht="15" hidden="1" x14ac:dyDescent="0.25">
      <c r="A4" s="29" t="s">
        <v>84</v>
      </c>
      <c r="B4" s="29" t="s">
        <v>85</v>
      </c>
      <c r="C4" s="29" t="s">
        <v>114</v>
      </c>
      <c r="D4" s="29" t="s">
        <v>382</v>
      </c>
      <c r="E4" s="29" t="s">
        <v>87</v>
      </c>
      <c r="F4" s="29" t="s">
        <v>79</v>
      </c>
      <c r="G4" s="29" t="s">
        <v>80</v>
      </c>
      <c r="H4" s="29" t="s">
        <v>81</v>
      </c>
      <c r="I4" s="29" t="s">
        <v>82</v>
      </c>
      <c r="J4" s="30">
        <v>564.16</v>
      </c>
      <c r="K4" s="29" t="s">
        <v>88</v>
      </c>
      <c r="L4" s="29" t="s">
        <v>89</v>
      </c>
      <c r="M4" s="29" t="s">
        <v>115</v>
      </c>
      <c r="N4" s="29" t="s">
        <v>116</v>
      </c>
      <c r="O4" s="31">
        <v>44246</v>
      </c>
      <c r="P4" s="31">
        <v>44249</v>
      </c>
      <c r="Q4" s="29" t="s">
        <v>83</v>
      </c>
    </row>
    <row r="5" spans="1:17" ht="15" hidden="1" x14ac:dyDescent="0.25">
      <c r="A5" s="29" t="s">
        <v>84</v>
      </c>
      <c r="B5" s="29" t="s">
        <v>85</v>
      </c>
      <c r="C5" s="29" t="s">
        <v>114</v>
      </c>
      <c r="D5" s="29" t="s">
        <v>383</v>
      </c>
      <c r="E5" s="29" t="s">
        <v>92</v>
      </c>
      <c r="F5" s="29" t="s">
        <v>79</v>
      </c>
      <c r="G5" s="29" t="s">
        <v>80</v>
      </c>
      <c r="H5" s="29" t="s">
        <v>81</v>
      </c>
      <c r="I5" s="29" t="s">
        <v>82</v>
      </c>
      <c r="J5" s="30">
        <v>564.16</v>
      </c>
      <c r="K5" s="29" t="s">
        <v>88</v>
      </c>
      <c r="L5" s="29" t="s">
        <v>89</v>
      </c>
      <c r="M5" s="29" t="s">
        <v>115</v>
      </c>
      <c r="N5" s="29" t="s">
        <v>116</v>
      </c>
      <c r="O5" s="31">
        <v>44246</v>
      </c>
      <c r="P5" s="31">
        <v>44249</v>
      </c>
      <c r="Q5" s="29" t="s">
        <v>83</v>
      </c>
    </row>
    <row r="6" spans="1:17" ht="15" hidden="1" x14ac:dyDescent="0.25">
      <c r="A6" s="29" t="s">
        <v>84</v>
      </c>
      <c r="B6" s="29" t="s">
        <v>85</v>
      </c>
      <c r="C6" s="29" t="s">
        <v>86</v>
      </c>
      <c r="D6" s="29" t="s">
        <v>382</v>
      </c>
      <c r="E6" s="29" t="s">
        <v>87</v>
      </c>
      <c r="F6" s="29" t="s">
        <v>79</v>
      </c>
      <c r="G6" s="29" t="s">
        <v>80</v>
      </c>
      <c r="H6" s="29" t="s">
        <v>81</v>
      </c>
      <c r="I6" s="29" t="s">
        <v>82</v>
      </c>
      <c r="J6" s="30">
        <v>2430</v>
      </c>
      <c r="K6" s="29" t="s">
        <v>88</v>
      </c>
      <c r="L6" s="29" t="s">
        <v>89</v>
      </c>
      <c r="M6" s="29" t="s">
        <v>90</v>
      </c>
      <c r="N6" s="29" t="s">
        <v>91</v>
      </c>
      <c r="O6" s="31">
        <v>44249</v>
      </c>
      <c r="P6" s="31">
        <v>44250</v>
      </c>
      <c r="Q6" s="29" t="s">
        <v>83</v>
      </c>
    </row>
    <row r="7" spans="1:17" ht="15" hidden="1" x14ac:dyDescent="0.25">
      <c r="A7" s="29" t="s">
        <v>84</v>
      </c>
      <c r="B7" s="29" t="s">
        <v>85</v>
      </c>
      <c r="C7" s="29" t="s">
        <v>86</v>
      </c>
      <c r="D7" s="29" t="s">
        <v>383</v>
      </c>
      <c r="E7" s="29" t="s">
        <v>92</v>
      </c>
      <c r="F7" s="29" t="s">
        <v>79</v>
      </c>
      <c r="G7" s="29" t="s">
        <v>80</v>
      </c>
      <c r="H7" s="29" t="s">
        <v>81</v>
      </c>
      <c r="I7" s="29" t="s">
        <v>82</v>
      </c>
      <c r="J7" s="30">
        <v>2430</v>
      </c>
      <c r="K7" s="29" t="s">
        <v>88</v>
      </c>
      <c r="L7" s="29" t="s">
        <v>89</v>
      </c>
      <c r="M7" s="29" t="s">
        <v>90</v>
      </c>
      <c r="N7" s="29" t="s">
        <v>91</v>
      </c>
      <c r="O7" s="31">
        <v>44249</v>
      </c>
      <c r="P7" s="31">
        <v>44250</v>
      </c>
      <c r="Q7" s="29" t="s">
        <v>83</v>
      </c>
    </row>
    <row r="8" spans="1:17" ht="15" hidden="1" x14ac:dyDescent="0.25">
      <c r="A8" s="29" t="s">
        <v>84</v>
      </c>
      <c r="B8" s="29" t="s">
        <v>85</v>
      </c>
      <c r="C8" s="29" t="s">
        <v>120</v>
      </c>
      <c r="D8" s="29" t="s">
        <v>382</v>
      </c>
      <c r="E8" s="29" t="s">
        <v>87</v>
      </c>
      <c r="F8" s="29" t="s">
        <v>79</v>
      </c>
      <c r="G8" s="29" t="s">
        <v>80</v>
      </c>
      <c r="H8" s="29" t="s">
        <v>81</v>
      </c>
      <c r="I8" s="29" t="s">
        <v>82</v>
      </c>
      <c r="J8" s="30">
        <v>340.94</v>
      </c>
      <c r="K8" s="29" t="s">
        <v>121</v>
      </c>
      <c r="L8" s="29" t="s">
        <v>122</v>
      </c>
      <c r="M8" s="29" t="s">
        <v>101</v>
      </c>
      <c r="N8" s="29" t="s">
        <v>123</v>
      </c>
      <c r="O8" s="31">
        <v>44258</v>
      </c>
      <c r="P8" s="31">
        <v>44259</v>
      </c>
      <c r="Q8" s="29" t="s">
        <v>83</v>
      </c>
    </row>
    <row r="9" spans="1:17" ht="15" hidden="1" x14ac:dyDescent="0.25">
      <c r="A9" s="29" t="s">
        <v>84</v>
      </c>
      <c r="B9" s="29" t="s">
        <v>85</v>
      </c>
      <c r="C9" s="29" t="s">
        <v>120</v>
      </c>
      <c r="D9" s="29" t="s">
        <v>502</v>
      </c>
      <c r="E9" s="29" t="s">
        <v>406</v>
      </c>
      <c r="F9" s="29" t="s">
        <v>79</v>
      </c>
      <c r="G9" s="29" t="s">
        <v>80</v>
      </c>
      <c r="H9" s="29" t="s">
        <v>81</v>
      </c>
      <c r="I9" s="29" t="s">
        <v>82</v>
      </c>
      <c r="J9" s="30">
        <v>300.64999999999998</v>
      </c>
      <c r="K9" s="29" t="s">
        <v>121</v>
      </c>
      <c r="L9" s="29" t="s">
        <v>122</v>
      </c>
      <c r="M9" s="29" t="s">
        <v>101</v>
      </c>
      <c r="N9" s="29" t="s">
        <v>123</v>
      </c>
      <c r="O9" s="31">
        <v>44258</v>
      </c>
      <c r="P9" s="31">
        <v>44259</v>
      </c>
      <c r="Q9" s="29" t="s">
        <v>83</v>
      </c>
    </row>
    <row r="10" spans="1:17" ht="15" hidden="1" x14ac:dyDescent="0.25">
      <c r="A10" s="29" t="s">
        <v>84</v>
      </c>
      <c r="B10" s="29" t="s">
        <v>85</v>
      </c>
      <c r="C10" s="29" t="s">
        <v>120</v>
      </c>
      <c r="D10" s="29" t="s">
        <v>384</v>
      </c>
      <c r="E10" s="29" t="s">
        <v>108</v>
      </c>
      <c r="F10" s="29" t="s">
        <v>79</v>
      </c>
      <c r="G10" s="29" t="s">
        <v>80</v>
      </c>
      <c r="H10" s="29" t="s">
        <v>81</v>
      </c>
      <c r="I10" s="29" t="s">
        <v>82</v>
      </c>
      <c r="J10" s="30">
        <v>6.58</v>
      </c>
      <c r="K10" s="29" t="s">
        <v>121</v>
      </c>
      <c r="L10" s="29" t="s">
        <v>122</v>
      </c>
      <c r="M10" s="29" t="s">
        <v>101</v>
      </c>
      <c r="N10" s="29" t="s">
        <v>123</v>
      </c>
      <c r="O10" s="31">
        <v>44258</v>
      </c>
      <c r="P10" s="31">
        <v>44259</v>
      </c>
      <c r="Q10" s="29" t="s">
        <v>83</v>
      </c>
    </row>
    <row r="11" spans="1:17" ht="15" hidden="1" x14ac:dyDescent="0.25">
      <c r="A11" s="29" t="s">
        <v>84</v>
      </c>
      <c r="B11" s="29" t="s">
        <v>85</v>
      </c>
      <c r="C11" s="29" t="s">
        <v>120</v>
      </c>
      <c r="D11" s="29" t="s">
        <v>383</v>
      </c>
      <c r="E11" s="29" t="s">
        <v>92</v>
      </c>
      <c r="F11" s="29" t="s">
        <v>79</v>
      </c>
      <c r="G11" s="29" t="s">
        <v>80</v>
      </c>
      <c r="H11" s="29" t="s">
        <v>81</v>
      </c>
      <c r="I11" s="29" t="s">
        <v>82</v>
      </c>
      <c r="J11" s="30">
        <v>726.29</v>
      </c>
      <c r="K11" s="29" t="s">
        <v>121</v>
      </c>
      <c r="L11" s="29" t="s">
        <v>122</v>
      </c>
      <c r="M11" s="29" t="s">
        <v>101</v>
      </c>
      <c r="N11" s="29" t="s">
        <v>123</v>
      </c>
      <c r="O11" s="31">
        <v>44258</v>
      </c>
      <c r="P11" s="31">
        <v>44259</v>
      </c>
      <c r="Q11" s="29" t="s">
        <v>83</v>
      </c>
    </row>
    <row r="12" spans="1:17" ht="15" hidden="1" x14ac:dyDescent="0.25">
      <c r="A12" s="29" t="s">
        <v>84</v>
      </c>
      <c r="B12" s="29" t="s">
        <v>85</v>
      </c>
      <c r="C12" s="29" t="s">
        <v>120</v>
      </c>
      <c r="D12" s="29" t="s">
        <v>385</v>
      </c>
      <c r="E12" s="29" t="s">
        <v>109</v>
      </c>
      <c r="F12" s="29" t="s">
        <v>79</v>
      </c>
      <c r="G12" s="29" t="s">
        <v>80</v>
      </c>
      <c r="H12" s="29" t="s">
        <v>81</v>
      </c>
      <c r="I12" s="29" t="s">
        <v>82</v>
      </c>
      <c r="J12" s="30">
        <v>2.0499999999999998</v>
      </c>
      <c r="K12" s="29" t="s">
        <v>121</v>
      </c>
      <c r="L12" s="29" t="s">
        <v>122</v>
      </c>
      <c r="M12" s="29" t="s">
        <v>101</v>
      </c>
      <c r="N12" s="29" t="s">
        <v>123</v>
      </c>
      <c r="O12" s="31">
        <v>44258</v>
      </c>
      <c r="P12" s="31">
        <v>44259</v>
      </c>
      <c r="Q12" s="29" t="s">
        <v>83</v>
      </c>
    </row>
    <row r="13" spans="1:17" ht="15" hidden="1" x14ac:dyDescent="0.25">
      <c r="A13" s="29" t="s">
        <v>84</v>
      </c>
      <c r="B13" s="29" t="s">
        <v>85</v>
      </c>
      <c r="C13" s="29" t="s">
        <v>105</v>
      </c>
      <c r="D13" s="29" t="s">
        <v>382</v>
      </c>
      <c r="E13" s="29" t="s">
        <v>87</v>
      </c>
      <c r="F13" s="29" t="s">
        <v>79</v>
      </c>
      <c r="G13" s="29" t="s">
        <v>80</v>
      </c>
      <c r="H13" s="29" t="s">
        <v>81</v>
      </c>
      <c r="I13" s="29" t="s">
        <v>82</v>
      </c>
      <c r="J13" s="30">
        <v>555.49</v>
      </c>
      <c r="K13" s="29" t="s">
        <v>88</v>
      </c>
      <c r="L13" s="29" t="s">
        <v>89</v>
      </c>
      <c r="M13" s="29" t="s">
        <v>106</v>
      </c>
      <c r="N13" s="29" t="s">
        <v>107</v>
      </c>
      <c r="O13" s="31">
        <v>44265</v>
      </c>
      <c r="P13" s="31">
        <v>44266</v>
      </c>
      <c r="Q13" s="29" t="s">
        <v>83</v>
      </c>
    </row>
    <row r="14" spans="1:17" ht="15" hidden="1" x14ac:dyDescent="0.25">
      <c r="A14" s="29" t="s">
        <v>84</v>
      </c>
      <c r="B14" s="29" t="s">
        <v>85</v>
      </c>
      <c r="C14" s="29" t="s">
        <v>105</v>
      </c>
      <c r="D14" s="29" t="s">
        <v>384</v>
      </c>
      <c r="E14" s="29" t="s">
        <v>108</v>
      </c>
      <c r="F14" s="29" t="s">
        <v>79</v>
      </c>
      <c r="G14" s="29" t="s">
        <v>80</v>
      </c>
      <c r="H14" s="29" t="s">
        <v>81</v>
      </c>
      <c r="I14" s="29" t="s">
        <v>82</v>
      </c>
      <c r="J14" s="30">
        <v>10.72</v>
      </c>
      <c r="K14" s="29" t="s">
        <v>88</v>
      </c>
      <c r="L14" s="29" t="s">
        <v>89</v>
      </c>
      <c r="M14" s="29" t="s">
        <v>106</v>
      </c>
      <c r="N14" s="29" t="s">
        <v>107</v>
      </c>
      <c r="O14" s="31">
        <v>44265</v>
      </c>
      <c r="P14" s="31">
        <v>44266</v>
      </c>
      <c r="Q14" s="29" t="s">
        <v>83</v>
      </c>
    </row>
    <row r="15" spans="1:17" ht="15" hidden="1" x14ac:dyDescent="0.25">
      <c r="A15" s="29" t="s">
        <v>84</v>
      </c>
      <c r="B15" s="29" t="s">
        <v>85</v>
      </c>
      <c r="C15" s="29" t="s">
        <v>105</v>
      </c>
      <c r="D15" s="29" t="s">
        <v>383</v>
      </c>
      <c r="E15" s="29" t="s">
        <v>92</v>
      </c>
      <c r="F15" s="29" t="s">
        <v>79</v>
      </c>
      <c r="G15" s="29" t="s">
        <v>80</v>
      </c>
      <c r="H15" s="29" t="s">
        <v>81</v>
      </c>
      <c r="I15" s="29" t="s">
        <v>82</v>
      </c>
      <c r="J15" s="30">
        <v>1183.3399999999999</v>
      </c>
      <c r="K15" s="29" t="s">
        <v>88</v>
      </c>
      <c r="L15" s="29" t="s">
        <v>89</v>
      </c>
      <c r="M15" s="29" t="s">
        <v>106</v>
      </c>
      <c r="N15" s="29" t="s">
        <v>107</v>
      </c>
      <c r="O15" s="31">
        <v>44265</v>
      </c>
      <c r="P15" s="31">
        <v>44266</v>
      </c>
      <c r="Q15" s="29" t="s">
        <v>83</v>
      </c>
    </row>
    <row r="16" spans="1:17" ht="15" hidden="1" x14ac:dyDescent="0.25">
      <c r="A16" s="29" t="s">
        <v>84</v>
      </c>
      <c r="B16" s="29" t="s">
        <v>85</v>
      </c>
      <c r="C16" s="29" t="s">
        <v>105</v>
      </c>
      <c r="D16" s="29" t="s">
        <v>385</v>
      </c>
      <c r="E16" s="29" t="s">
        <v>109</v>
      </c>
      <c r="F16" s="29" t="s">
        <v>79</v>
      </c>
      <c r="G16" s="29" t="s">
        <v>80</v>
      </c>
      <c r="H16" s="29" t="s">
        <v>81</v>
      </c>
      <c r="I16" s="29" t="s">
        <v>82</v>
      </c>
      <c r="J16" s="30">
        <v>3.34</v>
      </c>
      <c r="K16" s="29" t="s">
        <v>88</v>
      </c>
      <c r="L16" s="29" t="s">
        <v>89</v>
      </c>
      <c r="M16" s="29" t="s">
        <v>106</v>
      </c>
      <c r="N16" s="29" t="s">
        <v>107</v>
      </c>
      <c r="O16" s="31">
        <v>44265</v>
      </c>
      <c r="P16" s="31">
        <v>44266</v>
      </c>
      <c r="Q16" s="29" t="s">
        <v>83</v>
      </c>
    </row>
    <row r="17" spans="1:17" ht="15" x14ac:dyDescent="0.25">
      <c r="A17" s="29" t="s">
        <v>84</v>
      </c>
      <c r="B17" s="29" t="s">
        <v>85</v>
      </c>
      <c r="C17" s="29" t="s">
        <v>105</v>
      </c>
      <c r="D17" s="29" t="s">
        <v>382</v>
      </c>
      <c r="E17" s="29" t="s">
        <v>87</v>
      </c>
      <c r="F17" s="29" t="s">
        <v>79</v>
      </c>
      <c r="G17" s="29" t="s">
        <v>80</v>
      </c>
      <c r="H17" s="29" t="s">
        <v>81</v>
      </c>
      <c r="I17" s="29" t="s">
        <v>82</v>
      </c>
      <c r="J17" s="30">
        <v>1409.79</v>
      </c>
      <c r="K17" s="29" t="s">
        <v>110</v>
      </c>
      <c r="L17" s="29" t="s">
        <v>111</v>
      </c>
      <c r="M17" s="29" t="s">
        <v>112</v>
      </c>
      <c r="N17" s="29" t="s">
        <v>113</v>
      </c>
      <c r="O17" s="31">
        <v>44265</v>
      </c>
      <c r="P17" s="31">
        <v>44266</v>
      </c>
      <c r="Q17" s="29" t="s">
        <v>83</v>
      </c>
    </row>
    <row r="18" spans="1:17" ht="15" x14ac:dyDescent="0.25">
      <c r="A18" s="29" t="s">
        <v>84</v>
      </c>
      <c r="B18" s="29" t="s">
        <v>85</v>
      </c>
      <c r="C18" s="29" t="s">
        <v>105</v>
      </c>
      <c r="D18" s="29" t="s">
        <v>384</v>
      </c>
      <c r="E18" s="29" t="s">
        <v>108</v>
      </c>
      <c r="F18" s="29" t="s">
        <v>79</v>
      </c>
      <c r="G18" s="29" t="s">
        <v>80</v>
      </c>
      <c r="H18" s="29" t="s">
        <v>81</v>
      </c>
      <c r="I18" s="29" t="s">
        <v>82</v>
      </c>
      <c r="J18" s="30">
        <v>27.23</v>
      </c>
      <c r="K18" s="29" t="s">
        <v>110</v>
      </c>
      <c r="L18" s="29" t="s">
        <v>111</v>
      </c>
      <c r="M18" s="29" t="s">
        <v>112</v>
      </c>
      <c r="N18" s="29" t="s">
        <v>113</v>
      </c>
      <c r="O18" s="31">
        <v>44265</v>
      </c>
      <c r="P18" s="31">
        <v>44266</v>
      </c>
      <c r="Q18" s="29" t="s">
        <v>83</v>
      </c>
    </row>
    <row r="19" spans="1:17" ht="15" x14ac:dyDescent="0.25">
      <c r="A19" s="29" t="s">
        <v>84</v>
      </c>
      <c r="B19" s="29" t="s">
        <v>85</v>
      </c>
      <c r="C19" s="29" t="s">
        <v>105</v>
      </c>
      <c r="D19" s="29" t="s">
        <v>383</v>
      </c>
      <c r="E19" s="29" t="s">
        <v>92</v>
      </c>
      <c r="F19" s="29" t="s">
        <v>79</v>
      </c>
      <c r="G19" s="29" t="s">
        <v>80</v>
      </c>
      <c r="H19" s="29" t="s">
        <v>81</v>
      </c>
      <c r="I19" s="29" t="s">
        <v>82</v>
      </c>
      <c r="J19" s="30">
        <v>3003.31</v>
      </c>
      <c r="K19" s="29" t="s">
        <v>110</v>
      </c>
      <c r="L19" s="29" t="s">
        <v>111</v>
      </c>
      <c r="M19" s="29" t="s">
        <v>112</v>
      </c>
      <c r="N19" s="29" t="s">
        <v>113</v>
      </c>
      <c r="O19" s="31">
        <v>44265</v>
      </c>
      <c r="P19" s="31">
        <v>44266</v>
      </c>
      <c r="Q19" s="29" t="s">
        <v>83</v>
      </c>
    </row>
    <row r="20" spans="1:17" ht="15" x14ac:dyDescent="0.25">
      <c r="A20" s="29" t="s">
        <v>84</v>
      </c>
      <c r="B20" s="29" t="s">
        <v>85</v>
      </c>
      <c r="C20" s="29" t="s">
        <v>105</v>
      </c>
      <c r="D20" s="29" t="s">
        <v>385</v>
      </c>
      <c r="E20" s="29" t="s">
        <v>109</v>
      </c>
      <c r="F20" s="29" t="s">
        <v>79</v>
      </c>
      <c r="G20" s="29" t="s">
        <v>80</v>
      </c>
      <c r="H20" s="29" t="s">
        <v>81</v>
      </c>
      <c r="I20" s="29" t="s">
        <v>82</v>
      </c>
      <c r="J20" s="30">
        <v>8.4700000000000006</v>
      </c>
      <c r="K20" s="29" t="s">
        <v>110</v>
      </c>
      <c r="L20" s="29" t="s">
        <v>111</v>
      </c>
      <c r="M20" s="29" t="s">
        <v>112</v>
      </c>
      <c r="N20" s="29" t="s">
        <v>113</v>
      </c>
      <c r="O20" s="31">
        <v>44265</v>
      </c>
      <c r="P20" s="31">
        <v>44266</v>
      </c>
      <c r="Q20" s="29" t="s">
        <v>83</v>
      </c>
    </row>
    <row r="21" spans="1:17" ht="15" hidden="1" x14ac:dyDescent="0.25">
      <c r="A21" s="29" t="s">
        <v>84</v>
      </c>
      <c r="B21" s="29" t="s">
        <v>85</v>
      </c>
      <c r="C21" s="29" t="s">
        <v>271</v>
      </c>
      <c r="D21" s="29" t="s">
        <v>382</v>
      </c>
      <c r="E21" s="29" t="s">
        <v>87</v>
      </c>
      <c r="F21" s="29" t="s">
        <v>79</v>
      </c>
      <c r="G21" s="29" t="s">
        <v>80</v>
      </c>
      <c r="H21" s="29" t="s">
        <v>81</v>
      </c>
      <c r="I21" s="29" t="s">
        <v>82</v>
      </c>
      <c r="J21" s="30">
        <v>264.33999999999997</v>
      </c>
      <c r="K21" s="29" t="s">
        <v>121</v>
      </c>
      <c r="L21" s="29" t="s">
        <v>122</v>
      </c>
      <c r="M21" s="29" t="s">
        <v>128</v>
      </c>
      <c r="N21" s="29" t="s">
        <v>272</v>
      </c>
      <c r="O21" s="31">
        <v>44293</v>
      </c>
      <c r="P21" s="31">
        <v>44294</v>
      </c>
      <c r="Q21" s="29" t="s">
        <v>83</v>
      </c>
    </row>
    <row r="22" spans="1:17" ht="15" hidden="1" x14ac:dyDescent="0.25">
      <c r="A22" s="29" t="s">
        <v>84</v>
      </c>
      <c r="B22" s="29" t="s">
        <v>85</v>
      </c>
      <c r="C22" s="29" t="s">
        <v>271</v>
      </c>
      <c r="D22" s="29" t="s">
        <v>384</v>
      </c>
      <c r="E22" s="29" t="s">
        <v>108</v>
      </c>
      <c r="F22" s="29" t="s">
        <v>79</v>
      </c>
      <c r="G22" s="29" t="s">
        <v>80</v>
      </c>
      <c r="H22" s="29" t="s">
        <v>81</v>
      </c>
      <c r="I22" s="29" t="s">
        <v>82</v>
      </c>
      <c r="J22" s="30">
        <v>5.0999999999999996</v>
      </c>
      <c r="K22" s="29" t="s">
        <v>121</v>
      </c>
      <c r="L22" s="29" t="s">
        <v>122</v>
      </c>
      <c r="M22" s="29" t="s">
        <v>128</v>
      </c>
      <c r="N22" s="29" t="s">
        <v>272</v>
      </c>
      <c r="O22" s="31">
        <v>44293</v>
      </c>
      <c r="P22" s="31">
        <v>44294</v>
      </c>
      <c r="Q22" s="29" t="s">
        <v>83</v>
      </c>
    </row>
    <row r="23" spans="1:17" ht="15" hidden="1" x14ac:dyDescent="0.25">
      <c r="A23" s="29" t="s">
        <v>84</v>
      </c>
      <c r="B23" s="29" t="s">
        <v>85</v>
      </c>
      <c r="C23" s="29" t="s">
        <v>271</v>
      </c>
      <c r="D23" s="29" t="s">
        <v>383</v>
      </c>
      <c r="E23" s="29" t="s">
        <v>92</v>
      </c>
      <c r="F23" s="29" t="s">
        <v>79</v>
      </c>
      <c r="G23" s="29" t="s">
        <v>80</v>
      </c>
      <c r="H23" s="29" t="s">
        <v>81</v>
      </c>
      <c r="I23" s="29" t="s">
        <v>82</v>
      </c>
      <c r="J23" s="30">
        <v>563.13</v>
      </c>
      <c r="K23" s="29" t="s">
        <v>121</v>
      </c>
      <c r="L23" s="29" t="s">
        <v>122</v>
      </c>
      <c r="M23" s="29" t="s">
        <v>128</v>
      </c>
      <c r="N23" s="29" t="s">
        <v>272</v>
      </c>
      <c r="O23" s="31">
        <v>44293</v>
      </c>
      <c r="P23" s="31">
        <v>44294</v>
      </c>
      <c r="Q23" s="29" t="s">
        <v>83</v>
      </c>
    </row>
    <row r="24" spans="1:17" ht="15" hidden="1" x14ac:dyDescent="0.25">
      <c r="A24" s="29" t="s">
        <v>84</v>
      </c>
      <c r="B24" s="29" t="s">
        <v>85</v>
      </c>
      <c r="C24" s="29" t="s">
        <v>271</v>
      </c>
      <c r="D24" s="29" t="s">
        <v>385</v>
      </c>
      <c r="E24" s="29" t="s">
        <v>109</v>
      </c>
      <c r="F24" s="29" t="s">
        <v>79</v>
      </c>
      <c r="G24" s="29" t="s">
        <v>80</v>
      </c>
      <c r="H24" s="29" t="s">
        <v>81</v>
      </c>
      <c r="I24" s="29" t="s">
        <v>82</v>
      </c>
      <c r="J24" s="30">
        <v>1.5899999999999999</v>
      </c>
      <c r="K24" s="29" t="s">
        <v>121</v>
      </c>
      <c r="L24" s="29" t="s">
        <v>122</v>
      </c>
      <c r="M24" s="29" t="s">
        <v>128</v>
      </c>
      <c r="N24" s="29" t="s">
        <v>272</v>
      </c>
      <c r="O24" s="31">
        <v>44293</v>
      </c>
      <c r="P24" s="31">
        <v>44294</v>
      </c>
      <c r="Q24" s="29" t="s">
        <v>83</v>
      </c>
    </row>
    <row r="25" spans="1:17" ht="15" x14ac:dyDescent="0.25">
      <c r="A25" s="29" t="s">
        <v>84</v>
      </c>
      <c r="B25" s="29" t="s">
        <v>85</v>
      </c>
      <c r="C25" s="29" t="s">
        <v>131</v>
      </c>
      <c r="D25" s="29" t="s">
        <v>382</v>
      </c>
      <c r="E25" s="29" t="s">
        <v>87</v>
      </c>
      <c r="F25" s="29" t="s">
        <v>79</v>
      </c>
      <c r="G25" s="29" t="s">
        <v>80</v>
      </c>
      <c r="H25" s="29" t="s">
        <v>81</v>
      </c>
      <c r="I25" s="29" t="s">
        <v>82</v>
      </c>
      <c r="J25" s="30">
        <v>883.88</v>
      </c>
      <c r="K25" s="29" t="s">
        <v>110</v>
      </c>
      <c r="L25" s="29" t="s">
        <v>111</v>
      </c>
      <c r="M25" s="29" t="s">
        <v>132</v>
      </c>
      <c r="N25" s="29" t="s">
        <v>133</v>
      </c>
      <c r="O25" s="31">
        <v>44295</v>
      </c>
      <c r="P25" s="31">
        <v>44298</v>
      </c>
      <c r="Q25" s="29" t="s">
        <v>83</v>
      </c>
    </row>
    <row r="26" spans="1:17" ht="15" x14ac:dyDescent="0.25">
      <c r="A26" s="29" t="s">
        <v>84</v>
      </c>
      <c r="B26" s="29" t="s">
        <v>85</v>
      </c>
      <c r="C26" s="29" t="s">
        <v>131</v>
      </c>
      <c r="D26" s="29" t="s">
        <v>384</v>
      </c>
      <c r="E26" s="29" t="s">
        <v>108</v>
      </c>
      <c r="F26" s="29" t="s">
        <v>79</v>
      </c>
      <c r="G26" s="29" t="s">
        <v>80</v>
      </c>
      <c r="H26" s="29" t="s">
        <v>81</v>
      </c>
      <c r="I26" s="29" t="s">
        <v>82</v>
      </c>
      <c r="J26" s="30">
        <v>17.07</v>
      </c>
      <c r="K26" s="29" t="s">
        <v>110</v>
      </c>
      <c r="L26" s="29" t="s">
        <v>111</v>
      </c>
      <c r="M26" s="29" t="s">
        <v>132</v>
      </c>
      <c r="N26" s="29" t="s">
        <v>133</v>
      </c>
      <c r="O26" s="31">
        <v>44295</v>
      </c>
      <c r="P26" s="31">
        <v>44298</v>
      </c>
      <c r="Q26" s="29" t="s">
        <v>83</v>
      </c>
    </row>
    <row r="27" spans="1:17" ht="15" x14ac:dyDescent="0.25">
      <c r="A27" s="29" t="s">
        <v>84</v>
      </c>
      <c r="B27" s="29" t="s">
        <v>85</v>
      </c>
      <c r="C27" s="29" t="s">
        <v>131</v>
      </c>
      <c r="D27" s="29" t="s">
        <v>383</v>
      </c>
      <c r="E27" s="29" t="s">
        <v>92</v>
      </c>
      <c r="F27" s="29" t="s">
        <v>79</v>
      </c>
      <c r="G27" s="29" t="s">
        <v>80</v>
      </c>
      <c r="H27" s="29" t="s">
        <v>81</v>
      </c>
      <c r="I27" s="29" t="s">
        <v>82</v>
      </c>
      <c r="J27" s="30">
        <v>1882.95</v>
      </c>
      <c r="K27" s="29" t="s">
        <v>110</v>
      </c>
      <c r="L27" s="29" t="s">
        <v>111</v>
      </c>
      <c r="M27" s="29" t="s">
        <v>132</v>
      </c>
      <c r="N27" s="29" t="s">
        <v>133</v>
      </c>
      <c r="O27" s="31">
        <v>44295</v>
      </c>
      <c r="P27" s="31">
        <v>44298</v>
      </c>
      <c r="Q27" s="29" t="s">
        <v>83</v>
      </c>
    </row>
    <row r="28" spans="1:17" ht="15" x14ac:dyDescent="0.25">
      <c r="A28" s="29" t="s">
        <v>84</v>
      </c>
      <c r="B28" s="29" t="s">
        <v>85</v>
      </c>
      <c r="C28" s="29" t="s">
        <v>131</v>
      </c>
      <c r="D28" s="29" t="s">
        <v>385</v>
      </c>
      <c r="E28" s="29" t="s">
        <v>109</v>
      </c>
      <c r="F28" s="29" t="s">
        <v>79</v>
      </c>
      <c r="G28" s="29" t="s">
        <v>80</v>
      </c>
      <c r="H28" s="29" t="s">
        <v>81</v>
      </c>
      <c r="I28" s="29" t="s">
        <v>82</v>
      </c>
      <c r="J28" s="30">
        <v>5.31</v>
      </c>
      <c r="K28" s="29" t="s">
        <v>110</v>
      </c>
      <c r="L28" s="29" t="s">
        <v>111</v>
      </c>
      <c r="M28" s="29" t="s">
        <v>132</v>
      </c>
      <c r="N28" s="29" t="s">
        <v>133</v>
      </c>
      <c r="O28" s="31">
        <v>44295</v>
      </c>
      <c r="P28" s="31">
        <v>44298</v>
      </c>
      <c r="Q28" s="29" t="s">
        <v>83</v>
      </c>
    </row>
    <row r="29" spans="1:17" ht="15" hidden="1" x14ac:dyDescent="0.25">
      <c r="A29" s="29" t="s">
        <v>84</v>
      </c>
      <c r="B29" s="29" t="s">
        <v>85</v>
      </c>
      <c r="C29" s="29" t="s">
        <v>299</v>
      </c>
      <c r="D29" s="29" t="s">
        <v>382</v>
      </c>
      <c r="E29" s="29" t="s">
        <v>87</v>
      </c>
      <c r="F29" s="29" t="s">
        <v>79</v>
      </c>
      <c r="G29" s="29" t="s">
        <v>80</v>
      </c>
      <c r="H29" s="29" t="s">
        <v>81</v>
      </c>
      <c r="I29" s="29" t="s">
        <v>82</v>
      </c>
      <c r="J29" s="30">
        <v>1192.31</v>
      </c>
      <c r="K29" s="29" t="s">
        <v>88</v>
      </c>
      <c r="L29" s="29" t="s">
        <v>89</v>
      </c>
      <c r="M29" s="29" t="s">
        <v>302</v>
      </c>
      <c r="N29" s="29" t="s">
        <v>303</v>
      </c>
      <c r="O29" s="31">
        <v>44298</v>
      </c>
      <c r="P29" s="31">
        <v>44299</v>
      </c>
      <c r="Q29" s="29" t="s">
        <v>83</v>
      </c>
    </row>
    <row r="30" spans="1:17" ht="15" hidden="1" x14ac:dyDescent="0.25">
      <c r="A30" s="29" t="s">
        <v>84</v>
      </c>
      <c r="B30" s="29" t="s">
        <v>85</v>
      </c>
      <c r="C30" s="29" t="s">
        <v>299</v>
      </c>
      <c r="D30" s="29" t="s">
        <v>384</v>
      </c>
      <c r="E30" s="29" t="s">
        <v>108</v>
      </c>
      <c r="F30" s="29" t="s">
        <v>79</v>
      </c>
      <c r="G30" s="29" t="s">
        <v>80</v>
      </c>
      <c r="H30" s="29" t="s">
        <v>81</v>
      </c>
      <c r="I30" s="29" t="s">
        <v>82</v>
      </c>
      <c r="J30" s="30">
        <v>23</v>
      </c>
      <c r="K30" s="29" t="s">
        <v>88</v>
      </c>
      <c r="L30" s="29" t="s">
        <v>89</v>
      </c>
      <c r="M30" s="29" t="s">
        <v>302</v>
      </c>
      <c r="N30" s="29" t="s">
        <v>303</v>
      </c>
      <c r="O30" s="31">
        <v>44298</v>
      </c>
      <c r="P30" s="31">
        <v>44299</v>
      </c>
      <c r="Q30" s="29" t="s">
        <v>83</v>
      </c>
    </row>
    <row r="31" spans="1:17" ht="15" hidden="1" x14ac:dyDescent="0.25">
      <c r="A31" s="29" t="s">
        <v>84</v>
      </c>
      <c r="B31" s="29" t="s">
        <v>85</v>
      </c>
      <c r="C31" s="29" t="s">
        <v>299</v>
      </c>
      <c r="D31" s="29" t="s">
        <v>383</v>
      </c>
      <c r="E31" s="29" t="s">
        <v>92</v>
      </c>
      <c r="F31" s="29" t="s">
        <v>79</v>
      </c>
      <c r="G31" s="29" t="s">
        <v>80</v>
      </c>
      <c r="H31" s="29" t="s">
        <v>81</v>
      </c>
      <c r="I31" s="29" t="s">
        <v>82</v>
      </c>
      <c r="J31" s="30">
        <v>2539.9699999999998</v>
      </c>
      <c r="K31" s="29" t="s">
        <v>88</v>
      </c>
      <c r="L31" s="29" t="s">
        <v>89</v>
      </c>
      <c r="M31" s="29" t="s">
        <v>302</v>
      </c>
      <c r="N31" s="29" t="s">
        <v>303</v>
      </c>
      <c r="O31" s="31">
        <v>44298</v>
      </c>
      <c r="P31" s="31">
        <v>44299</v>
      </c>
      <c r="Q31" s="29" t="s">
        <v>83</v>
      </c>
    </row>
    <row r="32" spans="1:17" ht="15" hidden="1" x14ac:dyDescent="0.25">
      <c r="A32" s="29" t="s">
        <v>84</v>
      </c>
      <c r="B32" s="29" t="s">
        <v>85</v>
      </c>
      <c r="C32" s="29" t="s">
        <v>299</v>
      </c>
      <c r="D32" s="29" t="s">
        <v>385</v>
      </c>
      <c r="E32" s="29" t="s">
        <v>109</v>
      </c>
      <c r="F32" s="29" t="s">
        <v>79</v>
      </c>
      <c r="G32" s="29" t="s">
        <v>80</v>
      </c>
      <c r="H32" s="29" t="s">
        <v>81</v>
      </c>
      <c r="I32" s="29" t="s">
        <v>82</v>
      </c>
      <c r="J32" s="30">
        <v>7.18</v>
      </c>
      <c r="K32" s="29" t="s">
        <v>88</v>
      </c>
      <c r="L32" s="29" t="s">
        <v>89</v>
      </c>
      <c r="M32" s="29" t="s">
        <v>302</v>
      </c>
      <c r="N32" s="29" t="s">
        <v>303</v>
      </c>
      <c r="O32" s="31">
        <v>44298</v>
      </c>
      <c r="P32" s="31">
        <v>44299</v>
      </c>
      <c r="Q32" s="29" t="s">
        <v>83</v>
      </c>
    </row>
    <row r="33" spans="1:17" ht="15" hidden="1" x14ac:dyDescent="0.25">
      <c r="A33" s="29" t="s">
        <v>84</v>
      </c>
      <c r="B33" s="29" t="s">
        <v>85</v>
      </c>
      <c r="C33" s="29" t="s">
        <v>224</v>
      </c>
      <c r="D33" s="29" t="s">
        <v>385</v>
      </c>
      <c r="E33" s="29" t="s">
        <v>109</v>
      </c>
      <c r="F33" s="29" t="s">
        <v>79</v>
      </c>
      <c r="G33" s="29" t="s">
        <v>80</v>
      </c>
      <c r="H33" s="29" t="s">
        <v>81</v>
      </c>
      <c r="I33" s="29" t="s">
        <v>82</v>
      </c>
      <c r="J33" s="30">
        <v>2.71</v>
      </c>
      <c r="K33" s="29" t="s">
        <v>121</v>
      </c>
      <c r="L33" s="29" t="s">
        <v>122</v>
      </c>
      <c r="M33" s="29" t="s">
        <v>142</v>
      </c>
      <c r="N33" s="29" t="s">
        <v>226</v>
      </c>
      <c r="O33" s="31">
        <v>44320</v>
      </c>
      <c r="P33" s="31">
        <v>44320</v>
      </c>
      <c r="Q33" s="29" t="s">
        <v>83</v>
      </c>
    </row>
    <row r="34" spans="1:17" ht="15" x14ac:dyDescent="0.25">
      <c r="A34" s="29" t="s">
        <v>84</v>
      </c>
      <c r="B34" s="29" t="s">
        <v>85</v>
      </c>
      <c r="C34" s="29" t="s">
        <v>304</v>
      </c>
      <c r="D34" s="29" t="s">
        <v>382</v>
      </c>
      <c r="E34" s="29" t="s">
        <v>87</v>
      </c>
      <c r="F34" s="29" t="s">
        <v>79</v>
      </c>
      <c r="G34" s="29" t="s">
        <v>80</v>
      </c>
      <c r="H34" s="29" t="s">
        <v>81</v>
      </c>
      <c r="I34" s="29" t="s">
        <v>82</v>
      </c>
      <c r="J34" s="30">
        <v>1064.5899999999999</v>
      </c>
      <c r="K34" s="29" t="s">
        <v>110</v>
      </c>
      <c r="L34" s="29" t="s">
        <v>111</v>
      </c>
      <c r="M34" s="29" t="s">
        <v>305</v>
      </c>
      <c r="N34" s="29" t="s">
        <v>306</v>
      </c>
      <c r="O34" s="31">
        <v>44327</v>
      </c>
      <c r="P34" s="31">
        <v>44328</v>
      </c>
      <c r="Q34" s="29" t="s">
        <v>83</v>
      </c>
    </row>
    <row r="35" spans="1:17" ht="15" x14ac:dyDescent="0.25">
      <c r="A35" s="29" t="s">
        <v>84</v>
      </c>
      <c r="B35" s="29" t="s">
        <v>85</v>
      </c>
      <c r="C35" s="29" t="s">
        <v>304</v>
      </c>
      <c r="D35" s="29" t="s">
        <v>384</v>
      </c>
      <c r="E35" s="29" t="s">
        <v>108</v>
      </c>
      <c r="F35" s="29" t="s">
        <v>79</v>
      </c>
      <c r="G35" s="29" t="s">
        <v>80</v>
      </c>
      <c r="H35" s="29" t="s">
        <v>81</v>
      </c>
      <c r="I35" s="29" t="s">
        <v>82</v>
      </c>
      <c r="J35" s="30">
        <v>20.56</v>
      </c>
      <c r="K35" s="29" t="s">
        <v>110</v>
      </c>
      <c r="L35" s="29" t="s">
        <v>111</v>
      </c>
      <c r="M35" s="29" t="s">
        <v>305</v>
      </c>
      <c r="N35" s="29" t="s">
        <v>306</v>
      </c>
      <c r="O35" s="31">
        <v>44327</v>
      </c>
      <c r="P35" s="31">
        <v>44328</v>
      </c>
      <c r="Q35" s="29" t="s">
        <v>83</v>
      </c>
    </row>
    <row r="36" spans="1:17" ht="15" x14ac:dyDescent="0.25">
      <c r="A36" s="29" t="s">
        <v>84</v>
      </c>
      <c r="B36" s="29" t="s">
        <v>85</v>
      </c>
      <c r="C36" s="29" t="s">
        <v>304</v>
      </c>
      <c r="D36" s="29" t="s">
        <v>383</v>
      </c>
      <c r="E36" s="29" t="s">
        <v>92</v>
      </c>
      <c r="F36" s="29" t="s">
        <v>79</v>
      </c>
      <c r="G36" s="29" t="s">
        <v>80</v>
      </c>
      <c r="H36" s="29" t="s">
        <v>81</v>
      </c>
      <c r="I36" s="29" t="s">
        <v>82</v>
      </c>
      <c r="J36" s="30">
        <v>2267.91</v>
      </c>
      <c r="K36" s="29" t="s">
        <v>110</v>
      </c>
      <c r="L36" s="29" t="s">
        <v>111</v>
      </c>
      <c r="M36" s="29" t="s">
        <v>305</v>
      </c>
      <c r="N36" s="29" t="s">
        <v>306</v>
      </c>
      <c r="O36" s="31">
        <v>44327</v>
      </c>
      <c r="P36" s="31">
        <v>44328</v>
      </c>
      <c r="Q36" s="29" t="s">
        <v>83</v>
      </c>
    </row>
    <row r="37" spans="1:17" ht="15" x14ac:dyDescent="0.25">
      <c r="A37" s="29" t="s">
        <v>84</v>
      </c>
      <c r="B37" s="29" t="s">
        <v>85</v>
      </c>
      <c r="C37" s="29" t="s">
        <v>304</v>
      </c>
      <c r="D37" s="29" t="s">
        <v>385</v>
      </c>
      <c r="E37" s="29" t="s">
        <v>109</v>
      </c>
      <c r="F37" s="29" t="s">
        <v>79</v>
      </c>
      <c r="G37" s="29" t="s">
        <v>80</v>
      </c>
      <c r="H37" s="29" t="s">
        <v>81</v>
      </c>
      <c r="I37" s="29" t="s">
        <v>82</v>
      </c>
      <c r="J37" s="30">
        <v>6.39</v>
      </c>
      <c r="K37" s="29" t="s">
        <v>110</v>
      </c>
      <c r="L37" s="29" t="s">
        <v>111</v>
      </c>
      <c r="M37" s="29" t="s">
        <v>305</v>
      </c>
      <c r="N37" s="29" t="s">
        <v>306</v>
      </c>
      <c r="O37" s="31">
        <v>44327</v>
      </c>
      <c r="P37" s="31">
        <v>44328</v>
      </c>
      <c r="Q37" s="29" t="s">
        <v>83</v>
      </c>
    </row>
    <row r="38" spans="1:17" ht="15" hidden="1" x14ac:dyDescent="0.25">
      <c r="A38" s="29" t="s">
        <v>84</v>
      </c>
      <c r="B38" s="29" t="s">
        <v>85</v>
      </c>
      <c r="C38" s="29" t="s">
        <v>236</v>
      </c>
      <c r="D38" s="29" t="s">
        <v>382</v>
      </c>
      <c r="E38" s="29" t="s">
        <v>87</v>
      </c>
      <c r="F38" s="29" t="s">
        <v>79</v>
      </c>
      <c r="G38" s="29" t="s">
        <v>80</v>
      </c>
      <c r="H38" s="29" t="s">
        <v>81</v>
      </c>
      <c r="I38" s="29" t="s">
        <v>82</v>
      </c>
      <c r="J38" s="30">
        <v>30.04</v>
      </c>
      <c r="K38" s="29" t="s">
        <v>237</v>
      </c>
      <c r="L38" s="29" t="s">
        <v>122</v>
      </c>
      <c r="M38" s="29" t="s">
        <v>150</v>
      </c>
      <c r="N38" s="29" t="s">
        <v>238</v>
      </c>
      <c r="O38" s="31">
        <v>44354</v>
      </c>
      <c r="P38" s="31">
        <v>44355</v>
      </c>
      <c r="Q38" s="29" t="s">
        <v>83</v>
      </c>
    </row>
    <row r="39" spans="1:17" ht="15" hidden="1" x14ac:dyDescent="0.25">
      <c r="A39" s="29" t="s">
        <v>84</v>
      </c>
      <c r="B39" s="29" t="s">
        <v>85</v>
      </c>
      <c r="C39" s="29" t="s">
        <v>236</v>
      </c>
      <c r="D39" s="29" t="s">
        <v>384</v>
      </c>
      <c r="E39" s="29" t="s">
        <v>108</v>
      </c>
      <c r="F39" s="29" t="s">
        <v>79</v>
      </c>
      <c r="G39" s="29" t="s">
        <v>80</v>
      </c>
      <c r="H39" s="29" t="s">
        <v>81</v>
      </c>
      <c r="I39" s="29" t="s">
        <v>82</v>
      </c>
      <c r="J39" s="30">
        <v>0.57999999999999996</v>
      </c>
      <c r="K39" s="29" t="s">
        <v>237</v>
      </c>
      <c r="L39" s="29" t="s">
        <v>122</v>
      </c>
      <c r="M39" s="29" t="s">
        <v>150</v>
      </c>
      <c r="N39" s="29" t="s">
        <v>238</v>
      </c>
      <c r="O39" s="31">
        <v>44354</v>
      </c>
      <c r="P39" s="31">
        <v>44355</v>
      </c>
      <c r="Q39" s="29" t="s">
        <v>83</v>
      </c>
    </row>
    <row r="40" spans="1:17" ht="15" hidden="1" x14ac:dyDescent="0.25">
      <c r="A40" s="29" t="s">
        <v>84</v>
      </c>
      <c r="B40" s="29" t="s">
        <v>85</v>
      </c>
      <c r="C40" s="29" t="s">
        <v>236</v>
      </c>
      <c r="D40" s="29" t="s">
        <v>383</v>
      </c>
      <c r="E40" s="29" t="s">
        <v>92</v>
      </c>
      <c r="F40" s="29" t="s">
        <v>79</v>
      </c>
      <c r="G40" s="29" t="s">
        <v>80</v>
      </c>
      <c r="H40" s="29" t="s">
        <v>81</v>
      </c>
      <c r="I40" s="29" t="s">
        <v>82</v>
      </c>
      <c r="J40" s="30">
        <v>63.99</v>
      </c>
      <c r="K40" s="29" t="s">
        <v>237</v>
      </c>
      <c r="L40" s="29" t="s">
        <v>122</v>
      </c>
      <c r="M40" s="29" t="s">
        <v>150</v>
      </c>
      <c r="N40" s="29" t="s">
        <v>238</v>
      </c>
      <c r="O40" s="31">
        <v>44354</v>
      </c>
      <c r="P40" s="31">
        <v>44355</v>
      </c>
      <c r="Q40" s="29" t="s">
        <v>83</v>
      </c>
    </row>
    <row r="41" spans="1:17" ht="15" hidden="1" x14ac:dyDescent="0.25">
      <c r="A41" s="29" t="s">
        <v>84</v>
      </c>
      <c r="B41" s="29" t="s">
        <v>85</v>
      </c>
      <c r="C41" s="29" t="s">
        <v>236</v>
      </c>
      <c r="D41" s="29" t="s">
        <v>385</v>
      </c>
      <c r="E41" s="29" t="s">
        <v>109</v>
      </c>
      <c r="F41" s="29" t="s">
        <v>79</v>
      </c>
      <c r="G41" s="29" t="s">
        <v>80</v>
      </c>
      <c r="H41" s="29" t="s">
        <v>81</v>
      </c>
      <c r="I41" s="29" t="s">
        <v>82</v>
      </c>
      <c r="J41" s="30">
        <v>0.18</v>
      </c>
      <c r="K41" s="29" t="s">
        <v>237</v>
      </c>
      <c r="L41" s="29" t="s">
        <v>122</v>
      </c>
      <c r="M41" s="29" t="s">
        <v>150</v>
      </c>
      <c r="N41" s="29" t="s">
        <v>238</v>
      </c>
      <c r="O41" s="31">
        <v>44354</v>
      </c>
      <c r="P41" s="31">
        <v>44355</v>
      </c>
      <c r="Q41" s="29" t="s">
        <v>83</v>
      </c>
    </row>
    <row r="42" spans="1:17" ht="15" x14ac:dyDescent="0.25">
      <c r="A42" s="29" t="s">
        <v>84</v>
      </c>
      <c r="B42" s="29" t="s">
        <v>85</v>
      </c>
      <c r="C42" s="29" t="s">
        <v>156</v>
      </c>
      <c r="D42" s="29" t="s">
        <v>382</v>
      </c>
      <c r="E42" s="29" t="s">
        <v>87</v>
      </c>
      <c r="F42" s="29" t="s">
        <v>79</v>
      </c>
      <c r="G42" s="29" t="s">
        <v>80</v>
      </c>
      <c r="H42" s="29" t="s">
        <v>81</v>
      </c>
      <c r="I42" s="29" t="s">
        <v>82</v>
      </c>
      <c r="J42" s="30">
        <v>1044.6600000000001</v>
      </c>
      <c r="K42" s="29" t="s">
        <v>110</v>
      </c>
      <c r="L42" s="29" t="s">
        <v>111</v>
      </c>
      <c r="M42" s="29" t="s">
        <v>157</v>
      </c>
      <c r="N42" s="29" t="s">
        <v>158</v>
      </c>
      <c r="O42" s="31">
        <v>44365</v>
      </c>
      <c r="P42" s="31">
        <v>44368</v>
      </c>
      <c r="Q42" s="29" t="s">
        <v>83</v>
      </c>
    </row>
    <row r="43" spans="1:17" ht="15" hidden="1" x14ac:dyDescent="0.25">
      <c r="A43" s="29" t="s">
        <v>97</v>
      </c>
      <c r="B43" s="29" t="s">
        <v>108</v>
      </c>
      <c r="C43" s="29" t="s">
        <v>137</v>
      </c>
      <c r="D43" s="29" t="s">
        <v>384</v>
      </c>
      <c r="E43" s="29" t="s">
        <v>108</v>
      </c>
      <c r="F43" s="29" t="s">
        <v>79</v>
      </c>
      <c r="G43" s="29" t="s">
        <v>80</v>
      </c>
      <c r="H43" s="29" t="s">
        <v>81</v>
      </c>
      <c r="I43" s="29" t="s">
        <v>82</v>
      </c>
      <c r="J43" s="30">
        <v>6.58</v>
      </c>
      <c r="K43" s="29" t="s">
        <v>100</v>
      </c>
      <c r="L43" s="29" t="s">
        <v>82</v>
      </c>
      <c r="M43" s="29" t="s">
        <v>101</v>
      </c>
      <c r="N43" s="29" t="s">
        <v>137</v>
      </c>
      <c r="O43" s="31">
        <v>44255</v>
      </c>
      <c r="P43" s="31">
        <v>44261</v>
      </c>
      <c r="Q43" s="29" t="s">
        <v>83</v>
      </c>
    </row>
    <row r="44" spans="1:17" ht="15" hidden="1" x14ac:dyDescent="0.25">
      <c r="A44" s="29" t="s">
        <v>97</v>
      </c>
      <c r="B44" s="29" t="s">
        <v>109</v>
      </c>
      <c r="C44" s="29" t="s">
        <v>125</v>
      </c>
      <c r="D44" s="29" t="s">
        <v>385</v>
      </c>
      <c r="E44" s="29" t="s">
        <v>109</v>
      </c>
      <c r="F44" s="29" t="s">
        <v>79</v>
      </c>
      <c r="G44" s="29" t="s">
        <v>80</v>
      </c>
      <c r="H44" s="29" t="s">
        <v>81</v>
      </c>
      <c r="I44" s="29" t="s">
        <v>82</v>
      </c>
      <c r="J44" s="30">
        <v>2.0499999999999998</v>
      </c>
      <c r="K44" s="29" t="s">
        <v>100</v>
      </c>
      <c r="L44" s="29" t="s">
        <v>82</v>
      </c>
      <c r="M44" s="29" t="s">
        <v>101</v>
      </c>
      <c r="N44" s="29" t="s">
        <v>125</v>
      </c>
      <c r="O44" s="31">
        <v>44255</v>
      </c>
      <c r="P44" s="31">
        <v>44261</v>
      </c>
      <c r="Q44" s="29" t="s">
        <v>83</v>
      </c>
    </row>
    <row r="45" spans="1:17" ht="15" hidden="1" x14ac:dyDescent="0.25">
      <c r="A45" s="29" t="s">
        <v>97</v>
      </c>
      <c r="B45" s="29" t="s">
        <v>87</v>
      </c>
      <c r="C45" s="29" t="s">
        <v>102</v>
      </c>
      <c r="D45" s="29" t="s">
        <v>382</v>
      </c>
      <c r="E45" s="29" t="s">
        <v>87</v>
      </c>
      <c r="F45" s="29" t="s">
        <v>79</v>
      </c>
      <c r="G45" s="29" t="s">
        <v>80</v>
      </c>
      <c r="H45" s="29" t="s">
        <v>81</v>
      </c>
      <c r="I45" s="29" t="s">
        <v>82</v>
      </c>
      <c r="J45" s="30">
        <v>340.94</v>
      </c>
      <c r="K45" s="29" t="s">
        <v>100</v>
      </c>
      <c r="L45" s="29" t="s">
        <v>82</v>
      </c>
      <c r="M45" s="29" t="s">
        <v>101</v>
      </c>
      <c r="N45" s="29" t="s">
        <v>102</v>
      </c>
      <c r="O45" s="31">
        <v>44255</v>
      </c>
      <c r="P45" s="31">
        <v>44261</v>
      </c>
      <c r="Q45" s="29" t="s">
        <v>83</v>
      </c>
    </row>
    <row r="46" spans="1:17" ht="15" hidden="1" x14ac:dyDescent="0.25">
      <c r="A46" s="29" t="s">
        <v>97</v>
      </c>
      <c r="B46" s="29" t="s">
        <v>108</v>
      </c>
      <c r="C46" s="29" t="s">
        <v>240</v>
      </c>
      <c r="D46" s="29" t="s">
        <v>384</v>
      </c>
      <c r="E46" s="29" t="s">
        <v>108</v>
      </c>
      <c r="F46" s="29" t="s">
        <v>79</v>
      </c>
      <c r="G46" s="29" t="s">
        <v>80</v>
      </c>
      <c r="H46" s="29" t="s">
        <v>81</v>
      </c>
      <c r="I46" s="29" t="s">
        <v>82</v>
      </c>
      <c r="J46" s="30">
        <v>-6.58</v>
      </c>
      <c r="K46" s="29" t="s">
        <v>100</v>
      </c>
      <c r="L46" s="29" t="s">
        <v>82</v>
      </c>
      <c r="M46" s="29" t="s">
        <v>101</v>
      </c>
      <c r="N46" s="29" t="s">
        <v>137</v>
      </c>
      <c r="O46" s="31">
        <v>44286</v>
      </c>
      <c r="P46" s="31">
        <v>44261</v>
      </c>
      <c r="Q46" s="29" t="s">
        <v>83</v>
      </c>
    </row>
    <row r="47" spans="1:17" ht="15" hidden="1" x14ac:dyDescent="0.25">
      <c r="A47" s="29" t="s">
        <v>97</v>
      </c>
      <c r="B47" s="29" t="s">
        <v>87</v>
      </c>
      <c r="C47" s="29" t="s">
        <v>227</v>
      </c>
      <c r="D47" s="29" t="s">
        <v>382</v>
      </c>
      <c r="E47" s="29" t="s">
        <v>87</v>
      </c>
      <c r="F47" s="29" t="s">
        <v>79</v>
      </c>
      <c r="G47" s="29" t="s">
        <v>80</v>
      </c>
      <c r="H47" s="29" t="s">
        <v>81</v>
      </c>
      <c r="I47" s="29" t="s">
        <v>82</v>
      </c>
      <c r="J47" s="30">
        <v>277.27999999999997</v>
      </c>
      <c r="K47" s="29" t="s">
        <v>176</v>
      </c>
      <c r="L47" s="29" t="s">
        <v>82</v>
      </c>
      <c r="M47" s="29" t="s">
        <v>228</v>
      </c>
      <c r="N47" s="29" t="s">
        <v>227</v>
      </c>
      <c r="O47" s="31">
        <v>44316</v>
      </c>
      <c r="P47" s="31">
        <v>44321</v>
      </c>
      <c r="Q47" s="29" t="s">
        <v>83</v>
      </c>
    </row>
    <row r="48" spans="1:17" ht="15" hidden="1" x14ac:dyDescent="0.25">
      <c r="A48" s="29" t="s">
        <v>97</v>
      </c>
      <c r="B48" s="29" t="s">
        <v>87</v>
      </c>
      <c r="C48" s="29" t="s">
        <v>332</v>
      </c>
      <c r="D48" s="29" t="s">
        <v>382</v>
      </c>
      <c r="E48" s="29" t="s">
        <v>87</v>
      </c>
      <c r="F48" s="29" t="s">
        <v>79</v>
      </c>
      <c r="G48" s="29" t="s">
        <v>80</v>
      </c>
      <c r="H48" s="29" t="s">
        <v>81</v>
      </c>
      <c r="I48" s="29" t="s">
        <v>82</v>
      </c>
      <c r="J48" s="30">
        <v>-277.27999999999997</v>
      </c>
      <c r="K48" s="29" t="s">
        <v>176</v>
      </c>
      <c r="L48" s="29" t="s">
        <v>82</v>
      </c>
      <c r="M48" s="29" t="s">
        <v>228</v>
      </c>
      <c r="N48" s="29" t="s">
        <v>227</v>
      </c>
      <c r="O48" s="31">
        <v>44347</v>
      </c>
      <c r="P48" s="31">
        <v>44350</v>
      </c>
      <c r="Q48" s="29" t="s">
        <v>83</v>
      </c>
    </row>
    <row r="49" spans="1:17" ht="15" hidden="1" x14ac:dyDescent="0.25">
      <c r="A49" s="29" t="s">
        <v>97</v>
      </c>
      <c r="B49" s="29" t="s">
        <v>108</v>
      </c>
      <c r="C49" s="29" t="s">
        <v>148</v>
      </c>
      <c r="D49" s="29" t="s">
        <v>384</v>
      </c>
      <c r="E49" s="29" t="s">
        <v>108</v>
      </c>
      <c r="F49" s="29" t="s">
        <v>79</v>
      </c>
      <c r="G49" s="29" t="s">
        <v>80</v>
      </c>
      <c r="H49" s="29" t="s">
        <v>81</v>
      </c>
      <c r="I49" s="29" t="s">
        <v>82</v>
      </c>
      <c r="J49" s="30">
        <v>0.57999999999999996</v>
      </c>
      <c r="K49" s="29" t="s">
        <v>149</v>
      </c>
      <c r="L49" s="29" t="s">
        <v>82</v>
      </c>
      <c r="M49" s="29" t="s">
        <v>150</v>
      </c>
      <c r="N49" s="29" t="s">
        <v>148</v>
      </c>
      <c r="O49" s="31">
        <v>44347</v>
      </c>
      <c r="P49" s="31">
        <v>44351</v>
      </c>
      <c r="Q49" s="29" t="s">
        <v>83</v>
      </c>
    </row>
    <row r="50" spans="1:17" ht="15" hidden="1" x14ac:dyDescent="0.25">
      <c r="A50" s="29" t="s">
        <v>97</v>
      </c>
      <c r="B50" s="29" t="s">
        <v>109</v>
      </c>
      <c r="C50" s="29" t="s">
        <v>235</v>
      </c>
      <c r="D50" s="29" t="s">
        <v>385</v>
      </c>
      <c r="E50" s="29" t="s">
        <v>109</v>
      </c>
      <c r="F50" s="29" t="s">
        <v>79</v>
      </c>
      <c r="G50" s="29" t="s">
        <v>80</v>
      </c>
      <c r="H50" s="29" t="s">
        <v>81</v>
      </c>
      <c r="I50" s="29" t="s">
        <v>82</v>
      </c>
      <c r="J50" s="30">
        <v>0.18</v>
      </c>
      <c r="K50" s="29" t="s">
        <v>149</v>
      </c>
      <c r="L50" s="29" t="s">
        <v>82</v>
      </c>
      <c r="M50" s="29" t="s">
        <v>150</v>
      </c>
      <c r="N50" s="29" t="s">
        <v>235</v>
      </c>
      <c r="O50" s="31">
        <v>44347</v>
      </c>
      <c r="P50" s="31">
        <v>44351</v>
      </c>
      <c r="Q50" s="29" t="s">
        <v>83</v>
      </c>
    </row>
    <row r="51" spans="1:17" ht="15" hidden="1" x14ac:dyDescent="0.25">
      <c r="A51" s="29" t="s">
        <v>97</v>
      </c>
      <c r="B51" s="29" t="s">
        <v>87</v>
      </c>
      <c r="C51" s="29" t="s">
        <v>154</v>
      </c>
      <c r="D51" s="29" t="s">
        <v>382</v>
      </c>
      <c r="E51" s="29" t="s">
        <v>87</v>
      </c>
      <c r="F51" s="29" t="s">
        <v>79</v>
      </c>
      <c r="G51" s="29" t="s">
        <v>80</v>
      </c>
      <c r="H51" s="29" t="s">
        <v>81</v>
      </c>
      <c r="I51" s="29" t="s">
        <v>82</v>
      </c>
      <c r="J51" s="30">
        <v>30.04</v>
      </c>
      <c r="K51" s="29" t="s">
        <v>153</v>
      </c>
      <c r="L51" s="29" t="s">
        <v>82</v>
      </c>
      <c r="M51" s="29" t="s">
        <v>150</v>
      </c>
      <c r="N51" s="29" t="s">
        <v>154</v>
      </c>
      <c r="O51" s="31">
        <v>44347</v>
      </c>
      <c r="P51" s="31">
        <v>44350</v>
      </c>
      <c r="Q51" s="29" t="s">
        <v>83</v>
      </c>
    </row>
    <row r="52" spans="1:17" ht="15" hidden="1" x14ac:dyDescent="0.25">
      <c r="A52" s="29" t="s">
        <v>97</v>
      </c>
      <c r="B52" s="29" t="s">
        <v>87</v>
      </c>
      <c r="C52" s="29" t="s">
        <v>152</v>
      </c>
      <c r="D52" s="29" t="s">
        <v>382</v>
      </c>
      <c r="E52" s="29" t="s">
        <v>87</v>
      </c>
      <c r="F52" s="29" t="s">
        <v>79</v>
      </c>
      <c r="G52" s="29" t="s">
        <v>80</v>
      </c>
      <c r="H52" s="29" t="s">
        <v>81</v>
      </c>
      <c r="I52" s="29" t="s">
        <v>82</v>
      </c>
      <c r="J52" s="30">
        <v>-30.04</v>
      </c>
      <c r="K52" s="29" t="s">
        <v>153</v>
      </c>
      <c r="L52" s="29" t="s">
        <v>82</v>
      </c>
      <c r="M52" s="29" t="s">
        <v>150</v>
      </c>
      <c r="N52" s="29" t="s">
        <v>154</v>
      </c>
      <c r="O52" s="31">
        <v>44377</v>
      </c>
      <c r="P52" s="31">
        <v>44350</v>
      </c>
      <c r="Q52" s="29" t="s">
        <v>83</v>
      </c>
    </row>
    <row r="53" spans="1:17" ht="15" hidden="1" x14ac:dyDescent="0.25">
      <c r="A53" s="29" t="s">
        <v>97</v>
      </c>
      <c r="B53" s="29" t="s">
        <v>108</v>
      </c>
      <c r="C53" s="29" t="s">
        <v>155</v>
      </c>
      <c r="D53" s="29" t="s">
        <v>384</v>
      </c>
      <c r="E53" s="29" t="s">
        <v>108</v>
      </c>
      <c r="F53" s="29" t="s">
        <v>79</v>
      </c>
      <c r="G53" s="29" t="s">
        <v>80</v>
      </c>
      <c r="H53" s="29" t="s">
        <v>81</v>
      </c>
      <c r="I53" s="29" t="s">
        <v>82</v>
      </c>
      <c r="J53" s="30">
        <v>-0.57999999999999996</v>
      </c>
      <c r="K53" s="29" t="s">
        <v>149</v>
      </c>
      <c r="L53" s="29" t="s">
        <v>82</v>
      </c>
      <c r="M53" s="29" t="s">
        <v>150</v>
      </c>
      <c r="N53" s="29" t="s">
        <v>148</v>
      </c>
      <c r="O53" s="31">
        <v>44377</v>
      </c>
      <c r="P53" s="31">
        <v>44351</v>
      </c>
      <c r="Q53" s="29" t="s">
        <v>83</v>
      </c>
    </row>
    <row r="54" spans="1:17" ht="15" hidden="1" x14ac:dyDescent="0.25">
      <c r="A54" s="29" t="s">
        <v>408</v>
      </c>
      <c r="B54" s="29" t="s">
        <v>406</v>
      </c>
      <c r="C54" s="29" t="s">
        <v>409</v>
      </c>
      <c r="D54" s="29" t="s">
        <v>502</v>
      </c>
      <c r="E54" s="29" t="s">
        <v>406</v>
      </c>
      <c r="F54" s="29" t="s">
        <v>79</v>
      </c>
      <c r="G54" s="29" t="s">
        <v>80</v>
      </c>
      <c r="H54" s="29" t="s">
        <v>81</v>
      </c>
      <c r="I54" s="29" t="s">
        <v>82</v>
      </c>
      <c r="J54" s="30">
        <v>-531.25</v>
      </c>
      <c r="K54" s="29" t="s">
        <v>410</v>
      </c>
      <c r="L54" s="29" t="s">
        <v>82</v>
      </c>
      <c r="M54" s="29" t="s">
        <v>411</v>
      </c>
      <c r="N54" s="29" t="s">
        <v>409</v>
      </c>
      <c r="O54" s="31">
        <v>43861</v>
      </c>
      <c r="P54" s="31">
        <v>43874</v>
      </c>
      <c r="Q54" s="29" t="s">
        <v>83</v>
      </c>
    </row>
    <row r="55" spans="1:17" ht="15" hidden="1" x14ac:dyDescent="0.25">
      <c r="A55" s="29" t="s">
        <v>78</v>
      </c>
      <c r="B55" s="29" t="s">
        <v>93</v>
      </c>
      <c r="C55" s="29" t="s">
        <v>239</v>
      </c>
      <c r="D55" s="29" t="s">
        <v>383</v>
      </c>
      <c r="E55" s="29" t="s">
        <v>92</v>
      </c>
      <c r="F55" s="29" t="s">
        <v>79</v>
      </c>
      <c r="G55" s="29" t="s">
        <v>80</v>
      </c>
      <c r="H55" s="29" t="s">
        <v>81</v>
      </c>
      <c r="I55" s="29" t="s">
        <v>82</v>
      </c>
      <c r="J55" s="30">
        <v>561.16</v>
      </c>
      <c r="K55" s="29" t="s">
        <v>95</v>
      </c>
      <c r="L55" s="29" t="s">
        <v>82</v>
      </c>
      <c r="M55" s="29" t="s">
        <v>96</v>
      </c>
      <c r="N55" s="29" t="s">
        <v>239</v>
      </c>
      <c r="O55" s="31">
        <v>44225</v>
      </c>
      <c r="P55" s="31">
        <v>44228</v>
      </c>
      <c r="Q55" s="29" t="s">
        <v>83</v>
      </c>
    </row>
    <row r="56" spans="1:17" ht="15" hidden="1" x14ac:dyDescent="0.25">
      <c r="A56" s="29" t="s">
        <v>78</v>
      </c>
      <c r="B56" s="29" t="s">
        <v>93</v>
      </c>
      <c r="C56" s="29" t="s">
        <v>94</v>
      </c>
      <c r="D56" s="29" t="s">
        <v>383</v>
      </c>
      <c r="E56" s="29" t="s">
        <v>92</v>
      </c>
      <c r="F56" s="29" t="s">
        <v>79</v>
      </c>
      <c r="G56" s="29" t="s">
        <v>80</v>
      </c>
      <c r="H56" s="29" t="s">
        <v>81</v>
      </c>
      <c r="I56" s="29" t="s">
        <v>82</v>
      </c>
      <c r="J56" s="30">
        <v>-561.16</v>
      </c>
      <c r="K56" s="29" t="s">
        <v>95</v>
      </c>
      <c r="L56" s="29" t="s">
        <v>82</v>
      </c>
      <c r="M56" s="29" t="s">
        <v>96</v>
      </c>
      <c r="N56" s="29" t="s">
        <v>94</v>
      </c>
      <c r="O56" s="31">
        <v>44253</v>
      </c>
      <c r="P56" s="31">
        <v>44256</v>
      </c>
      <c r="Q56" s="29" t="s">
        <v>83</v>
      </c>
    </row>
    <row r="57" spans="1:17" ht="15" hidden="1" x14ac:dyDescent="0.25">
      <c r="A57" s="29" t="s">
        <v>97</v>
      </c>
      <c r="B57" s="29" t="s">
        <v>87</v>
      </c>
      <c r="C57" s="29" t="s">
        <v>139</v>
      </c>
      <c r="D57" s="29" t="s">
        <v>382</v>
      </c>
      <c r="E57" s="29" t="s">
        <v>87</v>
      </c>
      <c r="F57" s="29" t="s">
        <v>79</v>
      </c>
      <c r="G57" s="29" t="s">
        <v>80</v>
      </c>
      <c r="H57" s="29" t="s">
        <v>81</v>
      </c>
      <c r="I57" s="29" t="s">
        <v>82</v>
      </c>
      <c r="J57" s="30">
        <v>1000</v>
      </c>
      <c r="K57" s="29" t="s">
        <v>129</v>
      </c>
      <c r="L57" s="29" t="s">
        <v>82</v>
      </c>
      <c r="M57" s="29" t="s">
        <v>140</v>
      </c>
      <c r="N57" s="29" t="s">
        <v>139</v>
      </c>
      <c r="O57" s="31">
        <v>44286</v>
      </c>
      <c r="P57" s="31">
        <v>44291</v>
      </c>
      <c r="Q57" s="29" t="s">
        <v>83</v>
      </c>
    </row>
    <row r="58" spans="1:17" ht="15" hidden="1" x14ac:dyDescent="0.25">
      <c r="A58" s="29" t="s">
        <v>97</v>
      </c>
      <c r="B58" s="29" t="s">
        <v>92</v>
      </c>
      <c r="C58" s="29" t="s">
        <v>126</v>
      </c>
      <c r="D58" s="29" t="s">
        <v>383</v>
      </c>
      <c r="E58" s="29" t="s">
        <v>92</v>
      </c>
      <c r="F58" s="29" t="s">
        <v>79</v>
      </c>
      <c r="G58" s="29" t="s">
        <v>80</v>
      </c>
      <c r="H58" s="29" t="s">
        <v>81</v>
      </c>
      <c r="I58" s="29" t="s">
        <v>82</v>
      </c>
      <c r="J58" s="30">
        <v>1000</v>
      </c>
      <c r="K58" s="29" t="s">
        <v>129</v>
      </c>
      <c r="L58" s="29" t="s">
        <v>82</v>
      </c>
      <c r="M58" s="29" t="s">
        <v>130</v>
      </c>
      <c r="N58" s="29" t="s">
        <v>126</v>
      </c>
      <c r="O58" s="31">
        <v>44286</v>
      </c>
      <c r="P58" s="31">
        <v>44292</v>
      </c>
      <c r="Q58" s="29" t="s">
        <v>83</v>
      </c>
    </row>
    <row r="59" spans="1:17" ht="15" hidden="1" x14ac:dyDescent="0.25">
      <c r="A59" s="29" t="s">
        <v>97</v>
      </c>
      <c r="B59" s="29" t="s">
        <v>87</v>
      </c>
      <c r="C59" s="29" t="s">
        <v>220</v>
      </c>
      <c r="D59" s="29" t="s">
        <v>382</v>
      </c>
      <c r="E59" s="29" t="s">
        <v>87</v>
      </c>
      <c r="F59" s="29" t="s">
        <v>79</v>
      </c>
      <c r="G59" s="29" t="s">
        <v>80</v>
      </c>
      <c r="H59" s="29" t="s">
        <v>81</v>
      </c>
      <c r="I59" s="29" t="s">
        <v>82</v>
      </c>
      <c r="J59" s="30">
        <v>-1000</v>
      </c>
      <c r="K59" s="29" t="s">
        <v>129</v>
      </c>
      <c r="L59" s="29" t="s">
        <v>82</v>
      </c>
      <c r="M59" s="29" t="s">
        <v>140</v>
      </c>
      <c r="N59" s="29" t="s">
        <v>139</v>
      </c>
      <c r="O59" s="31">
        <v>44316</v>
      </c>
      <c r="P59" s="31">
        <v>44291</v>
      </c>
      <c r="Q59" s="29" t="s">
        <v>83</v>
      </c>
    </row>
    <row r="60" spans="1:17" ht="15" hidden="1" x14ac:dyDescent="0.25">
      <c r="A60" s="29" t="s">
        <v>97</v>
      </c>
      <c r="B60" s="29" t="s">
        <v>92</v>
      </c>
      <c r="C60" s="29" t="s">
        <v>242</v>
      </c>
      <c r="D60" s="29" t="s">
        <v>383</v>
      </c>
      <c r="E60" s="29" t="s">
        <v>92</v>
      </c>
      <c r="F60" s="29" t="s">
        <v>79</v>
      </c>
      <c r="G60" s="29" t="s">
        <v>80</v>
      </c>
      <c r="H60" s="29" t="s">
        <v>81</v>
      </c>
      <c r="I60" s="29" t="s">
        <v>82</v>
      </c>
      <c r="J60" s="30">
        <v>-1000</v>
      </c>
      <c r="K60" s="29" t="s">
        <v>129</v>
      </c>
      <c r="L60" s="29" t="s">
        <v>82</v>
      </c>
      <c r="M60" s="29" t="s">
        <v>130</v>
      </c>
      <c r="N60" s="29" t="s">
        <v>126</v>
      </c>
      <c r="O60" s="31">
        <v>44316</v>
      </c>
      <c r="P60" s="31">
        <v>44292</v>
      </c>
      <c r="Q60" s="29" t="s">
        <v>83</v>
      </c>
    </row>
    <row r="61" spans="1:17" ht="15" hidden="1" x14ac:dyDescent="0.25">
      <c r="A61" s="29" t="s">
        <v>97</v>
      </c>
      <c r="B61" s="29" t="s">
        <v>108</v>
      </c>
      <c r="C61" s="29" t="s">
        <v>243</v>
      </c>
      <c r="D61" s="29" t="s">
        <v>384</v>
      </c>
      <c r="E61" s="29" t="s">
        <v>108</v>
      </c>
      <c r="F61" s="29" t="s">
        <v>79</v>
      </c>
      <c r="G61" s="29" t="s">
        <v>80</v>
      </c>
      <c r="H61" s="29" t="s">
        <v>81</v>
      </c>
      <c r="I61" s="29" t="s">
        <v>82</v>
      </c>
      <c r="J61" s="30">
        <v>8.69</v>
      </c>
      <c r="K61" s="29" t="s">
        <v>166</v>
      </c>
      <c r="L61" s="29" t="s">
        <v>82</v>
      </c>
      <c r="M61" s="29" t="s">
        <v>142</v>
      </c>
      <c r="N61" s="29" t="s">
        <v>243</v>
      </c>
      <c r="O61" s="31">
        <v>44316</v>
      </c>
      <c r="P61" s="31">
        <v>44322</v>
      </c>
      <c r="Q61" s="29" t="s">
        <v>83</v>
      </c>
    </row>
    <row r="62" spans="1:17" ht="15" hidden="1" x14ac:dyDescent="0.25">
      <c r="A62" s="29" t="s">
        <v>97</v>
      </c>
      <c r="B62" s="29" t="s">
        <v>109</v>
      </c>
      <c r="C62" s="29" t="s">
        <v>247</v>
      </c>
      <c r="D62" s="29" t="s">
        <v>385</v>
      </c>
      <c r="E62" s="29" t="s">
        <v>109</v>
      </c>
      <c r="F62" s="29" t="s">
        <v>79</v>
      </c>
      <c r="G62" s="29" t="s">
        <v>80</v>
      </c>
      <c r="H62" s="29" t="s">
        <v>81</v>
      </c>
      <c r="I62" s="29" t="s">
        <v>82</v>
      </c>
      <c r="J62" s="30">
        <v>2.71</v>
      </c>
      <c r="K62" s="29" t="s">
        <v>166</v>
      </c>
      <c r="L62" s="29" t="s">
        <v>82</v>
      </c>
      <c r="M62" s="29" t="s">
        <v>142</v>
      </c>
      <c r="N62" s="29" t="s">
        <v>247</v>
      </c>
      <c r="O62" s="31">
        <v>44316</v>
      </c>
      <c r="P62" s="31">
        <v>44322</v>
      </c>
      <c r="Q62" s="29" t="s">
        <v>83</v>
      </c>
    </row>
    <row r="63" spans="1:17" ht="15" hidden="1" x14ac:dyDescent="0.25">
      <c r="A63" s="29" t="s">
        <v>97</v>
      </c>
      <c r="B63" s="29" t="s">
        <v>92</v>
      </c>
      <c r="C63" s="29" t="s">
        <v>278</v>
      </c>
      <c r="D63" s="29" t="s">
        <v>383</v>
      </c>
      <c r="E63" s="29" t="s">
        <v>92</v>
      </c>
      <c r="F63" s="29" t="s">
        <v>79</v>
      </c>
      <c r="G63" s="29" t="s">
        <v>80</v>
      </c>
      <c r="H63" s="29" t="s">
        <v>81</v>
      </c>
      <c r="I63" s="29" t="s">
        <v>82</v>
      </c>
      <c r="J63" s="30">
        <v>959.87</v>
      </c>
      <c r="K63" s="29" t="s">
        <v>277</v>
      </c>
      <c r="L63" s="29" t="s">
        <v>82</v>
      </c>
      <c r="M63" s="29" t="s">
        <v>142</v>
      </c>
      <c r="N63" s="29" t="s">
        <v>278</v>
      </c>
      <c r="O63" s="31">
        <v>44316</v>
      </c>
      <c r="P63" s="31">
        <v>44322</v>
      </c>
      <c r="Q63" s="29" t="s">
        <v>83</v>
      </c>
    </row>
    <row r="64" spans="1:17" ht="15" hidden="1" x14ac:dyDescent="0.25">
      <c r="A64" s="29" t="s">
        <v>97</v>
      </c>
      <c r="B64" s="29" t="s">
        <v>92</v>
      </c>
      <c r="C64" s="29" t="s">
        <v>274</v>
      </c>
      <c r="D64" s="29" t="s">
        <v>383</v>
      </c>
      <c r="E64" s="29" t="s">
        <v>92</v>
      </c>
      <c r="F64" s="29" t="s">
        <v>79</v>
      </c>
      <c r="G64" s="29" t="s">
        <v>80</v>
      </c>
      <c r="H64" s="29" t="s">
        <v>81</v>
      </c>
      <c r="I64" s="29" t="s">
        <v>82</v>
      </c>
      <c r="J64" s="30">
        <v>590.69000000000005</v>
      </c>
      <c r="K64" s="29" t="s">
        <v>129</v>
      </c>
      <c r="L64" s="29" t="s">
        <v>82</v>
      </c>
      <c r="M64" s="29" t="s">
        <v>145</v>
      </c>
      <c r="N64" s="29" t="s">
        <v>274</v>
      </c>
      <c r="O64" s="31">
        <v>44316</v>
      </c>
      <c r="P64" s="31">
        <v>44321</v>
      </c>
      <c r="Q64" s="29" t="s">
        <v>83</v>
      </c>
    </row>
    <row r="65" spans="1:17" ht="15" hidden="1" x14ac:dyDescent="0.25">
      <c r="A65" s="29" t="s">
        <v>97</v>
      </c>
      <c r="B65" s="29" t="s">
        <v>92</v>
      </c>
      <c r="C65" s="29" t="s">
        <v>275</v>
      </c>
      <c r="D65" s="29" t="s">
        <v>383</v>
      </c>
      <c r="E65" s="29" t="s">
        <v>92</v>
      </c>
      <c r="F65" s="29" t="s">
        <v>79</v>
      </c>
      <c r="G65" s="29" t="s">
        <v>80</v>
      </c>
      <c r="H65" s="29" t="s">
        <v>81</v>
      </c>
      <c r="I65" s="29" t="s">
        <v>82</v>
      </c>
      <c r="J65" s="30">
        <v>-590.69000000000005</v>
      </c>
      <c r="K65" s="29" t="s">
        <v>129</v>
      </c>
      <c r="L65" s="29" t="s">
        <v>82</v>
      </c>
      <c r="M65" s="29" t="s">
        <v>145</v>
      </c>
      <c r="N65" s="29" t="s">
        <v>274</v>
      </c>
      <c r="O65" s="31">
        <v>44347</v>
      </c>
      <c r="P65" s="31">
        <v>44321</v>
      </c>
      <c r="Q65" s="29" t="s">
        <v>83</v>
      </c>
    </row>
    <row r="66" spans="1:17" ht="15" hidden="1" x14ac:dyDescent="0.25">
      <c r="A66" s="29" t="s">
        <v>97</v>
      </c>
      <c r="B66" s="29" t="s">
        <v>108</v>
      </c>
      <c r="C66" s="29" t="s">
        <v>245</v>
      </c>
      <c r="D66" s="29" t="s">
        <v>384</v>
      </c>
      <c r="E66" s="29" t="s">
        <v>108</v>
      </c>
      <c r="F66" s="29" t="s">
        <v>79</v>
      </c>
      <c r="G66" s="29" t="s">
        <v>80</v>
      </c>
      <c r="H66" s="29" t="s">
        <v>81</v>
      </c>
      <c r="I66" s="29" t="s">
        <v>82</v>
      </c>
      <c r="J66" s="30">
        <v>-8.69</v>
      </c>
      <c r="K66" s="29" t="s">
        <v>166</v>
      </c>
      <c r="L66" s="29" t="s">
        <v>82</v>
      </c>
      <c r="M66" s="29" t="s">
        <v>142</v>
      </c>
      <c r="N66" s="29" t="s">
        <v>243</v>
      </c>
      <c r="O66" s="31">
        <v>44347</v>
      </c>
      <c r="P66" s="31">
        <v>44322</v>
      </c>
      <c r="Q66" s="29" t="s">
        <v>83</v>
      </c>
    </row>
    <row r="67" spans="1:17" ht="15" hidden="1" x14ac:dyDescent="0.25">
      <c r="A67" s="29" t="s">
        <v>97</v>
      </c>
      <c r="B67" s="29" t="s">
        <v>109</v>
      </c>
      <c r="C67" s="29" t="s">
        <v>246</v>
      </c>
      <c r="D67" s="29" t="s">
        <v>385</v>
      </c>
      <c r="E67" s="29" t="s">
        <v>109</v>
      </c>
      <c r="F67" s="29" t="s">
        <v>79</v>
      </c>
      <c r="G67" s="29" t="s">
        <v>80</v>
      </c>
      <c r="H67" s="29" t="s">
        <v>81</v>
      </c>
      <c r="I67" s="29" t="s">
        <v>82</v>
      </c>
      <c r="J67" s="30">
        <v>-2.71</v>
      </c>
      <c r="K67" s="29" t="s">
        <v>166</v>
      </c>
      <c r="L67" s="29" t="s">
        <v>82</v>
      </c>
      <c r="M67" s="29" t="s">
        <v>142</v>
      </c>
      <c r="N67" s="29" t="s">
        <v>247</v>
      </c>
      <c r="O67" s="31">
        <v>44347</v>
      </c>
      <c r="P67" s="31">
        <v>44322</v>
      </c>
      <c r="Q67" s="29" t="s">
        <v>83</v>
      </c>
    </row>
    <row r="68" spans="1:17" ht="15" hidden="1" x14ac:dyDescent="0.25">
      <c r="A68" s="29" t="s">
        <v>97</v>
      </c>
      <c r="B68" s="29" t="s">
        <v>92</v>
      </c>
      <c r="C68" s="29" t="s">
        <v>276</v>
      </c>
      <c r="D68" s="29" t="s">
        <v>383</v>
      </c>
      <c r="E68" s="29" t="s">
        <v>92</v>
      </c>
      <c r="F68" s="29" t="s">
        <v>79</v>
      </c>
      <c r="G68" s="29" t="s">
        <v>80</v>
      </c>
      <c r="H68" s="29" t="s">
        <v>81</v>
      </c>
      <c r="I68" s="29" t="s">
        <v>82</v>
      </c>
      <c r="J68" s="30">
        <v>-959.87</v>
      </c>
      <c r="K68" s="29" t="s">
        <v>277</v>
      </c>
      <c r="L68" s="29" t="s">
        <v>82</v>
      </c>
      <c r="M68" s="29" t="s">
        <v>142</v>
      </c>
      <c r="N68" s="29" t="s">
        <v>278</v>
      </c>
      <c r="O68" s="31">
        <v>44347</v>
      </c>
      <c r="P68" s="31">
        <v>44322</v>
      </c>
      <c r="Q68" s="29" t="s">
        <v>83</v>
      </c>
    </row>
    <row r="69" spans="1:17" ht="15" hidden="1" x14ac:dyDescent="0.25">
      <c r="A69" s="29" t="s">
        <v>97</v>
      </c>
      <c r="B69" s="29" t="s">
        <v>92</v>
      </c>
      <c r="C69" s="29" t="s">
        <v>333</v>
      </c>
      <c r="D69" s="29" t="s">
        <v>383</v>
      </c>
      <c r="E69" s="29" t="s">
        <v>92</v>
      </c>
      <c r="F69" s="29" t="s">
        <v>79</v>
      </c>
      <c r="G69" s="29" t="s">
        <v>80</v>
      </c>
      <c r="H69" s="29" t="s">
        <v>81</v>
      </c>
      <c r="I69" s="29" t="s">
        <v>82</v>
      </c>
      <c r="J69" s="30">
        <v>63.99</v>
      </c>
      <c r="K69" s="29" t="s">
        <v>335</v>
      </c>
      <c r="L69" s="29" t="s">
        <v>82</v>
      </c>
      <c r="M69" s="29" t="s">
        <v>150</v>
      </c>
      <c r="N69" s="29" t="s">
        <v>333</v>
      </c>
      <c r="O69" s="31">
        <v>44347</v>
      </c>
      <c r="P69" s="31">
        <v>44351</v>
      </c>
      <c r="Q69" s="29" t="s">
        <v>83</v>
      </c>
    </row>
    <row r="70" spans="1:17" ht="15" hidden="1" x14ac:dyDescent="0.25">
      <c r="A70" s="29" t="s">
        <v>97</v>
      </c>
      <c r="B70" s="29" t="s">
        <v>92</v>
      </c>
      <c r="C70" s="29" t="s">
        <v>337</v>
      </c>
      <c r="D70" s="29" t="s">
        <v>383</v>
      </c>
      <c r="E70" s="29" t="s">
        <v>92</v>
      </c>
      <c r="F70" s="29" t="s">
        <v>79</v>
      </c>
      <c r="G70" s="29" t="s">
        <v>80</v>
      </c>
      <c r="H70" s="29" t="s">
        <v>81</v>
      </c>
      <c r="I70" s="29" t="s">
        <v>82</v>
      </c>
      <c r="J70" s="30">
        <v>-63.99</v>
      </c>
      <c r="K70" s="29" t="s">
        <v>335</v>
      </c>
      <c r="L70" s="29" t="s">
        <v>82</v>
      </c>
      <c r="M70" s="29" t="s">
        <v>150</v>
      </c>
      <c r="N70" s="29" t="s">
        <v>333</v>
      </c>
      <c r="O70" s="31">
        <v>44377</v>
      </c>
      <c r="P70" s="31">
        <v>44351</v>
      </c>
      <c r="Q70" s="29" t="s">
        <v>83</v>
      </c>
    </row>
    <row r="71" spans="1:17" ht="15" hidden="1" x14ac:dyDescent="0.25">
      <c r="A71" s="29" t="s">
        <v>97</v>
      </c>
      <c r="B71" s="29" t="s">
        <v>87</v>
      </c>
      <c r="C71" s="29" t="s">
        <v>167</v>
      </c>
      <c r="D71" s="29" t="s">
        <v>382</v>
      </c>
      <c r="E71" s="29" t="s">
        <v>87</v>
      </c>
      <c r="F71" s="29" t="s">
        <v>79</v>
      </c>
      <c r="G71" s="29" t="s">
        <v>80</v>
      </c>
      <c r="H71" s="29" t="s">
        <v>81</v>
      </c>
      <c r="I71" s="29" t="s">
        <v>82</v>
      </c>
      <c r="J71" s="30">
        <v>48.06</v>
      </c>
      <c r="K71" s="29" t="s">
        <v>166</v>
      </c>
      <c r="L71" s="29" t="s">
        <v>82</v>
      </c>
      <c r="M71" s="29" t="s">
        <v>163</v>
      </c>
      <c r="N71" s="29" t="s">
        <v>167</v>
      </c>
      <c r="O71" s="31">
        <v>44377</v>
      </c>
      <c r="P71" s="31">
        <v>44385</v>
      </c>
      <c r="Q71" s="29" t="s">
        <v>83</v>
      </c>
    </row>
    <row r="72" spans="1:17" ht="15" hidden="1" x14ac:dyDescent="0.25">
      <c r="A72" s="29" t="s">
        <v>97</v>
      </c>
      <c r="B72" s="29" t="s">
        <v>87</v>
      </c>
      <c r="C72" s="29" t="s">
        <v>165</v>
      </c>
      <c r="D72" s="29" t="s">
        <v>382</v>
      </c>
      <c r="E72" s="29" t="s">
        <v>87</v>
      </c>
      <c r="F72" s="29" t="s">
        <v>79</v>
      </c>
      <c r="G72" s="29" t="s">
        <v>80</v>
      </c>
      <c r="H72" s="29" t="s">
        <v>81</v>
      </c>
      <c r="I72" s="29" t="s">
        <v>82</v>
      </c>
      <c r="J72" s="30">
        <v>-48.06</v>
      </c>
      <c r="K72" s="29" t="s">
        <v>166</v>
      </c>
      <c r="L72" s="29" t="s">
        <v>82</v>
      </c>
      <c r="M72" s="29" t="s">
        <v>163</v>
      </c>
      <c r="N72" s="29" t="s">
        <v>167</v>
      </c>
      <c r="O72" s="31">
        <v>44408</v>
      </c>
      <c r="P72" s="31">
        <v>44385</v>
      </c>
      <c r="Q72" s="29" t="s">
        <v>83</v>
      </c>
    </row>
    <row r="73" spans="1:17" ht="15" hidden="1" x14ac:dyDescent="0.25">
      <c r="A73" s="29" t="s">
        <v>97</v>
      </c>
      <c r="B73" s="29" t="s">
        <v>108</v>
      </c>
      <c r="C73" s="29" t="s">
        <v>173</v>
      </c>
      <c r="D73" s="29" t="s">
        <v>384</v>
      </c>
      <c r="E73" s="29" t="s">
        <v>108</v>
      </c>
      <c r="F73" s="29" t="s">
        <v>79</v>
      </c>
      <c r="G73" s="29" t="s">
        <v>80</v>
      </c>
      <c r="H73" s="29" t="s">
        <v>81</v>
      </c>
      <c r="I73" s="29" t="s">
        <v>82</v>
      </c>
      <c r="J73" s="30">
        <v>15.65</v>
      </c>
      <c r="K73" s="29" t="s">
        <v>166</v>
      </c>
      <c r="L73" s="29" t="s">
        <v>82</v>
      </c>
      <c r="M73" s="29" t="s">
        <v>171</v>
      </c>
      <c r="N73" s="29" t="s">
        <v>173</v>
      </c>
      <c r="O73" s="31">
        <v>44408</v>
      </c>
      <c r="P73" s="31">
        <v>44413</v>
      </c>
      <c r="Q73" s="29" t="s">
        <v>83</v>
      </c>
    </row>
    <row r="74" spans="1:17" ht="15" hidden="1" x14ac:dyDescent="0.25">
      <c r="A74" s="29" t="s">
        <v>97</v>
      </c>
      <c r="B74" s="29" t="s">
        <v>109</v>
      </c>
      <c r="C74" s="29" t="s">
        <v>281</v>
      </c>
      <c r="D74" s="29" t="s">
        <v>385</v>
      </c>
      <c r="E74" s="29" t="s">
        <v>109</v>
      </c>
      <c r="F74" s="29" t="s">
        <v>79</v>
      </c>
      <c r="G74" s="29" t="s">
        <v>80</v>
      </c>
      <c r="H74" s="29" t="s">
        <v>81</v>
      </c>
      <c r="I74" s="29" t="s">
        <v>82</v>
      </c>
      <c r="J74" s="30">
        <v>4.88</v>
      </c>
      <c r="K74" s="29" t="s">
        <v>166</v>
      </c>
      <c r="L74" s="29" t="s">
        <v>82</v>
      </c>
      <c r="M74" s="29" t="s">
        <v>171</v>
      </c>
      <c r="N74" s="29" t="s">
        <v>281</v>
      </c>
      <c r="O74" s="31">
        <v>44408</v>
      </c>
      <c r="P74" s="31">
        <v>44413</v>
      </c>
      <c r="Q74" s="29" t="s">
        <v>83</v>
      </c>
    </row>
    <row r="75" spans="1:17" ht="15" hidden="1" x14ac:dyDescent="0.25">
      <c r="A75" s="29" t="s">
        <v>97</v>
      </c>
      <c r="B75" s="29" t="s">
        <v>87</v>
      </c>
      <c r="C75" s="29" t="s">
        <v>338</v>
      </c>
      <c r="D75" s="29" t="s">
        <v>382</v>
      </c>
      <c r="E75" s="29" t="s">
        <v>87</v>
      </c>
      <c r="F75" s="29" t="s">
        <v>79</v>
      </c>
      <c r="G75" s="29" t="s">
        <v>80</v>
      </c>
      <c r="H75" s="29" t="s">
        <v>81</v>
      </c>
      <c r="I75" s="29" t="s">
        <v>82</v>
      </c>
      <c r="J75" s="30">
        <v>811.05</v>
      </c>
      <c r="K75" s="29" t="s">
        <v>166</v>
      </c>
      <c r="L75" s="29" t="s">
        <v>82</v>
      </c>
      <c r="M75" s="29" t="s">
        <v>171</v>
      </c>
      <c r="N75" s="29" t="s">
        <v>338</v>
      </c>
      <c r="O75" s="31">
        <v>44408</v>
      </c>
      <c r="P75" s="31">
        <v>44412</v>
      </c>
      <c r="Q75" s="29" t="s">
        <v>83</v>
      </c>
    </row>
    <row r="76" spans="1:17" ht="15" x14ac:dyDescent="0.25">
      <c r="A76" s="29" t="s">
        <v>84</v>
      </c>
      <c r="B76" s="29" t="s">
        <v>85</v>
      </c>
      <c r="C76" s="29" t="s">
        <v>156</v>
      </c>
      <c r="D76" s="29" t="s">
        <v>384</v>
      </c>
      <c r="E76" s="29" t="s">
        <v>108</v>
      </c>
      <c r="F76" s="29" t="s">
        <v>79</v>
      </c>
      <c r="G76" s="29" t="s">
        <v>80</v>
      </c>
      <c r="H76" s="29" t="s">
        <v>81</v>
      </c>
      <c r="I76" s="29" t="s">
        <v>82</v>
      </c>
      <c r="J76" s="30">
        <v>20.18</v>
      </c>
      <c r="K76" s="29" t="s">
        <v>110</v>
      </c>
      <c r="L76" s="29" t="s">
        <v>111</v>
      </c>
      <c r="M76" s="29" t="s">
        <v>157</v>
      </c>
      <c r="N76" s="29" t="s">
        <v>158</v>
      </c>
      <c r="O76" s="31">
        <v>44365</v>
      </c>
      <c r="P76" s="31">
        <v>44368</v>
      </c>
      <c r="Q76" s="29" t="s">
        <v>83</v>
      </c>
    </row>
    <row r="77" spans="1:17" ht="15" x14ac:dyDescent="0.25">
      <c r="A77" s="29" t="s">
        <v>84</v>
      </c>
      <c r="B77" s="29" t="s">
        <v>85</v>
      </c>
      <c r="C77" s="29" t="s">
        <v>156</v>
      </c>
      <c r="D77" s="29" t="s">
        <v>383</v>
      </c>
      <c r="E77" s="29" t="s">
        <v>92</v>
      </c>
      <c r="F77" s="29" t="s">
        <v>79</v>
      </c>
      <c r="G77" s="29" t="s">
        <v>80</v>
      </c>
      <c r="H77" s="29" t="s">
        <v>81</v>
      </c>
      <c r="I77" s="29" t="s">
        <v>82</v>
      </c>
      <c r="J77" s="30">
        <v>2225.46</v>
      </c>
      <c r="K77" s="29" t="s">
        <v>110</v>
      </c>
      <c r="L77" s="29" t="s">
        <v>111</v>
      </c>
      <c r="M77" s="29" t="s">
        <v>157</v>
      </c>
      <c r="N77" s="29" t="s">
        <v>158</v>
      </c>
      <c r="O77" s="31">
        <v>44365</v>
      </c>
      <c r="P77" s="31">
        <v>44368</v>
      </c>
      <c r="Q77" s="29" t="s">
        <v>83</v>
      </c>
    </row>
    <row r="78" spans="1:17" ht="15" x14ac:dyDescent="0.25">
      <c r="A78" s="29" t="s">
        <v>84</v>
      </c>
      <c r="B78" s="29" t="s">
        <v>85</v>
      </c>
      <c r="C78" s="29" t="s">
        <v>156</v>
      </c>
      <c r="D78" s="29" t="s">
        <v>385</v>
      </c>
      <c r="E78" s="29" t="s">
        <v>109</v>
      </c>
      <c r="F78" s="29" t="s">
        <v>79</v>
      </c>
      <c r="G78" s="29" t="s">
        <v>80</v>
      </c>
      <c r="H78" s="29" t="s">
        <v>81</v>
      </c>
      <c r="I78" s="29" t="s">
        <v>82</v>
      </c>
      <c r="J78" s="30">
        <v>6.27</v>
      </c>
      <c r="K78" s="29" t="s">
        <v>110</v>
      </c>
      <c r="L78" s="29" t="s">
        <v>111</v>
      </c>
      <c r="M78" s="29" t="s">
        <v>157</v>
      </c>
      <c r="N78" s="29" t="s">
        <v>158</v>
      </c>
      <c r="O78" s="31">
        <v>44365</v>
      </c>
      <c r="P78" s="31">
        <v>44368</v>
      </c>
      <c r="Q78" s="29" t="s">
        <v>83</v>
      </c>
    </row>
    <row r="79" spans="1:17" ht="15" hidden="1" x14ac:dyDescent="0.25">
      <c r="A79" s="29" t="s">
        <v>97</v>
      </c>
      <c r="B79" s="29" t="s">
        <v>92</v>
      </c>
      <c r="C79" s="29" t="s">
        <v>217</v>
      </c>
      <c r="D79" s="29" t="s">
        <v>383</v>
      </c>
      <c r="E79" s="29" t="s">
        <v>92</v>
      </c>
      <c r="F79" s="29" t="s">
        <v>79</v>
      </c>
      <c r="G79" s="29" t="s">
        <v>80</v>
      </c>
      <c r="H79" s="29" t="s">
        <v>81</v>
      </c>
      <c r="I79" s="29" t="s">
        <v>82</v>
      </c>
      <c r="J79" s="30">
        <v>2725</v>
      </c>
      <c r="K79" s="29" t="s">
        <v>218</v>
      </c>
      <c r="L79" s="29" t="s">
        <v>82</v>
      </c>
      <c r="M79" s="29" t="s">
        <v>104</v>
      </c>
      <c r="N79" s="29" t="s">
        <v>217</v>
      </c>
      <c r="O79" s="31">
        <v>44255</v>
      </c>
      <c r="P79" s="31">
        <v>44260</v>
      </c>
      <c r="Q79" s="29" t="s">
        <v>83</v>
      </c>
    </row>
    <row r="80" spans="1:17" ht="15" hidden="1" x14ac:dyDescent="0.25">
      <c r="A80" s="29" t="s">
        <v>97</v>
      </c>
      <c r="B80" s="29" t="s">
        <v>92</v>
      </c>
      <c r="C80" s="29" t="s">
        <v>219</v>
      </c>
      <c r="D80" s="29" t="s">
        <v>383</v>
      </c>
      <c r="E80" s="29" t="s">
        <v>92</v>
      </c>
      <c r="F80" s="29" t="s">
        <v>79</v>
      </c>
      <c r="G80" s="29" t="s">
        <v>80</v>
      </c>
      <c r="H80" s="29" t="s">
        <v>81</v>
      </c>
      <c r="I80" s="29" t="s">
        <v>82</v>
      </c>
      <c r="J80" s="30">
        <v>-2725</v>
      </c>
      <c r="K80" s="29" t="s">
        <v>218</v>
      </c>
      <c r="L80" s="29" t="s">
        <v>82</v>
      </c>
      <c r="M80" s="29" t="s">
        <v>104</v>
      </c>
      <c r="N80" s="29" t="s">
        <v>217</v>
      </c>
      <c r="O80" s="31">
        <v>44286</v>
      </c>
      <c r="P80" s="31">
        <v>44260</v>
      </c>
      <c r="Q80" s="29" t="s">
        <v>83</v>
      </c>
    </row>
    <row r="81" spans="1:17" ht="15" hidden="1" x14ac:dyDescent="0.25">
      <c r="A81" s="29" t="s">
        <v>97</v>
      </c>
      <c r="B81" s="29" t="s">
        <v>92</v>
      </c>
      <c r="C81" s="29" t="s">
        <v>223</v>
      </c>
      <c r="D81" s="29" t="s">
        <v>383</v>
      </c>
      <c r="E81" s="29" t="s">
        <v>92</v>
      </c>
      <c r="F81" s="29" t="s">
        <v>79</v>
      </c>
      <c r="G81" s="29" t="s">
        <v>80</v>
      </c>
      <c r="H81" s="29" t="s">
        <v>81</v>
      </c>
      <c r="I81" s="29" t="s">
        <v>82</v>
      </c>
      <c r="J81" s="30">
        <v>1000</v>
      </c>
      <c r="K81" s="29" t="s">
        <v>218</v>
      </c>
      <c r="L81" s="29" t="s">
        <v>82</v>
      </c>
      <c r="M81" s="29" t="s">
        <v>140</v>
      </c>
      <c r="N81" s="29" t="s">
        <v>223</v>
      </c>
      <c r="O81" s="31">
        <v>44286</v>
      </c>
      <c r="P81" s="31">
        <v>44293</v>
      </c>
      <c r="Q81" s="29" t="s">
        <v>83</v>
      </c>
    </row>
    <row r="82" spans="1:17" ht="15" hidden="1" x14ac:dyDescent="0.25">
      <c r="A82" s="29" t="s">
        <v>97</v>
      </c>
      <c r="B82" s="29" t="s">
        <v>92</v>
      </c>
      <c r="C82" s="29" t="s">
        <v>222</v>
      </c>
      <c r="D82" s="29" t="s">
        <v>383</v>
      </c>
      <c r="E82" s="29" t="s">
        <v>92</v>
      </c>
      <c r="F82" s="29" t="s">
        <v>79</v>
      </c>
      <c r="G82" s="29" t="s">
        <v>80</v>
      </c>
      <c r="H82" s="29" t="s">
        <v>81</v>
      </c>
      <c r="I82" s="29" t="s">
        <v>82</v>
      </c>
      <c r="J82" s="30">
        <v>-1000</v>
      </c>
      <c r="K82" s="29" t="s">
        <v>218</v>
      </c>
      <c r="L82" s="29" t="s">
        <v>82</v>
      </c>
      <c r="M82" s="29" t="s">
        <v>140</v>
      </c>
      <c r="N82" s="29" t="s">
        <v>223</v>
      </c>
      <c r="O82" s="31">
        <v>44316</v>
      </c>
      <c r="P82" s="31">
        <v>44293</v>
      </c>
      <c r="Q82" s="29" t="s">
        <v>83</v>
      </c>
    </row>
    <row r="83" spans="1:17" ht="15" hidden="1" x14ac:dyDescent="0.25">
      <c r="A83" s="29" t="s">
        <v>97</v>
      </c>
      <c r="B83" s="29" t="s">
        <v>108</v>
      </c>
      <c r="C83" s="29" t="s">
        <v>243</v>
      </c>
      <c r="D83" s="29" t="s">
        <v>384</v>
      </c>
      <c r="E83" s="29" t="s">
        <v>108</v>
      </c>
      <c r="F83" s="29" t="s">
        <v>79</v>
      </c>
      <c r="G83" s="29" t="s">
        <v>80</v>
      </c>
      <c r="H83" s="29" t="s">
        <v>81</v>
      </c>
      <c r="I83" s="29" t="s">
        <v>82</v>
      </c>
      <c r="J83" s="30">
        <v>5.35</v>
      </c>
      <c r="K83" s="29" t="s">
        <v>144</v>
      </c>
      <c r="L83" s="29" t="s">
        <v>82</v>
      </c>
      <c r="M83" s="29" t="s">
        <v>145</v>
      </c>
      <c r="N83" s="29" t="s">
        <v>243</v>
      </c>
      <c r="O83" s="31">
        <v>44316</v>
      </c>
      <c r="P83" s="31">
        <v>44322</v>
      </c>
      <c r="Q83" s="29" t="s">
        <v>83</v>
      </c>
    </row>
    <row r="84" spans="1:17" ht="15" hidden="1" x14ac:dyDescent="0.25">
      <c r="A84" s="29" t="s">
        <v>97</v>
      </c>
      <c r="B84" s="29" t="s">
        <v>109</v>
      </c>
      <c r="C84" s="29" t="s">
        <v>247</v>
      </c>
      <c r="D84" s="29" t="s">
        <v>385</v>
      </c>
      <c r="E84" s="29" t="s">
        <v>109</v>
      </c>
      <c r="F84" s="29" t="s">
        <v>79</v>
      </c>
      <c r="G84" s="29" t="s">
        <v>80</v>
      </c>
      <c r="H84" s="29" t="s">
        <v>81</v>
      </c>
      <c r="I84" s="29" t="s">
        <v>82</v>
      </c>
      <c r="J84" s="30">
        <v>1.67</v>
      </c>
      <c r="K84" s="29" t="s">
        <v>144</v>
      </c>
      <c r="L84" s="29" t="s">
        <v>82</v>
      </c>
      <c r="M84" s="29" t="s">
        <v>145</v>
      </c>
      <c r="N84" s="29" t="s">
        <v>247</v>
      </c>
      <c r="O84" s="31">
        <v>44316</v>
      </c>
      <c r="P84" s="31">
        <v>44322</v>
      </c>
      <c r="Q84" s="29" t="s">
        <v>83</v>
      </c>
    </row>
    <row r="85" spans="1:17" ht="15" hidden="1" x14ac:dyDescent="0.25">
      <c r="A85" s="29" t="s">
        <v>97</v>
      </c>
      <c r="B85" s="29" t="s">
        <v>87</v>
      </c>
      <c r="C85" s="29" t="s">
        <v>143</v>
      </c>
      <c r="D85" s="29" t="s">
        <v>382</v>
      </c>
      <c r="E85" s="29" t="s">
        <v>87</v>
      </c>
      <c r="F85" s="29" t="s">
        <v>79</v>
      </c>
      <c r="G85" s="29" t="s">
        <v>80</v>
      </c>
      <c r="H85" s="29" t="s">
        <v>81</v>
      </c>
      <c r="I85" s="29" t="s">
        <v>82</v>
      </c>
      <c r="J85" s="30">
        <v>277.27999999999997</v>
      </c>
      <c r="K85" s="29" t="s">
        <v>144</v>
      </c>
      <c r="L85" s="29" t="s">
        <v>82</v>
      </c>
      <c r="M85" s="29" t="s">
        <v>145</v>
      </c>
      <c r="N85" s="29" t="s">
        <v>143</v>
      </c>
      <c r="O85" s="31">
        <v>44316</v>
      </c>
      <c r="P85" s="31">
        <v>44322</v>
      </c>
      <c r="Q85" s="29" t="s">
        <v>83</v>
      </c>
    </row>
    <row r="86" spans="1:17" ht="15" hidden="1" x14ac:dyDescent="0.25">
      <c r="A86" s="29" t="s">
        <v>97</v>
      </c>
      <c r="B86" s="29" t="s">
        <v>108</v>
      </c>
      <c r="C86" s="29" t="s">
        <v>245</v>
      </c>
      <c r="D86" s="29" t="s">
        <v>384</v>
      </c>
      <c r="E86" s="29" t="s">
        <v>108</v>
      </c>
      <c r="F86" s="29" t="s">
        <v>79</v>
      </c>
      <c r="G86" s="29" t="s">
        <v>80</v>
      </c>
      <c r="H86" s="29" t="s">
        <v>81</v>
      </c>
      <c r="I86" s="29" t="s">
        <v>82</v>
      </c>
      <c r="J86" s="30">
        <v>-5.35</v>
      </c>
      <c r="K86" s="29" t="s">
        <v>144</v>
      </c>
      <c r="L86" s="29" t="s">
        <v>82</v>
      </c>
      <c r="M86" s="29" t="s">
        <v>145</v>
      </c>
      <c r="N86" s="29" t="s">
        <v>243</v>
      </c>
      <c r="O86" s="31">
        <v>44347</v>
      </c>
      <c r="P86" s="31">
        <v>44322</v>
      </c>
      <c r="Q86" s="29" t="s">
        <v>83</v>
      </c>
    </row>
    <row r="87" spans="1:17" ht="15" hidden="1" x14ac:dyDescent="0.25">
      <c r="A87" s="29" t="s">
        <v>97</v>
      </c>
      <c r="B87" s="29" t="s">
        <v>109</v>
      </c>
      <c r="C87" s="29" t="s">
        <v>246</v>
      </c>
      <c r="D87" s="29" t="s">
        <v>385</v>
      </c>
      <c r="E87" s="29" t="s">
        <v>109</v>
      </c>
      <c r="F87" s="29" t="s">
        <v>79</v>
      </c>
      <c r="G87" s="29" t="s">
        <v>80</v>
      </c>
      <c r="H87" s="29" t="s">
        <v>81</v>
      </c>
      <c r="I87" s="29" t="s">
        <v>82</v>
      </c>
      <c r="J87" s="30">
        <v>-1.67</v>
      </c>
      <c r="K87" s="29" t="s">
        <v>144</v>
      </c>
      <c r="L87" s="29" t="s">
        <v>82</v>
      </c>
      <c r="M87" s="29" t="s">
        <v>145</v>
      </c>
      <c r="N87" s="29" t="s">
        <v>247</v>
      </c>
      <c r="O87" s="31">
        <v>44347</v>
      </c>
      <c r="P87" s="31">
        <v>44322</v>
      </c>
      <c r="Q87" s="29" t="s">
        <v>83</v>
      </c>
    </row>
    <row r="88" spans="1:17" ht="15" hidden="1" x14ac:dyDescent="0.25">
      <c r="A88" s="29" t="s">
        <v>97</v>
      </c>
      <c r="B88" s="29" t="s">
        <v>87</v>
      </c>
      <c r="C88" s="29" t="s">
        <v>229</v>
      </c>
      <c r="D88" s="29" t="s">
        <v>382</v>
      </c>
      <c r="E88" s="29" t="s">
        <v>87</v>
      </c>
      <c r="F88" s="29" t="s">
        <v>79</v>
      </c>
      <c r="G88" s="29" t="s">
        <v>80</v>
      </c>
      <c r="H88" s="29" t="s">
        <v>81</v>
      </c>
      <c r="I88" s="29" t="s">
        <v>82</v>
      </c>
      <c r="J88" s="30">
        <v>-277.27999999999997</v>
      </c>
      <c r="K88" s="29" t="s">
        <v>144</v>
      </c>
      <c r="L88" s="29" t="s">
        <v>82</v>
      </c>
      <c r="M88" s="29" t="s">
        <v>145</v>
      </c>
      <c r="N88" s="29" t="s">
        <v>143</v>
      </c>
      <c r="O88" s="31">
        <v>44347</v>
      </c>
      <c r="P88" s="31">
        <v>44322</v>
      </c>
      <c r="Q88" s="29" t="s">
        <v>83</v>
      </c>
    </row>
    <row r="89" spans="1:17" ht="15" hidden="1" x14ac:dyDescent="0.25">
      <c r="A89" s="29" t="s">
        <v>97</v>
      </c>
      <c r="B89" s="29" t="s">
        <v>92</v>
      </c>
      <c r="C89" s="29" t="s">
        <v>333</v>
      </c>
      <c r="D89" s="29" t="s">
        <v>383</v>
      </c>
      <c r="E89" s="29" t="s">
        <v>92</v>
      </c>
      <c r="F89" s="29" t="s">
        <v>79</v>
      </c>
      <c r="G89" s="29" t="s">
        <v>80</v>
      </c>
      <c r="H89" s="29" t="s">
        <v>81</v>
      </c>
      <c r="I89" s="29" t="s">
        <v>82</v>
      </c>
      <c r="J89" s="30">
        <v>936.64</v>
      </c>
      <c r="K89" s="29" t="s">
        <v>336</v>
      </c>
      <c r="L89" s="29" t="s">
        <v>82</v>
      </c>
      <c r="M89" s="29" t="s">
        <v>151</v>
      </c>
      <c r="N89" s="29" t="s">
        <v>333</v>
      </c>
      <c r="O89" s="31">
        <v>44347</v>
      </c>
      <c r="P89" s="31">
        <v>44351</v>
      </c>
      <c r="Q89" s="29" t="s">
        <v>83</v>
      </c>
    </row>
    <row r="90" spans="1:17" ht="15" hidden="1" x14ac:dyDescent="0.25">
      <c r="A90" s="29" t="s">
        <v>97</v>
      </c>
      <c r="B90" s="29" t="s">
        <v>108</v>
      </c>
      <c r="C90" s="29" t="s">
        <v>148</v>
      </c>
      <c r="D90" s="29" t="s">
        <v>384</v>
      </c>
      <c r="E90" s="29" t="s">
        <v>108</v>
      </c>
      <c r="F90" s="29" t="s">
        <v>79</v>
      </c>
      <c r="G90" s="29" t="s">
        <v>80</v>
      </c>
      <c r="H90" s="29" t="s">
        <v>81</v>
      </c>
      <c r="I90" s="29" t="s">
        <v>82</v>
      </c>
      <c r="J90" s="30">
        <v>8.49</v>
      </c>
      <c r="K90" s="29" t="s">
        <v>144</v>
      </c>
      <c r="L90" s="29" t="s">
        <v>82</v>
      </c>
      <c r="M90" s="29" t="s">
        <v>151</v>
      </c>
      <c r="N90" s="29" t="s">
        <v>148</v>
      </c>
      <c r="O90" s="31">
        <v>44347</v>
      </c>
      <c r="P90" s="31">
        <v>44351</v>
      </c>
      <c r="Q90" s="29" t="s">
        <v>83</v>
      </c>
    </row>
    <row r="91" spans="1:17" ht="15" hidden="1" x14ac:dyDescent="0.25">
      <c r="A91" s="29" t="s">
        <v>97</v>
      </c>
      <c r="B91" s="29" t="s">
        <v>109</v>
      </c>
      <c r="C91" s="29" t="s">
        <v>124</v>
      </c>
      <c r="D91" s="29" t="s">
        <v>385</v>
      </c>
      <c r="E91" s="29" t="s">
        <v>109</v>
      </c>
      <c r="F91" s="29" t="s">
        <v>79</v>
      </c>
      <c r="G91" s="29" t="s">
        <v>80</v>
      </c>
      <c r="H91" s="29" t="s">
        <v>81</v>
      </c>
      <c r="I91" s="29" t="s">
        <v>82</v>
      </c>
      <c r="J91" s="30">
        <v>-2.0499999999999998</v>
      </c>
      <c r="K91" s="29" t="s">
        <v>100</v>
      </c>
      <c r="L91" s="29" t="s">
        <v>82</v>
      </c>
      <c r="M91" s="29" t="s">
        <v>101</v>
      </c>
      <c r="N91" s="29" t="s">
        <v>125</v>
      </c>
      <c r="O91" s="31">
        <v>44286</v>
      </c>
      <c r="P91" s="31">
        <v>44261</v>
      </c>
      <c r="Q91" s="29" t="s">
        <v>83</v>
      </c>
    </row>
    <row r="92" spans="1:17" ht="15" hidden="1" x14ac:dyDescent="0.25">
      <c r="A92" s="29" t="s">
        <v>97</v>
      </c>
      <c r="B92" s="29" t="s">
        <v>87</v>
      </c>
      <c r="C92" s="29" t="s">
        <v>99</v>
      </c>
      <c r="D92" s="29" t="s">
        <v>382</v>
      </c>
      <c r="E92" s="29" t="s">
        <v>87</v>
      </c>
      <c r="F92" s="29" t="s">
        <v>79</v>
      </c>
      <c r="G92" s="29" t="s">
        <v>80</v>
      </c>
      <c r="H92" s="29" t="s">
        <v>81</v>
      </c>
      <c r="I92" s="29" t="s">
        <v>82</v>
      </c>
      <c r="J92" s="30">
        <v>-340.94</v>
      </c>
      <c r="K92" s="29" t="s">
        <v>100</v>
      </c>
      <c r="L92" s="29" t="s">
        <v>82</v>
      </c>
      <c r="M92" s="29" t="s">
        <v>101</v>
      </c>
      <c r="N92" s="29" t="s">
        <v>102</v>
      </c>
      <c r="O92" s="31">
        <v>44286</v>
      </c>
      <c r="P92" s="31">
        <v>44261</v>
      </c>
      <c r="Q92" s="29" t="s">
        <v>83</v>
      </c>
    </row>
    <row r="93" spans="1:17" ht="15" hidden="1" x14ac:dyDescent="0.25">
      <c r="A93" s="29" t="s">
        <v>84</v>
      </c>
      <c r="B93" s="29" t="s">
        <v>85</v>
      </c>
      <c r="C93" s="29" t="s">
        <v>169</v>
      </c>
      <c r="D93" s="29" t="s">
        <v>382</v>
      </c>
      <c r="E93" s="29" t="s">
        <v>87</v>
      </c>
      <c r="F93" s="29" t="s">
        <v>79</v>
      </c>
      <c r="G93" s="29" t="s">
        <v>80</v>
      </c>
      <c r="H93" s="29" t="s">
        <v>81</v>
      </c>
      <c r="I93" s="29" t="s">
        <v>82</v>
      </c>
      <c r="J93" s="30">
        <v>811.05</v>
      </c>
      <c r="K93" s="29" t="s">
        <v>170</v>
      </c>
      <c r="L93" s="29" t="s">
        <v>122</v>
      </c>
      <c r="M93" s="29" t="s">
        <v>171</v>
      </c>
      <c r="N93" s="29" t="s">
        <v>172</v>
      </c>
      <c r="O93" s="31">
        <v>44411</v>
      </c>
      <c r="P93" s="31">
        <v>44412</v>
      </c>
      <c r="Q93" s="29" t="s">
        <v>83</v>
      </c>
    </row>
    <row r="94" spans="1:17" ht="15" hidden="1" x14ac:dyDescent="0.25">
      <c r="A94" s="29" t="s">
        <v>97</v>
      </c>
      <c r="B94" s="29" t="s">
        <v>108</v>
      </c>
      <c r="C94" s="29" t="s">
        <v>141</v>
      </c>
      <c r="D94" s="29" t="s">
        <v>384</v>
      </c>
      <c r="E94" s="29" t="s">
        <v>108</v>
      </c>
      <c r="F94" s="29" t="s">
        <v>79</v>
      </c>
      <c r="G94" s="29" t="s">
        <v>80</v>
      </c>
      <c r="H94" s="29" t="s">
        <v>81</v>
      </c>
      <c r="I94" s="29" t="s">
        <v>82</v>
      </c>
      <c r="J94" s="30">
        <v>8.69</v>
      </c>
      <c r="K94" s="29" t="s">
        <v>100</v>
      </c>
      <c r="L94" s="29" t="s">
        <v>82</v>
      </c>
      <c r="M94" s="29" t="s">
        <v>142</v>
      </c>
      <c r="N94" s="29" t="s">
        <v>141</v>
      </c>
      <c r="O94" s="31">
        <v>44316</v>
      </c>
      <c r="P94" s="31">
        <v>44321</v>
      </c>
      <c r="Q94" s="29" t="s">
        <v>83</v>
      </c>
    </row>
    <row r="95" spans="1:17" ht="15" hidden="1" x14ac:dyDescent="0.25">
      <c r="A95" s="29" t="s">
        <v>97</v>
      </c>
      <c r="B95" s="29" t="s">
        <v>109</v>
      </c>
      <c r="C95" s="29" t="s">
        <v>244</v>
      </c>
      <c r="D95" s="29" t="s">
        <v>385</v>
      </c>
      <c r="E95" s="29" t="s">
        <v>109</v>
      </c>
      <c r="F95" s="29" t="s">
        <v>79</v>
      </c>
      <c r="G95" s="29" t="s">
        <v>80</v>
      </c>
      <c r="H95" s="29" t="s">
        <v>81</v>
      </c>
      <c r="I95" s="29" t="s">
        <v>82</v>
      </c>
      <c r="J95" s="30">
        <v>2.71</v>
      </c>
      <c r="K95" s="29" t="s">
        <v>100</v>
      </c>
      <c r="L95" s="29" t="s">
        <v>82</v>
      </c>
      <c r="M95" s="29" t="s">
        <v>142</v>
      </c>
      <c r="N95" s="29" t="s">
        <v>244</v>
      </c>
      <c r="O95" s="31">
        <v>44316</v>
      </c>
      <c r="P95" s="31">
        <v>44321</v>
      </c>
      <c r="Q95" s="29" t="s">
        <v>83</v>
      </c>
    </row>
    <row r="96" spans="1:17" ht="15" hidden="1" x14ac:dyDescent="0.25">
      <c r="A96" s="29" t="s">
        <v>97</v>
      </c>
      <c r="B96" s="29" t="s">
        <v>87</v>
      </c>
      <c r="C96" s="29" t="s">
        <v>143</v>
      </c>
      <c r="D96" s="29" t="s">
        <v>382</v>
      </c>
      <c r="E96" s="29" t="s">
        <v>87</v>
      </c>
      <c r="F96" s="29" t="s">
        <v>79</v>
      </c>
      <c r="G96" s="29" t="s">
        <v>80</v>
      </c>
      <c r="H96" s="29" t="s">
        <v>81</v>
      </c>
      <c r="I96" s="29" t="s">
        <v>82</v>
      </c>
      <c r="J96" s="30">
        <v>450.58</v>
      </c>
      <c r="K96" s="29" t="s">
        <v>146</v>
      </c>
      <c r="L96" s="29" t="s">
        <v>82</v>
      </c>
      <c r="M96" s="29" t="s">
        <v>142</v>
      </c>
      <c r="N96" s="29" t="s">
        <v>143</v>
      </c>
      <c r="O96" s="31">
        <v>44316</v>
      </c>
      <c r="P96" s="31">
        <v>44322</v>
      </c>
      <c r="Q96" s="29" t="s">
        <v>83</v>
      </c>
    </row>
    <row r="97" spans="1:17" ht="15" hidden="1" x14ac:dyDescent="0.25">
      <c r="A97" s="29" t="s">
        <v>97</v>
      </c>
      <c r="B97" s="29" t="s">
        <v>109</v>
      </c>
      <c r="C97" s="29" t="s">
        <v>273</v>
      </c>
      <c r="D97" s="29" t="s">
        <v>385</v>
      </c>
      <c r="E97" s="29" t="s">
        <v>109</v>
      </c>
      <c r="F97" s="29" t="s">
        <v>79</v>
      </c>
      <c r="G97" s="29" t="s">
        <v>80</v>
      </c>
      <c r="H97" s="29" t="s">
        <v>81</v>
      </c>
      <c r="I97" s="29" t="s">
        <v>82</v>
      </c>
      <c r="J97" s="30">
        <v>-2.71</v>
      </c>
      <c r="K97" s="29" t="s">
        <v>100</v>
      </c>
      <c r="L97" s="29" t="s">
        <v>82</v>
      </c>
      <c r="M97" s="29" t="s">
        <v>142</v>
      </c>
      <c r="N97" s="29" t="s">
        <v>244</v>
      </c>
      <c r="O97" s="31">
        <v>44347</v>
      </c>
      <c r="P97" s="31">
        <v>44355</v>
      </c>
      <c r="Q97" s="29" t="s">
        <v>83</v>
      </c>
    </row>
    <row r="98" spans="1:17" ht="15" hidden="1" x14ac:dyDescent="0.25">
      <c r="A98" s="29" t="s">
        <v>97</v>
      </c>
      <c r="B98" s="29" t="s">
        <v>108</v>
      </c>
      <c r="C98" s="29" t="s">
        <v>147</v>
      </c>
      <c r="D98" s="29" t="s">
        <v>384</v>
      </c>
      <c r="E98" s="29" t="s">
        <v>108</v>
      </c>
      <c r="F98" s="29" t="s">
        <v>79</v>
      </c>
      <c r="G98" s="29" t="s">
        <v>80</v>
      </c>
      <c r="H98" s="29" t="s">
        <v>81</v>
      </c>
      <c r="I98" s="29" t="s">
        <v>82</v>
      </c>
      <c r="J98" s="30">
        <v>-8.69</v>
      </c>
      <c r="K98" s="29" t="s">
        <v>100</v>
      </c>
      <c r="L98" s="29" t="s">
        <v>82</v>
      </c>
      <c r="M98" s="29" t="s">
        <v>142</v>
      </c>
      <c r="N98" s="29" t="s">
        <v>141</v>
      </c>
      <c r="O98" s="31">
        <v>44347</v>
      </c>
      <c r="P98" s="31">
        <v>44350</v>
      </c>
      <c r="Q98" s="29" t="s">
        <v>83</v>
      </c>
    </row>
    <row r="99" spans="1:17" ht="15" hidden="1" x14ac:dyDescent="0.25">
      <c r="A99" s="29" t="s">
        <v>97</v>
      </c>
      <c r="B99" s="29" t="s">
        <v>87</v>
      </c>
      <c r="C99" s="29" t="s">
        <v>227</v>
      </c>
      <c r="D99" s="29" t="s">
        <v>382</v>
      </c>
      <c r="E99" s="29" t="s">
        <v>87</v>
      </c>
      <c r="F99" s="29" t="s">
        <v>79</v>
      </c>
      <c r="G99" s="29" t="s">
        <v>80</v>
      </c>
      <c r="H99" s="29" t="s">
        <v>81</v>
      </c>
      <c r="I99" s="29" t="s">
        <v>82</v>
      </c>
      <c r="J99" s="30">
        <v>450.58</v>
      </c>
      <c r="K99" s="29" t="s">
        <v>100</v>
      </c>
      <c r="L99" s="29" t="s">
        <v>82</v>
      </c>
      <c r="M99" s="29" t="s">
        <v>142</v>
      </c>
      <c r="N99" s="29" t="s">
        <v>227</v>
      </c>
      <c r="O99" s="31">
        <v>44316</v>
      </c>
      <c r="P99" s="31">
        <v>44321</v>
      </c>
      <c r="Q99" s="29" t="s">
        <v>83</v>
      </c>
    </row>
    <row r="100" spans="1:17" ht="15" hidden="1" x14ac:dyDescent="0.25">
      <c r="A100" s="29" t="s">
        <v>97</v>
      </c>
      <c r="B100" s="29" t="s">
        <v>87</v>
      </c>
      <c r="C100" s="29" t="s">
        <v>332</v>
      </c>
      <c r="D100" s="29" t="s">
        <v>382</v>
      </c>
      <c r="E100" s="29" t="s">
        <v>87</v>
      </c>
      <c r="F100" s="29" t="s">
        <v>79</v>
      </c>
      <c r="G100" s="29" t="s">
        <v>80</v>
      </c>
      <c r="H100" s="29" t="s">
        <v>81</v>
      </c>
      <c r="I100" s="29" t="s">
        <v>82</v>
      </c>
      <c r="J100" s="30">
        <v>-450.58</v>
      </c>
      <c r="K100" s="29" t="s">
        <v>100</v>
      </c>
      <c r="L100" s="29" t="s">
        <v>82</v>
      </c>
      <c r="M100" s="29" t="s">
        <v>142</v>
      </c>
      <c r="N100" s="29" t="s">
        <v>227</v>
      </c>
      <c r="O100" s="31">
        <v>44347</v>
      </c>
      <c r="P100" s="31">
        <v>44350</v>
      </c>
      <c r="Q100" s="29" t="s">
        <v>83</v>
      </c>
    </row>
    <row r="101" spans="1:17" ht="15" hidden="1" x14ac:dyDescent="0.25">
      <c r="A101" s="29" t="s">
        <v>97</v>
      </c>
      <c r="B101" s="29" t="s">
        <v>92</v>
      </c>
      <c r="C101" s="29" t="s">
        <v>274</v>
      </c>
      <c r="D101" s="29" t="s">
        <v>383</v>
      </c>
      <c r="E101" s="29" t="s">
        <v>92</v>
      </c>
      <c r="F101" s="29" t="s">
        <v>79</v>
      </c>
      <c r="G101" s="29" t="s">
        <v>80</v>
      </c>
      <c r="H101" s="29" t="s">
        <v>81</v>
      </c>
      <c r="I101" s="29" t="s">
        <v>82</v>
      </c>
      <c r="J101" s="30">
        <v>959.87</v>
      </c>
      <c r="K101" s="29" t="s">
        <v>100</v>
      </c>
      <c r="L101" s="29" t="s">
        <v>82</v>
      </c>
      <c r="M101" s="29" t="s">
        <v>142</v>
      </c>
      <c r="N101" s="29" t="s">
        <v>274</v>
      </c>
      <c r="O101" s="31">
        <v>44316</v>
      </c>
      <c r="P101" s="31">
        <v>44321</v>
      </c>
      <c r="Q101" s="29" t="s">
        <v>83</v>
      </c>
    </row>
    <row r="102" spans="1:17" ht="15" hidden="1" x14ac:dyDescent="0.25">
      <c r="A102" s="29" t="s">
        <v>97</v>
      </c>
      <c r="B102" s="29" t="s">
        <v>92</v>
      </c>
      <c r="C102" s="29" t="s">
        <v>275</v>
      </c>
      <c r="D102" s="29" t="s">
        <v>383</v>
      </c>
      <c r="E102" s="29" t="s">
        <v>92</v>
      </c>
      <c r="F102" s="29" t="s">
        <v>79</v>
      </c>
      <c r="G102" s="29" t="s">
        <v>80</v>
      </c>
      <c r="H102" s="29" t="s">
        <v>81</v>
      </c>
      <c r="I102" s="29" t="s">
        <v>82</v>
      </c>
      <c r="J102" s="30">
        <v>-959.87</v>
      </c>
      <c r="K102" s="29" t="s">
        <v>100</v>
      </c>
      <c r="L102" s="29" t="s">
        <v>82</v>
      </c>
      <c r="M102" s="29" t="s">
        <v>142</v>
      </c>
      <c r="N102" s="29" t="s">
        <v>274</v>
      </c>
      <c r="O102" s="31">
        <v>44347</v>
      </c>
      <c r="P102" s="31">
        <v>44321</v>
      </c>
      <c r="Q102" s="29" t="s">
        <v>83</v>
      </c>
    </row>
    <row r="103" spans="1:17" ht="15" hidden="1" x14ac:dyDescent="0.25">
      <c r="A103" s="29" t="s">
        <v>97</v>
      </c>
      <c r="B103" s="29" t="s">
        <v>87</v>
      </c>
      <c r="C103" s="29" t="s">
        <v>229</v>
      </c>
      <c r="D103" s="29" t="s">
        <v>382</v>
      </c>
      <c r="E103" s="29" t="s">
        <v>87</v>
      </c>
      <c r="F103" s="29" t="s">
        <v>79</v>
      </c>
      <c r="G103" s="29" t="s">
        <v>80</v>
      </c>
      <c r="H103" s="29" t="s">
        <v>81</v>
      </c>
      <c r="I103" s="29" t="s">
        <v>82</v>
      </c>
      <c r="J103" s="30">
        <v>-450.58</v>
      </c>
      <c r="K103" s="29" t="s">
        <v>146</v>
      </c>
      <c r="L103" s="29" t="s">
        <v>82</v>
      </c>
      <c r="M103" s="29" t="s">
        <v>142</v>
      </c>
      <c r="N103" s="29" t="s">
        <v>143</v>
      </c>
      <c r="O103" s="31">
        <v>44347</v>
      </c>
      <c r="P103" s="31">
        <v>44322</v>
      </c>
      <c r="Q103" s="29" t="s">
        <v>83</v>
      </c>
    </row>
    <row r="104" spans="1:17" ht="15" hidden="1" x14ac:dyDescent="0.25">
      <c r="A104" s="29" t="s">
        <v>84</v>
      </c>
      <c r="B104" s="29" t="s">
        <v>85</v>
      </c>
      <c r="C104" s="29" t="s">
        <v>248</v>
      </c>
      <c r="D104" s="29" t="s">
        <v>382</v>
      </c>
      <c r="E104" s="29" t="s">
        <v>87</v>
      </c>
      <c r="F104" s="29" t="s">
        <v>79</v>
      </c>
      <c r="G104" s="29" t="s">
        <v>80</v>
      </c>
      <c r="H104" s="29" t="s">
        <v>81</v>
      </c>
      <c r="I104" s="29" t="s">
        <v>82</v>
      </c>
      <c r="J104" s="30">
        <v>48.06</v>
      </c>
      <c r="K104" s="29" t="s">
        <v>237</v>
      </c>
      <c r="L104" s="29" t="s">
        <v>122</v>
      </c>
      <c r="M104" s="29" t="s">
        <v>163</v>
      </c>
      <c r="N104" s="29" t="s">
        <v>249</v>
      </c>
      <c r="O104" s="31">
        <v>44383</v>
      </c>
      <c r="P104" s="31">
        <v>44384</v>
      </c>
      <c r="Q104" s="29" t="s">
        <v>83</v>
      </c>
    </row>
    <row r="105" spans="1:17" ht="15" hidden="1" x14ac:dyDescent="0.25">
      <c r="A105" s="29" t="s">
        <v>84</v>
      </c>
      <c r="B105" s="29" t="s">
        <v>85</v>
      </c>
      <c r="C105" s="29" t="s">
        <v>248</v>
      </c>
      <c r="D105" s="29" t="s">
        <v>384</v>
      </c>
      <c r="E105" s="29" t="s">
        <v>108</v>
      </c>
      <c r="F105" s="29" t="s">
        <v>79</v>
      </c>
      <c r="G105" s="29" t="s">
        <v>80</v>
      </c>
      <c r="H105" s="29" t="s">
        <v>81</v>
      </c>
      <c r="I105" s="29" t="s">
        <v>82</v>
      </c>
      <c r="J105" s="30">
        <v>0.93</v>
      </c>
      <c r="K105" s="29" t="s">
        <v>237</v>
      </c>
      <c r="L105" s="29" t="s">
        <v>122</v>
      </c>
      <c r="M105" s="29" t="s">
        <v>163</v>
      </c>
      <c r="N105" s="29" t="s">
        <v>249</v>
      </c>
      <c r="O105" s="31">
        <v>44383</v>
      </c>
      <c r="P105" s="31">
        <v>44384</v>
      </c>
      <c r="Q105" s="29" t="s">
        <v>83</v>
      </c>
    </row>
    <row r="106" spans="1:17" ht="15" hidden="1" x14ac:dyDescent="0.25">
      <c r="A106" s="29" t="s">
        <v>84</v>
      </c>
      <c r="B106" s="29" t="s">
        <v>85</v>
      </c>
      <c r="C106" s="29" t="s">
        <v>248</v>
      </c>
      <c r="D106" s="29" t="s">
        <v>383</v>
      </c>
      <c r="E106" s="29" t="s">
        <v>92</v>
      </c>
      <c r="F106" s="29" t="s">
        <v>79</v>
      </c>
      <c r="G106" s="29" t="s">
        <v>80</v>
      </c>
      <c r="H106" s="29" t="s">
        <v>81</v>
      </c>
      <c r="I106" s="29" t="s">
        <v>82</v>
      </c>
      <c r="J106" s="30">
        <v>102.39</v>
      </c>
      <c r="K106" s="29" t="s">
        <v>237</v>
      </c>
      <c r="L106" s="29" t="s">
        <v>122</v>
      </c>
      <c r="M106" s="29" t="s">
        <v>163</v>
      </c>
      <c r="N106" s="29" t="s">
        <v>249</v>
      </c>
      <c r="O106" s="31">
        <v>44383</v>
      </c>
      <c r="P106" s="31">
        <v>44384</v>
      </c>
      <c r="Q106" s="29" t="s">
        <v>83</v>
      </c>
    </row>
    <row r="107" spans="1:17" ht="15" hidden="1" x14ac:dyDescent="0.25">
      <c r="A107" s="29" t="s">
        <v>84</v>
      </c>
      <c r="B107" s="29" t="s">
        <v>85</v>
      </c>
      <c r="C107" s="29" t="s">
        <v>248</v>
      </c>
      <c r="D107" s="29" t="s">
        <v>385</v>
      </c>
      <c r="E107" s="29" t="s">
        <v>109</v>
      </c>
      <c r="F107" s="29" t="s">
        <v>79</v>
      </c>
      <c r="G107" s="29" t="s">
        <v>80</v>
      </c>
      <c r="H107" s="29" t="s">
        <v>81</v>
      </c>
      <c r="I107" s="29" t="s">
        <v>82</v>
      </c>
      <c r="J107" s="30">
        <v>0.28999999999999998</v>
      </c>
      <c r="K107" s="29" t="s">
        <v>237</v>
      </c>
      <c r="L107" s="29" t="s">
        <v>122</v>
      </c>
      <c r="M107" s="29" t="s">
        <v>163</v>
      </c>
      <c r="N107" s="29" t="s">
        <v>249</v>
      </c>
      <c r="O107" s="31">
        <v>44383</v>
      </c>
      <c r="P107" s="31">
        <v>44384</v>
      </c>
      <c r="Q107" s="29" t="s">
        <v>83</v>
      </c>
    </row>
    <row r="108" spans="1:17" ht="15" x14ac:dyDescent="0.25">
      <c r="A108" s="29" t="s">
        <v>84</v>
      </c>
      <c r="B108" s="29" t="s">
        <v>85</v>
      </c>
      <c r="C108" s="29" t="s">
        <v>341</v>
      </c>
      <c r="D108" s="29" t="s">
        <v>382</v>
      </c>
      <c r="E108" s="29" t="s">
        <v>87</v>
      </c>
      <c r="F108" s="29" t="s">
        <v>79</v>
      </c>
      <c r="G108" s="29" t="s">
        <v>80</v>
      </c>
      <c r="H108" s="29" t="s">
        <v>81</v>
      </c>
      <c r="I108" s="29" t="s">
        <v>82</v>
      </c>
      <c r="J108" s="30">
        <v>1599.99</v>
      </c>
      <c r="K108" s="29" t="s">
        <v>110</v>
      </c>
      <c r="L108" s="29" t="s">
        <v>111</v>
      </c>
      <c r="M108" s="29" t="s">
        <v>342</v>
      </c>
      <c r="N108" s="29" t="s">
        <v>343</v>
      </c>
      <c r="O108" s="31">
        <v>44389</v>
      </c>
      <c r="P108" s="31">
        <v>44390</v>
      </c>
      <c r="Q108" s="29" t="s">
        <v>83</v>
      </c>
    </row>
    <row r="109" spans="1:17" ht="15" x14ac:dyDescent="0.25">
      <c r="A109" s="29" t="s">
        <v>84</v>
      </c>
      <c r="B109" s="29" t="s">
        <v>85</v>
      </c>
      <c r="C109" s="29" t="s">
        <v>341</v>
      </c>
      <c r="D109" s="29" t="s">
        <v>384</v>
      </c>
      <c r="E109" s="29" t="s">
        <v>108</v>
      </c>
      <c r="F109" s="29" t="s">
        <v>79</v>
      </c>
      <c r="G109" s="29" t="s">
        <v>80</v>
      </c>
      <c r="H109" s="29" t="s">
        <v>81</v>
      </c>
      <c r="I109" s="29" t="s">
        <v>82</v>
      </c>
      <c r="J109" s="30">
        <v>30.9</v>
      </c>
      <c r="K109" s="29" t="s">
        <v>110</v>
      </c>
      <c r="L109" s="29" t="s">
        <v>111</v>
      </c>
      <c r="M109" s="29" t="s">
        <v>342</v>
      </c>
      <c r="N109" s="29" t="s">
        <v>343</v>
      </c>
      <c r="O109" s="31">
        <v>44389</v>
      </c>
      <c r="P109" s="31">
        <v>44390</v>
      </c>
      <c r="Q109" s="29" t="s">
        <v>83</v>
      </c>
    </row>
    <row r="110" spans="1:17" ht="15" x14ac:dyDescent="0.25">
      <c r="A110" s="29" t="s">
        <v>84</v>
      </c>
      <c r="B110" s="29" t="s">
        <v>85</v>
      </c>
      <c r="C110" s="29" t="s">
        <v>341</v>
      </c>
      <c r="D110" s="29" t="s">
        <v>383</v>
      </c>
      <c r="E110" s="29" t="s">
        <v>92</v>
      </c>
      <c r="F110" s="29" t="s">
        <v>79</v>
      </c>
      <c r="G110" s="29" t="s">
        <v>80</v>
      </c>
      <c r="H110" s="29" t="s">
        <v>81</v>
      </c>
      <c r="I110" s="29" t="s">
        <v>82</v>
      </c>
      <c r="J110" s="30">
        <v>3408.5</v>
      </c>
      <c r="K110" s="29" t="s">
        <v>110</v>
      </c>
      <c r="L110" s="29" t="s">
        <v>111</v>
      </c>
      <c r="M110" s="29" t="s">
        <v>342</v>
      </c>
      <c r="N110" s="29" t="s">
        <v>343</v>
      </c>
      <c r="O110" s="31">
        <v>44389</v>
      </c>
      <c r="P110" s="31">
        <v>44390</v>
      </c>
      <c r="Q110" s="29" t="s">
        <v>83</v>
      </c>
    </row>
    <row r="111" spans="1:17" ht="15" x14ac:dyDescent="0.25">
      <c r="A111" s="29" t="s">
        <v>84</v>
      </c>
      <c r="B111" s="29" t="s">
        <v>85</v>
      </c>
      <c r="C111" s="29" t="s">
        <v>341</v>
      </c>
      <c r="D111" s="29" t="s">
        <v>385</v>
      </c>
      <c r="E111" s="29" t="s">
        <v>109</v>
      </c>
      <c r="F111" s="29" t="s">
        <v>79</v>
      </c>
      <c r="G111" s="29" t="s">
        <v>80</v>
      </c>
      <c r="H111" s="29" t="s">
        <v>81</v>
      </c>
      <c r="I111" s="29" t="s">
        <v>82</v>
      </c>
      <c r="J111" s="30">
        <v>9.61</v>
      </c>
      <c r="K111" s="29" t="s">
        <v>110</v>
      </c>
      <c r="L111" s="29" t="s">
        <v>111</v>
      </c>
      <c r="M111" s="29" t="s">
        <v>342</v>
      </c>
      <c r="N111" s="29" t="s">
        <v>343</v>
      </c>
      <c r="O111" s="31">
        <v>44389</v>
      </c>
      <c r="P111" s="31">
        <v>44390</v>
      </c>
      <c r="Q111" s="29" t="s">
        <v>83</v>
      </c>
    </row>
    <row r="112" spans="1:17" ht="15" x14ac:dyDescent="0.25">
      <c r="A112" s="29" t="s">
        <v>84</v>
      </c>
      <c r="B112" s="29" t="s">
        <v>85</v>
      </c>
      <c r="C112" s="29" t="s">
        <v>344</v>
      </c>
      <c r="D112" s="29" t="s">
        <v>382</v>
      </c>
      <c r="E112" s="29" t="s">
        <v>87</v>
      </c>
      <c r="F112" s="29" t="s">
        <v>79</v>
      </c>
      <c r="G112" s="29" t="s">
        <v>80</v>
      </c>
      <c r="H112" s="29" t="s">
        <v>81</v>
      </c>
      <c r="I112" s="29" t="s">
        <v>82</v>
      </c>
      <c r="J112" s="30">
        <v>1883.39</v>
      </c>
      <c r="K112" s="29" t="s">
        <v>110</v>
      </c>
      <c r="L112" s="29" t="s">
        <v>111</v>
      </c>
      <c r="M112" s="29" t="s">
        <v>345</v>
      </c>
      <c r="N112" s="29" t="s">
        <v>346</v>
      </c>
      <c r="O112" s="31">
        <v>44420</v>
      </c>
      <c r="P112" s="31">
        <v>44421</v>
      </c>
      <c r="Q112" s="29" t="s">
        <v>83</v>
      </c>
    </row>
    <row r="113" spans="1:17" ht="15" x14ac:dyDescent="0.25">
      <c r="A113" s="29" t="s">
        <v>84</v>
      </c>
      <c r="B113" s="29" t="s">
        <v>85</v>
      </c>
      <c r="C113" s="29" t="s">
        <v>344</v>
      </c>
      <c r="D113" s="29" t="s">
        <v>384</v>
      </c>
      <c r="E113" s="29" t="s">
        <v>108</v>
      </c>
      <c r="F113" s="29" t="s">
        <v>79</v>
      </c>
      <c r="G113" s="29" t="s">
        <v>80</v>
      </c>
      <c r="H113" s="29" t="s">
        <v>81</v>
      </c>
      <c r="I113" s="29" t="s">
        <v>82</v>
      </c>
      <c r="J113" s="30">
        <v>36.369999999999997</v>
      </c>
      <c r="K113" s="29" t="s">
        <v>110</v>
      </c>
      <c r="L113" s="29" t="s">
        <v>111</v>
      </c>
      <c r="M113" s="29" t="s">
        <v>345</v>
      </c>
      <c r="N113" s="29" t="s">
        <v>346</v>
      </c>
      <c r="O113" s="31">
        <v>44420</v>
      </c>
      <c r="P113" s="31">
        <v>44421</v>
      </c>
      <c r="Q113" s="29" t="s">
        <v>83</v>
      </c>
    </row>
    <row r="114" spans="1:17" ht="15" x14ac:dyDescent="0.25">
      <c r="A114" s="29" t="s">
        <v>84</v>
      </c>
      <c r="B114" s="29" t="s">
        <v>85</v>
      </c>
      <c r="C114" s="29" t="s">
        <v>344</v>
      </c>
      <c r="D114" s="29" t="s">
        <v>383</v>
      </c>
      <c r="E114" s="29" t="s">
        <v>92</v>
      </c>
      <c r="F114" s="29" t="s">
        <v>79</v>
      </c>
      <c r="G114" s="29" t="s">
        <v>80</v>
      </c>
      <c r="H114" s="29" t="s">
        <v>81</v>
      </c>
      <c r="I114" s="29" t="s">
        <v>82</v>
      </c>
      <c r="J114" s="30">
        <v>4012.23</v>
      </c>
      <c r="K114" s="29" t="s">
        <v>110</v>
      </c>
      <c r="L114" s="29" t="s">
        <v>111</v>
      </c>
      <c r="M114" s="29" t="s">
        <v>345</v>
      </c>
      <c r="N114" s="29" t="s">
        <v>346</v>
      </c>
      <c r="O114" s="31">
        <v>44420</v>
      </c>
      <c r="P114" s="31">
        <v>44421</v>
      </c>
      <c r="Q114" s="29" t="s">
        <v>83</v>
      </c>
    </row>
    <row r="115" spans="1:17" ht="15" x14ac:dyDescent="0.25">
      <c r="A115" s="29" t="s">
        <v>84</v>
      </c>
      <c r="B115" s="29" t="s">
        <v>85</v>
      </c>
      <c r="C115" s="29" t="s">
        <v>344</v>
      </c>
      <c r="D115" s="29" t="s">
        <v>385</v>
      </c>
      <c r="E115" s="29" t="s">
        <v>109</v>
      </c>
      <c r="F115" s="29" t="s">
        <v>79</v>
      </c>
      <c r="G115" s="29" t="s">
        <v>80</v>
      </c>
      <c r="H115" s="29" t="s">
        <v>81</v>
      </c>
      <c r="I115" s="29" t="s">
        <v>82</v>
      </c>
      <c r="J115" s="30">
        <v>11.31</v>
      </c>
      <c r="K115" s="29" t="s">
        <v>110</v>
      </c>
      <c r="L115" s="29" t="s">
        <v>111</v>
      </c>
      <c r="M115" s="29" t="s">
        <v>345</v>
      </c>
      <c r="N115" s="29" t="s">
        <v>346</v>
      </c>
      <c r="O115" s="31">
        <v>44420</v>
      </c>
      <c r="P115" s="31">
        <v>44421</v>
      </c>
      <c r="Q115" s="29" t="s">
        <v>83</v>
      </c>
    </row>
    <row r="116" spans="1:17" ht="15" hidden="1" x14ac:dyDescent="0.25">
      <c r="A116" s="29" t="s">
        <v>84</v>
      </c>
      <c r="B116" s="29" t="s">
        <v>85</v>
      </c>
      <c r="C116" s="29" t="s">
        <v>351</v>
      </c>
      <c r="D116" s="29" t="s">
        <v>383</v>
      </c>
      <c r="E116" s="29" t="s">
        <v>92</v>
      </c>
      <c r="F116" s="29" t="s">
        <v>79</v>
      </c>
      <c r="G116" s="29" t="s">
        <v>80</v>
      </c>
      <c r="H116" s="29" t="s">
        <v>81</v>
      </c>
      <c r="I116" s="29" t="s">
        <v>82</v>
      </c>
      <c r="J116" s="30">
        <v>10920</v>
      </c>
      <c r="K116" s="29" t="s">
        <v>197</v>
      </c>
      <c r="L116" s="29" t="s">
        <v>122</v>
      </c>
      <c r="M116" s="29" t="s">
        <v>317</v>
      </c>
      <c r="N116" s="29" t="s">
        <v>352</v>
      </c>
      <c r="O116" s="31">
        <v>44452</v>
      </c>
      <c r="P116" s="31">
        <v>44453</v>
      </c>
      <c r="Q116" s="29" t="s">
        <v>83</v>
      </c>
    </row>
    <row r="117" spans="1:17" ht="15" hidden="1" x14ac:dyDescent="0.25">
      <c r="A117" s="29" t="s">
        <v>97</v>
      </c>
      <c r="B117" s="29" t="s">
        <v>92</v>
      </c>
      <c r="C117" s="29" t="s">
        <v>217</v>
      </c>
      <c r="D117" s="29" t="s">
        <v>383</v>
      </c>
      <c r="E117" s="29" t="s">
        <v>92</v>
      </c>
      <c r="F117" s="29" t="s">
        <v>79</v>
      </c>
      <c r="G117" s="29" t="s">
        <v>80</v>
      </c>
      <c r="H117" s="29" t="s">
        <v>81</v>
      </c>
      <c r="I117" s="29" t="s">
        <v>82</v>
      </c>
      <c r="J117" s="30">
        <v>726.29</v>
      </c>
      <c r="K117" s="29" t="s">
        <v>127</v>
      </c>
      <c r="L117" s="29" t="s">
        <v>82</v>
      </c>
      <c r="M117" s="29" t="s">
        <v>101</v>
      </c>
      <c r="N117" s="29" t="s">
        <v>217</v>
      </c>
      <c r="O117" s="31">
        <v>44255</v>
      </c>
      <c r="P117" s="31">
        <v>44260</v>
      </c>
      <c r="Q117" s="29" t="s">
        <v>83</v>
      </c>
    </row>
    <row r="118" spans="1:17" ht="15" hidden="1" x14ac:dyDescent="0.25">
      <c r="A118" s="29" t="s">
        <v>97</v>
      </c>
      <c r="B118" s="29" t="s">
        <v>92</v>
      </c>
      <c r="C118" s="29" t="s">
        <v>219</v>
      </c>
      <c r="D118" s="29" t="s">
        <v>383</v>
      </c>
      <c r="E118" s="29" t="s">
        <v>92</v>
      </c>
      <c r="F118" s="29" t="s">
        <v>79</v>
      </c>
      <c r="G118" s="29" t="s">
        <v>80</v>
      </c>
      <c r="H118" s="29" t="s">
        <v>81</v>
      </c>
      <c r="I118" s="29" t="s">
        <v>82</v>
      </c>
      <c r="J118" s="30">
        <v>-726.29</v>
      </c>
      <c r="K118" s="29" t="s">
        <v>127</v>
      </c>
      <c r="L118" s="29" t="s">
        <v>82</v>
      </c>
      <c r="M118" s="29" t="s">
        <v>101</v>
      </c>
      <c r="N118" s="29" t="s">
        <v>217</v>
      </c>
      <c r="O118" s="31">
        <v>44286</v>
      </c>
      <c r="P118" s="31">
        <v>44260</v>
      </c>
      <c r="Q118" s="29" t="s">
        <v>83</v>
      </c>
    </row>
    <row r="119" spans="1:17" ht="15" hidden="1" x14ac:dyDescent="0.25">
      <c r="A119" s="29" t="s">
        <v>97</v>
      </c>
      <c r="B119" s="29" t="s">
        <v>108</v>
      </c>
      <c r="C119" s="29" t="s">
        <v>241</v>
      </c>
      <c r="D119" s="29" t="s">
        <v>384</v>
      </c>
      <c r="E119" s="29" t="s">
        <v>108</v>
      </c>
      <c r="F119" s="29" t="s">
        <v>79</v>
      </c>
      <c r="G119" s="29" t="s">
        <v>80</v>
      </c>
      <c r="H119" s="29" t="s">
        <v>81</v>
      </c>
      <c r="I119" s="29" t="s">
        <v>82</v>
      </c>
      <c r="J119" s="30">
        <v>5.0999999999999996</v>
      </c>
      <c r="K119" s="29" t="s">
        <v>127</v>
      </c>
      <c r="L119" s="29" t="s">
        <v>82</v>
      </c>
      <c r="M119" s="29" t="s">
        <v>128</v>
      </c>
      <c r="N119" s="29" t="s">
        <v>241</v>
      </c>
      <c r="O119" s="31">
        <v>44286</v>
      </c>
      <c r="P119" s="31">
        <v>44291</v>
      </c>
      <c r="Q119" s="29" t="s">
        <v>83</v>
      </c>
    </row>
    <row r="120" spans="1:17" ht="15" hidden="1" x14ac:dyDescent="0.25">
      <c r="A120" s="29" t="s">
        <v>97</v>
      </c>
      <c r="B120" s="29" t="s">
        <v>109</v>
      </c>
      <c r="C120" s="29" t="s">
        <v>267</v>
      </c>
      <c r="D120" s="29" t="s">
        <v>385</v>
      </c>
      <c r="E120" s="29" t="s">
        <v>109</v>
      </c>
      <c r="F120" s="29" t="s">
        <v>79</v>
      </c>
      <c r="G120" s="29" t="s">
        <v>80</v>
      </c>
      <c r="H120" s="29" t="s">
        <v>81</v>
      </c>
      <c r="I120" s="29" t="s">
        <v>82</v>
      </c>
      <c r="J120" s="30">
        <v>1.5899999999999999</v>
      </c>
      <c r="K120" s="29" t="s">
        <v>127</v>
      </c>
      <c r="L120" s="29" t="s">
        <v>82</v>
      </c>
      <c r="M120" s="29" t="s">
        <v>128</v>
      </c>
      <c r="N120" s="29" t="s">
        <v>267</v>
      </c>
      <c r="O120" s="31">
        <v>44286</v>
      </c>
      <c r="P120" s="31">
        <v>44291</v>
      </c>
      <c r="Q120" s="29" t="s">
        <v>83</v>
      </c>
    </row>
    <row r="121" spans="1:17" ht="15" hidden="1" x14ac:dyDescent="0.25">
      <c r="A121" s="29" t="s">
        <v>97</v>
      </c>
      <c r="B121" s="29" t="s">
        <v>87</v>
      </c>
      <c r="C121" s="29" t="s">
        <v>138</v>
      </c>
      <c r="D121" s="29" t="s">
        <v>382</v>
      </c>
      <c r="E121" s="29" t="s">
        <v>87</v>
      </c>
      <c r="F121" s="29" t="s">
        <v>79</v>
      </c>
      <c r="G121" s="29" t="s">
        <v>80</v>
      </c>
      <c r="H121" s="29" t="s">
        <v>81</v>
      </c>
      <c r="I121" s="29" t="s">
        <v>82</v>
      </c>
      <c r="J121" s="30">
        <v>264.33999999999997</v>
      </c>
      <c r="K121" s="29" t="s">
        <v>127</v>
      </c>
      <c r="L121" s="29" t="s">
        <v>82</v>
      </c>
      <c r="M121" s="29" t="s">
        <v>128</v>
      </c>
      <c r="N121" s="29" t="s">
        <v>138</v>
      </c>
      <c r="O121" s="31">
        <v>44286</v>
      </c>
      <c r="P121" s="31">
        <v>44292</v>
      </c>
      <c r="Q121" s="29" t="s">
        <v>83</v>
      </c>
    </row>
    <row r="122" spans="1:17" ht="15" hidden="1" x14ac:dyDescent="0.25">
      <c r="A122" s="29" t="s">
        <v>97</v>
      </c>
      <c r="B122" s="29" t="s">
        <v>108</v>
      </c>
      <c r="C122" s="29" t="s">
        <v>268</v>
      </c>
      <c r="D122" s="29" t="s">
        <v>384</v>
      </c>
      <c r="E122" s="29" t="s">
        <v>108</v>
      </c>
      <c r="F122" s="29" t="s">
        <v>79</v>
      </c>
      <c r="G122" s="29" t="s">
        <v>80</v>
      </c>
      <c r="H122" s="29" t="s">
        <v>81</v>
      </c>
      <c r="I122" s="29" t="s">
        <v>82</v>
      </c>
      <c r="J122" s="30">
        <v>5.0999999999999996</v>
      </c>
      <c r="K122" s="29" t="s">
        <v>127</v>
      </c>
      <c r="L122" s="29" t="s">
        <v>82</v>
      </c>
      <c r="M122" s="29" t="s">
        <v>128</v>
      </c>
      <c r="N122" s="29" t="s">
        <v>268</v>
      </c>
      <c r="O122" s="31">
        <v>44286</v>
      </c>
      <c r="P122" s="31">
        <v>44291</v>
      </c>
      <c r="Q122" s="29" t="s">
        <v>83</v>
      </c>
    </row>
    <row r="123" spans="1:17" ht="15" hidden="1" x14ac:dyDescent="0.25">
      <c r="A123" s="29" t="s">
        <v>97</v>
      </c>
      <c r="B123" s="29" t="s">
        <v>108</v>
      </c>
      <c r="C123" s="29" t="s">
        <v>269</v>
      </c>
      <c r="D123" s="29" t="s">
        <v>384</v>
      </c>
      <c r="E123" s="29" t="s">
        <v>108</v>
      </c>
      <c r="F123" s="29" t="s">
        <v>79</v>
      </c>
      <c r="G123" s="29" t="s">
        <v>80</v>
      </c>
      <c r="H123" s="29" t="s">
        <v>81</v>
      </c>
      <c r="I123" s="29" t="s">
        <v>82</v>
      </c>
      <c r="J123" s="30">
        <v>-5.0999999999999996</v>
      </c>
      <c r="K123" s="29" t="s">
        <v>127</v>
      </c>
      <c r="L123" s="29" t="s">
        <v>82</v>
      </c>
      <c r="M123" s="29" t="s">
        <v>128</v>
      </c>
      <c r="N123" s="29" t="s">
        <v>241</v>
      </c>
      <c r="O123" s="31">
        <v>44316</v>
      </c>
      <c r="P123" s="31">
        <v>44291</v>
      </c>
      <c r="Q123" s="29" t="s">
        <v>83</v>
      </c>
    </row>
    <row r="124" spans="1:17" ht="15" hidden="1" x14ac:dyDescent="0.25">
      <c r="A124" s="29" t="s">
        <v>408</v>
      </c>
      <c r="B124" s="29" t="s">
        <v>406</v>
      </c>
      <c r="C124" s="29" t="s">
        <v>409</v>
      </c>
      <c r="D124" s="29" t="s">
        <v>502</v>
      </c>
      <c r="E124" s="29" t="s">
        <v>406</v>
      </c>
      <c r="F124" s="29" t="s">
        <v>79</v>
      </c>
      <c r="G124" s="29" t="s">
        <v>80</v>
      </c>
      <c r="H124" s="29" t="s">
        <v>81</v>
      </c>
      <c r="I124" s="29" t="s">
        <v>82</v>
      </c>
      <c r="J124" s="30">
        <v>-4613.34</v>
      </c>
      <c r="K124" s="29" t="s">
        <v>412</v>
      </c>
      <c r="L124" s="29" t="s">
        <v>82</v>
      </c>
      <c r="M124" s="29" t="s">
        <v>411</v>
      </c>
      <c r="N124" s="29" t="s">
        <v>409</v>
      </c>
      <c r="O124" s="31">
        <v>43861</v>
      </c>
      <c r="P124" s="31">
        <v>43874</v>
      </c>
      <c r="Q124" s="29" t="s">
        <v>83</v>
      </c>
    </row>
    <row r="125" spans="1:17" ht="15" hidden="1" x14ac:dyDescent="0.25">
      <c r="A125" s="29" t="s">
        <v>408</v>
      </c>
      <c r="B125" s="29" t="s">
        <v>406</v>
      </c>
      <c r="C125" s="29" t="s">
        <v>409</v>
      </c>
      <c r="D125" s="29" t="s">
        <v>502</v>
      </c>
      <c r="E125" s="29" t="s">
        <v>406</v>
      </c>
      <c r="F125" s="29" t="s">
        <v>79</v>
      </c>
      <c r="G125" s="29" t="s">
        <v>80</v>
      </c>
      <c r="H125" s="29" t="s">
        <v>81</v>
      </c>
      <c r="I125" s="29" t="s">
        <v>82</v>
      </c>
      <c r="J125" s="30">
        <v>-9339</v>
      </c>
      <c r="K125" s="29" t="s">
        <v>412</v>
      </c>
      <c r="L125" s="29" t="s">
        <v>82</v>
      </c>
      <c r="M125" s="29" t="s">
        <v>411</v>
      </c>
      <c r="N125" s="29" t="s">
        <v>409</v>
      </c>
      <c r="O125" s="31">
        <v>43861</v>
      </c>
      <c r="P125" s="31">
        <v>43874</v>
      </c>
      <c r="Q125" s="29" t="s">
        <v>83</v>
      </c>
    </row>
    <row r="126" spans="1:17" ht="15" hidden="1" x14ac:dyDescent="0.25">
      <c r="A126" s="29" t="s">
        <v>97</v>
      </c>
      <c r="B126" s="29" t="s">
        <v>406</v>
      </c>
      <c r="C126" s="29" t="s">
        <v>413</v>
      </c>
      <c r="D126" s="29" t="s">
        <v>502</v>
      </c>
      <c r="E126" s="29" t="s">
        <v>406</v>
      </c>
      <c r="F126" s="29" t="s">
        <v>79</v>
      </c>
      <c r="G126" s="29" t="s">
        <v>80</v>
      </c>
      <c r="H126" s="29" t="s">
        <v>81</v>
      </c>
      <c r="I126" s="29" t="s">
        <v>82</v>
      </c>
      <c r="J126" s="30">
        <v>300.64999999999998</v>
      </c>
      <c r="K126" s="29" t="s">
        <v>98</v>
      </c>
      <c r="L126" s="29" t="s">
        <v>82</v>
      </c>
      <c r="M126" s="29" t="s">
        <v>407</v>
      </c>
      <c r="N126" s="29" t="s">
        <v>413</v>
      </c>
      <c r="O126" s="31">
        <v>44255</v>
      </c>
      <c r="P126" s="31">
        <v>44260</v>
      </c>
      <c r="Q126" s="29" t="s">
        <v>83</v>
      </c>
    </row>
    <row r="127" spans="1:17" ht="15" hidden="1" x14ac:dyDescent="0.25">
      <c r="A127" s="29" t="s">
        <v>97</v>
      </c>
      <c r="B127" s="29" t="s">
        <v>87</v>
      </c>
      <c r="C127" s="29" t="s">
        <v>102</v>
      </c>
      <c r="D127" s="29" t="s">
        <v>382</v>
      </c>
      <c r="E127" s="29" t="s">
        <v>87</v>
      </c>
      <c r="F127" s="29" t="s">
        <v>79</v>
      </c>
      <c r="G127" s="29" t="s">
        <v>80</v>
      </c>
      <c r="H127" s="29" t="s">
        <v>81</v>
      </c>
      <c r="I127" s="29" t="s">
        <v>82</v>
      </c>
      <c r="J127" s="30">
        <v>3050</v>
      </c>
      <c r="K127" s="29" t="s">
        <v>103</v>
      </c>
      <c r="L127" s="29" t="s">
        <v>82</v>
      </c>
      <c r="M127" s="29" t="s">
        <v>104</v>
      </c>
      <c r="N127" s="29" t="s">
        <v>102</v>
      </c>
      <c r="O127" s="31">
        <v>44255</v>
      </c>
      <c r="P127" s="31">
        <v>44261</v>
      </c>
      <c r="Q127" s="29" t="s">
        <v>83</v>
      </c>
    </row>
    <row r="128" spans="1:17" ht="15" hidden="1" x14ac:dyDescent="0.25">
      <c r="A128" s="29" t="s">
        <v>97</v>
      </c>
      <c r="B128" s="29" t="s">
        <v>406</v>
      </c>
      <c r="C128" s="29" t="s">
        <v>414</v>
      </c>
      <c r="D128" s="29" t="s">
        <v>502</v>
      </c>
      <c r="E128" s="29" t="s">
        <v>406</v>
      </c>
      <c r="F128" s="29" t="s">
        <v>79</v>
      </c>
      <c r="G128" s="29" t="s">
        <v>80</v>
      </c>
      <c r="H128" s="29" t="s">
        <v>81</v>
      </c>
      <c r="I128" s="29" t="s">
        <v>82</v>
      </c>
      <c r="J128" s="30">
        <v>-300.64999999999998</v>
      </c>
      <c r="K128" s="29" t="s">
        <v>98</v>
      </c>
      <c r="L128" s="29" t="s">
        <v>82</v>
      </c>
      <c r="M128" s="29" t="s">
        <v>407</v>
      </c>
      <c r="N128" s="29" t="s">
        <v>413</v>
      </c>
      <c r="O128" s="31">
        <v>44286</v>
      </c>
      <c r="P128" s="31">
        <v>44260</v>
      </c>
      <c r="Q128" s="29" t="s">
        <v>83</v>
      </c>
    </row>
    <row r="129" spans="1:17" ht="15" hidden="1" x14ac:dyDescent="0.25">
      <c r="A129" s="29" t="s">
        <v>97</v>
      </c>
      <c r="B129" s="29" t="s">
        <v>87</v>
      </c>
      <c r="C129" s="29" t="s">
        <v>99</v>
      </c>
      <c r="D129" s="29" t="s">
        <v>382</v>
      </c>
      <c r="E129" s="29" t="s">
        <v>87</v>
      </c>
      <c r="F129" s="29" t="s">
        <v>79</v>
      </c>
      <c r="G129" s="29" t="s">
        <v>80</v>
      </c>
      <c r="H129" s="29" t="s">
        <v>81</v>
      </c>
      <c r="I129" s="29" t="s">
        <v>82</v>
      </c>
      <c r="J129" s="30">
        <v>-3050</v>
      </c>
      <c r="K129" s="29" t="s">
        <v>103</v>
      </c>
      <c r="L129" s="29" t="s">
        <v>82</v>
      </c>
      <c r="M129" s="29" t="s">
        <v>104</v>
      </c>
      <c r="N129" s="29" t="s">
        <v>102</v>
      </c>
      <c r="O129" s="31">
        <v>44286</v>
      </c>
      <c r="P129" s="31">
        <v>44261</v>
      </c>
      <c r="Q129" s="29" t="s">
        <v>83</v>
      </c>
    </row>
    <row r="130" spans="1:17" ht="15" hidden="1" x14ac:dyDescent="0.25">
      <c r="A130" s="29" t="s">
        <v>97</v>
      </c>
      <c r="B130" s="29" t="s">
        <v>92</v>
      </c>
      <c r="C130" s="29" t="s">
        <v>126</v>
      </c>
      <c r="D130" s="29" t="s">
        <v>383</v>
      </c>
      <c r="E130" s="29" t="s">
        <v>92</v>
      </c>
      <c r="F130" s="29" t="s">
        <v>79</v>
      </c>
      <c r="G130" s="29" t="s">
        <v>80</v>
      </c>
      <c r="H130" s="29" t="s">
        <v>81</v>
      </c>
      <c r="I130" s="29" t="s">
        <v>82</v>
      </c>
      <c r="J130" s="30">
        <v>563.13</v>
      </c>
      <c r="K130" s="29" t="s">
        <v>98</v>
      </c>
      <c r="L130" s="29" t="s">
        <v>82</v>
      </c>
      <c r="M130" s="29" t="s">
        <v>128</v>
      </c>
      <c r="N130" s="29" t="s">
        <v>126</v>
      </c>
      <c r="O130" s="31">
        <v>44286</v>
      </c>
      <c r="P130" s="31">
        <v>44292</v>
      </c>
      <c r="Q130" s="29" t="s">
        <v>83</v>
      </c>
    </row>
    <row r="131" spans="1:17" ht="15" hidden="1" x14ac:dyDescent="0.25">
      <c r="A131" s="29" t="s">
        <v>97</v>
      </c>
      <c r="B131" s="29" t="s">
        <v>92</v>
      </c>
      <c r="C131" s="29" t="s">
        <v>242</v>
      </c>
      <c r="D131" s="29" t="s">
        <v>383</v>
      </c>
      <c r="E131" s="29" t="s">
        <v>92</v>
      </c>
      <c r="F131" s="29" t="s">
        <v>79</v>
      </c>
      <c r="G131" s="29" t="s">
        <v>80</v>
      </c>
      <c r="H131" s="29" t="s">
        <v>81</v>
      </c>
      <c r="I131" s="29" t="s">
        <v>82</v>
      </c>
      <c r="J131" s="30">
        <v>-563.13</v>
      </c>
      <c r="K131" s="29" t="s">
        <v>98</v>
      </c>
      <c r="L131" s="29" t="s">
        <v>82</v>
      </c>
      <c r="M131" s="29" t="s">
        <v>128</v>
      </c>
      <c r="N131" s="29" t="s">
        <v>126</v>
      </c>
      <c r="O131" s="31">
        <v>44316</v>
      </c>
      <c r="P131" s="31">
        <v>44292</v>
      </c>
      <c r="Q131" s="29" t="s">
        <v>83</v>
      </c>
    </row>
    <row r="132" spans="1:17" ht="15" hidden="1" x14ac:dyDescent="0.25">
      <c r="A132" s="29" t="s">
        <v>97</v>
      </c>
      <c r="B132" s="29" t="s">
        <v>92</v>
      </c>
      <c r="C132" s="29" t="s">
        <v>232</v>
      </c>
      <c r="D132" s="29" t="s">
        <v>383</v>
      </c>
      <c r="E132" s="29" t="s">
        <v>92</v>
      </c>
      <c r="F132" s="29" t="s">
        <v>79</v>
      </c>
      <c r="G132" s="29" t="s">
        <v>80</v>
      </c>
      <c r="H132" s="29" t="s">
        <v>81</v>
      </c>
      <c r="I132" s="29" t="s">
        <v>82</v>
      </c>
      <c r="J132" s="30">
        <v>936.64</v>
      </c>
      <c r="K132" s="29" t="s">
        <v>231</v>
      </c>
      <c r="L132" s="29" t="s">
        <v>82</v>
      </c>
      <c r="M132" s="29" t="s">
        <v>151</v>
      </c>
      <c r="N132" s="29" t="s">
        <v>232</v>
      </c>
      <c r="O132" s="31">
        <v>44347</v>
      </c>
      <c r="P132" s="31">
        <v>44350</v>
      </c>
      <c r="Q132" s="29" t="s">
        <v>83</v>
      </c>
    </row>
    <row r="133" spans="1:17" ht="15" hidden="1" x14ac:dyDescent="0.25">
      <c r="A133" s="29" t="s">
        <v>97</v>
      </c>
      <c r="B133" s="29" t="s">
        <v>92</v>
      </c>
      <c r="C133" s="29" t="s">
        <v>230</v>
      </c>
      <c r="D133" s="29" t="s">
        <v>383</v>
      </c>
      <c r="E133" s="29" t="s">
        <v>92</v>
      </c>
      <c r="F133" s="29" t="s">
        <v>79</v>
      </c>
      <c r="G133" s="29" t="s">
        <v>80</v>
      </c>
      <c r="H133" s="29" t="s">
        <v>81</v>
      </c>
      <c r="I133" s="29" t="s">
        <v>82</v>
      </c>
      <c r="J133" s="30">
        <v>-936.64</v>
      </c>
      <c r="K133" s="29" t="s">
        <v>231</v>
      </c>
      <c r="L133" s="29" t="s">
        <v>82</v>
      </c>
      <c r="M133" s="29" t="s">
        <v>151</v>
      </c>
      <c r="N133" s="29" t="s">
        <v>232</v>
      </c>
      <c r="O133" s="31">
        <v>44377</v>
      </c>
      <c r="P133" s="31">
        <v>44350</v>
      </c>
      <c r="Q133" s="29" t="s">
        <v>83</v>
      </c>
    </row>
    <row r="134" spans="1:17" ht="15" hidden="1" x14ac:dyDescent="0.25">
      <c r="A134" s="29" t="s">
        <v>97</v>
      </c>
      <c r="B134" s="29" t="s">
        <v>92</v>
      </c>
      <c r="C134" s="29" t="s">
        <v>159</v>
      </c>
      <c r="D134" s="29" t="s">
        <v>383</v>
      </c>
      <c r="E134" s="29" t="s">
        <v>92</v>
      </c>
      <c r="F134" s="29" t="s">
        <v>79</v>
      </c>
      <c r="G134" s="29" t="s">
        <v>80</v>
      </c>
      <c r="H134" s="29" t="s">
        <v>81</v>
      </c>
      <c r="I134" s="29" t="s">
        <v>82</v>
      </c>
      <c r="J134" s="30">
        <v>3307.83</v>
      </c>
      <c r="K134" s="29" t="s">
        <v>160</v>
      </c>
      <c r="L134" s="29" t="s">
        <v>82</v>
      </c>
      <c r="M134" s="29" t="s">
        <v>161</v>
      </c>
      <c r="N134" s="29" t="s">
        <v>159</v>
      </c>
      <c r="O134" s="31">
        <v>44377</v>
      </c>
      <c r="P134" s="31">
        <v>44385</v>
      </c>
      <c r="Q134" s="29" t="s">
        <v>83</v>
      </c>
    </row>
    <row r="135" spans="1:17" ht="15" hidden="1" x14ac:dyDescent="0.25">
      <c r="A135" s="29" t="s">
        <v>97</v>
      </c>
      <c r="B135" s="29" t="s">
        <v>109</v>
      </c>
      <c r="C135" s="29" t="s">
        <v>235</v>
      </c>
      <c r="D135" s="29" t="s">
        <v>385</v>
      </c>
      <c r="E135" s="29" t="s">
        <v>109</v>
      </c>
      <c r="F135" s="29" t="s">
        <v>79</v>
      </c>
      <c r="G135" s="29" t="s">
        <v>80</v>
      </c>
      <c r="H135" s="29" t="s">
        <v>81</v>
      </c>
      <c r="I135" s="29" t="s">
        <v>82</v>
      </c>
      <c r="J135" s="30">
        <v>2.64</v>
      </c>
      <c r="K135" s="29" t="s">
        <v>144</v>
      </c>
      <c r="L135" s="29" t="s">
        <v>82</v>
      </c>
      <c r="M135" s="29" t="s">
        <v>151</v>
      </c>
      <c r="N135" s="29" t="s">
        <v>235</v>
      </c>
      <c r="O135" s="31">
        <v>44347</v>
      </c>
      <c r="P135" s="31">
        <v>44351</v>
      </c>
      <c r="Q135" s="29" t="s">
        <v>83</v>
      </c>
    </row>
    <row r="136" spans="1:17" ht="15" hidden="1" x14ac:dyDescent="0.25">
      <c r="A136" s="29" t="s">
        <v>97</v>
      </c>
      <c r="B136" s="29" t="s">
        <v>92</v>
      </c>
      <c r="C136" s="29" t="s">
        <v>232</v>
      </c>
      <c r="D136" s="29" t="s">
        <v>383</v>
      </c>
      <c r="E136" s="29" t="s">
        <v>92</v>
      </c>
      <c r="F136" s="29" t="s">
        <v>79</v>
      </c>
      <c r="G136" s="29" t="s">
        <v>80</v>
      </c>
      <c r="H136" s="29" t="s">
        <v>81</v>
      </c>
      <c r="I136" s="29" t="s">
        <v>82</v>
      </c>
      <c r="J136" s="30">
        <v>63.99</v>
      </c>
      <c r="K136" s="29" t="s">
        <v>233</v>
      </c>
      <c r="L136" s="29" t="s">
        <v>82</v>
      </c>
      <c r="M136" s="29" t="s">
        <v>151</v>
      </c>
      <c r="N136" s="29" t="s">
        <v>232</v>
      </c>
      <c r="O136" s="31">
        <v>44347</v>
      </c>
      <c r="P136" s="31">
        <v>44350</v>
      </c>
      <c r="Q136" s="29" t="s">
        <v>83</v>
      </c>
    </row>
    <row r="137" spans="1:17" ht="15" hidden="1" x14ac:dyDescent="0.25">
      <c r="A137" s="29" t="s">
        <v>97</v>
      </c>
      <c r="B137" s="29" t="s">
        <v>92</v>
      </c>
      <c r="C137" s="29" t="s">
        <v>230</v>
      </c>
      <c r="D137" s="29" t="s">
        <v>383</v>
      </c>
      <c r="E137" s="29" t="s">
        <v>92</v>
      </c>
      <c r="F137" s="29" t="s">
        <v>79</v>
      </c>
      <c r="G137" s="29" t="s">
        <v>80</v>
      </c>
      <c r="H137" s="29" t="s">
        <v>81</v>
      </c>
      <c r="I137" s="29" t="s">
        <v>82</v>
      </c>
      <c r="J137" s="30">
        <v>-63.99</v>
      </c>
      <c r="K137" s="29" t="s">
        <v>233</v>
      </c>
      <c r="L137" s="29" t="s">
        <v>82</v>
      </c>
      <c r="M137" s="29" t="s">
        <v>151</v>
      </c>
      <c r="N137" s="29" t="s">
        <v>232</v>
      </c>
      <c r="O137" s="31">
        <v>44377</v>
      </c>
      <c r="P137" s="31">
        <v>44350</v>
      </c>
      <c r="Q137" s="29" t="s">
        <v>83</v>
      </c>
    </row>
    <row r="138" spans="1:17" ht="15" hidden="1" x14ac:dyDescent="0.25">
      <c r="A138" s="29" t="s">
        <v>97</v>
      </c>
      <c r="B138" s="29" t="s">
        <v>108</v>
      </c>
      <c r="C138" s="29" t="s">
        <v>155</v>
      </c>
      <c r="D138" s="29" t="s">
        <v>384</v>
      </c>
      <c r="E138" s="29" t="s">
        <v>108</v>
      </c>
      <c r="F138" s="29" t="s">
        <v>79</v>
      </c>
      <c r="G138" s="29" t="s">
        <v>80</v>
      </c>
      <c r="H138" s="29" t="s">
        <v>81</v>
      </c>
      <c r="I138" s="29" t="s">
        <v>82</v>
      </c>
      <c r="J138" s="30">
        <v>-8.49</v>
      </c>
      <c r="K138" s="29" t="s">
        <v>144</v>
      </c>
      <c r="L138" s="29" t="s">
        <v>82</v>
      </c>
      <c r="M138" s="29" t="s">
        <v>151</v>
      </c>
      <c r="N138" s="29" t="s">
        <v>148</v>
      </c>
      <c r="O138" s="31">
        <v>44377</v>
      </c>
      <c r="P138" s="31">
        <v>44351</v>
      </c>
      <c r="Q138" s="29" t="s">
        <v>83</v>
      </c>
    </row>
    <row r="139" spans="1:17" ht="15" hidden="1" x14ac:dyDescent="0.25">
      <c r="A139" s="29" t="s">
        <v>97</v>
      </c>
      <c r="B139" s="29" t="s">
        <v>109</v>
      </c>
      <c r="C139" s="29" t="s">
        <v>234</v>
      </c>
      <c r="D139" s="29" t="s">
        <v>385</v>
      </c>
      <c r="E139" s="29" t="s">
        <v>109</v>
      </c>
      <c r="F139" s="29" t="s">
        <v>79</v>
      </c>
      <c r="G139" s="29" t="s">
        <v>80</v>
      </c>
      <c r="H139" s="29" t="s">
        <v>81</v>
      </c>
      <c r="I139" s="29" t="s">
        <v>82</v>
      </c>
      <c r="J139" s="30">
        <v>-2.64</v>
      </c>
      <c r="K139" s="29" t="s">
        <v>144</v>
      </c>
      <c r="L139" s="29" t="s">
        <v>82</v>
      </c>
      <c r="M139" s="29" t="s">
        <v>151</v>
      </c>
      <c r="N139" s="29" t="s">
        <v>235</v>
      </c>
      <c r="O139" s="31">
        <v>44377</v>
      </c>
      <c r="P139" s="31">
        <v>44351</v>
      </c>
      <c r="Q139" s="29" t="s">
        <v>83</v>
      </c>
    </row>
    <row r="140" spans="1:17" ht="15" hidden="1" x14ac:dyDescent="0.25">
      <c r="A140" s="29" t="s">
        <v>97</v>
      </c>
      <c r="B140" s="29" t="s">
        <v>92</v>
      </c>
      <c r="C140" s="29" t="s">
        <v>337</v>
      </c>
      <c r="D140" s="29" t="s">
        <v>383</v>
      </c>
      <c r="E140" s="29" t="s">
        <v>92</v>
      </c>
      <c r="F140" s="29" t="s">
        <v>79</v>
      </c>
      <c r="G140" s="29" t="s">
        <v>80</v>
      </c>
      <c r="H140" s="29" t="s">
        <v>81</v>
      </c>
      <c r="I140" s="29" t="s">
        <v>82</v>
      </c>
      <c r="J140" s="30">
        <v>-936.64</v>
      </c>
      <c r="K140" s="29" t="s">
        <v>336</v>
      </c>
      <c r="L140" s="29" t="s">
        <v>82</v>
      </c>
      <c r="M140" s="29" t="s">
        <v>151</v>
      </c>
      <c r="N140" s="29" t="s">
        <v>333</v>
      </c>
      <c r="O140" s="31">
        <v>44377</v>
      </c>
      <c r="P140" s="31">
        <v>44351</v>
      </c>
      <c r="Q140" s="29" t="s">
        <v>83</v>
      </c>
    </row>
    <row r="141" spans="1:17" ht="15" x14ac:dyDescent="0.25">
      <c r="A141" s="29" t="s">
        <v>84</v>
      </c>
      <c r="B141" s="29" t="s">
        <v>85</v>
      </c>
      <c r="C141" s="29" t="s">
        <v>374</v>
      </c>
      <c r="D141" s="29" t="s">
        <v>382</v>
      </c>
      <c r="E141" s="29" t="s">
        <v>87</v>
      </c>
      <c r="F141" s="29" t="s">
        <v>79</v>
      </c>
      <c r="G141" s="29" t="s">
        <v>80</v>
      </c>
      <c r="H141" s="29" t="s">
        <v>81</v>
      </c>
      <c r="I141" s="29" t="s">
        <v>82</v>
      </c>
      <c r="J141" s="30">
        <v>1569.49</v>
      </c>
      <c r="K141" s="29" t="s">
        <v>110</v>
      </c>
      <c r="L141" s="29" t="s">
        <v>111</v>
      </c>
      <c r="M141" s="29" t="s">
        <v>375</v>
      </c>
      <c r="N141" s="29" t="s">
        <v>376</v>
      </c>
      <c r="O141" s="31">
        <v>44459</v>
      </c>
      <c r="P141" s="31">
        <v>44460</v>
      </c>
      <c r="Q141" s="29" t="s">
        <v>83</v>
      </c>
    </row>
    <row r="142" spans="1:17" ht="15" x14ac:dyDescent="0.25">
      <c r="A142" s="29" t="s">
        <v>84</v>
      </c>
      <c r="B142" s="29" t="s">
        <v>85</v>
      </c>
      <c r="C142" s="29" t="s">
        <v>374</v>
      </c>
      <c r="D142" s="29" t="s">
        <v>384</v>
      </c>
      <c r="E142" s="29" t="s">
        <v>108</v>
      </c>
      <c r="F142" s="29" t="s">
        <v>79</v>
      </c>
      <c r="G142" s="29" t="s">
        <v>80</v>
      </c>
      <c r="H142" s="29" t="s">
        <v>81</v>
      </c>
      <c r="I142" s="29" t="s">
        <v>82</v>
      </c>
      <c r="J142" s="30">
        <v>30.31</v>
      </c>
      <c r="K142" s="29" t="s">
        <v>110</v>
      </c>
      <c r="L142" s="29" t="s">
        <v>111</v>
      </c>
      <c r="M142" s="29" t="s">
        <v>375</v>
      </c>
      <c r="N142" s="29" t="s">
        <v>376</v>
      </c>
      <c r="O142" s="31">
        <v>44459</v>
      </c>
      <c r="P142" s="31">
        <v>44460</v>
      </c>
      <c r="Q142" s="29" t="s">
        <v>83</v>
      </c>
    </row>
    <row r="143" spans="1:17" ht="15" x14ac:dyDescent="0.25">
      <c r="A143" s="29" t="s">
        <v>84</v>
      </c>
      <c r="B143" s="29" t="s">
        <v>85</v>
      </c>
      <c r="C143" s="29" t="s">
        <v>374</v>
      </c>
      <c r="D143" s="29" t="s">
        <v>383</v>
      </c>
      <c r="E143" s="29" t="s">
        <v>92</v>
      </c>
      <c r="F143" s="29" t="s">
        <v>79</v>
      </c>
      <c r="G143" s="29" t="s">
        <v>80</v>
      </c>
      <c r="H143" s="29" t="s">
        <v>81</v>
      </c>
      <c r="I143" s="29" t="s">
        <v>82</v>
      </c>
      <c r="J143" s="30">
        <v>3343.52</v>
      </c>
      <c r="K143" s="29" t="s">
        <v>110</v>
      </c>
      <c r="L143" s="29" t="s">
        <v>111</v>
      </c>
      <c r="M143" s="29" t="s">
        <v>375</v>
      </c>
      <c r="N143" s="29" t="s">
        <v>376</v>
      </c>
      <c r="O143" s="31">
        <v>44459</v>
      </c>
      <c r="P143" s="31">
        <v>44460</v>
      </c>
      <c r="Q143" s="29" t="s">
        <v>83</v>
      </c>
    </row>
    <row r="144" spans="1:17" ht="15" x14ac:dyDescent="0.25">
      <c r="A144" s="29" t="s">
        <v>84</v>
      </c>
      <c r="B144" s="29" t="s">
        <v>85</v>
      </c>
      <c r="C144" s="29" t="s">
        <v>374</v>
      </c>
      <c r="D144" s="29" t="s">
        <v>385</v>
      </c>
      <c r="E144" s="29" t="s">
        <v>109</v>
      </c>
      <c r="F144" s="29" t="s">
        <v>79</v>
      </c>
      <c r="G144" s="29" t="s">
        <v>80</v>
      </c>
      <c r="H144" s="29" t="s">
        <v>81</v>
      </c>
      <c r="I144" s="29" t="s">
        <v>82</v>
      </c>
      <c r="J144" s="30">
        <v>9.42</v>
      </c>
      <c r="K144" s="29" t="s">
        <v>110</v>
      </c>
      <c r="L144" s="29" t="s">
        <v>111</v>
      </c>
      <c r="M144" s="29" t="s">
        <v>375</v>
      </c>
      <c r="N144" s="29" t="s">
        <v>376</v>
      </c>
      <c r="O144" s="31">
        <v>44459</v>
      </c>
      <c r="P144" s="31">
        <v>44460</v>
      </c>
      <c r="Q144" s="29" t="s">
        <v>83</v>
      </c>
    </row>
    <row r="145" spans="1:17" ht="15" hidden="1" x14ac:dyDescent="0.25">
      <c r="A145" s="29" t="s">
        <v>84</v>
      </c>
      <c r="B145" s="29" t="s">
        <v>85</v>
      </c>
      <c r="C145" s="29" t="s">
        <v>258</v>
      </c>
      <c r="D145" s="29" t="s">
        <v>383</v>
      </c>
      <c r="E145" s="29" t="s">
        <v>92</v>
      </c>
      <c r="F145" s="29" t="s">
        <v>79</v>
      </c>
      <c r="G145" s="29" t="s">
        <v>80</v>
      </c>
      <c r="H145" s="29" t="s">
        <v>81</v>
      </c>
      <c r="I145" s="29" t="s">
        <v>82</v>
      </c>
      <c r="J145" s="30">
        <v>16280</v>
      </c>
      <c r="K145" s="29" t="s">
        <v>197</v>
      </c>
      <c r="L145" s="29" t="s">
        <v>122</v>
      </c>
      <c r="M145" s="29" t="s">
        <v>259</v>
      </c>
      <c r="N145" s="29" t="s">
        <v>260</v>
      </c>
      <c r="O145" s="31">
        <v>44473</v>
      </c>
      <c r="P145" s="31">
        <v>44474</v>
      </c>
      <c r="Q145" s="29" t="s">
        <v>83</v>
      </c>
    </row>
    <row r="146" spans="1:17" ht="15" x14ac:dyDescent="0.25">
      <c r="A146" s="29" t="s">
        <v>84</v>
      </c>
      <c r="B146" s="29" t="s">
        <v>85</v>
      </c>
      <c r="C146" s="29" t="s">
        <v>377</v>
      </c>
      <c r="D146" s="29" t="s">
        <v>382</v>
      </c>
      <c r="E146" s="29" t="s">
        <v>87</v>
      </c>
      <c r="F146" s="29" t="s">
        <v>79</v>
      </c>
      <c r="G146" s="29" t="s">
        <v>80</v>
      </c>
      <c r="H146" s="29" t="s">
        <v>81</v>
      </c>
      <c r="I146" s="29" t="s">
        <v>82</v>
      </c>
      <c r="J146" s="30">
        <v>1679.63</v>
      </c>
      <c r="K146" s="29" t="s">
        <v>110</v>
      </c>
      <c r="L146" s="29" t="s">
        <v>111</v>
      </c>
      <c r="M146" s="29" t="s">
        <v>378</v>
      </c>
      <c r="N146" s="29" t="s">
        <v>379</v>
      </c>
      <c r="O146" s="31">
        <v>44476</v>
      </c>
      <c r="P146" s="31">
        <v>44477</v>
      </c>
      <c r="Q146" s="29" t="s">
        <v>83</v>
      </c>
    </row>
    <row r="147" spans="1:17" ht="15" hidden="1" x14ac:dyDescent="0.25">
      <c r="A147" s="29" t="s">
        <v>97</v>
      </c>
      <c r="B147" s="29" t="s">
        <v>108</v>
      </c>
      <c r="C147" s="29" t="s">
        <v>164</v>
      </c>
      <c r="D147" s="29" t="s">
        <v>384</v>
      </c>
      <c r="E147" s="29" t="s">
        <v>108</v>
      </c>
      <c r="F147" s="29" t="s">
        <v>79</v>
      </c>
      <c r="G147" s="29" t="s">
        <v>80</v>
      </c>
      <c r="H147" s="29" t="s">
        <v>81</v>
      </c>
      <c r="I147" s="29" t="s">
        <v>82</v>
      </c>
      <c r="J147" s="30">
        <v>29.99</v>
      </c>
      <c r="K147" s="29" t="s">
        <v>144</v>
      </c>
      <c r="L147" s="29" t="s">
        <v>82</v>
      </c>
      <c r="M147" s="29" t="s">
        <v>161</v>
      </c>
      <c r="N147" s="29" t="s">
        <v>164</v>
      </c>
      <c r="O147" s="31">
        <v>44377</v>
      </c>
      <c r="P147" s="31">
        <v>44384</v>
      </c>
      <c r="Q147" s="29" t="s">
        <v>83</v>
      </c>
    </row>
    <row r="148" spans="1:17" ht="15" hidden="1" x14ac:dyDescent="0.25">
      <c r="A148" s="29" t="s">
        <v>97</v>
      </c>
      <c r="B148" s="29" t="s">
        <v>109</v>
      </c>
      <c r="C148" s="29" t="s">
        <v>252</v>
      </c>
      <c r="D148" s="29" t="s">
        <v>385</v>
      </c>
      <c r="E148" s="29" t="s">
        <v>109</v>
      </c>
      <c r="F148" s="29" t="s">
        <v>79</v>
      </c>
      <c r="G148" s="29" t="s">
        <v>80</v>
      </c>
      <c r="H148" s="29" t="s">
        <v>81</v>
      </c>
      <c r="I148" s="29" t="s">
        <v>82</v>
      </c>
      <c r="J148" s="30">
        <v>9.32</v>
      </c>
      <c r="K148" s="29" t="s">
        <v>144</v>
      </c>
      <c r="L148" s="29" t="s">
        <v>82</v>
      </c>
      <c r="M148" s="29" t="s">
        <v>161</v>
      </c>
      <c r="N148" s="29" t="s">
        <v>252</v>
      </c>
      <c r="O148" s="31">
        <v>44377</v>
      </c>
      <c r="P148" s="31">
        <v>44384</v>
      </c>
      <c r="Q148" s="29" t="s">
        <v>83</v>
      </c>
    </row>
    <row r="149" spans="1:17" ht="15" hidden="1" x14ac:dyDescent="0.25">
      <c r="A149" s="29" t="s">
        <v>97</v>
      </c>
      <c r="B149" s="29" t="s">
        <v>92</v>
      </c>
      <c r="C149" s="29" t="s">
        <v>250</v>
      </c>
      <c r="D149" s="29" t="s">
        <v>383</v>
      </c>
      <c r="E149" s="29" t="s">
        <v>92</v>
      </c>
      <c r="F149" s="29" t="s">
        <v>79</v>
      </c>
      <c r="G149" s="29" t="s">
        <v>80</v>
      </c>
      <c r="H149" s="29" t="s">
        <v>81</v>
      </c>
      <c r="I149" s="29" t="s">
        <v>82</v>
      </c>
      <c r="J149" s="30">
        <v>102.39</v>
      </c>
      <c r="K149" s="29" t="s">
        <v>233</v>
      </c>
      <c r="L149" s="29" t="s">
        <v>82</v>
      </c>
      <c r="M149" s="29" t="s">
        <v>161</v>
      </c>
      <c r="N149" s="29" t="s">
        <v>250</v>
      </c>
      <c r="O149" s="31">
        <v>44377</v>
      </c>
      <c r="P149" s="31">
        <v>44383</v>
      </c>
      <c r="Q149" s="29" t="s">
        <v>83</v>
      </c>
    </row>
    <row r="150" spans="1:17" ht="15" hidden="1" x14ac:dyDescent="0.25">
      <c r="A150" s="29" t="s">
        <v>97</v>
      </c>
      <c r="B150" s="29" t="s">
        <v>92</v>
      </c>
      <c r="C150" s="29" t="s">
        <v>308</v>
      </c>
      <c r="D150" s="29" t="s">
        <v>383</v>
      </c>
      <c r="E150" s="29" t="s">
        <v>92</v>
      </c>
      <c r="F150" s="29" t="s">
        <v>79</v>
      </c>
      <c r="G150" s="29" t="s">
        <v>80</v>
      </c>
      <c r="H150" s="29" t="s">
        <v>81</v>
      </c>
      <c r="I150" s="29" t="s">
        <v>82</v>
      </c>
      <c r="J150" s="30">
        <v>-102.39</v>
      </c>
      <c r="K150" s="29" t="s">
        <v>233</v>
      </c>
      <c r="L150" s="29" t="s">
        <v>82</v>
      </c>
      <c r="M150" s="29" t="s">
        <v>161</v>
      </c>
      <c r="N150" s="29" t="s">
        <v>250</v>
      </c>
      <c r="O150" s="31">
        <v>44408</v>
      </c>
      <c r="P150" s="31">
        <v>44383</v>
      </c>
      <c r="Q150" s="29" t="s">
        <v>83</v>
      </c>
    </row>
    <row r="151" spans="1:17" ht="15" hidden="1" x14ac:dyDescent="0.25">
      <c r="A151" s="29" t="s">
        <v>97</v>
      </c>
      <c r="B151" s="29" t="s">
        <v>108</v>
      </c>
      <c r="C151" s="29" t="s">
        <v>162</v>
      </c>
      <c r="D151" s="29" t="s">
        <v>384</v>
      </c>
      <c r="E151" s="29" t="s">
        <v>108</v>
      </c>
      <c r="F151" s="29" t="s">
        <v>79</v>
      </c>
      <c r="G151" s="29" t="s">
        <v>80</v>
      </c>
      <c r="H151" s="29" t="s">
        <v>81</v>
      </c>
      <c r="I151" s="29" t="s">
        <v>82</v>
      </c>
      <c r="J151" s="30">
        <v>-29.99</v>
      </c>
      <c r="K151" s="29" t="s">
        <v>144</v>
      </c>
      <c r="L151" s="29" t="s">
        <v>82</v>
      </c>
      <c r="M151" s="29" t="s">
        <v>161</v>
      </c>
      <c r="N151" s="29" t="s">
        <v>164</v>
      </c>
      <c r="O151" s="31">
        <v>44408</v>
      </c>
      <c r="P151" s="31">
        <v>44384</v>
      </c>
      <c r="Q151" s="29" t="s">
        <v>83</v>
      </c>
    </row>
    <row r="152" spans="1:17" ht="15" hidden="1" x14ac:dyDescent="0.25">
      <c r="A152" s="29" t="s">
        <v>97</v>
      </c>
      <c r="B152" s="29" t="s">
        <v>109</v>
      </c>
      <c r="C152" s="29" t="s">
        <v>251</v>
      </c>
      <c r="D152" s="29" t="s">
        <v>385</v>
      </c>
      <c r="E152" s="29" t="s">
        <v>109</v>
      </c>
      <c r="F152" s="29" t="s">
        <v>79</v>
      </c>
      <c r="G152" s="29" t="s">
        <v>80</v>
      </c>
      <c r="H152" s="29" t="s">
        <v>81</v>
      </c>
      <c r="I152" s="29" t="s">
        <v>82</v>
      </c>
      <c r="J152" s="30">
        <v>-9.32</v>
      </c>
      <c r="K152" s="29" t="s">
        <v>144</v>
      </c>
      <c r="L152" s="29" t="s">
        <v>82</v>
      </c>
      <c r="M152" s="29" t="s">
        <v>161</v>
      </c>
      <c r="N152" s="29" t="s">
        <v>252</v>
      </c>
      <c r="O152" s="31">
        <v>44408</v>
      </c>
      <c r="P152" s="31">
        <v>44384</v>
      </c>
      <c r="Q152" s="29" t="s">
        <v>83</v>
      </c>
    </row>
    <row r="153" spans="1:17" ht="15" hidden="1" x14ac:dyDescent="0.25">
      <c r="A153" s="29" t="s">
        <v>97</v>
      </c>
      <c r="B153" s="29" t="s">
        <v>108</v>
      </c>
      <c r="C153" s="29" t="s">
        <v>173</v>
      </c>
      <c r="D153" s="29" t="s">
        <v>384</v>
      </c>
      <c r="E153" s="29" t="s">
        <v>108</v>
      </c>
      <c r="F153" s="29" t="s">
        <v>79</v>
      </c>
      <c r="G153" s="29" t="s">
        <v>80</v>
      </c>
      <c r="H153" s="29" t="s">
        <v>81</v>
      </c>
      <c r="I153" s="29" t="s">
        <v>82</v>
      </c>
      <c r="J153" s="30">
        <v>20.68</v>
      </c>
      <c r="K153" s="29" t="s">
        <v>144</v>
      </c>
      <c r="L153" s="29" t="s">
        <v>82</v>
      </c>
      <c r="M153" s="29" t="s">
        <v>174</v>
      </c>
      <c r="N153" s="29" t="s">
        <v>173</v>
      </c>
      <c r="O153" s="31">
        <v>44408</v>
      </c>
      <c r="P153" s="31">
        <v>44413</v>
      </c>
      <c r="Q153" s="29" t="s">
        <v>83</v>
      </c>
    </row>
    <row r="154" spans="1:17" ht="15" hidden="1" x14ac:dyDescent="0.25">
      <c r="A154" s="29" t="s">
        <v>97</v>
      </c>
      <c r="B154" s="29" t="s">
        <v>109</v>
      </c>
      <c r="C154" s="29" t="s">
        <v>281</v>
      </c>
      <c r="D154" s="29" t="s">
        <v>385</v>
      </c>
      <c r="E154" s="29" t="s">
        <v>109</v>
      </c>
      <c r="F154" s="29" t="s">
        <v>79</v>
      </c>
      <c r="G154" s="29" t="s">
        <v>80</v>
      </c>
      <c r="H154" s="29" t="s">
        <v>81</v>
      </c>
      <c r="I154" s="29" t="s">
        <v>82</v>
      </c>
      <c r="J154" s="30">
        <v>6.45</v>
      </c>
      <c r="K154" s="29" t="s">
        <v>144</v>
      </c>
      <c r="L154" s="29" t="s">
        <v>82</v>
      </c>
      <c r="M154" s="29" t="s">
        <v>174</v>
      </c>
      <c r="N154" s="29" t="s">
        <v>281</v>
      </c>
      <c r="O154" s="31">
        <v>44408</v>
      </c>
      <c r="P154" s="31">
        <v>44413</v>
      </c>
      <c r="Q154" s="29" t="s">
        <v>83</v>
      </c>
    </row>
    <row r="155" spans="1:17" ht="15" hidden="1" x14ac:dyDescent="0.25">
      <c r="A155" s="29" t="s">
        <v>97</v>
      </c>
      <c r="B155" s="29" t="s">
        <v>87</v>
      </c>
      <c r="C155" s="29" t="s">
        <v>338</v>
      </c>
      <c r="D155" s="29" t="s">
        <v>382</v>
      </c>
      <c r="E155" s="29" t="s">
        <v>87</v>
      </c>
      <c r="F155" s="29" t="s">
        <v>79</v>
      </c>
      <c r="G155" s="29" t="s">
        <v>80</v>
      </c>
      <c r="H155" s="29" t="s">
        <v>81</v>
      </c>
      <c r="I155" s="29" t="s">
        <v>82</v>
      </c>
      <c r="J155" s="30">
        <v>1072.1500000000001</v>
      </c>
      <c r="K155" s="29" t="s">
        <v>144</v>
      </c>
      <c r="L155" s="29" t="s">
        <v>82</v>
      </c>
      <c r="M155" s="29" t="s">
        <v>174</v>
      </c>
      <c r="N155" s="29" t="s">
        <v>338</v>
      </c>
      <c r="O155" s="31">
        <v>44408</v>
      </c>
      <c r="P155" s="31">
        <v>44412</v>
      </c>
      <c r="Q155" s="29" t="s">
        <v>83</v>
      </c>
    </row>
    <row r="156" spans="1:17" ht="15" hidden="1" x14ac:dyDescent="0.25">
      <c r="A156" s="29" t="s">
        <v>97</v>
      </c>
      <c r="B156" s="29" t="s">
        <v>87</v>
      </c>
      <c r="C156" s="29" t="s">
        <v>339</v>
      </c>
      <c r="D156" s="29" t="s">
        <v>382</v>
      </c>
      <c r="E156" s="29" t="s">
        <v>87</v>
      </c>
      <c r="F156" s="29" t="s">
        <v>79</v>
      </c>
      <c r="G156" s="29" t="s">
        <v>80</v>
      </c>
      <c r="H156" s="29" t="s">
        <v>81</v>
      </c>
      <c r="I156" s="29" t="s">
        <v>82</v>
      </c>
      <c r="J156" s="30">
        <v>-1072.1500000000001</v>
      </c>
      <c r="K156" s="29" t="s">
        <v>144</v>
      </c>
      <c r="L156" s="29" t="s">
        <v>82</v>
      </c>
      <c r="M156" s="29" t="s">
        <v>174</v>
      </c>
      <c r="N156" s="29" t="s">
        <v>338</v>
      </c>
      <c r="O156" s="31">
        <v>44439</v>
      </c>
      <c r="P156" s="31">
        <v>44413</v>
      </c>
      <c r="Q156" s="29" t="s">
        <v>83</v>
      </c>
    </row>
    <row r="157" spans="1:17" ht="15" hidden="1" x14ac:dyDescent="0.25">
      <c r="A157" s="29" t="s">
        <v>97</v>
      </c>
      <c r="B157" s="29" t="s">
        <v>109</v>
      </c>
      <c r="C157" s="29" t="s">
        <v>280</v>
      </c>
      <c r="D157" s="29" t="s">
        <v>385</v>
      </c>
      <c r="E157" s="29" t="s">
        <v>109</v>
      </c>
      <c r="F157" s="29" t="s">
        <v>79</v>
      </c>
      <c r="G157" s="29" t="s">
        <v>80</v>
      </c>
      <c r="H157" s="29" t="s">
        <v>81</v>
      </c>
      <c r="I157" s="29" t="s">
        <v>82</v>
      </c>
      <c r="J157" s="30">
        <v>-6.45</v>
      </c>
      <c r="K157" s="29" t="s">
        <v>144</v>
      </c>
      <c r="L157" s="29" t="s">
        <v>82</v>
      </c>
      <c r="M157" s="29" t="s">
        <v>174</v>
      </c>
      <c r="N157" s="29" t="s">
        <v>281</v>
      </c>
      <c r="O157" s="31">
        <v>44439</v>
      </c>
      <c r="P157" s="31">
        <v>44413</v>
      </c>
      <c r="Q157" s="29" t="s">
        <v>83</v>
      </c>
    </row>
    <row r="158" spans="1:17" ht="15" hidden="1" x14ac:dyDescent="0.25">
      <c r="A158" s="29" t="s">
        <v>97</v>
      </c>
      <c r="B158" s="29" t="s">
        <v>108</v>
      </c>
      <c r="C158" s="29" t="s">
        <v>314</v>
      </c>
      <c r="D158" s="29" t="s">
        <v>384</v>
      </c>
      <c r="E158" s="29" t="s">
        <v>108</v>
      </c>
      <c r="F158" s="29" t="s">
        <v>79</v>
      </c>
      <c r="G158" s="29" t="s">
        <v>80</v>
      </c>
      <c r="H158" s="29" t="s">
        <v>81</v>
      </c>
      <c r="I158" s="29" t="s">
        <v>82</v>
      </c>
      <c r="J158" s="30">
        <v>-20.68</v>
      </c>
      <c r="K158" s="29" t="s">
        <v>144</v>
      </c>
      <c r="L158" s="29" t="s">
        <v>82</v>
      </c>
      <c r="M158" s="29" t="s">
        <v>174</v>
      </c>
      <c r="N158" s="29" t="s">
        <v>173</v>
      </c>
      <c r="O158" s="31">
        <v>44439</v>
      </c>
      <c r="P158" s="31">
        <v>44413</v>
      </c>
      <c r="Q158" s="29" t="s">
        <v>83</v>
      </c>
    </row>
    <row r="159" spans="1:17" ht="15" hidden="1" x14ac:dyDescent="0.25">
      <c r="A159" s="29" t="s">
        <v>97</v>
      </c>
      <c r="B159" s="29" t="s">
        <v>108</v>
      </c>
      <c r="C159" s="29" t="s">
        <v>178</v>
      </c>
      <c r="D159" s="29" t="s">
        <v>384</v>
      </c>
      <c r="E159" s="29" t="s">
        <v>108</v>
      </c>
      <c r="F159" s="29" t="s">
        <v>79</v>
      </c>
      <c r="G159" s="29" t="s">
        <v>80</v>
      </c>
      <c r="H159" s="29" t="s">
        <v>81</v>
      </c>
      <c r="I159" s="29" t="s">
        <v>82</v>
      </c>
      <c r="J159" s="30">
        <v>33.159999999999997</v>
      </c>
      <c r="K159" s="29" t="s">
        <v>144</v>
      </c>
      <c r="L159" s="29" t="s">
        <v>82</v>
      </c>
      <c r="M159" s="29" t="s">
        <v>179</v>
      </c>
      <c r="N159" s="29" t="s">
        <v>178</v>
      </c>
      <c r="O159" s="31">
        <v>44439</v>
      </c>
      <c r="P159" s="31">
        <v>44447</v>
      </c>
      <c r="Q159" s="29" t="s">
        <v>83</v>
      </c>
    </row>
    <row r="160" spans="1:17" ht="15" hidden="1" x14ac:dyDescent="0.25">
      <c r="A160" s="29" t="s">
        <v>97</v>
      </c>
      <c r="B160" s="29" t="s">
        <v>108</v>
      </c>
      <c r="C160" s="29" t="s">
        <v>347</v>
      </c>
      <c r="D160" s="29" t="s">
        <v>384</v>
      </c>
      <c r="E160" s="29" t="s">
        <v>108</v>
      </c>
      <c r="F160" s="29" t="s">
        <v>79</v>
      </c>
      <c r="G160" s="29" t="s">
        <v>80</v>
      </c>
      <c r="H160" s="29" t="s">
        <v>81</v>
      </c>
      <c r="I160" s="29" t="s">
        <v>82</v>
      </c>
      <c r="J160" s="30">
        <v>-33.159999999999997</v>
      </c>
      <c r="K160" s="29" t="s">
        <v>144</v>
      </c>
      <c r="L160" s="29" t="s">
        <v>82</v>
      </c>
      <c r="M160" s="29" t="s">
        <v>179</v>
      </c>
      <c r="N160" s="29" t="s">
        <v>178</v>
      </c>
      <c r="O160" s="31">
        <v>44469</v>
      </c>
      <c r="P160" s="31">
        <v>44447</v>
      </c>
      <c r="Q160" s="29" t="s">
        <v>83</v>
      </c>
    </row>
    <row r="161" spans="1:17" ht="15" hidden="1" x14ac:dyDescent="0.25">
      <c r="A161" s="29" t="s">
        <v>97</v>
      </c>
      <c r="B161" s="29" t="s">
        <v>109</v>
      </c>
      <c r="C161" s="29" t="s">
        <v>257</v>
      </c>
      <c r="D161" s="29" t="s">
        <v>385</v>
      </c>
      <c r="E161" s="29" t="s">
        <v>109</v>
      </c>
      <c r="F161" s="29" t="s">
        <v>79</v>
      </c>
      <c r="G161" s="29" t="s">
        <v>80</v>
      </c>
      <c r="H161" s="29" t="s">
        <v>81</v>
      </c>
      <c r="I161" s="29" t="s">
        <v>82</v>
      </c>
      <c r="J161" s="30">
        <v>10.35</v>
      </c>
      <c r="K161" s="29" t="s">
        <v>144</v>
      </c>
      <c r="L161" s="29" t="s">
        <v>82</v>
      </c>
      <c r="M161" s="29" t="s">
        <v>179</v>
      </c>
      <c r="N161" s="29" t="s">
        <v>257</v>
      </c>
      <c r="O161" s="31">
        <v>44439</v>
      </c>
      <c r="P161" s="31">
        <v>44447</v>
      </c>
      <c r="Q161" s="29" t="s">
        <v>83</v>
      </c>
    </row>
    <row r="162" spans="1:17" ht="15" hidden="1" x14ac:dyDescent="0.25">
      <c r="A162" s="29" t="s">
        <v>97</v>
      </c>
      <c r="B162" s="29" t="s">
        <v>87</v>
      </c>
      <c r="C162" s="29" t="s">
        <v>190</v>
      </c>
      <c r="D162" s="29" t="s">
        <v>382</v>
      </c>
      <c r="E162" s="29" t="s">
        <v>87</v>
      </c>
      <c r="F162" s="29" t="s">
        <v>79</v>
      </c>
      <c r="G162" s="29" t="s">
        <v>80</v>
      </c>
      <c r="H162" s="29" t="s">
        <v>81</v>
      </c>
      <c r="I162" s="29" t="s">
        <v>82</v>
      </c>
      <c r="J162" s="30">
        <v>1719.14</v>
      </c>
      <c r="K162" s="29" t="s">
        <v>144</v>
      </c>
      <c r="L162" s="29" t="s">
        <v>82</v>
      </c>
      <c r="M162" s="29" t="s">
        <v>179</v>
      </c>
      <c r="N162" s="29" t="s">
        <v>190</v>
      </c>
      <c r="O162" s="31">
        <v>44439</v>
      </c>
      <c r="P162" s="31">
        <v>44447</v>
      </c>
      <c r="Q162" s="29" t="s">
        <v>83</v>
      </c>
    </row>
    <row r="163" spans="1:17" ht="15" hidden="1" x14ac:dyDescent="0.25">
      <c r="A163" s="29" t="s">
        <v>97</v>
      </c>
      <c r="B163" s="29" t="s">
        <v>108</v>
      </c>
      <c r="C163" s="29" t="s">
        <v>188</v>
      </c>
      <c r="D163" s="29" t="s">
        <v>384</v>
      </c>
      <c r="E163" s="29" t="s">
        <v>108</v>
      </c>
      <c r="F163" s="29" t="s">
        <v>79</v>
      </c>
      <c r="G163" s="29" t="s">
        <v>80</v>
      </c>
      <c r="H163" s="29" t="s">
        <v>81</v>
      </c>
      <c r="I163" s="29" t="s">
        <v>82</v>
      </c>
      <c r="J163" s="30">
        <v>-33.159999999999997</v>
      </c>
      <c r="K163" s="29" t="s">
        <v>144</v>
      </c>
      <c r="L163" s="29" t="s">
        <v>82</v>
      </c>
      <c r="M163" s="29" t="s">
        <v>179</v>
      </c>
      <c r="N163" s="29" t="s">
        <v>178</v>
      </c>
      <c r="O163" s="31">
        <v>44439</v>
      </c>
      <c r="P163" s="31">
        <v>44447</v>
      </c>
      <c r="Q163" s="29" t="s">
        <v>83</v>
      </c>
    </row>
    <row r="164" spans="1:17" ht="15" hidden="1" x14ac:dyDescent="0.25">
      <c r="A164" s="29" t="s">
        <v>97</v>
      </c>
      <c r="B164" s="29" t="s">
        <v>108</v>
      </c>
      <c r="C164" s="29" t="s">
        <v>348</v>
      </c>
      <c r="D164" s="29" t="s">
        <v>384</v>
      </c>
      <c r="E164" s="29" t="s">
        <v>108</v>
      </c>
      <c r="F164" s="29" t="s">
        <v>79</v>
      </c>
      <c r="G164" s="29" t="s">
        <v>80</v>
      </c>
      <c r="H164" s="29" t="s">
        <v>81</v>
      </c>
      <c r="I164" s="29" t="s">
        <v>82</v>
      </c>
      <c r="J164" s="30">
        <v>33.159999999999997</v>
      </c>
      <c r="K164" s="29" t="s">
        <v>144</v>
      </c>
      <c r="L164" s="29" t="s">
        <v>82</v>
      </c>
      <c r="M164" s="29" t="s">
        <v>179</v>
      </c>
      <c r="N164" s="29" t="s">
        <v>348</v>
      </c>
      <c r="O164" s="31">
        <v>44439</v>
      </c>
      <c r="P164" s="31">
        <v>44447</v>
      </c>
      <c r="Q164" s="29" t="s">
        <v>83</v>
      </c>
    </row>
    <row r="165" spans="1:17" ht="15" hidden="1" x14ac:dyDescent="0.25">
      <c r="A165" s="29" t="s">
        <v>97</v>
      </c>
      <c r="B165" s="29" t="s">
        <v>108</v>
      </c>
      <c r="C165" s="29" t="s">
        <v>187</v>
      </c>
      <c r="D165" s="29" t="s">
        <v>384</v>
      </c>
      <c r="E165" s="29" t="s">
        <v>108</v>
      </c>
      <c r="F165" s="29" t="s">
        <v>79</v>
      </c>
      <c r="G165" s="29" t="s">
        <v>80</v>
      </c>
      <c r="H165" s="29" t="s">
        <v>81</v>
      </c>
      <c r="I165" s="29" t="s">
        <v>82</v>
      </c>
      <c r="J165" s="30">
        <v>33.159999999999997</v>
      </c>
      <c r="K165" s="29" t="s">
        <v>144</v>
      </c>
      <c r="L165" s="29" t="s">
        <v>82</v>
      </c>
      <c r="M165" s="29" t="s">
        <v>179</v>
      </c>
      <c r="N165" s="29" t="s">
        <v>188</v>
      </c>
      <c r="O165" s="31">
        <v>44469</v>
      </c>
      <c r="P165" s="31">
        <v>44447</v>
      </c>
      <c r="Q165" s="29" t="s">
        <v>83</v>
      </c>
    </row>
    <row r="166" spans="1:17" ht="15" hidden="1" x14ac:dyDescent="0.25">
      <c r="A166" s="29" t="s">
        <v>97</v>
      </c>
      <c r="B166" s="29" t="s">
        <v>87</v>
      </c>
      <c r="C166" s="29" t="s">
        <v>189</v>
      </c>
      <c r="D166" s="29" t="s">
        <v>382</v>
      </c>
      <c r="E166" s="29" t="s">
        <v>87</v>
      </c>
      <c r="F166" s="29" t="s">
        <v>79</v>
      </c>
      <c r="G166" s="29" t="s">
        <v>80</v>
      </c>
      <c r="H166" s="29" t="s">
        <v>81</v>
      </c>
      <c r="I166" s="29" t="s">
        <v>82</v>
      </c>
      <c r="J166" s="30">
        <v>-1719.14</v>
      </c>
      <c r="K166" s="29" t="s">
        <v>144</v>
      </c>
      <c r="L166" s="29" t="s">
        <v>82</v>
      </c>
      <c r="M166" s="29" t="s">
        <v>179</v>
      </c>
      <c r="N166" s="29" t="s">
        <v>190</v>
      </c>
      <c r="O166" s="31">
        <v>44469</v>
      </c>
      <c r="P166" s="31">
        <v>44447</v>
      </c>
      <c r="Q166" s="29" t="s">
        <v>83</v>
      </c>
    </row>
    <row r="167" spans="1:17" ht="15" hidden="1" x14ac:dyDescent="0.25">
      <c r="A167" s="29" t="s">
        <v>97</v>
      </c>
      <c r="B167" s="29" t="s">
        <v>109</v>
      </c>
      <c r="C167" s="29" t="s">
        <v>256</v>
      </c>
      <c r="D167" s="29" t="s">
        <v>385</v>
      </c>
      <c r="E167" s="29" t="s">
        <v>109</v>
      </c>
      <c r="F167" s="29" t="s">
        <v>79</v>
      </c>
      <c r="G167" s="29" t="s">
        <v>80</v>
      </c>
      <c r="H167" s="29" t="s">
        <v>81</v>
      </c>
      <c r="I167" s="29" t="s">
        <v>82</v>
      </c>
      <c r="J167" s="30">
        <v>-10.35</v>
      </c>
      <c r="K167" s="29" t="s">
        <v>144</v>
      </c>
      <c r="L167" s="29" t="s">
        <v>82</v>
      </c>
      <c r="M167" s="29" t="s">
        <v>179</v>
      </c>
      <c r="N167" s="29" t="s">
        <v>257</v>
      </c>
      <c r="O167" s="31">
        <v>44469</v>
      </c>
      <c r="P167" s="31">
        <v>44447</v>
      </c>
      <c r="Q167" s="29" t="s">
        <v>83</v>
      </c>
    </row>
    <row r="168" spans="1:17" ht="15" hidden="1" x14ac:dyDescent="0.25">
      <c r="A168" s="29" t="s">
        <v>97</v>
      </c>
      <c r="B168" s="29" t="s">
        <v>108</v>
      </c>
      <c r="C168" s="29" t="s">
        <v>349</v>
      </c>
      <c r="D168" s="29" t="s">
        <v>384</v>
      </c>
      <c r="E168" s="29" t="s">
        <v>108</v>
      </c>
      <c r="F168" s="29" t="s">
        <v>79</v>
      </c>
      <c r="G168" s="29" t="s">
        <v>80</v>
      </c>
      <c r="H168" s="29" t="s">
        <v>81</v>
      </c>
      <c r="I168" s="29" t="s">
        <v>82</v>
      </c>
      <c r="J168" s="30">
        <v>-33.159999999999997</v>
      </c>
      <c r="K168" s="29" t="s">
        <v>144</v>
      </c>
      <c r="L168" s="29" t="s">
        <v>82</v>
      </c>
      <c r="M168" s="29" t="s">
        <v>179</v>
      </c>
      <c r="N168" s="29" t="s">
        <v>348</v>
      </c>
      <c r="O168" s="31">
        <v>44469</v>
      </c>
      <c r="P168" s="31">
        <v>44447</v>
      </c>
      <c r="Q168" s="29" t="s">
        <v>83</v>
      </c>
    </row>
    <row r="169" spans="1:17" ht="15" hidden="1" x14ac:dyDescent="0.25">
      <c r="A169" s="29" t="s">
        <v>97</v>
      </c>
      <c r="B169" s="29" t="s">
        <v>92</v>
      </c>
      <c r="C169" s="29" t="s">
        <v>356</v>
      </c>
      <c r="D169" s="29" t="s">
        <v>383</v>
      </c>
      <c r="E169" s="29" t="s">
        <v>92</v>
      </c>
      <c r="F169" s="29" t="s">
        <v>79</v>
      </c>
      <c r="G169" s="29" t="s">
        <v>80</v>
      </c>
      <c r="H169" s="29" t="s">
        <v>81</v>
      </c>
      <c r="I169" s="29" t="s">
        <v>82</v>
      </c>
      <c r="J169" s="30">
        <v>280</v>
      </c>
      <c r="K169" s="29" t="s">
        <v>357</v>
      </c>
      <c r="L169" s="29" t="s">
        <v>82</v>
      </c>
      <c r="M169" s="29" t="s">
        <v>293</v>
      </c>
      <c r="N169" s="29" t="s">
        <v>356</v>
      </c>
      <c r="O169" s="31">
        <v>44469</v>
      </c>
      <c r="P169" s="31">
        <v>44475</v>
      </c>
      <c r="Q169" s="29" t="s">
        <v>83</v>
      </c>
    </row>
    <row r="170" spans="1:17" ht="15" hidden="1" x14ac:dyDescent="0.25">
      <c r="A170" s="29" t="s">
        <v>97</v>
      </c>
      <c r="B170" s="29" t="s">
        <v>108</v>
      </c>
      <c r="C170" s="29" t="s">
        <v>287</v>
      </c>
      <c r="D170" s="29" t="s">
        <v>384</v>
      </c>
      <c r="E170" s="29" t="s">
        <v>108</v>
      </c>
      <c r="F170" s="29" t="s">
        <v>79</v>
      </c>
      <c r="G170" s="29" t="s">
        <v>80</v>
      </c>
      <c r="H170" s="29" t="s">
        <v>81</v>
      </c>
      <c r="I170" s="29" t="s">
        <v>82</v>
      </c>
      <c r="J170" s="30">
        <v>49.62</v>
      </c>
      <c r="K170" s="29" t="s">
        <v>144</v>
      </c>
      <c r="L170" s="29" t="s">
        <v>82</v>
      </c>
      <c r="M170" s="29" t="s">
        <v>286</v>
      </c>
      <c r="N170" s="29" t="s">
        <v>287</v>
      </c>
      <c r="O170" s="31">
        <v>44469</v>
      </c>
      <c r="P170" s="31">
        <v>44475</v>
      </c>
      <c r="Q170" s="29" t="s">
        <v>83</v>
      </c>
    </row>
    <row r="171" spans="1:17" ht="15" hidden="1" x14ac:dyDescent="0.25">
      <c r="A171" s="29" t="s">
        <v>97</v>
      </c>
      <c r="B171" s="29" t="s">
        <v>109</v>
      </c>
      <c r="C171" s="29" t="s">
        <v>289</v>
      </c>
      <c r="D171" s="29" t="s">
        <v>385</v>
      </c>
      <c r="E171" s="29" t="s">
        <v>109</v>
      </c>
      <c r="F171" s="29" t="s">
        <v>79</v>
      </c>
      <c r="G171" s="29" t="s">
        <v>80</v>
      </c>
      <c r="H171" s="29" t="s">
        <v>81</v>
      </c>
      <c r="I171" s="29" t="s">
        <v>82</v>
      </c>
      <c r="J171" s="30">
        <v>15.42</v>
      </c>
      <c r="K171" s="29" t="s">
        <v>144</v>
      </c>
      <c r="L171" s="29" t="s">
        <v>82</v>
      </c>
      <c r="M171" s="29" t="s">
        <v>286</v>
      </c>
      <c r="N171" s="29" t="s">
        <v>289</v>
      </c>
      <c r="O171" s="31">
        <v>44469</v>
      </c>
      <c r="P171" s="31">
        <v>44475</v>
      </c>
      <c r="Q171" s="29" t="s">
        <v>83</v>
      </c>
    </row>
    <row r="172" spans="1:17" ht="15" hidden="1" x14ac:dyDescent="0.25">
      <c r="A172" s="29" t="s">
        <v>97</v>
      </c>
      <c r="B172" s="29" t="s">
        <v>109</v>
      </c>
      <c r="C172" s="29" t="s">
        <v>234</v>
      </c>
      <c r="D172" s="29" t="s">
        <v>385</v>
      </c>
      <c r="E172" s="29" t="s">
        <v>109</v>
      </c>
      <c r="F172" s="29" t="s">
        <v>79</v>
      </c>
      <c r="G172" s="29" t="s">
        <v>80</v>
      </c>
      <c r="H172" s="29" t="s">
        <v>81</v>
      </c>
      <c r="I172" s="29" t="s">
        <v>82</v>
      </c>
      <c r="J172" s="30">
        <v>-0.18</v>
      </c>
      <c r="K172" s="29" t="s">
        <v>149</v>
      </c>
      <c r="L172" s="29" t="s">
        <v>82</v>
      </c>
      <c r="M172" s="29" t="s">
        <v>150</v>
      </c>
      <c r="N172" s="29" t="s">
        <v>235</v>
      </c>
      <c r="O172" s="31">
        <v>44377</v>
      </c>
      <c r="P172" s="31">
        <v>44351</v>
      </c>
      <c r="Q172" s="29" t="s">
        <v>83</v>
      </c>
    </row>
    <row r="173" spans="1:17" ht="15" hidden="1" x14ac:dyDescent="0.25">
      <c r="A173" s="29" t="s">
        <v>97</v>
      </c>
      <c r="B173" s="29" t="s">
        <v>87</v>
      </c>
      <c r="C173" s="29" t="s">
        <v>307</v>
      </c>
      <c r="D173" s="29" t="s">
        <v>382</v>
      </c>
      <c r="E173" s="29" t="s">
        <v>87</v>
      </c>
      <c r="F173" s="29" t="s">
        <v>79</v>
      </c>
      <c r="G173" s="29" t="s">
        <v>80</v>
      </c>
      <c r="H173" s="29" t="s">
        <v>81</v>
      </c>
      <c r="I173" s="29" t="s">
        <v>82</v>
      </c>
      <c r="J173" s="30">
        <v>1552.74</v>
      </c>
      <c r="K173" s="29" t="s">
        <v>176</v>
      </c>
      <c r="L173" s="29" t="s">
        <v>82</v>
      </c>
      <c r="M173" s="29" t="s">
        <v>161</v>
      </c>
      <c r="N173" s="29" t="s">
        <v>307</v>
      </c>
      <c r="O173" s="31">
        <v>44377</v>
      </c>
      <c r="P173" s="31">
        <v>44383</v>
      </c>
      <c r="Q173" s="29" t="s">
        <v>83</v>
      </c>
    </row>
    <row r="174" spans="1:17" ht="15" hidden="1" x14ac:dyDescent="0.25">
      <c r="A174" s="29" t="s">
        <v>97</v>
      </c>
      <c r="B174" s="29" t="s">
        <v>87</v>
      </c>
      <c r="C174" s="29" t="s">
        <v>307</v>
      </c>
      <c r="D174" s="29" t="s">
        <v>382</v>
      </c>
      <c r="E174" s="29" t="s">
        <v>87</v>
      </c>
      <c r="F174" s="29" t="s">
        <v>79</v>
      </c>
      <c r="G174" s="29" t="s">
        <v>80</v>
      </c>
      <c r="H174" s="29" t="s">
        <v>81</v>
      </c>
      <c r="I174" s="29" t="s">
        <v>82</v>
      </c>
      <c r="J174" s="30">
        <v>48.06</v>
      </c>
      <c r="K174" s="29" t="s">
        <v>153</v>
      </c>
      <c r="L174" s="29" t="s">
        <v>82</v>
      </c>
      <c r="M174" s="29" t="s">
        <v>163</v>
      </c>
      <c r="N174" s="29" t="s">
        <v>307</v>
      </c>
      <c r="O174" s="31">
        <v>44377</v>
      </c>
      <c r="P174" s="31">
        <v>44383</v>
      </c>
      <c r="Q174" s="29" t="s">
        <v>83</v>
      </c>
    </row>
    <row r="175" spans="1:17" ht="15" hidden="1" x14ac:dyDescent="0.25">
      <c r="A175" s="29" t="s">
        <v>97</v>
      </c>
      <c r="B175" s="29" t="s">
        <v>108</v>
      </c>
      <c r="C175" s="29" t="s">
        <v>164</v>
      </c>
      <c r="D175" s="29" t="s">
        <v>384</v>
      </c>
      <c r="E175" s="29" t="s">
        <v>108</v>
      </c>
      <c r="F175" s="29" t="s">
        <v>79</v>
      </c>
      <c r="G175" s="29" t="s">
        <v>80</v>
      </c>
      <c r="H175" s="29" t="s">
        <v>81</v>
      </c>
      <c r="I175" s="29" t="s">
        <v>82</v>
      </c>
      <c r="J175" s="30">
        <v>0.93</v>
      </c>
      <c r="K175" s="29" t="s">
        <v>149</v>
      </c>
      <c r="L175" s="29" t="s">
        <v>82</v>
      </c>
      <c r="M175" s="29" t="s">
        <v>163</v>
      </c>
      <c r="N175" s="29" t="s">
        <v>164</v>
      </c>
      <c r="O175" s="31">
        <v>44377</v>
      </c>
      <c r="P175" s="31">
        <v>44384</v>
      </c>
      <c r="Q175" s="29" t="s">
        <v>83</v>
      </c>
    </row>
    <row r="176" spans="1:17" ht="15" hidden="1" x14ac:dyDescent="0.25">
      <c r="A176" s="29" t="s">
        <v>97</v>
      </c>
      <c r="B176" s="29" t="s">
        <v>109</v>
      </c>
      <c r="C176" s="29" t="s">
        <v>252</v>
      </c>
      <c r="D176" s="29" t="s">
        <v>385</v>
      </c>
      <c r="E176" s="29" t="s">
        <v>109</v>
      </c>
      <c r="F176" s="29" t="s">
        <v>79</v>
      </c>
      <c r="G176" s="29" t="s">
        <v>80</v>
      </c>
      <c r="H176" s="29" t="s">
        <v>81</v>
      </c>
      <c r="I176" s="29" t="s">
        <v>82</v>
      </c>
      <c r="J176" s="30">
        <v>0.28999999999999998</v>
      </c>
      <c r="K176" s="29" t="s">
        <v>149</v>
      </c>
      <c r="L176" s="29" t="s">
        <v>82</v>
      </c>
      <c r="M176" s="29" t="s">
        <v>163</v>
      </c>
      <c r="N176" s="29" t="s">
        <v>252</v>
      </c>
      <c r="O176" s="31">
        <v>44377</v>
      </c>
      <c r="P176" s="31">
        <v>44384</v>
      </c>
      <c r="Q176" s="29" t="s">
        <v>83</v>
      </c>
    </row>
    <row r="177" spans="1:17" ht="15" hidden="1" x14ac:dyDescent="0.25">
      <c r="A177" s="29" t="s">
        <v>97</v>
      </c>
      <c r="B177" s="29" t="s">
        <v>87</v>
      </c>
      <c r="C177" s="29" t="s">
        <v>309</v>
      </c>
      <c r="D177" s="29" t="s">
        <v>382</v>
      </c>
      <c r="E177" s="29" t="s">
        <v>87</v>
      </c>
      <c r="F177" s="29" t="s">
        <v>79</v>
      </c>
      <c r="G177" s="29" t="s">
        <v>80</v>
      </c>
      <c r="H177" s="29" t="s">
        <v>81</v>
      </c>
      <c r="I177" s="29" t="s">
        <v>82</v>
      </c>
      <c r="J177" s="30">
        <v>-1552.74</v>
      </c>
      <c r="K177" s="29" t="s">
        <v>176</v>
      </c>
      <c r="L177" s="29" t="s">
        <v>82</v>
      </c>
      <c r="M177" s="29" t="s">
        <v>161</v>
      </c>
      <c r="N177" s="29" t="s">
        <v>307</v>
      </c>
      <c r="O177" s="31">
        <v>44408</v>
      </c>
      <c r="P177" s="31">
        <v>44383</v>
      </c>
      <c r="Q177" s="29" t="s">
        <v>83</v>
      </c>
    </row>
    <row r="178" spans="1:17" ht="15" hidden="1" x14ac:dyDescent="0.25">
      <c r="A178" s="29" t="s">
        <v>97</v>
      </c>
      <c r="B178" s="29" t="s">
        <v>87</v>
      </c>
      <c r="C178" s="29" t="s">
        <v>309</v>
      </c>
      <c r="D178" s="29" t="s">
        <v>382</v>
      </c>
      <c r="E178" s="29" t="s">
        <v>87</v>
      </c>
      <c r="F178" s="29" t="s">
        <v>79</v>
      </c>
      <c r="G178" s="29" t="s">
        <v>80</v>
      </c>
      <c r="H178" s="29" t="s">
        <v>81</v>
      </c>
      <c r="I178" s="29" t="s">
        <v>82</v>
      </c>
      <c r="J178" s="30">
        <v>-48.06</v>
      </c>
      <c r="K178" s="29" t="s">
        <v>153</v>
      </c>
      <c r="L178" s="29" t="s">
        <v>82</v>
      </c>
      <c r="M178" s="29" t="s">
        <v>163</v>
      </c>
      <c r="N178" s="29" t="s">
        <v>307</v>
      </c>
      <c r="O178" s="31">
        <v>44408</v>
      </c>
      <c r="P178" s="31">
        <v>44383</v>
      </c>
      <c r="Q178" s="29" t="s">
        <v>83</v>
      </c>
    </row>
    <row r="179" spans="1:17" ht="15" hidden="1" x14ac:dyDescent="0.25">
      <c r="A179" s="29" t="s">
        <v>97</v>
      </c>
      <c r="B179" s="29" t="s">
        <v>87</v>
      </c>
      <c r="C179" s="29" t="s">
        <v>167</v>
      </c>
      <c r="D179" s="29" t="s">
        <v>382</v>
      </c>
      <c r="E179" s="29" t="s">
        <v>87</v>
      </c>
      <c r="F179" s="29" t="s">
        <v>79</v>
      </c>
      <c r="G179" s="29" t="s">
        <v>80</v>
      </c>
      <c r="H179" s="29" t="s">
        <v>81</v>
      </c>
      <c r="I179" s="29" t="s">
        <v>82</v>
      </c>
      <c r="J179" s="30">
        <v>1552.74</v>
      </c>
      <c r="K179" s="29" t="s">
        <v>168</v>
      </c>
      <c r="L179" s="29" t="s">
        <v>82</v>
      </c>
      <c r="M179" s="29" t="s">
        <v>161</v>
      </c>
      <c r="N179" s="29" t="s">
        <v>167</v>
      </c>
      <c r="O179" s="31">
        <v>44377</v>
      </c>
      <c r="P179" s="31">
        <v>44385</v>
      </c>
      <c r="Q179" s="29" t="s">
        <v>83</v>
      </c>
    </row>
    <row r="180" spans="1:17" ht="15" hidden="1" x14ac:dyDescent="0.25">
      <c r="A180" s="29" t="s">
        <v>97</v>
      </c>
      <c r="B180" s="29" t="s">
        <v>108</v>
      </c>
      <c r="C180" s="29" t="s">
        <v>162</v>
      </c>
      <c r="D180" s="29" t="s">
        <v>384</v>
      </c>
      <c r="E180" s="29" t="s">
        <v>108</v>
      </c>
      <c r="F180" s="29" t="s">
        <v>79</v>
      </c>
      <c r="G180" s="29" t="s">
        <v>80</v>
      </c>
      <c r="H180" s="29" t="s">
        <v>81</v>
      </c>
      <c r="I180" s="29" t="s">
        <v>82</v>
      </c>
      <c r="J180" s="30">
        <v>-0.93</v>
      </c>
      <c r="K180" s="29" t="s">
        <v>149</v>
      </c>
      <c r="L180" s="29" t="s">
        <v>82</v>
      </c>
      <c r="M180" s="29" t="s">
        <v>163</v>
      </c>
      <c r="N180" s="29" t="s">
        <v>164</v>
      </c>
      <c r="O180" s="31">
        <v>44408</v>
      </c>
      <c r="P180" s="31">
        <v>44384</v>
      </c>
      <c r="Q180" s="29" t="s">
        <v>83</v>
      </c>
    </row>
    <row r="181" spans="1:17" ht="15" hidden="1" x14ac:dyDescent="0.25">
      <c r="A181" s="29" t="s">
        <v>97</v>
      </c>
      <c r="B181" s="29" t="s">
        <v>109</v>
      </c>
      <c r="C181" s="29" t="s">
        <v>251</v>
      </c>
      <c r="D181" s="29" t="s">
        <v>385</v>
      </c>
      <c r="E181" s="29" t="s">
        <v>109</v>
      </c>
      <c r="F181" s="29" t="s">
        <v>79</v>
      </c>
      <c r="G181" s="29" t="s">
        <v>80</v>
      </c>
      <c r="H181" s="29" t="s">
        <v>81</v>
      </c>
      <c r="I181" s="29" t="s">
        <v>82</v>
      </c>
      <c r="J181" s="30">
        <v>-0.28999999999999998</v>
      </c>
      <c r="K181" s="29" t="s">
        <v>149</v>
      </c>
      <c r="L181" s="29" t="s">
        <v>82</v>
      </c>
      <c r="M181" s="29" t="s">
        <v>163</v>
      </c>
      <c r="N181" s="29" t="s">
        <v>252</v>
      </c>
      <c r="O181" s="31">
        <v>44408</v>
      </c>
      <c r="P181" s="31">
        <v>44384</v>
      </c>
      <c r="Q181" s="29" t="s">
        <v>83</v>
      </c>
    </row>
    <row r="182" spans="1:17" ht="15" hidden="1" x14ac:dyDescent="0.25">
      <c r="A182" s="29" t="s">
        <v>97</v>
      </c>
      <c r="B182" s="29" t="s">
        <v>87</v>
      </c>
      <c r="C182" s="29" t="s">
        <v>165</v>
      </c>
      <c r="D182" s="29" t="s">
        <v>382</v>
      </c>
      <c r="E182" s="29" t="s">
        <v>87</v>
      </c>
      <c r="F182" s="29" t="s">
        <v>79</v>
      </c>
      <c r="G182" s="29" t="s">
        <v>80</v>
      </c>
      <c r="H182" s="29" t="s">
        <v>81</v>
      </c>
      <c r="I182" s="29" t="s">
        <v>82</v>
      </c>
      <c r="J182" s="30">
        <v>-1552.74</v>
      </c>
      <c r="K182" s="29" t="s">
        <v>168</v>
      </c>
      <c r="L182" s="29" t="s">
        <v>82</v>
      </c>
      <c r="M182" s="29" t="s">
        <v>161</v>
      </c>
      <c r="N182" s="29" t="s">
        <v>167</v>
      </c>
      <c r="O182" s="31">
        <v>44408</v>
      </c>
      <c r="P182" s="31">
        <v>44385</v>
      </c>
      <c r="Q182" s="29" t="s">
        <v>83</v>
      </c>
    </row>
    <row r="183" spans="1:17" ht="15" hidden="1" x14ac:dyDescent="0.25">
      <c r="A183" s="29" t="s">
        <v>97</v>
      </c>
      <c r="B183" s="29" t="s">
        <v>85</v>
      </c>
      <c r="C183" s="29" t="s">
        <v>255</v>
      </c>
      <c r="D183" s="29" t="s">
        <v>383</v>
      </c>
      <c r="E183" s="29" t="s">
        <v>92</v>
      </c>
      <c r="F183" s="29" t="s">
        <v>79</v>
      </c>
      <c r="G183" s="29" t="s">
        <v>80</v>
      </c>
      <c r="H183" s="29" t="s">
        <v>81</v>
      </c>
      <c r="I183" s="29" t="s">
        <v>82</v>
      </c>
      <c r="J183" s="30">
        <v>2284</v>
      </c>
      <c r="K183" s="29" t="s">
        <v>254</v>
      </c>
      <c r="L183" s="29" t="s">
        <v>82</v>
      </c>
      <c r="M183" s="29" t="s">
        <v>174</v>
      </c>
      <c r="N183" s="29" t="s">
        <v>255</v>
      </c>
      <c r="O183" s="31">
        <v>44408</v>
      </c>
      <c r="P183" s="31">
        <v>44412</v>
      </c>
      <c r="Q183" s="29" t="s">
        <v>83</v>
      </c>
    </row>
    <row r="184" spans="1:17" ht="15" hidden="1" x14ac:dyDescent="0.25">
      <c r="A184" s="29" t="s">
        <v>97</v>
      </c>
      <c r="B184" s="29" t="s">
        <v>85</v>
      </c>
      <c r="C184" s="29" t="s">
        <v>255</v>
      </c>
      <c r="D184" s="29" t="s">
        <v>383</v>
      </c>
      <c r="E184" s="29" t="s">
        <v>92</v>
      </c>
      <c r="F184" s="29" t="s">
        <v>79</v>
      </c>
      <c r="G184" s="29" t="s">
        <v>80</v>
      </c>
      <c r="H184" s="29" t="s">
        <v>81</v>
      </c>
      <c r="I184" s="29" t="s">
        <v>82</v>
      </c>
      <c r="J184" s="30">
        <v>1727.77</v>
      </c>
      <c r="K184" s="29" t="s">
        <v>153</v>
      </c>
      <c r="L184" s="29" t="s">
        <v>82</v>
      </c>
      <c r="M184" s="29" t="s">
        <v>171</v>
      </c>
      <c r="N184" s="29" t="s">
        <v>255</v>
      </c>
      <c r="O184" s="31">
        <v>44408</v>
      </c>
      <c r="P184" s="31">
        <v>44412</v>
      </c>
      <c r="Q184" s="29" t="s">
        <v>83</v>
      </c>
    </row>
    <row r="185" spans="1:17" ht="15" hidden="1" x14ac:dyDescent="0.25">
      <c r="A185" s="29" t="s">
        <v>97</v>
      </c>
      <c r="B185" s="29" t="s">
        <v>87</v>
      </c>
      <c r="C185" s="29" t="s">
        <v>177</v>
      </c>
      <c r="D185" s="29" t="s">
        <v>382</v>
      </c>
      <c r="E185" s="29" t="s">
        <v>87</v>
      </c>
      <c r="F185" s="29" t="s">
        <v>79</v>
      </c>
      <c r="G185" s="29" t="s">
        <v>80</v>
      </c>
      <c r="H185" s="29" t="s">
        <v>81</v>
      </c>
      <c r="I185" s="29" t="s">
        <v>82</v>
      </c>
      <c r="J185" s="30">
        <v>1072.1500000000001</v>
      </c>
      <c r="K185" s="29" t="s">
        <v>176</v>
      </c>
      <c r="L185" s="29" t="s">
        <v>82</v>
      </c>
      <c r="M185" s="29" t="s">
        <v>174</v>
      </c>
      <c r="N185" s="29" t="s">
        <v>177</v>
      </c>
      <c r="O185" s="31">
        <v>44408</v>
      </c>
      <c r="P185" s="31">
        <v>44412</v>
      </c>
      <c r="Q185" s="29" t="s">
        <v>83</v>
      </c>
    </row>
    <row r="186" spans="1:17" ht="15" hidden="1" x14ac:dyDescent="0.25">
      <c r="A186" s="29" t="s">
        <v>97</v>
      </c>
      <c r="B186" s="29" t="s">
        <v>87</v>
      </c>
      <c r="C186" s="29" t="s">
        <v>177</v>
      </c>
      <c r="D186" s="29" t="s">
        <v>382</v>
      </c>
      <c r="E186" s="29" t="s">
        <v>87</v>
      </c>
      <c r="F186" s="29" t="s">
        <v>79</v>
      </c>
      <c r="G186" s="29" t="s">
        <v>80</v>
      </c>
      <c r="H186" s="29" t="s">
        <v>81</v>
      </c>
      <c r="I186" s="29" t="s">
        <v>82</v>
      </c>
      <c r="J186" s="30">
        <v>811.05</v>
      </c>
      <c r="K186" s="29" t="s">
        <v>153</v>
      </c>
      <c r="L186" s="29" t="s">
        <v>82</v>
      </c>
      <c r="M186" s="29" t="s">
        <v>171</v>
      </c>
      <c r="N186" s="29" t="s">
        <v>177</v>
      </c>
      <c r="O186" s="31">
        <v>44408</v>
      </c>
      <c r="P186" s="31">
        <v>44412</v>
      </c>
      <c r="Q186" s="29" t="s">
        <v>83</v>
      </c>
    </row>
    <row r="187" spans="1:17" ht="15" hidden="1" x14ac:dyDescent="0.25">
      <c r="A187" s="29" t="s">
        <v>97</v>
      </c>
      <c r="B187" s="29" t="s">
        <v>85</v>
      </c>
      <c r="C187" s="29" t="s">
        <v>253</v>
      </c>
      <c r="D187" s="29" t="s">
        <v>383</v>
      </c>
      <c r="E187" s="29" t="s">
        <v>92</v>
      </c>
      <c r="F187" s="29" t="s">
        <v>79</v>
      </c>
      <c r="G187" s="29" t="s">
        <v>80</v>
      </c>
      <c r="H187" s="29" t="s">
        <v>81</v>
      </c>
      <c r="I187" s="29" t="s">
        <v>82</v>
      </c>
      <c r="J187" s="30">
        <v>-2284</v>
      </c>
      <c r="K187" s="29" t="s">
        <v>254</v>
      </c>
      <c r="L187" s="29" t="s">
        <v>82</v>
      </c>
      <c r="M187" s="29" t="s">
        <v>174</v>
      </c>
      <c r="N187" s="29" t="s">
        <v>255</v>
      </c>
      <c r="O187" s="31">
        <v>44439</v>
      </c>
      <c r="P187" s="31">
        <v>44412</v>
      </c>
      <c r="Q187" s="29" t="s">
        <v>83</v>
      </c>
    </row>
    <row r="188" spans="1:17" ht="15" hidden="1" x14ac:dyDescent="0.25">
      <c r="A188" s="29" t="s">
        <v>97</v>
      </c>
      <c r="B188" s="29" t="s">
        <v>85</v>
      </c>
      <c r="C188" s="29" t="s">
        <v>253</v>
      </c>
      <c r="D188" s="29" t="s">
        <v>383</v>
      </c>
      <c r="E188" s="29" t="s">
        <v>92</v>
      </c>
      <c r="F188" s="29" t="s">
        <v>79</v>
      </c>
      <c r="G188" s="29" t="s">
        <v>80</v>
      </c>
      <c r="H188" s="29" t="s">
        <v>81</v>
      </c>
      <c r="I188" s="29" t="s">
        <v>82</v>
      </c>
      <c r="J188" s="30">
        <v>-1727.77</v>
      </c>
      <c r="K188" s="29" t="s">
        <v>153</v>
      </c>
      <c r="L188" s="29" t="s">
        <v>82</v>
      </c>
      <c r="M188" s="29" t="s">
        <v>171</v>
      </c>
      <c r="N188" s="29" t="s">
        <v>255</v>
      </c>
      <c r="O188" s="31">
        <v>44439</v>
      </c>
      <c r="P188" s="31">
        <v>44412</v>
      </c>
      <c r="Q188" s="29" t="s">
        <v>83</v>
      </c>
    </row>
    <row r="189" spans="1:17" ht="15" hidden="1" x14ac:dyDescent="0.25">
      <c r="A189" s="29" t="s">
        <v>97</v>
      </c>
      <c r="B189" s="29" t="s">
        <v>87</v>
      </c>
      <c r="C189" s="29" t="s">
        <v>175</v>
      </c>
      <c r="D189" s="29" t="s">
        <v>382</v>
      </c>
      <c r="E189" s="29" t="s">
        <v>87</v>
      </c>
      <c r="F189" s="29" t="s">
        <v>79</v>
      </c>
      <c r="G189" s="29" t="s">
        <v>80</v>
      </c>
      <c r="H189" s="29" t="s">
        <v>81</v>
      </c>
      <c r="I189" s="29" t="s">
        <v>82</v>
      </c>
      <c r="J189" s="30">
        <v>-1072.1500000000001</v>
      </c>
      <c r="K189" s="29" t="s">
        <v>176</v>
      </c>
      <c r="L189" s="29" t="s">
        <v>82</v>
      </c>
      <c r="M189" s="29" t="s">
        <v>174</v>
      </c>
      <c r="N189" s="29" t="s">
        <v>177</v>
      </c>
      <c r="O189" s="31">
        <v>44439</v>
      </c>
      <c r="P189" s="31">
        <v>44412</v>
      </c>
      <c r="Q189" s="29" t="s">
        <v>83</v>
      </c>
    </row>
    <row r="190" spans="1:17" ht="15" hidden="1" x14ac:dyDescent="0.25">
      <c r="A190" s="29" t="s">
        <v>97</v>
      </c>
      <c r="B190" s="29" t="s">
        <v>87</v>
      </c>
      <c r="C190" s="29" t="s">
        <v>175</v>
      </c>
      <c r="D190" s="29" t="s">
        <v>382</v>
      </c>
      <c r="E190" s="29" t="s">
        <v>87</v>
      </c>
      <c r="F190" s="29" t="s">
        <v>79</v>
      </c>
      <c r="G190" s="29" t="s">
        <v>80</v>
      </c>
      <c r="H190" s="29" t="s">
        <v>81</v>
      </c>
      <c r="I190" s="29" t="s">
        <v>82</v>
      </c>
      <c r="J190" s="30">
        <v>-811.05</v>
      </c>
      <c r="K190" s="29" t="s">
        <v>153</v>
      </c>
      <c r="L190" s="29" t="s">
        <v>82</v>
      </c>
      <c r="M190" s="29" t="s">
        <v>171</v>
      </c>
      <c r="N190" s="29" t="s">
        <v>177</v>
      </c>
      <c r="O190" s="31">
        <v>44439</v>
      </c>
      <c r="P190" s="31">
        <v>44412</v>
      </c>
      <c r="Q190" s="29" t="s">
        <v>83</v>
      </c>
    </row>
    <row r="191" spans="1:17" ht="15" hidden="1" x14ac:dyDescent="0.25">
      <c r="A191" s="29" t="s">
        <v>97</v>
      </c>
      <c r="B191" s="29" t="s">
        <v>92</v>
      </c>
      <c r="C191" s="29" t="s">
        <v>372</v>
      </c>
      <c r="D191" s="29" t="s">
        <v>383</v>
      </c>
      <c r="E191" s="29" t="s">
        <v>92</v>
      </c>
      <c r="F191" s="29" t="s">
        <v>79</v>
      </c>
      <c r="G191" s="29" t="s">
        <v>80</v>
      </c>
      <c r="H191" s="29" t="s">
        <v>81</v>
      </c>
      <c r="I191" s="29" t="s">
        <v>82</v>
      </c>
      <c r="J191" s="30">
        <v>3662.28</v>
      </c>
      <c r="K191" s="29" t="s">
        <v>254</v>
      </c>
      <c r="L191" s="29" t="s">
        <v>82</v>
      </c>
      <c r="M191" s="29" t="s">
        <v>179</v>
      </c>
      <c r="N191" s="29" t="s">
        <v>372</v>
      </c>
      <c r="O191" s="31">
        <v>44439</v>
      </c>
      <c r="P191" s="31">
        <v>44447</v>
      </c>
      <c r="Q191" s="29" t="s">
        <v>83</v>
      </c>
    </row>
    <row r="192" spans="1:17" ht="15" hidden="1" x14ac:dyDescent="0.25">
      <c r="A192" s="29" t="s">
        <v>97</v>
      </c>
      <c r="B192" s="29" t="s">
        <v>92</v>
      </c>
      <c r="C192" s="29" t="s">
        <v>372</v>
      </c>
      <c r="D192" s="29" t="s">
        <v>383</v>
      </c>
      <c r="E192" s="29" t="s">
        <v>92</v>
      </c>
      <c r="F192" s="29" t="s">
        <v>79</v>
      </c>
      <c r="G192" s="29" t="s">
        <v>80</v>
      </c>
      <c r="H192" s="29" t="s">
        <v>81</v>
      </c>
      <c r="I192" s="29" t="s">
        <v>82</v>
      </c>
      <c r="J192" s="30">
        <v>10920</v>
      </c>
      <c r="K192" s="29" t="s">
        <v>153</v>
      </c>
      <c r="L192" s="29" t="s">
        <v>82</v>
      </c>
      <c r="M192" s="29" t="s">
        <v>317</v>
      </c>
      <c r="N192" s="29" t="s">
        <v>372</v>
      </c>
      <c r="O192" s="31">
        <v>44439</v>
      </c>
      <c r="P192" s="31">
        <v>44447</v>
      </c>
      <c r="Q192" s="29" t="s">
        <v>83</v>
      </c>
    </row>
    <row r="193" spans="1:17" ht="15" hidden="1" x14ac:dyDescent="0.25">
      <c r="A193" s="29" t="s">
        <v>97</v>
      </c>
      <c r="B193" s="29" t="s">
        <v>92</v>
      </c>
      <c r="C193" s="29" t="s">
        <v>373</v>
      </c>
      <c r="D193" s="29" t="s">
        <v>383</v>
      </c>
      <c r="E193" s="29" t="s">
        <v>92</v>
      </c>
      <c r="F193" s="29" t="s">
        <v>79</v>
      </c>
      <c r="G193" s="29" t="s">
        <v>80</v>
      </c>
      <c r="H193" s="29" t="s">
        <v>81</v>
      </c>
      <c r="I193" s="29" t="s">
        <v>82</v>
      </c>
      <c r="J193" s="30">
        <v>-3662.28</v>
      </c>
      <c r="K193" s="29" t="s">
        <v>254</v>
      </c>
      <c r="L193" s="29" t="s">
        <v>82</v>
      </c>
      <c r="M193" s="29" t="s">
        <v>179</v>
      </c>
      <c r="N193" s="29" t="s">
        <v>372</v>
      </c>
      <c r="O193" s="31">
        <v>44469</v>
      </c>
      <c r="P193" s="31">
        <v>44447</v>
      </c>
      <c r="Q193" s="29" t="s">
        <v>83</v>
      </c>
    </row>
    <row r="194" spans="1:17" ht="15" hidden="1" x14ac:dyDescent="0.25">
      <c r="A194" s="29" t="s">
        <v>97</v>
      </c>
      <c r="B194" s="29" t="s">
        <v>92</v>
      </c>
      <c r="C194" s="29" t="s">
        <v>373</v>
      </c>
      <c r="D194" s="29" t="s">
        <v>383</v>
      </c>
      <c r="E194" s="29" t="s">
        <v>92</v>
      </c>
      <c r="F194" s="29" t="s">
        <v>79</v>
      </c>
      <c r="G194" s="29" t="s">
        <v>80</v>
      </c>
      <c r="H194" s="29" t="s">
        <v>81</v>
      </c>
      <c r="I194" s="29" t="s">
        <v>82</v>
      </c>
      <c r="J194" s="30">
        <v>-10920</v>
      </c>
      <c r="K194" s="29" t="s">
        <v>153</v>
      </c>
      <c r="L194" s="29" t="s">
        <v>82</v>
      </c>
      <c r="M194" s="29" t="s">
        <v>317</v>
      </c>
      <c r="N194" s="29" t="s">
        <v>372</v>
      </c>
      <c r="O194" s="31">
        <v>44469</v>
      </c>
      <c r="P194" s="31">
        <v>44447</v>
      </c>
      <c r="Q194" s="29" t="s">
        <v>83</v>
      </c>
    </row>
    <row r="195" spans="1:17" ht="15" hidden="1" x14ac:dyDescent="0.25">
      <c r="A195" s="29" t="s">
        <v>97</v>
      </c>
      <c r="B195" s="29" t="s">
        <v>92</v>
      </c>
      <c r="C195" s="29" t="s">
        <v>356</v>
      </c>
      <c r="D195" s="29" t="s">
        <v>383</v>
      </c>
      <c r="E195" s="29" t="s">
        <v>92</v>
      </c>
      <c r="F195" s="29" t="s">
        <v>79</v>
      </c>
      <c r="G195" s="29" t="s">
        <v>80</v>
      </c>
      <c r="H195" s="29" t="s">
        <v>81</v>
      </c>
      <c r="I195" s="29" t="s">
        <v>82</v>
      </c>
      <c r="J195" s="30">
        <v>5473.68</v>
      </c>
      <c r="K195" s="29" t="s">
        <v>215</v>
      </c>
      <c r="L195" s="29" t="s">
        <v>82</v>
      </c>
      <c r="M195" s="29" t="s">
        <v>286</v>
      </c>
      <c r="N195" s="29" t="s">
        <v>356</v>
      </c>
      <c r="O195" s="31">
        <v>44469</v>
      </c>
      <c r="P195" s="31">
        <v>44475</v>
      </c>
      <c r="Q195" s="29" t="s">
        <v>83</v>
      </c>
    </row>
    <row r="196" spans="1:17" ht="15" hidden="1" x14ac:dyDescent="0.25">
      <c r="A196" s="29" t="s">
        <v>97</v>
      </c>
      <c r="B196" s="29" t="s">
        <v>92</v>
      </c>
      <c r="C196" s="29" t="s">
        <v>355</v>
      </c>
      <c r="D196" s="29" t="s">
        <v>383</v>
      </c>
      <c r="E196" s="29" t="s">
        <v>92</v>
      </c>
      <c r="F196" s="29" t="s">
        <v>79</v>
      </c>
      <c r="G196" s="29" t="s">
        <v>80</v>
      </c>
      <c r="H196" s="29" t="s">
        <v>81</v>
      </c>
      <c r="I196" s="29" t="s">
        <v>82</v>
      </c>
      <c r="J196" s="30">
        <v>-5473.68</v>
      </c>
      <c r="K196" s="29" t="s">
        <v>215</v>
      </c>
      <c r="L196" s="29" t="s">
        <v>82</v>
      </c>
      <c r="M196" s="29" t="s">
        <v>286</v>
      </c>
      <c r="N196" s="29" t="s">
        <v>356</v>
      </c>
      <c r="O196" s="31">
        <v>44500</v>
      </c>
      <c r="P196" s="31">
        <v>44477</v>
      </c>
      <c r="Q196" s="29" t="s">
        <v>83</v>
      </c>
    </row>
    <row r="197" spans="1:17" ht="15" hidden="1" x14ac:dyDescent="0.25">
      <c r="A197" s="29" t="s">
        <v>97</v>
      </c>
      <c r="B197" s="29" t="s">
        <v>92</v>
      </c>
      <c r="C197" s="29" t="s">
        <v>209</v>
      </c>
      <c r="D197" s="29" t="s">
        <v>383</v>
      </c>
      <c r="E197" s="29" t="s">
        <v>92</v>
      </c>
      <c r="F197" s="29" t="s">
        <v>79</v>
      </c>
      <c r="G197" s="29" t="s">
        <v>80</v>
      </c>
      <c r="H197" s="29" t="s">
        <v>81</v>
      </c>
      <c r="I197" s="29" t="s">
        <v>82</v>
      </c>
      <c r="J197" s="30">
        <v>1181.3800000000001</v>
      </c>
      <c r="K197" s="29" t="s">
        <v>215</v>
      </c>
      <c r="L197" s="29" t="s">
        <v>82</v>
      </c>
      <c r="M197" s="29" t="s">
        <v>216</v>
      </c>
      <c r="N197" s="29" t="s">
        <v>209</v>
      </c>
      <c r="O197" s="31">
        <v>44530</v>
      </c>
      <c r="P197" s="31">
        <v>44533</v>
      </c>
      <c r="Q197" s="29" t="s">
        <v>83</v>
      </c>
    </row>
    <row r="198" spans="1:17" ht="15" hidden="1" x14ac:dyDescent="0.25">
      <c r="A198" s="29" t="s">
        <v>97</v>
      </c>
      <c r="B198" s="29" t="s">
        <v>92</v>
      </c>
      <c r="C198" s="29" t="s">
        <v>207</v>
      </c>
      <c r="D198" s="29" t="s">
        <v>383</v>
      </c>
      <c r="E198" s="29" t="s">
        <v>92</v>
      </c>
      <c r="F198" s="29" t="s">
        <v>79</v>
      </c>
      <c r="G198" s="29" t="s">
        <v>80</v>
      </c>
      <c r="H198" s="29" t="s">
        <v>81</v>
      </c>
      <c r="I198" s="29" t="s">
        <v>82</v>
      </c>
      <c r="J198" s="30">
        <v>-1181.3800000000001</v>
      </c>
      <c r="K198" s="29" t="s">
        <v>215</v>
      </c>
      <c r="L198" s="29" t="s">
        <v>82</v>
      </c>
      <c r="M198" s="29" t="s">
        <v>216</v>
      </c>
      <c r="N198" s="29" t="s">
        <v>209</v>
      </c>
      <c r="O198" s="31">
        <v>44561</v>
      </c>
      <c r="P198" s="31">
        <v>44550</v>
      </c>
      <c r="Q198" s="29" t="s">
        <v>83</v>
      </c>
    </row>
    <row r="199" spans="1:17" ht="15" hidden="1" x14ac:dyDescent="0.25">
      <c r="A199" s="29" t="s">
        <v>97</v>
      </c>
      <c r="B199" s="29" t="s">
        <v>92</v>
      </c>
      <c r="C199" s="29" t="s">
        <v>415</v>
      </c>
      <c r="D199" s="29" t="s">
        <v>383</v>
      </c>
      <c r="E199" s="29" t="s">
        <v>92</v>
      </c>
      <c r="F199" s="29" t="s">
        <v>79</v>
      </c>
      <c r="G199" s="29" t="s">
        <v>80</v>
      </c>
      <c r="H199" s="29" t="s">
        <v>81</v>
      </c>
      <c r="I199" s="29" t="s">
        <v>82</v>
      </c>
      <c r="J199" s="30">
        <v>3032.2</v>
      </c>
      <c r="K199" s="29" t="s">
        <v>215</v>
      </c>
      <c r="L199" s="29" t="s">
        <v>82</v>
      </c>
      <c r="M199" s="29" t="s">
        <v>416</v>
      </c>
      <c r="N199" s="29" t="s">
        <v>415</v>
      </c>
      <c r="O199" s="31">
        <v>44561</v>
      </c>
      <c r="P199" s="31">
        <v>44568</v>
      </c>
      <c r="Q199" s="29" t="s">
        <v>83</v>
      </c>
    </row>
    <row r="200" spans="1:17" ht="15" hidden="1" x14ac:dyDescent="0.25">
      <c r="A200" s="29" t="s">
        <v>97</v>
      </c>
      <c r="B200" s="29" t="s">
        <v>92</v>
      </c>
      <c r="C200" s="29" t="s">
        <v>415</v>
      </c>
      <c r="D200" s="29" t="s">
        <v>383</v>
      </c>
      <c r="E200" s="29" t="s">
        <v>92</v>
      </c>
      <c r="F200" s="29" t="s">
        <v>79</v>
      </c>
      <c r="G200" s="29" t="s">
        <v>80</v>
      </c>
      <c r="H200" s="29" t="s">
        <v>81</v>
      </c>
      <c r="I200" s="29" t="s">
        <v>82</v>
      </c>
      <c r="J200" s="30">
        <v>1500</v>
      </c>
      <c r="K200" s="29" t="s">
        <v>215</v>
      </c>
      <c r="L200" s="29" t="s">
        <v>82</v>
      </c>
      <c r="M200" s="29" t="s">
        <v>416</v>
      </c>
      <c r="N200" s="29" t="s">
        <v>415</v>
      </c>
      <c r="O200" s="31">
        <v>44561</v>
      </c>
      <c r="P200" s="31">
        <v>44568</v>
      </c>
      <c r="Q200" s="29" t="s">
        <v>83</v>
      </c>
    </row>
    <row r="201" spans="1:17" ht="15" hidden="1" x14ac:dyDescent="0.25">
      <c r="A201" s="29" t="s">
        <v>97</v>
      </c>
      <c r="B201" s="29" t="s">
        <v>92</v>
      </c>
      <c r="C201" s="29" t="s">
        <v>417</v>
      </c>
      <c r="D201" s="29" t="s">
        <v>383</v>
      </c>
      <c r="E201" s="29" t="s">
        <v>92</v>
      </c>
      <c r="F201" s="29" t="s">
        <v>79</v>
      </c>
      <c r="G201" s="29" t="s">
        <v>80</v>
      </c>
      <c r="H201" s="29" t="s">
        <v>81</v>
      </c>
      <c r="I201" s="29" t="s">
        <v>82</v>
      </c>
      <c r="J201" s="30">
        <v>-3032.2</v>
      </c>
      <c r="K201" s="29" t="s">
        <v>215</v>
      </c>
      <c r="L201" s="29" t="s">
        <v>82</v>
      </c>
      <c r="M201" s="29" t="s">
        <v>416</v>
      </c>
      <c r="N201" s="29" t="s">
        <v>415</v>
      </c>
      <c r="O201" s="31">
        <v>44592</v>
      </c>
      <c r="P201" s="31">
        <v>44569</v>
      </c>
      <c r="Q201" s="29" t="s">
        <v>83</v>
      </c>
    </row>
    <row r="202" spans="1:17" ht="15" hidden="1" x14ac:dyDescent="0.25">
      <c r="A202" s="29" t="s">
        <v>97</v>
      </c>
      <c r="B202" s="29" t="s">
        <v>92</v>
      </c>
      <c r="C202" s="29" t="s">
        <v>417</v>
      </c>
      <c r="D202" s="29" t="s">
        <v>383</v>
      </c>
      <c r="E202" s="29" t="s">
        <v>92</v>
      </c>
      <c r="F202" s="29" t="s">
        <v>79</v>
      </c>
      <c r="G202" s="29" t="s">
        <v>80</v>
      </c>
      <c r="H202" s="29" t="s">
        <v>81</v>
      </c>
      <c r="I202" s="29" t="s">
        <v>82</v>
      </c>
      <c r="J202" s="30">
        <v>-1500</v>
      </c>
      <c r="K202" s="29" t="s">
        <v>215</v>
      </c>
      <c r="L202" s="29" t="s">
        <v>82</v>
      </c>
      <c r="M202" s="29" t="s">
        <v>416</v>
      </c>
      <c r="N202" s="29" t="s">
        <v>415</v>
      </c>
      <c r="O202" s="31">
        <v>44592</v>
      </c>
      <c r="P202" s="31">
        <v>44569</v>
      </c>
      <c r="Q202" s="29" t="s">
        <v>83</v>
      </c>
    </row>
    <row r="203" spans="1:17" ht="15" hidden="1" x14ac:dyDescent="0.25">
      <c r="A203" s="29" t="s">
        <v>97</v>
      </c>
      <c r="B203" s="29" t="s">
        <v>109</v>
      </c>
      <c r="C203" s="29" t="s">
        <v>270</v>
      </c>
      <c r="D203" s="29" t="s">
        <v>385</v>
      </c>
      <c r="E203" s="29" t="s">
        <v>109</v>
      </c>
      <c r="F203" s="29" t="s">
        <v>79</v>
      </c>
      <c r="G203" s="29" t="s">
        <v>80</v>
      </c>
      <c r="H203" s="29" t="s">
        <v>81</v>
      </c>
      <c r="I203" s="29" t="s">
        <v>82</v>
      </c>
      <c r="J203" s="30">
        <v>-1.5899999999999999</v>
      </c>
      <c r="K203" s="29" t="s">
        <v>127</v>
      </c>
      <c r="L203" s="29" t="s">
        <v>82</v>
      </c>
      <c r="M203" s="29" t="s">
        <v>128</v>
      </c>
      <c r="N203" s="29" t="s">
        <v>267</v>
      </c>
      <c r="O203" s="31">
        <v>44316</v>
      </c>
      <c r="P203" s="31">
        <v>44291</v>
      </c>
      <c r="Q203" s="29" t="s">
        <v>83</v>
      </c>
    </row>
    <row r="204" spans="1:17" ht="15" hidden="1" x14ac:dyDescent="0.25">
      <c r="A204" s="29" t="s">
        <v>97</v>
      </c>
      <c r="B204" s="29" t="s">
        <v>87</v>
      </c>
      <c r="C204" s="29" t="s">
        <v>139</v>
      </c>
      <c r="D204" s="29" t="s">
        <v>382</v>
      </c>
      <c r="E204" s="29" t="s">
        <v>87</v>
      </c>
      <c r="F204" s="29" t="s">
        <v>79</v>
      </c>
      <c r="G204" s="29" t="s">
        <v>80</v>
      </c>
      <c r="H204" s="29" t="s">
        <v>81</v>
      </c>
      <c r="I204" s="29" t="s">
        <v>82</v>
      </c>
      <c r="J204" s="30">
        <v>264.33999999999997</v>
      </c>
      <c r="K204" s="29" t="s">
        <v>127</v>
      </c>
      <c r="L204" s="29" t="s">
        <v>82</v>
      </c>
      <c r="M204" s="29" t="s">
        <v>128</v>
      </c>
      <c r="N204" s="29" t="s">
        <v>139</v>
      </c>
      <c r="O204" s="31">
        <v>44286</v>
      </c>
      <c r="P204" s="31">
        <v>44291</v>
      </c>
      <c r="Q204" s="29" t="s">
        <v>83</v>
      </c>
    </row>
    <row r="205" spans="1:17" ht="15" hidden="1" x14ac:dyDescent="0.25">
      <c r="A205" s="29" t="s">
        <v>97</v>
      </c>
      <c r="B205" s="29" t="s">
        <v>92</v>
      </c>
      <c r="C205" s="29" t="s">
        <v>126</v>
      </c>
      <c r="D205" s="29" t="s">
        <v>383</v>
      </c>
      <c r="E205" s="29" t="s">
        <v>92</v>
      </c>
      <c r="F205" s="29" t="s">
        <v>79</v>
      </c>
      <c r="G205" s="29" t="s">
        <v>80</v>
      </c>
      <c r="H205" s="29" t="s">
        <v>81</v>
      </c>
      <c r="I205" s="29" t="s">
        <v>82</v>
      </c>
      <c r="J205" s="30">
        <v>563.13</v>
      </c>
      <c r="K205" s="29" t="s">
        <v>127</v>
      </c>
      <c r="L205" s="29" t="s">
        <v>82</v>
      </c>
      <c r="M205" s="29" t="s">
        <v>128</v>
      </c>
      <c r="N205" s="29" t="s">
        <v>126</v>
      </c>
      <c r="O205" s="31">
        <v>44286</v>
      </c>
      <c r="P205" s="31">
        <v>44292</v>
      </c>
      <c r="Q205" s="29" t="s">
        <v>83</v>
      </c>
    </row>
    <row r="206" spans="1:17" ht="15" hidden="1" x14ac:dyDescent="0.25">
      <c r="A206" s="29" t="s">
        <v>97</v>
      </c>
      <c r="B206" s="29" t="s">
        <v>108</v>
      </c>
      <c r="C206" s="29" t="s">
        <v>329</v>
      </c>
      <c r="D206" s="29" t="s">
        <v>384</v>
      </c>
      <c r="E206" s="29" t="s">
        <v>108</v>
      </c>
      <c r="F206" s="29" t="s">
        <v>79</v>
      </c>
      <c r="G206" s="29" t="s">
        <v>80</v>
      </c>
      <c r="H206" s="29" t="s">
        <v>81</v>
      </c>
      <c r="I206" s="29" t="s">
        <v>82</v>
      </c>
      <c r="J206" s="30">
        <v>-5.0999999999999996</v>
      </c>
      <c r="K206" s="29" t="s">
        <v>127</v>
      </c>
      <c r="L206" s="29" t="s">
        <v>82</v>
      </c>
      <c r="M206" s="29" t="s">
        <v>128</v>
      </c>
      <c r="N206" s="29" t="s">
        <v>268</v>
      </c>
      <c r="O206" s="31">
        <v>44316</v>
      </c>
      <c r="P206" s="31">
        <v>44322</v>
      </c>
      <c r="Q206" s="29" t="s">
        <v>83</v>
      </c>
    </row>
    <row r="207" spans="1:17" ht="15" hidden="1" x14ac:dyDescent="0.25">
      <c r="A207" s="29" t="s">
        <v>97</v>
      </c>
      <c r="B207" s="29" t="s">
        <v>85</v>
      </c>
      <c r="C207" s="29" t="s">
        <v>330</v>
      </c>
      <c r="D207" s="29" t="s">
        <v>385</v>
      </c>
      <c r="E207" s="29" t="s">
        <v>109</v>
      </c>
      <c r="F207" s="29" t="s">
        <v>79</v>
      </c>
      <c r="G207" s="29" t="s">
        <v>80</v>
      </c>
      <c r="H207" s="29" t="s">
        <v>81</v>
      </c>
      <c r="I207" s="29" t="s">
        <v>82</v>
      </c>
      <c r="J207" s="30">
        <v>1.5899999999999999</v>
      </c>
      <c r="K207" s="29" t="s">
        <v>127</v>
      </c>
      <c r="L207" s="29" t="s">
        <v>82</v>
      </c>
      <c r="M207" s="29" t="s">
        <v>128</v>
      </c>
      <c r="N207" s="29" t="s">
        <v>330</v>
      </c>
      <c r="O207" s="31">
        <v>44286</v>
      </c>
      <c r="P207" s="31">
        <v>44291</v>
      </c>
      <c r="Q207" s="29" t="s">
        <v>83</v>
      </c>
    </row>
    <row r="208" spans="1:17" ht="15" hidden="1" x14ac:dyDescent="0.25">
      <c r="A208" s="29" t="s">
        <v>97</v>
      </c>
      <c r="B208" s="29" t="s">
        <v>85</v>
      </c>
      <c r="C208" s="29" t="s">
        <v>331</v>
      </c>
      <c r="D208" s="29" t="s">
        <v>385</v>
      </c>
      <c r="E208" s="29" t="s">
        <v>109</v>
      </c>
      <c r="F208" s="29" t="s">
        <v>79</v>
      </c>
      <c r="G208" s="29" t="s">
        <v>80</v>
      </c>
      <c r="H208" s="29" t="s">
        <v>81</v>
      </c>
      <c r="I208" s="29" t="s">
        <v>82</v>
      </c>
      <c r="J208" s="30">
        <v>-1.5899999999999999</v>
      </c>
      <c r="K208" s="29" t="s">
        <v>127</v>
      </c>
      <c r="L208" s="29" t="s">
        <v>82</v>
      </c>
      <c r="M208" s="29" t="s">
        <v>128</v>
      </c>
      <c r="N208" s="29" t="s">
        <v>330</v>
      </c>
      <c r="O208" s="31">
        <v>44316</v>
      </c>
      <c r="P208" s="31">
        <v>44291</v>
      </c>
      <c r="Q208" s="29" t="s">
        <v>83</v>
      </c>
    </row>
    <row r="209" spans="1:17" ht="15" hidden="1" x14ac:dyDescent="0.25">
      <c r="A209" s="29" t="s">
        <v>97</v>
      </c>
      <c r="B209" s="29" t="s">
        <v>87</v>
      </c>
      <c r="C209" s="29" t="s">
        <v>220</v>
      </c>
      <c r="D209" s="29" t="s">
        <v>382</v>
      </c>
      <c r="E209" s="29" t="s">
        <v>87</v>
      </c>
      <c r="F209" s="29" t="s">
        <v>79</v>
      </c>
      <c r="G209" s="29" t="s">
        <v>80</v>
      </c>
      <c r="H209" s="29" t="s">
        <v>81</v>
      </c>
      <c r="I209" s="29" t="s">
        <v>82</v>
      </c>
      <c r="J209" s="30">
        <v>-264.33999999999997</v>
      </c>
      <c r="K209" s="29" t="s">
        <v>127</v>
      </c>
      <c r="L209" s="29" t="s">
        <v>82</v>
      </c>
      <c r="M209" s="29" t="s">
        <v>128</v>
      </c>
      <c r="N209" s="29" t="s">
        <v>139</v>
      </c>
      <c r="O209" s="31">
        <v>44316</v>
      </c>
      <c r="P209" s="31">
        <v>44291</v>
      </c>
      <c r="Q209" s="29" t="s">
        <v>83</v>
      </c>
    </row>
    <row r="210" spans="1:17" ht="15" hidden="1" x14ac:dyDescent="0.25">
      <c r="A210" s="29" t="s">
        <v>97</v>
      </c>
      <c r="B210" s="29" t="s">
        <v>92</v>
      </c>
      <c r="C210" s="29" t="s">
        <v>242</v>
      </c>
      <c r="D210" s="29" t="s">
        <v>383</v>
      </c>
      <c r="E210" s="29" t="s">
        <v>92</v>
      </c>
      <c r="F210" s="29" t="s">
        <v>79</v>
      </c>
      <c r="G210" s="29" t="s">
        <v>80</v>
      </c>
      <c r="H210" s="29" t="s">
        <v>81</v>
      </c>
      <c r="I210" s="29" t="s">
        <v>82</v>
      </c>
      <c r="J210" s="30">
        <v>-563.13</v>
      </c>
      <c r="K210" s="29" t="s">
        <v>127</v>
      </c>
      <c r="L210" s="29" t="s">
        <v>82</v>
      </c>
      <c r="M210" s="29" t="s">
        <v>128</v>
      </c>
      <c r="N210" s="29" t="s">
        <v>126</v>
      </c>
      <c r="O210" s="31">
        <v>44316</v>
      </c>
      <c r="P210" s="31">
        <v>44292</v>
      </c>
      <c r="Q210" s="29" t="s">
        <v>83</v>
      </c>
    </row>
    <row r="211" spans="1:17" ht="15" hidden="1" x14ac:dyDescent="0.25">
      <c r="A211" s="29" t="s">
        <v>97</v>
      </c>
      <c r="B211" s="29" t="s">
        <v>87</v>
      </c>
      <c r="C211" s="29" t="s">
        <v>221</v>
      </c>
      <c r="D211" s="29" t="s">
        <v>382</v>
      </c>
      <c r="E211" s="29" t="s">
        <v>87</v>
      </c>
      <c r="F211" s="29" t="s">
        <v>79</v>
      </c>
      <c r="G211" s="29" t="s">
        <v>80</v>
      </c>
      <c r="H211" s="29" t="s">
        <v>81</v>
      </c>
      <c r="I211" s="29" t="s">
        <v>82</v>
      </c>
      <c r="J211" s="30">
        <v>-264.33999999999997</v>
      </c>
      <c r="K211" s="29" t="s">
        <v>127</v>
      </c>
      <c r="L211" s="29" t="s">
        <v>82</v>
      </c>
      <c r="M211" s="29" t="s">
        <v>128</v>
      </c>
      <c r="N211" s="29" t="s">
        <v>138</v>
      </c>
      <c r="O211" s="31">
        <v>44316</v>
      </c>
      <c r="P211" s="31">
        <v>44292</v>
      </c>
      <c r="Q211" s="29" t="s">
        <v>83</v>
      </c>
    </row>
    <row r="212" spans="1:17" ht="15" hidden="1" x14ac:dyDescent="0.25">
      <c r="A212" s="29" t="s">
        <v>97</v>
      </c>
      <c r="B212" s="29" t="s">
        <v>92</v>
      </c>
      <c r="C212" s="29" t="s">
        <v>223</v>
      </c>
      <c r="D212" s="29" t="s">
        <v>383</v>
      </c>
      <c r="E212" s="29" t="s">
        <v>92</v>
      </c>
      <c r="F212" s="29" t="s">
        <v>79</v>
      </c>
      <c r="G212" s="29" t="s">
        <v>80</v>
      </c>
      <c r="H212" s="29" t="s">
        <v>81</v>
      </c>
      <c r="I212" s="29" t="s">
        <v>82</v>
      </c>
      <c r="J212" s="30">
        <v>563.13</v>
      </c>
      <c r="K212" s="29" t="s">
        <v>127</v>
      </c>
      <c r="L212" s="29" t="s">
        <v>82</v>
      </c>
      <c r="M212" s="29" t="s">
        <v>128</v>
      </c>
      <c r="N212" s="29" t="s">
        <v>223</v>
      </c>
      <c r="O212" s="31">
        <v>44286</v>
      </c>
      <c r="P212" s="31">
        <v>44293</v>
      </c>
      <c r="Q212" s="29" t="s">
        <v>83</v>
      </c>
    </row>
    <row r="213" spans="1:17" ht="15" hidden="1" x14ac:dyDescent="0.25">
      <c r="A213" s="29" t="s">
        <v>97</v>
      </c>
      <c r="B213" s="29" t="s">
        <v>92</v>
      </c>
      <c r="C213" s="29" t="s">
        <v>222</v>
      </c>
      <c r="D213" s="29" t="s">
        <v>383</v>
      </c>
      <c r="E213" s="29" t="s">
        <v>92</v>
      </c>
      <c r="F213" s="29" t="s">
        <v>79</v>
      </c>
      <c r="G213" s="29" t="s">
        <v>80</v>
      </c>
      <c r="H213" s="29" t="s">
        <v>81</v>
      </c>
      <c r="I213" s="29" t="s">
        <v>82</v>
      </c>
      <c r="J213" s="30">
        <v>-563.13</v>
      </c>
      <c r="K213" s="29" t="s">
        <v>127</v>
      </c>
      <c r="L213" s="29" t="s">
        <v>82</v>
      </c>
      <c r="M213" s="29" t="s">
        <v>128</v>
      </c>
      <c r="N213" s="29" t="s">
        <v>223</v>
      </c>
      <c r="O213" s="31">
        <v>44316</v>
      </c>
      <c r="P213" s="31">
        <v>44293</v>
      </c>
      <c r="Q213" s="29" t="s">
        <v>83</v>
      </c>
    </row>
    <row r="214" spans="1:17" ht="15" hidden="1" x14ac:dyDescent="0.25">
      <c r="A214" s="29" t="s">
        <v>97</v>
      </c>
      <c r="B214" s="29" t="s">
        <v>92</v>
      </c>
      <c r="C214" s="29" t="s">
        <v>278</v>
      </c>
      <c r="D214" s="29" t="s">
        <v>383</v>
      </c>
      <c r="E214" s="29" t="s">
        <v>92</v>
      </c>
      <c r="F214" s="29" t="s">
        <v>79</v>
      </c>
      <c r="G214" s="29" t="s">
        <v>80</v>
      </c>
      <c r="H214" s="29" t="s">
        <v>81</v>
      </c>
      <c r="I214" s="29" t="s">
        <v>82</v>
      </c>
      <c r="J214" s="30">
        <v>590.69000000000005</v>
      </c>
      <c r="K214" s="29" t="s">
        <v>279</v>
      </c>
      <c r="L214" s="29" t="s">
        <v>82</v>
      </c>
      <c r="M214" s="29" t="s">
        <v>145</v>
      </c>
      <c r="N214" s="29" t="s">
        <v>278</v>
      </c>
      <c r="O214" s="31">
        <v>44316</v>
      </c>
      <c r="P214" s="31">
        <v>44322</v>
      </c>
      <c r="Q214" s="29" t="s">
        <v>83</v>
      </c>
    </row>
    <row r="215" spans="1:17" ht="15" hidden="1" x14ac:dyDescent="0.25">
      <c r="A215" s="29" t="s">
        <v>97</v>
      </c>
      <c r="B215" s="29" t="s">
        <v>92</v>
      </c>
      <c r="C215" s="29" t="s">
        <v>276</v>
      </c>
      <c r="D215" s="29" t="s">
        <v>383</v>
      </c>
      <c r="E215" s="29" t="s">
        <v>92</v>
      </c>
      <c r="F215" s="29" t="s">
        <v>79</v>
      </c>
      <c r="G215" s="29" t="s">
        <v>80</v>
      </c>
      <c r="H215" s="29" t="s">
        <v>81</v>
      </c>
      <c r="I215" s="29" t="s">
        <v>82</v>
      </c>
      <c r="J215" s="30">
        <v>-590.69000000000005</v>
      </c>
      <c r="K215" s="29" t="s">
        <v>279</v>
      </c>
      <c r="L215" s="29" t="s">
        <v>82</v>
      </c>
      <c r="M215" s="29" t="s">
        <v>145</v>
      </c>
      <c r="N215" s="29" t="s">
        <v>278</v>
      </c>
      <c r="O215" s="31">
        <v>44347</v>
      </c>
      <c r="P215" s="31">
        <v>44322</v>
      </c>
      <c r="Q215" s="29" t="s">
        <v>83</v>
      </c>
    </row>
    <row r="216" spans="1:17" ht="15" hidden="1" x14ac:dyDescent="0.25">
      <c r="A216" s="29" t="s">
        <v>97</v>
      </c>
      <c r="B216" s="29" t="s">
        <v>92</v>
      </c>
      <c r="C216" s="29" t="s">
        <v>333</v>
      </c>
      <c r="D216" s="29" t="s">
        <v>383</v>
      </c>
      <c r="E216" s="29" t="s">
        <v>92</v>
      </c>
      <c r="F216" s="29" t="s">
        <v>79</v>
      </c>
      <c r="G216" s="29" t="s">
        <v>80</v>
      </c>
      <c r="H216" s="29" t="s">
        <v>81</v>
      </c>
      <c r="I216" s="29" t="s">
        <v>82</v>
      </c>
      <c r="J216" s="30">
        <v>959.87</v>
      </c>
      <c r="K216" s="29" t="s">
        <v>334</v>
      </c>
      <c r="L216" s="29" t="s">
        <v>82</v>
      </c>
      <c r="M216" s="29" t="s">
        <v>142</v>
      </c>
      <c r="N216" s="29" t="s">
        <v>333</v>
      </c>
      <c r="O216" s="31">
        <v>44347</v>
      </c>
      <c r="P216" s="31">
        <v>44351</v>
      </c>
      <c r="Q216" s="29" t="s">
        <v>83</v>
      </c>
    </row>
    <row r="217" spans="1:17" ht="15" hidden="1" x14ac:dyDescent="0.25">
      <c r="A217" s="29" t="s">
        <v>97</v>
      </c>
      <c r="B217" s="29" t="s">
        <v>92</v>
      </c>
      <c r="C217" s="29" t="s">
        <v>337</v>
      </c>
      <c r="D217" s="29" t="s">
        <v>383</v>
      </c>
      <c r="E217" s="29" t="s">
        <v>92</v>
      </c>
      <c r="F217" s="29" t="s">
        <v>79</v>
      </c>
      <c r="G217" s="29" t="s">
        <v>80</v>
      </c>
      <c r="H217" s="29" t="s">
        <v>81</v>
      </c>
      <c r="I217" s="29" t="s">
        <v>82</v>
      </c>
      <c r="J217" s="30">
        <v>-959.87</v>
      </c>
      <c r="K217" s="29" t="s">
        <v>334</v>
      </c>
      <c r="L217" s="29" t="s">
        <v>82</v>
      </c>
      <c r="M217" s="29" t="s">
        <v>142</v>
      </c>
      <c r="N217" s="29" t="s">
        <v>333</v>
      </c>
      <c r="O217" s="31">
        <v>44377</v>
      </c>
      <c r="P217" s="31">
        <v>44351</v>
      </c>
      <c r="Q217" s="29" t="s">
        <v>83</v>
      </c>
    </row>
    <row r="218" spans="1:17" ht="15" hidden="1" x14ac:dyDescent="0.25">
      <c r="A218" s="29" t="s">
        <v>97</v>
      </c>
      <c r="B218" s="29" t="s">
        <v>92</v>
      </c>
      <c r="C218" s="29" t="s">
        <v>316</v>
      </c>
      <c r="D218" s="29" t="s">
        <v>383</v>
      </c>
      <c r="E218" s="29" t="s">
        <v>92</v>
      </c>
      <c r="F218" s="29" t="s">
        <v>79</v>
      </c>
      <c r="G218" s="29" t="s">
        <v>80</v>
      </c>
      <c r="H218" s="29" t="s">
        <v>81</v>
      </c>
      <c r="I218" s="29" t="s">
        <v>82</v>
      </c>
      <c r="J218" s="30">
        <v>10920</v>
      </c>
      <c r="K218" s="29" t="s">
        <v>127</v>
      </c>
      <c r="L218" s="29" t="s">
        <v>82</v>
      </c>
      <c r="M218" s="29" t="s">
        <v>317</v>
      </c>
      <c r="N218" s="29" t="s">
        <v>316</v>
      </c>
      <c r="O218" s="31">
        <v>44439</v>
      </c>
      <c r="P218" s="31">
        <v>44448</v>
      </c>
      <c r="Q218" s="29" t="s">
        <v>83</v>
      </c>
    </row>
    <row r="219" spans="1:17" ht="15" hidden="1" x14ac:dyDescent="0.25">
      <c r="A219" s="29" t="s">
        <v>97</v>
      </c>
      <c r="B219" s="29" t="s">
        <v>92</v>
      </c>
      <c r="C219" s="29" t="s">
        <v>315</v>
      </c>
      <c r="D219" s="29" t="s">
        <v>383</v>
      </c>
      <c r="E219" s="29" t="s">
        <v>92</v>
      </c>
      <c r="F219" s="29" t="s">
        <v>79</v>
      </c>
      <c r="G219" s="29" t="s">
        <v>80</v>
      </c>
      <c r="H219" s="29" t="s">
        <v>81</v>
      </c>
      <c r="I219" s="29" t="s">
        <v>82</v>
      </c>
      <c r="J219" s="30">
        <v>-10920</v>
      </c>
      <c r="K219" s="29" t="s">
        <v>127</v>
      </c>
      <c r="L219" s="29" t="s">
        <v>82</v>
      </c>
      <c r="M219" s="29" t="s">
        <v>317</v>
      </c>
      <c r="N219" s="29" t="s">
        <v>316</v>
      </c>
      <c r="O219" s="31">
        <v>44469</v>
      </c>
      <c r="P219" s="31">
        <v>44448</v>
      </c>
      <c r="Q219" s="29" t="s">
        <v>83</v>
      </c>
    </row>
    <row r="220" spans="1:17" ht="15" hidden="1" x14ac:dyDescent="0.25">
      <c r="A220" s="29" t="s">
        <v>97</v>
      </c>
      <c r="B220" s="29" t="s">
        <v>92</v>
      </c>
      <c r="C220" s="29" t="s">
        <v>356</v>
      </c>
      <c r="D220" s="29" t="s">
        <v>383</v>
      </c>
      <c r="E220" s="29" t="s">
        <v>92</v>
      </c>
      <c r="F220" s="29" t="s">
        <v>79</v>
      </c>
      <c r="G220" s="29" t="s">
        <v>80</v>
      </c>
      <c r="H220" s="29" t="s">
        <v>81</v>
      </c>
      <c r="I220" s="29" t="s">
        <v>82</v>
      </c>
      <c r="J220" s="30">
        <v>16280</v>
      </c>
      <c r="K220" s="29" t="s">
        <v>127</v>
      </c>
      <c r="L220" s="29" t="s">
        <v>82</v>
      </c>
      <c r="M220" s="29" t="s">
        <v>259</v>
      </c>
      <c r="N220" s="29" t="s">
        <v>356</v>
      </c>
      <c r="O220" s="31">
        <v>44469</v>
      </c>
      <c r="P220" s="31">
        <v>44475</v>
      </c>
      <c r="Q220" s="29" t="s">
        <v>83</v>
      </c>
    </row>
    <row r="221" spans="1:17" ht="15" hidden="1" x14ac:dyDescent="0.25">
      <c r="A221" s="29" t="s">
        <v>97</v>
      </c>
      <c r="B221" s="29" t="s">
        <v>92</v>
      </c>
      <c r="C221" s="29" t="s">
        <v>355</v>
      </c>
      <c r="D221" s="29" t="s">
        <v>383</v>
      </c>
      <c r="E221" s="29" t="s">
        <v>92</v>
      </c>
      <c r="F221" s="29" t="s">
        <v>79</v>
      </c>
      <c r="G221" s="29" t="s">
        <v>80</v>
      </c>
      <c r="H221" s="29" t="s">
        <v>81</v>
      </c>
      <c r="I221" s="29" t="s">
        <v>82</v>
      </c>
      <c r="J221" s="30">
        <v>-16280</v>
      </c>
      <c r="K221" s="29" t="s">
        <v>127</v>
      </c>
      <c r="L221" s="29" t="s">
        <v>82</v>
      </c>
      <c r="M221" s="29" t="s">
        <v>259</v>
      </c>
      <c r="N221" s="29" t="s">
        <v>356</v>
      </c>
      <c r="O221" s="31">
        <v>44500</v>
      </c>
      <c r="P221" s="31">
        <v>44477</v>
      </c>
      <c r="Q221" s="29" t="s">
        <v>83</v>
      </c>
    </row>
    <row r="222" spans="1:17" ht="15" hidden="1" x14ac:dyDescent="0.25">
      <c r="A222" s="29" t="s">
        <v>97</v>
      </c>
      <c r="B222" s="29" t="s">
        <v>92</v>
      </c>
      <c r="C222" s="29" t="s">
        <v>200</v>
      </c>
      <c r="D222" s="29" t="s">
        <v>383</v>
      </c>
      <c r="E222" s="29" t="s">
        <v>92</v>
      </c>
      <c r="F222" s="29" t="s">
        <v>79</v>
      </c>
      <c r="G222" s="29" t="s">
        <v>80</v>
      </c>
      <c r="H222" s="29" t="s">
        <v>81</v>
      </c>
      <c r="I222" s="29" t="s">
        <v>82</v>
      </c>
      <c r="J222" s="30">
        <v>3307.84</v>
      </c>
      <c r="K222" s="29" t="s">
        <v>204</v>
      </c>
      <c r="L222" s="29" t="s">
        <v>82</v>
      </c>
      <c r="M222" s="29" t="s">
        <v>199</v>
      </c>
      <c r="N222" s="29" t="s">
        <v>200</v>
      </c>
      <c r="O222" s="31">
        <v>44500</v>
      </c>
      <c r="P222" s="31">
        <v>44504</v>
      </c>
      <c r="Q222" s="29" t="s">
        <v>83</v>
      </c>
    </row>
    <row r="223" spans="1:17" ht="15" hidden="1" x14ac:dyDescent="0.25">
      <c r="A223" s="29" t="s">
        <v>97</v>
      </c>
      <c r="B223" s="29" t="s">
        <v>92</v>
      </c>
      <c r="C223" s="29" t="s">
        <v>262</v>
      </c>
      <c r="D223" s="29" t="s">
        <v>383</v>
      </c>
      <c r="E223" s="29" t="s">
        <v>92</v>
      </c>
      <c r="F223" s="29" t="s">
        <v>79</v>
      </c>
      <c r="G223" s="29" t="s">
        <v>80</v>
      </c>
      <c r="H223" s="29" t="s">
        <v>81</v>
      </c>
      <c r="I223" s="29" t="s">
        <v>82</v>
      </c>
      <c r="J223" s="30">
        <v>-3307.84</v>
      </c>
      <c r="K223" s="29" t="s">
        <v>204</v>
      </c>
      <c r="L223" s="29" t="s">
        <v>82</v>
      </c>
      <c r="M223" s="29" t="s">
        <v>199</v>
      </c>
      <c r="N223" s="29" t="s">
        <v>200</v>
      </c>
      <c r="O223" s="31">
        <v>44530</v>
      </c>
      <c r="P223" s="31">
        <v>44508</v>
      </c>
      <c r="Q223" s="29" t="s">
        <v>83</v>
      </c>
    </row>
    <row r="224" spans="1:17" ht="15" hidden="1" x14ac:dyDescent="0.25">
      <c r="A224" s="29" t="s">
        <v>97</v>
      </c>
      <c r="B224" s="29" t="s">
        <v>92</v>
      </c>
      <c r="C224" s="29" t="s">
        <v>209</v>
      </c>
      <c r="D224" s="29" t="s">
        <v>383</v>
      </c>
      <c r="E224" s="29" t="s">
        <v>92</v>
      </c>
      <c r="F224" s="29" t="s">
        <v>79</v>
      </c>
      <c r="G224" s="29" t="s">
        <v>80</v>
      </c>
      <c r="H224" s="29" t="s">
        <v>81</v>
      </c>
      <c r="I224" s="29" t="s">
        <v>82</v>
      </c>
      <c r="J224" s="30">
        <v>15320</v>
      </c>
      <c r="K224" s="29" t="s">
        <v>127</v>
      </c>
      <c r="L224" s="29" t="s">
        <v>82</v>
      </c>
      <c r="M224" s="29" t="s">
        <v>212</v>
      </c>
      <c r="N224" s="29" t="s">
        <v>209</v>
      </c>
      <c r="O224" s="31">
        <v>44530</v>
      </c>
      <c r="P224" s="31">
        <v>44533</v>
      </c>
      <c r="Q224" s="29" t="s">
        <v>83</v>
      </c>
    </row>
    <row r="225" spans="1:17" ht="15" hidden="1" x14ac:dyDescent="0.25">
      <c r="A225" s="29" t="s">
        <v>97</v>
      </c>
      <c r="B225" s="29" t="s">
        <v>92</v>
      </c>
      <c r="C225" s="29" t="s">
        <v>207</v>
      </c>
      <c r="D225" s="29" t="s">
        <v>383</v>
      </c>
      <c r="E225" s="29" t="s">
        <v>92</v>
      </c>
      <c r="F225" s="29" t="s">
        <v>79</v>
      </c>
      <c r="G225" s="29" t="s">
        <v>80</v>
      </c>
      <c r="H225" s="29" t="s">
        <v>81</v>
      </c>
      <c r="I225" s="29" t="s">
        <v>82</v>
      </c>
      <c r="J225" s="30">
        <v>-15320</v>
      </c>
      <c r="K225" s="29" t="s">
        <v>127</v>
      </c>
      <c r="L225" s="29" t="s">
        <v>82</v>
      </c>
      <c r="M225" s="29" t="s">
        <v>212</v>
      </c>
      <c r="N225" s="29" t="s">
        <v>209</v>
      </c>
      <c r="O225" s="31">
        <v>44561</v>
      </c>
      <c r="P225" s="31">
        <v>44550</v>
      </c>
      <c r="Q225" s="29" t="s">
        <v>83</v>
      </c>
    </row>
    <row r="226" spans="1:17" ht="15" hidden="1" x14ac:dyDescent="0.25">
      <c r="A226" s="29" t="s">
        <v>97</v>
      </c>
      <c r="B226" s="29" t="s">
        <v>92</v>
      </c>
      <c r="C226" s="29" t="s">
        <v>415</v>
      </c>
      <c r="D226" s="29" t="s">
        <v>383</v>
      </c>
      <c r="E226" s="29" t="s">
        <v>92</v>
      </c>
      <c r="F226" s="29" t="s">
        <v>79</v>
      </c>
      <c r="G226" s="29" t="s">
        <v>80</v>
      </c>
      <c r="H226" s="29" t="s">
        <v>81</v>
      </c>
      <c r="I226" s="29" t="s">
        <v>82</v>
      </c>
      <c r="J226" s="30">
        <v>19160</v>
      </c>
      <c r="K226" s="29" t="s">
        <v>127</v>
      </c>
      <c r="L226" s="29" t="s">
        <v>82</v>
      </c>
      <c r="M226" s="29" t="s">
        <v>418</v>
      </c>
      <c r="N226" s="29" t="s">
        <v>415</v>
      </c>
      <c r="O226" s="31">
        <v>44561</v>
      </c>
      <c r="P226" s="31">
        <v>44568</v>
      </c>
      <c r="Q226" s="29" t="s">
        <v>83</v>
      </c>
    </row>
    <row r="227" spans="1:17" ht="15" hidden="1" x14ac:dyDescent="0.25">
      <c r="A227" s="29" t="s">
        <v>97</v>
      </c>
      <c r="B227" s="29" t="s">
        <v>92</v>
      </c>
      <c r="C227" s="29" t="s">
        <v>417</v>
      </c>
      <c r="D227" s="29" t="s">
        <v>383</v>
      </c>
      <c r="E227" s="29" t="s">
        <v>92</v>
      </c>
      <c r="F227" s="29" t="s">
        <v>79</v>
      </c>
      <c r="G227" s="29" t="s">
        <v>80</v>
      </c>
      <c r="H227" s="29" t="s">
        <v>81</v>
      </c>
      <c r="I227" s="29" t="s">
        <v>82</v>
      </c>
      <c r="J227" s="30">
        <v>-19160</v>
      </c>
      <c r="K227" s="29" t="s">
        <v>127</v>
      </c>
      <c r="L227" s="29" t="s">
        <v>82</v>
      </c>
      <c r="M227" s="29" t="s">
        <v>418</v>
      </c>
      <c r="N227" s="29" t="s">
        <v>415</v>
      </c>
      <c r="O227" s="31">
        <v>44592</v>
      </c>
      <c r="P227" s="31">
        <v>44569</v>
      </c>
      <c r="Q227" s="29" t="s">
        <v>83</v>
      </c>
    </row>
    <row r="228" spans="1:17" ht="15" hidden="1" x14ac:dyDescent="0.25">
      <c r="A228" s="29" t="s">
        <v>97</v>
      </c>
      <c r="B228" s="29" t="s">
        <v>87</v>
      </c>
      <c r="C228" s="29" t="s">
        <v>354</v>
      </c>
      <c r="D228" s="29" t="s">
        <v>382</v>
      </c>
      <c r="E228" s="29" t="s">
        <v>87</v>
      </c>
      <c r="F228" s="29" t="s">
        <v>79</v>
      </c>
      <c r="G228" s="29" t="s">
        <v>80</v>
      </c>
      <c r="H228" s="29" t="s">
        <v>81</v>
      </c>
      <c r="I228" s="29" t="s">
        <v>82</v>
      </c>
      <c r="J228" s="30">
        <v>2569.41</v>
      </c>
      <c r="K228" s="29" t="s">
        <v>144</v>
      </c>
      <c r="L228" s="29" t="s">
        <v>82</v>
      </c>
      <c r="M228" s="29" t="s">
        <v>286</v>
      </c>
      <c r="N228" s="29" t="s">
        <v>354</v>
      </c>
      <c r="O228" s="31">
        <v>44469</v>
      </c>
      <c r="P228" s="31">
        <v>44475</v>
      </c>
      <c r="Q228" s="29" t="s">
        <v>83</v>
      </c>
    </row>
    <row r="229" spans="1:17" ht="15" hidden="1" x14ac:dyDescent="0.25">
      <c r="A229" s="29" t="s">
        <v>97</v>
      </c>
      <c r="B229" s="29" t="s">
        <v>108</v>
      </c>
      <c r="C229" s="29" t="s">
        <v>285</v>
      </c>
      <c r="D229" s="29" t="s">
        <v>384</v>
      </c>
      <c r="E229" s="29" t="s">
        <v>108</v>
      </c>
      <c r="F229" s="29" t="s">
        <v>79</v>
      </c>
      <c r="G229" s="29" t="s">
        <v>80</v>
      </c>
      <c r="H229" s="29" t="s">
        <v>81</v>
      </c>
      <c r="I229" s="29" t="s">
        <v>82</v>
      </c>
      <c r="J229" s="30">
        <v>-49.62</v>
      </c>
      <c r="K229" s="29" t="s">
        <v>144</v>
      </c>
      <c r="L229" s="29" t="s">
        <v>82</v>
      </c>
      <c r="M229" s="29" t="s">
        <v>286</v>
      </c>
      <c r="N229" s="29" t="s">
        <v>287</v>
      </c>
      <c r="O229" s="31">
        <v>44500</v>
      </c>
      <c r="P229" s="31">
        <v>44475</v>
      </c>
      <c r="Q229" s="29" t="s">
        <v>83</v>
      </c>
    </row>
    <row r="230" spans="1:17" ht="15" hidden="1" x14ac:dyDescent="0.25">
      <c r="A230" s="29" t="s">
        <v>97</v>
      </c>
      <c r="B230" s="29" t="s">
        <v>109</v>
      </c>
      <c r="C230" s="29" t="s">
        <v>288</v>
      </c>
      <c r="D230" s="29" t="s">
        <v>385</v>
      </c>
      <c r="E230" s="29" t="s">
        <v>109</v>
      </c>
      <c r="F230" s="29" t="s">
        <v>79</v>
      </c>
      <c r="G230" s="29" t="s">
        <v>80</v>
      </c>
      <c r="H230" s="29" t="s">
        <v>81</v>
      </c>
      <c r="I230" s="29" t="s">
        <v>82</v>
      </c>
      <c r="J230" s="30">
        <v>-15.42</v>
      </c>
      <c r="K230" s="29" t="s">
        <v>144</v>
      </c>
      <c r="L230" s="29" t="s">
        <v>82</v>
      </c>
      <c r="M230" s="29" t="s">
        <v>286</v>
      </c>
      <c r="N230" s="29" t="s">
        <v>289</v>
      </c>
      <c r="O230" s="31">
        <v>44500</v>
      </c>
      <c r="P230" s="31">
        <v>44475</v>
      </c>
      <c r="Q230" s="29" t="s">
        <v>83</v>
      </c>
    </row>
    <row r="231" spans="1:17" ht="15" hidden="1" x14ac:dyDescent="0.25">
      <c r="A231" s="29" t="s">
        <v>97</v>
      </c>
      <c r="B231" s="29" t="s">
        <v>87</v>
      </c>
      <c r="C231" s="29" t="s">
        <v>353</v>
      </c>
      <c r="D231" s="29" t="s">
        <v>382</v>
      </c>
      <c r="E231" s="29" t="s">
        <v>87</v>
      </c>
      <c r="F231" s="29" t="s">
        <v>79</v>
      </c>
      <c r="G231" s="29" t="s">
        <v>80</v>
      </c>
      <c r="H231" s="29" t="s">
        <v>81</v>
      </c>
      <c r="I231" s="29" t="s">
        <v>82</v>
      </c>
      <c r="J231" s="30">
        <v>-2569.41</v>
      </c>
      <c r="K231" s="29" t="s">
        <v>144</v>
      </c>
      <c r="L231" s="29" t="s">
        <v>82</v>
      </c>
      <c r="M231" s="29" t="s">
        <v>286</v>
      </c>
      <c r="N231" s="29" t="s">
        <v>354</v>
      </c>
      <c r="O231" s="31">
        <v>44500</v>
      </c>
      <c r="P231" s="31">
        <v>44475</v>
      </c>
      <c r="Q231" s="29" t="s">
        <v>83</v>
      </c>
    </row>
    <row r="232" spans="1:17" ht="15" hidden="1" x14ac:dyDescent="0.25">
      <c r="A232" s="29" t="s">
        <v>97</v>
      </c>
      <c r="B232" s="29" t="s">
        <v>92</v>
      </c>
      <c r="C232" s="29" t="s">
        <v>355</v>
      </c>
      <c r="D232" s="29" t="s">
        <v>383</v>
      </c>
      <c r="E232" s="29" t="s">
        <v>92</v>
      </c>
      <c r="F232" s="29" t="s">
        <v>79</v>
      </c>
      <c r="G232" s="29" t="s">
        <v>80</v>
      </c>
      <c r="H232" s="29" t="s">
        <v>81</v>
      </c>
      <c r="I232" s="29" t="s">
        <v>82</v>
      </c>
      <c r="J232" s="30">
        <v>-280</v>
      </c>
      <c r="K232" s="29" t="s">
        <v>357</v>
      </c>
      <c r="L232" s="29" t="s">
        <v>82</v>
      </c>
      <c r="M232" s="29" t="s">
        <v>293</v>
      </c>
      <c r="N232" s="29" t="s">
        <v>356</v>
      </c>
      <c r="O232" s="31">
        <v>44500</v>
      </c>
      <c r="P232" s="31">
        <v>44477</v>
      </c>
      <c r="Q232" s="29" t="s">
        <v>83</v>
      </c>
    </row>
    <row r="233" spans="1:17" ht="15" hidden="1" x14ac:dyDescent="0.25">
      <c r="A233" s="29" t="s">
        <v>97</v>
      </c>
      <c r="B233" s="29" t="s">
        <v>87</v>
      </c>
      <c r="C233" s="29" t="s">
        <v>261</v>
      </c>
      <c r="D233" s="29" t="s">
        <v>382</v>
      </c>
      <c r="E233" s="29" t="s">
        <v>87</v>
      </c>
      <c r="F233" s="29" t="s">
        <v>79</v>
      </c>
      <c r="G233" s="29" t="s">
        <v>80</v>
      </c>
      <c r="H233" s="29" t="s">
        <v>81</v>
      </c>
      <c r="I233" s="29" t="s">
        <v>82</v>
      </c>
      <c r="J233" s="30">
        <v>1552.73</v>
      </c>
      <c r="K233" s="29" t="s">
        <v>144</v>
      </c>
      <c r="L233" s="29" t="s">
        <v>82</v>
      </c>
      <c r="M233" s="29" t="s">
        <v>199</v>
      </c>
      <c r="N233" s="29" t="s">
        <v>261</v>
      </c>
      <c r="O233" s="31">
        <v>44500</v>
      </c>
      <c r="P233" s="31">
        <v>44504</v>
      </c>
      <c r="Q233" s="29" t="s">
        <v>83</v>
      </c>
    </row>
    <row r="234" spans="1:17" ht="15" hidden="1" x14ac:dyDescent="0.25">
      <c r="A234" s="29" t="s">
        <v>97</v>
      </c>
      <c r="B234" s="29" t="s">
        <v>109</v>
      </c>
      <c r="C234" s="29" t="s">
        <v>198</v>
      </c>
      <c r="D234" s="29" t="s">
        <v>385</v>
      </c>
      <c r="E234" s="29" t="s">
        <v>109</v>
      </c>
      <c r="F234" s="29" t="s">
        <v>79</v>
      </c>
      <c r="G234" s="29" t="s">
        <v>80</v>
      </c>
      <c r="H234" s="29" t="s">
        <v>81</v>
      </c>
      <c r="I234" s="29" t="s">
        <v>82</v>
      </c>
      <c r="J234" s="30">
        <v>9.33</v>
      </c>
      <c r="K234" s="29" t="s">
        <v>144</v>
      </c>
      <c r="L234" s="29" t="s">
        <v>82</v>
      </c>
      <c r="M234" s="29" t="s">
        <v>199</v>
      </c>
      <c r="N234" s="29" t="s">
        <v>198</v>
      </c>
      <c r="O234" s="31">
        <v>44500</v>
      </c>
      <c r="P234" s="31">
        <v>44504</v>
      </c>
      <c r="Q234" s="29" t="s">
        <v>83</v>
      </c>
    </row>
    <row r="235" spans="1:17" ht="15" hidden="1" x14ac:dyDescent="0.25">
      <c r="A235" s="29" t="s">
        <v>97</v>
      </c>
      <c r="B235" s="29" t="s">
        <v>108</v>
      </c>
      <c r="C235" s="29" t="s">
        <v>319</v>
      </c>
      <c r="D235" s="29" t="s">
        <v>384</v>
      </c>
      <c r="E235" s="29" t="s">
        <v>108</v>
      </c>
      <c r="F235" s="29" t="s">
        <v>79</v>
      </c>
      <c r="G235" s="29" t="s">
        <v>80</v>
      </c>
      <c r="H235" s="29" t="s">
        <v>81</v>
      </c>
      <c r="I235" s="29" t="s">
        <v>82</v>
      </c>
      <c r="J235" s="30">
        <v>29.99</v>
      </c>
      <c r="K235" s="29" t="s">
        <v>144</v>
      </c>
      <c r="L235" s="29" t="s">
        <v>82</v>
      </c>
      <c r="M235" s="29" t="s">
        <v>199</v>
      </c>
      <c r="N235" s="29" t="s">
        <v>319</v>
      </c>
      <c r="O235" s="31">
        <v>44500</v>
      </c>
      <c r="P235" s="31">
        <v>44504</v>
      </c>
      <c r="Q235" s="29" t="s">
        <v>83</v>
      </c>
    </row>
    <row r="236" spans="1:17" ht="15" hidden="1" x14ac:dyDescent="0.25">
      <c r="A236" s="29" t="s">
        <v>97</v>
      </c>
      <c r="B236" s="29" t="s">
        <v>87</v>
      </c>
      <c r="C236" s="29" t="s">
        <v>380</v>
      </c>
      <c r="D236" s="29" t="s">
        <v>382</v>
      </c>
      <c r="E236" s="29" t="s">
        <v>87</v>
      </c>
      <c r="F236" s="29" t="s">
        <v>79</v>
      </c>
      <c r="G236" s="29" t="s">
        <v>80</v>
      </c>
      <c r="H236" s="29" t="s">
        <v>81</v>
      </c>
      <c r="I236" s="29" t="s">
        <v>82</v>
      </c>
      <c r="J236" s="30">
        <v>-1552.73</v>
      </c>
      <c r="K236" s="29" t="s">
        <v>144</v>
      </c>
      <c r="L236" s="29" t="s">
        <v>82</v>
      </c>
      <c r="M236" s="29" t="s">
        <v>199</v>
      </c>
      <c r="N236" s="29" t="s">
        <v>261</v>
      </c>
      <c r="O236" s="31">
        <v>44530</v>
      </c>
      <c r="P236" s="31">
        <v>44504</v>
      </c>
      <c r="Q236" s="29" t="s">
        <v>83</v>
      </c>
    </row>
    <row r="237" spans="1:17" ht="15" hidden="1" x14ac:dyDescent="0.25">
      <c r="A237" s="29" t="s">
        <v>97</v>
      </c>
      <c r="B237" s="29" t="s">
        <v>109</v>
      </c>
      <c r="C237" s="29" t="s">
        <v>320</v>
      </c>
      <c r="D237" s="29" t="s">
        <v>385</v>
      </c>
      <c r="E237" s="29" t="s">
        <v>109</v>
      </c>
      <c r="F237" s="29" t="s">
        <v>79</v>
      </c>
      <c r="G237" s="29" t="s">
        <v>80</v>
      </c>
      <c r="H237" s="29" t="s">
        <v>81</v>
      </c>
      <c r="I237" s="29" t="s">
        <v>82</v>
      </c>
      <c r="J237" s="30">
        <v>-9.33</v>
      </c>
      <c r="K237" s="29" t="s">
        <v>144</v>
      </c>
      <c r="L237" s="29" t="s">
        <v>82</v>
      </c>
      <c r="M237" s="29" t="s">
        <v>199</v>
      </c>
      <c r="N237" s="29" t="s">
        <v>198</v>
      </c>
      <c r="O237" s="31">
        <v>44530</v>
      </c>
      <c r="P237" s="31">
        <v>44504</v>
      </c>
      <c r="Q237" s="29" t="s">
        <v>83</v>
      </c>
    </row>
    <row r="238" spans="1:17" ht="15" hidden="1" x14ac:dyDescent="0.25">
      <c r="A238" s="29" t="s">
        <v>97</v>
      </c>
      <c r="B238" s="29" t="s">
        <v>108</v>
      </c>
      <c r="C238" s="29" t="s">
        <v>321</v>
      </c>
      <c r="D238" s="29" t="s">
        <v>384</v>
      </c>
      <c r="E238" s="29" t="s">
        <v>108</v>
      </c>
      <c r="F238" s="29" t="s">
        <v>79</v>
      </c>
      <c r="G238" s="29" t="s">
        <v>80</v>
      </c>
      <c r="H238" s="29" t="s">
        <v>81</v>
      </c>
      <c r="I238" s="29" t="s">
        <v>82</v>
      </c>
      <c r="J238" s="30">
        <v>-29.99</v>
      </c>
      <c r="K238" s="29" t="s">
        <v>144</v>
      </c>
      <c r="L238" s="29" t="s">
        <v>82</v>
      </c>
      <c r="M238" s="29" t="s">
        <v>199</v>
      </c>
      <c r="N238" s="29" t="s">
        <v>319</v>
      </c>
      <c r="O238" s="31">
        <v>44530</v>
      </c>
      <c r="P238" s="31">
        <v>44504</v>
      </c>
      <c r="Q238" s="29" t="s">
        <v>83</v>
      </c>
    </row>
    <row r="239" spans="1:17" ht="15" hidden="1" x14ac:dyDescent="0.25">
      <c r="A239" s="29" t="s">
        <v>97</v>
      </c>
      <c r="B239" s="29" t="s">
        <v>108</v>
      </c>
      <c r="C239" s="29" t="s">
        <v>298</v>
      </c>
      <c r="D239" s="29" t="s">
        <v>384</v>
      </c>
      <c r="E239" s="29" t="s">
        <v>108</v>
      </c>
      <c r="F239" s="29" t="s">
        <v>79</v>
      </c>
      <c r="G239" s="29" t="s">
        <v>80</v>
      </c>
      <c r="H239" s="29" t="s">
        <v>81</v>
      </c>
      <c r="I239" s="29" t="s">
        <v>82</v>
      </c>
      <c r="J239" s="30">
        <v>10.7</v>
      </c>
      <c r="K239" s="29" t="s">
        <v>144</v>
      </c>
      <c r="L239" s="29" t="s">
        <v>82</v>
      </c>
      <c r="M239" s="29" t="s">
        <v>216</v>
      </c>
      <c r="N239" s="29" t="s">
        <v>298</v>
      </c>
      <c r="O239" s="31">
        <v>44530</v>
      </c>
      <c r="P239" s="31">
        <v>44536</v>
      </c>
      <c r="Q239" s="29" t="s">
        <v>83</v>
      </c>
    </row>
    <row r="240" spans="1:17" ht="15" hidden="1" x14ac:dyDescent="0.25">
      <c r="A240" s="29" t="s">
        <v>97</v>
      </c>
      <c r="B240" s="29" t="s">
        <v>109</v>
      </c>
      <c r="C240" s="29" t="s">
        <v>365</v>
      </c>
      <c r="D240" s="29" t="s">
        <v>385</v>
      </c>
      <c r="E240" s="29" t="s">
        <v>109</v>
      </c>
      <c r="F240" s="29" t="s">
        <v>79</v>
      </c>
      <c r="G240" s="29" t="s">
        <v>80</v>
      </c>
      <c r="H240" s="29" t="s">
        <v>81</v>
      </c>
      <c r="I240" s="29" t="s">
        <v>82</v>
      </c>
      <c r="J240" s="30">
        <v>3.34</v>
      </c>
      <c r="K240" s="29" t="s">
        <v>144</v>
      </c>
      <c r="L240" s="29" t="s">
        <v>82</v>
      </c>
      <c r="M240" s="29" t="s">
        <v>216</v>
      </c>
      <c r="N240" s="29" t="s">
        <v>365</v>
      </c>
      <c r="O240" s="31">
        <v>44530</v>
      </c>
      <c r="P240" s="31">
        <v>44536</v>
      </c>
      <c r="Q240" s="29" t="s">
        <v>83</v>
      </c>
    </row>
    <row r="241" spans="1:17" ht="15" hidden="1" x14ac:dyDescent="0.25">
      <c r="A241" s="29" t="s">
        <v>97</v>
      </c>
      <c r="B241" s="29" t="s">
        <v>87</v>
      </c>
      <c r="C241" s="29" t="s">
        <v>326</v>
      </c>
      <c r="D241" s="29" t="s">
        <v>382</v>
      </c>
      <c r="E241" s="29" t="s">
        <v>87</v>
      </c>
      <c r="F241" s="29" t="s">
        <v>79</v>
      </c>
      <c r="G241" s="29" t="s">
        <v>80</v>
      </c>
      <c r="H241" s="29" t="s">
        <v>81</v>
      </c>
      <c r="I241" s="29" t="s">
        <v>82</v>
      </c>
      <c r="J241" s="30">
        <v>554.55999999999995</v>
      </c>
      <c r="K241" s="29" t="s">
        <v>144</v>
      </c>
      <c r="L241" s="29" t="s">
        <v>82</v>
      </c>
      <c r="M241" s="29" t="s">
        <v>216</v>
      </c>
      <c r="N241" s="29" t="s">
        <v>326</v>
      </c>
      <c r="O241" s="31">
        <v>44530</v>
      </c>
      <c r="P241" s="31">
        <v>44536</v>
      </c>
      <c r="Q241" s="29" t="s">
        <v>83</v>
      </c>
    </row>
    <row r="242" spans="1:17" ht="15" hidden="1" x14ac:dyDescent="0.25">
      <c r="A242" s="29" t="s">
        <v>97</v>
      </c>
      <c r="B242" s="29" t="s">
        <v>108</v>
      </c>
      <c r="C242" s="29" t="s">
        <v>297</v>
      </c>
      <c r="D242" s="29" t="s">
        <v>384</v>
      </c>
      <c r="E242" s="29" t="s">
        <v>108</v>
      </c>
      <c r="F242" s="29" t="s">
        <v>79</v>
      </c>
      <c r="G242" s="29" t="s">
        <v>80</v>
      </c>
      <c r="H242" s="29" t="s">
        <v>81</v>
      </c>
      <c r="I242" s="29" t="s">
        <v>82</v>
      </c>
      <c r="J242" s="30">
        <v>-10.7</v>
      </c>
      <c r="K242" s="29" t="s">
        <v>144</v>
      </c>
      <c r="L242" s="29" t="s">
        <v>82</v>
      </c>
      <c r="M242" s="29" t="s">
        <v>216</v>
      </c>
      <c r="N242" s="29" t="s">
        <v>298</v>
      </c>
      <c r="O242" s="31">
        <v>44561</v>
      </c>
      <c r="P242" s="31">
        <v>44536</v>
      </c>
      <c r="Q242" s="29" t="s">
        <v>83</v>
      </c>
    </row>
    <row r="243" spans="1:17" ht="15" hidden="1" x14ac:dyDescent="0.25">
      <c r="A243" s="29" t="s">
        <v>97</v>
      </c>
      <c r="B243" s="29" t="s">
        <v>109</v>
      </c>
      <c r="C243" s="29" t="s">
        <v>381</v>
      </c>
      <c r="D243" s="29" t="s">
        <v>385</v>
      </c>
      <c r="E243" s="29" t="s">
        <v>109</v>
      </c>
      <c r="F243" s="29" t="s">
        <v>79</v>
      </c>
      <c r="G243" s="29" t="s">
        <v>80</v>
      </c>
      <c r="H243" s="29" t="s">
        <v>81</v>
      </c>
      <c r="I243" s="29" t="s">
        <v>82</v>
      </c>
      <c r="J243" s="30">
        <v>-3.34</v>
      </c>
      <c r="K243" s="29" t="s">
        <v>144</v>
      </c>
      <c r="L243" s="29" t="s">
        <v>82</v>
      </c>
      <c r="M243" s="29" t="s">
        <v>216</v>
      </c>
      <c r="N243" s="29" t="s">
        <v>365</v>
      </c>
      <c r="O243" s="31">
        <v>44561</v>
      </c>
      <c r="P243" s="31">
        <v>44536</v>
      </c>
      <c r="Q243" s="29" t="s">
        <v>83</v>
      </c>
    </row>
    <row r="244" spans="1:17" ht="15" hidden="1" x14ac:dyDescent="0.25">
      <c r="A244" s="29" t="s">
        <v>97</v>
      </c>
      <c r="B244" s="29" t="s">
        <v>87</v>
      </c>
      <c r="C244" s="29" t="s">
        <v>325</v>
      </c>
      <c r="D244" s="29" t="s">
        <v>382</v>
      </c>
      <c r="E244" s="29" t="s">
        <v>87</v>
      </c>
      <c r="F244" s="29" t="s">
        <v>79</v>
      </c>
      <c r="G244" s="29" t="s">
        <v>80</v>
      </c>
      <c r="H244" s="29" t="s">
        <v>81</v>
      </c>
      <c r="I244" s="29" t="s">
        <v>82</v>
      </c>
      <c r="J244" s="30">
        <v>-554.55999999999995</v>
      </c>
      <c r="K244" s="29" t="s">
        <v>144</v>
      </c>
      <c r="L244" s="29" t="s">
        <v>82</v>
      </c>
      <c r="M244" s="29" t="s">
        <v>216</v>
      </c>
      <c r="N244" s="29" t="s">
        <v>326</v>
      </c>
      <c r="O244" s="31">
        <v>44561</v>
      </c>
      <c r="P244" s="31">
        <v>44536</v>
      </c>
      <c r="Q244" s="29" t="s">
        <v>83</v>
      </c>
    </row>
    <row r="245" spans="1:17" ht="15" hidden="1" x14ac:dyDescent="0.25">
      <c r="A245" s="29" t="s">
        <v>391</v>
      </c>
      <c r="B245" s="29" t="s">
        <v>93</v>
      </c>
      <c r="C245" s="29" t="s">
        <v>419</v>
      </c>
      <c r="D245" s="29" t="s">
        <v>383</v>
      </c>
      <c r="E245" s="29" t="s">
        <v>92</v>
      </c>
      <c r="F245" s="29" t="s">
        <v>79</v>
      </c>
      <c r="G245" s="29" t="s">
        <v>80</v>
      </c>
      <c r="H245" s="29" t="s">
        <v>81</v>
      </c>
      <c r="I245" s="29" t="s">
        <v>420</v>
      </c>
      <c r="J245" s="30">
        <v>80759.240000000005</v>
      </c>
      <c r="K245" s="29" t="s">
        <v>394</v>
      </c>
      <c r="L245" s="29" t="s">
        <v>82</v>
      </c>
      <c r="M245" s="29" t="s">
        <v>82</v>
      </c>
      <c r="N245" s="29" t="s">
        <v>419</v>
      </c>
      <c r="O245" s="31">
        <v>44561</v>
      </c>
      <c r="P245" s="31">
        <v>44570</v>
      </c>
      <c r="Q245" s="29" t="s">
        <v>83</v>
      </c>
    </row>
    <row r="246" spans="1:17" ht="15" hidden="1" x14ac:dyDescent="0.25">
      <c r="A246" s="29" t="s">
        <v>97</v>
      </c>
      <c r="B246" s="29" t="s">
        <v>92</v>
      </c>
      <c r="C246" s="29" t="s">
        <v>316</v>
      </c>
      <c r="D246" s="29" t="s">
        <v>383</v>
      </c>
      <c r="E246" s="29" t="s">
        <v>92</v>
      </c>
      <c r="F246" s="29" t="s">
        <v>79</v>
      </c>
      <c r="G246" s="29" t="s">
        <v>80</v>
      </c>
      <c r="H246" s="29" t="s">
        <v>81</v>
      </c>
      <c r="I246" s="29" t="s">
        <v>82</v>
      </c>
      <c r="J246" s="30">
        <v>264.39999999999998</v>
      </c>
      <c r="K246" s="29" t="s">
        <v>203</v>
      </c>
      <c r="L246" s="29" t="s">
        <v>82</v>
      </c>
      <c r="M246" s="29" t="s">
        <v>185</v>
      </c>
      <c r="N246" s="29" t="s">
        <v>316</v>
      </c>
      <c r="O246" s="31">
        <v>44439</v>
      </c>
      <c r="P246" s="31">
        <v>44448</v>
      </c>
      <c r="Q246" s="29" t="s">
        <v>83</v>
      </c>
    </row>
    <row r="247" spans="1:17" ht="15" hidden="1" x14ac:dyDescent="0.25">
      <c r="A247" s="29" t="s">
        <v>97</v>
      </c>
      <c r="B247" s="29" t="s">
        <v>92</v>
      </c>
      <c r="C247" s="29" t="s">
        <v>315</v>
      </c>
      <c r="D247" s="29" t="s">
        <v>383</v>
      </c>
      <c r="E247" s="29" t="s">
        <v>92</v>
      </c>
      <c r="F247" s="29" t="s">
        <v>79</v>
      </c>
      <c r="G247" s="29" t="s">
        <v>80</v>
      </c>
      <c r="H247" s="29" t="s">
        <v>81</v>
      </c>
      <c r="I247" s="29" t="s">
        <v>82</v>
      </c>
      <c r="J247" s="30">
        <v>-264.39999999999998</v>
      </c>
      <c r="K247" s="29" t="s">
        <v>203</v>
      </c>
      <c r="L247" s="29" t="s">
        <v>82</v>
      </c>
      <c r="M247" s="29" t="s">
        <v>185</v>
      </c>
      <c r="N247" s="29" t="s">
        <v>316</v>
      </c>
      <c r="O247" s="31">
        <v>44469</v>
      </c>
      <c r="P247" s="31">
        <v>44448</v>
      </c>
      <c r="Q247" s="29" t="s">
        <v>83</v>
      </c>
    </row>
    <row r="248" spans="1:17" ht="15" hidden="1" x14ac:dyDescent="0.25">
      <c r="A248" s="29" t="s">
        <v>97</v>
      </c>
      <c r="B248" s="29" t="s">
        <v>92</v>
      </c>
      <c r="C248" s="29" t="s">
        <v>200</v>
      </c>
      <c r="D248" s="29" t="s">
        <v>383</v>
      </c>
      <c r="E248" s="29" t="s">
        <v>92</v>
      </c>
      <c r="F248" s="29" t="s">
        <v>79</v>
      </c>
      <c r="G248" s="29" t="s">
        <v>80</v>
      </c>
      <c r="H248" s="29" t="s">
        <v>81</v>
      </c>
      <c r="I248" s="29" t="s">
        <v>82</v>
      </c>
      <c r="J248" s="30">
        <v>195.75</v>
      </c>
      <c r="K248" s="29" t="s">
        <v>201</v>
      </c>
      <c r="L248" s="29" t="s">
        <v>82</v>
      </c>
      <c r="M248" s="29" t="s">
        <v>202</v>
      </c>
      <c r="N248" s="29" t="s">
        <v>200</v>
      </c>
      <c r="O248" s="31">
        <v>44500</v>
      </c>
      <c r="P248" s="31">
        <v>44504</v>
      </c>
      <c r="Q248" s="29" t="s">
        <v>83</v>
      </c>
    </row>
    <row r="249" spans="1:17" ht="15" hidden="1" x14ac:dyDescent="0.25">
      <c r="A249" s="29" t="s">
        <v>97</v>
      </c>
      <c r="B249" s="29" t="s">
        <v>92</v>
      </c>
      <c r="C249" s="29" t="s">
        <v>200</v>
      </c>
      <c r="D249" s="29" t="s">
        <v>383</v>
      </c>
      <c r="E249" s="29" t="s">
        <v>92</v>
      </c>
      <c r="F249" s="29" t="s">
        <v>79</v>
      </c>
      <c r="G249" s="29" t="s">
        <v>80</v>
      </c>
      <c r="H249" s="29" t="s">
        <v>81</v>
      </c>
      <c r="I249" s="29" t="s">
        <v>82</v>
      </c>
      <c r="J249" s="30">
        <v>401.86</v>
      </c>
      <c r="K249" s="29" t="s">
        <v>203</v>
      </c>
      <c r="L249" s="29" t="s">
        <v>82</v>
      </c>
      <c r="M249" s="29" t="s">
        <v>193</v>
      </c>
      <c r="N249" s="29" t="s">
        <v>200</v>
      </c>
      <c r="O249" s="31">
        <v>44500</v>
      </c>
      <c r="P249" s="31">
        <v>44504</v>
      </c>
      <c r="Q249" s="29" t="s">
        <v>83</v>
      </c>
    </row>
    <row r="250" spans="1:17" ht="15" hidden="1" x14ac:dyDescent="0.25">
      <c r="A250" s="29" t="s">
        <v>97</v>
      </c>
      <c r="B250" s="29" t="s">
        <v>92</v>
      </c>
      <c r="C250" s="29" t="s">
        <v>200</v>
      </c>
      <c r="D250" s="29" t="s">
        <v>383</v>
      </c>
      <c r="E250" s="29" t="s">
        <v>92</v>
      </c>
      <c r="F250" s="29" t="s">
        <v>79</v>
      </c>
      <c r="G250" s="29" t="s">
        <v>80</v>
      </c>
      <c r="H250" s="29" t="s">
        <v>81</v>
      </c>
      <c r="I250" s="29" t="s">
        <v>82</v>
      </c>
      <c r="J250" s="30">
        <v>15440</v>
      </c>
      <c r="K250" s="29" t="s">
        <v>100</v>
      </c>
      <c r="L250" s="29" t="s">
        <v>82</v>
      </c>
      <c r="M250" s="29" t="s">
        <v>195</v>
      </c>
      <c r="N250" s="29" t="s">
        <v>200</v>
      </c>
      <c r="O250" s="31">
        <v>44500</v>
      </c>
      <c r="P250" s="31">
        <v>44504</v>
      </c>
      <c r="Q250" s="29" t="s">
        <v>83</v>
      </c>
    </row>
    <row r="251" spans="1:17" ht="15" hidden="1" x14ac:dyDescent="0.25">
      <c r="A251" s="29" t="s">
        <v>97</v>
      </c>
      <c r="B251" s="29" t="s">
        <v>92</v>
      </c>
      <c r="C251" s="29" t="s">
        <v>262</v>
      </c>
      <c r="D251" s="29" t="s">
        <v>383</v>
      </c>
      <c r="E251" s="29" t="s">
        <v>92</v>
      </c>
      <c r="F251" s="29" t="s">
        <v>79</v>
      </c>
      <c r="G251" s="29" t="s">
        <v>80</v>
      </c>
      <c r="H251" s="29" t="s">
        <v>81</v>
      </c>
      <c r="I251" s="29" t="s">
        <v>82</v>
      </c>
      <c r="J251" s="30">
        <v>-195.75</v>
      </c>
      <c r="K251" s="29" t="s">
        <v>201</v>
      </c>
      <c r="L251" s="29" t="s">
        <v>82</v>
      </c>
      <c r="M251" s="29" t="s">
        <v>202</v>
      </c>
      <c r="N251" s="29" t="s">
        <v>200</v>
      </c>
      <c r="O251" s="31">
        <v>44530</v>
      </c>
      <c r="P251" s="31">
        <v>44508</v>
      </c>
      <c r="Q251" s="29" t="s">
        <v>83</v>
      </c>
    </row>
    <row r="252" spans="1:17" ht="15" hidden="1" x14ac:dyDescent="0.25">
      <c r="A252" s="29" t="s">
        <v>97</v>
      </c>
      <c r="B252" s="29" t="s">
        <v>92</v>
      </c>
      <c r="C252" s="29" t="s">
        <v>262</v>
      </c>
      <c r="D252" s="29" t="s">
        <v>383</v>
      </c>
      <c r="E252" s="29" t="s">
        <v>92</v>
      </c>
      <c r="F252" s="29" t="s">
        <v>79</v>
      </c>
      <c r="G252" s="29" t="s">
        <v>80</v>
      </c>
      <c r="H252" s="29" t="s">
        <v>81</v>
      </c>
      <c r="I252" s="29" t="s">
        <v>82</v>
      </c>
      <c r="J252" s="30">
        <v>-401.86</v>
      </c>
      <c r="K252" s="29" t="s">
        <v>203</v>
      </c>
      <c r="L252" s="29" t="s">
        <v>82</v>
      </c>
      <c r="M252" s="29" t="s">
        <v>193</v>
      </c>
      <c r="N252" s="29" t="s">
        <v>200</v>
      </c>
      <c r="O252" s="31">
        <v>44530</v>
      </c>
      <c r="P252" s="31">
        <v>44508</v>
      </c>
      <c r="Q252" s="29" t="s">
        <v>83</v>
      </c>
    </row>
    <row r="253" spans="1:17" ht="15" hidden="1" x14ac:dyDescent="0.25">
      <c r="A253" s="29" t="s">
        <v>97</v>
      </c>
      <c r="B253" s="29" t="s">
        <v>92</v>
      </c>
      <c r="C253" s="29" t="s">
        <v>262</v>
      </c>
      <c r="D253" s="29" t="s">
        <v>383</v>
      </c>
      <c r="E253" s="29" t="s">
        <v>92</v>
      </c>
      <c r="F253" s="29" t="s">
        <v>79</v>
      </c>
      <c r="G253" s="29" t="s">
        <v>80</v>
      </c>
      <c r="H253" s="29" t="s">
        <v>81</v>
      </c>
      <c r="I253" s="29" t="s">
        <v>82</v>
      </c>
      <c r="J253" s="30">
        <v>-15440</v>
      </c>
      <c r="K253" s="29" t="s">
        <v>100</v>
      </c>
      <c r="L253" s="29" t="s">
        <v>82</v>
      </c>
      <c r="M253" s="29" t="s">
        <v>195</v>
      </c>
      <c r="N253" s="29" t="s">
        <v>200</v>
      </c>
      <c r="O253" s="31">
        <v>44530</v>
      </c>
      <c r="P253" s="31">
        <v>44508</v>
      </c>
      <c r="Q253" s="29" t="s">
        <v>83</v>
      </c>
    </row>
    <row r="254" spans="1:17" ht="15" hidden="1" x14ac:dyDescent="0.25">
      <c r="A254" s="29" t="s">
        <v>97</v>
      </c>
      <c r="B254" s="29" t="s">
        <v>92</v>
      </c>
      <c r="C254" s="29" t="s">
        <v>209</v>
      </c>
      <c r="D254" s="29" t="s">
        <v>383</v>
      </c>
      <c r="E254" s="29" t="s">
        <v>92</v>
      </c>
      <c r="F254" s="29" t="s">
        <v>79</v>
      </c>
      <c r="G254" s="29" t="s">
        <v>80</v>
      </c>
      <c r="H254" s="29" t="s">
        <v>81</v>
      </c>
      <c r="I254" s="29" t="s">
        <v>82</v>
      </c>
      <c r="J254" s="30">
        <v>630.75</v>
      </c>
      <c r="K254" s="29" t="s">
        <v>201</v>
      </c>
      <c r="L254" s="29" t="s">
        <v>82</v>
      </c>
      <c r="M254" s="29" t="s">
        <v>208</v>
      </c>
      <c r="N254" s="29" t="s">
        <v>209</v>
      </c>
      <c r="O254" s="31">
        <v>44530</v>
      </c>
      <c r="P254" s="31">
        <v>44533</v>
      </c>
      <c r="Q254" s="29" t="s">
        <v>83</v>
      </c>
    </row>
    <row r="255" spans="1:17" ht="15" hidden="1" x14ac:dyDescent="0.25">
      <c r="A255" s="29" t="s">
        <v>97</v>
      </c>
      <c r="B255" s="29" t="s">
        <v>92</v>
      </c>
      <c r="C255" s="29" t="s">
        <v>209</v>
      </c>
      <c r="D255" s="29" t="s">
        <v>383</v>
      </c>
      <c r="E255" s="29" t="s">
        <v>92</v>
      </c>
      <c r="F255" s="29" t="s">
        <v>79</v>
      </c>
      <c r="G255" s="29" t="s">
        <v>80</v>
      </c>
      <c r="H255" s="29" t="s">
        <v>81</v>
      </c>
      <c r="I255" s="29" t="s">
        <v>82</v>
      </c>
      <c r="J255" s="30">
        <v>2810.73</v>
      </c>
      <c r="K255" s="29" t="s">
        <v>203</v>
      </c>
      <c r="L255" s="29" t="s">
        <v>82</v>
      </c>
      <c r="M255" s="29" t="s">
        <v>211</v>
      </c>
      <c r="N255" s="29" t="s">
        <v>209</v>
      </c>
      <c r="O255" s="31">
        <v>44530</v>
      </c>
      <c r="P255" s="31">
        <v>44533</v>
      </c>
      <c r="Q255" s="29" t="s">
        <v>83</v>
      </c>
    </row>
    <row r="256" spans="1:17" ht="15" hidden="1" x14ac:dyDescent="0.25">
      <c r="A256" s="29" t="s">
        <v>97</v>
      </c>
      <c r="B256" s="29" t="s">
        <v>92</v>
      </c>
      <c r="C256" s="29" t="s">
        <v>207</v>
      </c>
      <c r="D256" s="29" t="s">
        <v>383</v>
      </c>
      <c r="E256" s="29" t="s">
        <v>92</v>
      </c>
      <c r="F256" s="29" t="s">
        <v>79</v>
      </c>
      <c r="G256" s="29" t="s">
        <v>80</v>
      </c>
      <c r="H256" s="29" t="s">
        <v>81</v>
      </c>
      <c r="I256" s="29" t="s">
        <v>82</v>
      </c>
      <c r="J256" s="30">
        <v>-630.75</v>
      </c>
      <c r="K256" s="29" t="s">
        <v>201</v>
      </c>
      <c r="L256" s="29" t="s">
        <v>82</v>
      </c>
      <c r="M256" s="29" t="s">
        <v>208</v>
      </c>
      <c r="N256" s="29" t="s">
        <v>209</v>
      </c>
      <c r="O256" s="31">
        <v>44561</v>
      </c>
      <c r="P256" s="31">
        <v>44550</v>
      </c>
      <c r="Q256" s="29" t="s">
        <v>83</v>
      </c>
    </row>
    <row r="257" spans="1:17" ht="15" hidden="1" x14ac:dyDescent="0.25">
      <c r="A257" s="29" t="s">
        <v>97</v>
      </c>
      <c r="B257" s="29" t="s">
        <v>92</v>
      </c>
      <c r="C257" s="29" t="s">
        <v>207</v>
      </c>
      <c r="D257" s="29" t="s">
        <v>383</v>
      </c>
      <c r="E257" s="29" t="s">
        <v>92</v>
      </c>
      <c r="F257" s="29" t="s">
        <v>79</v>
      </c>
      <c r="G257" s="29" t="s">
        <v>80</v>
      </c>
      <c r="H257" s="29" t="s">
        <v>81</v>
      </c>
      <c r="I257" s="29" t="s">
        <v>82</v>
      </c>
      <c r="J257" s="30">
        <v>-2810.73</v>
      </c>
      <c r="K257" s="29" t="s">
        <v>203</v>
      </c>
      <c r="L257" s="29" t="s">
        <v>82</v>
      </c>
      <c r="M257" s="29" t="s">
        <v>211</v>
      </c>
      <c r="N257" s="29" t="s">
        <v>209</v>
      </c>
      <c r="O257" s="31">
        <v>44561</v>
      </c>
      <c r="P257" s="31">
        <v>44550</v>
      </c>
      <c r="Q257" s="29" t="s">
        <v>83</v>
      </c>
    </row>
    <row r="258" spans="1:17" ht="15" hidden="1" x14ac:dyDescent="0.25">
      <c r="A258" s="29" t="s">
        <v>97</v>
      </c>
      <c r="B258" s="29" t="s">
        <v>92</v>
      </c>
      <c r="C258" s="29" t="s">
        <v>415</v>
      </c>
      <c r="D258" s="29" t="s">
        <v>383</v>
      </c>
      <c r="E258" s="29" t="s">
        <v>92</v>
      </c>
      <c r="F258" s="29" t="s">
        <v>79</v>
      </c>
      <c r="G258" s="29" t="s">
        <v>80</v>
      </c>
      <c r="H258" s="29" t="s">
        <v>81</v>
      </c>
      <c r="I258" s="29" t="s">
        <v>82</v>
      </c>
      <c r="J258" s="30">
        <v>391.5</v>
      </c>
      <c r="K258" s="29" t="s">
        <v>201</v>
      </c>
      <c r="L258" s="29" t="s">
        <v>82</v>
      </c>
      <c r="M258" s="29" t="s">
        <v>421</v>
      </c>
      <c r="N258" s="29" t="s">
        <v>415</v>
      </c>
      <c r="O258" s="31">
        <v>44561</v>
      </c>
      <c r="P258" s="31">
        <v>44568</v>
      </c>
      <c r="Q258" s="29" t="s">
        <v>83</v>
      </c>
    </row>
    <row r="259" spans="1:17" ht="15" hidden="1" x14ac:dyDescent="0.25">
      <c r="A259" s="29" t="s">
        <v>97</v>
      </c>
      <c r="B259" s="29" t="s">
        <v>92</v>
      </c>
      <c r="C259" s="29" t="s">
        <v>417</v>
      </c>
      <c r="D259" s="29" t="s">
        <v>383</v>
      </c>
      <c r="E259" s="29" t="s">
        <v>92</v>
      </c>
      <c r="F259" s="29" t="s">
        <v>79</v>
      </c>
      <c r="G259" s="29" t="s">
        <v>80</v>
      </c>
      <c r="H259" s="29" t="s">
        <v>81</v>
      </c>
      <c r="I259" s="29" t="s">
        <v>82</v>
      </c>
      <c r="J259" s="30">
        <v>-391.5</v>
      </c>
      <c r="K259" s="29" t="s">
        <v>201</v>
      </c>
      <c r="L259" s="29" t="s">
        <v>82</v>
      </c>
      <c r="M259" s="29" t="s">
        <v>421</v>
      </c>
      <c r="N259" s="29" t="s">
        <v>415</v>
      </c>
      <c r="O259" s="31">
        <v>44592</v>
      </c>
      <c r="P259" s="31">
        <v>44569</v>
      </c>
      <c r="Q259" s="29" t="s">
        <v>83</v>
      </c>
    </row>
    <row r="260" spans="1:17" ht="15" hidden="1" x14ac:dyDescent="0.25">
      <c r="A260" s="29" t="s">
        <v>97</v>
      </c>
      <c r="B260" s="29" t="s">
        <v>92</v>
      </c>
      <c r="C260" s="29" t="s">
        <v>422</v>
      </c>
      <c r="D260" s="29" t="s">
        <v>383</v>
      </c>
      <c r="E260" s="29" t="s">
        <v>92</v>
      </c>
      <c r="F260" s="29" t="s">
        <v>79</v>
      </c>
      <c r="G260" s="29" t="s">
        <v>80</v>
      </c>
      <c r="H260" s="29" t="s">
        <v>81</v>
      </c>
      <c r="I260" s="29" t="s">
        <v>420</v>
      </c>
      <c r="J260" s="30">
        <v>23720</v>
      </c>
      <c r="K260" s="29" t="s">
        <v>100</v>
      </c>
      <c r="L260" s="29" t="s">
        <v>82</v>
      </c>
      <c r="M260" s="29" t="s">
        <v>423</v>
      </c>
      <c r="N260" s="29" t="s">
        <v>422</v>
      </c>
      <c r="O260" s="31">
        <v>44592</v>
      </c>
      <c r="P260" s="31"/>
      <c r="Q260" s="29" t="s">
        <v>210</v>
      </c>
    </row>
    <row r="261" spans="1:17" ht="15" hidden="1" x14ac:dyDescent="0.25">
      <c r="A261" s="29" t="s">
        <v>97</v>
      </c>
      <c r="B261" s="29" t="s">
        <v>92</v>
      </c>
      <c r="C261" s="29" t="s">
        <v>422</v>
      </c>
      <c r="D261" s="29" t="s">
        <v>383</v>
      </c>
      <c r="E261" s="29" t="s">
        <v>92</v>
      </c>
      <c r="F261" s="29" t="s">
        <v>79</v>
      </c>
      <c r="G261" s="29" t="s">
        <v>80</v>
      </c>
      <c r="H261" s="29" t="s">
        <v>81</v>
      </c>
      <c r="I261" s="29" t="s">
        <v>420</v>
      </c>
      <c r="J261" s="30">
        <v>17230</v>
      </c>
      <c r="K261" s="29" t="s">
        <v>424</v>
      </c>
      <c r="L261" s="29" t="s">
        <v>82</v>
      </c>
      <c r="M261" s="29" t="s">
        <v>425</v>
      </c>
      <c r="N261" s="29" t="s">
        <v>422</v>
      </c>
      <c r="O261" s="31">
        <v>44592</v>
      </c>
      <c r="P261" s="31"/>
      <c r="Q261" s="29" t="s">
        <v>210</v>
      </c>
    </row>
    <row r="262" spans="1:17" ht="15" hidden="1" x14ac:dyDescent="0.25">
      <c r="A262" s="29" t="s">
        <v>97</v>
      </c>
      <c r="B262" s="29" t="s">
        <v>92</v>
      </c>
      <c r="C262" s="29" t="s">
        <v>250</v>
      </c>
      <c r="D262" s="29" t="s">
        <v>383</v>
      </c>
      <c r="E262" s="29" t="s">
        <v>92</v>
      </c>
      <c r="F262" s="29" t="s">
        <v>79</v>
      </c>
      <c r="G262" s="29" t="s">
        <v>80</v>
      </c>
      <c r="H262" s="29" t="s">
        <v>81</v>
      </c>
      <c r="I262" s="29" t="s">
        <v>82</v>
      </c>
      <c r="J262" s="30">
        <v>3307.83</v>
      </c>
      <c r="K262" s="29" t="s">
        <v>231</v>
      </c>
      <c r="L262" s="29" t="s">
        <v>82</v>
      </c>
      <c r="M262" s="29" t="s">
        <v>161</v>
      </c>
      <c r="N262" s="29" t="s">
        <v>250</v>
      </c>
      <c r="O262" s="31">
        <v>44377</v>
      </c>
      <c r="P262" s="31">
        <v>44383</v>
      </c>
      <c r="Q262" s="29" t="s">
        <v>83</v>
      </c>
    </row>
    <row r="263" spans="1:17" ht="15" hidden="1" x14ac:dyDescent="0.25">
      <c r="A263" s="29" t="s">
        <v>97</v>
      </c>
      <c r="B263" s="29" t="s">
        <v>92</v>
      </c>
      <c r="C263" s="29" t="s">
        <v>308</v>
      </c>
      <c r="D263" s="29" t="s">
        <v>383</v>
      </c>
      <c r="E263" s="29" t="s">
        <v>92</v>
      </c>
      <c r="F263" s="29" t="s">
        <v>79</v>
      </c>
      <c r="G263" s="29" t="s">
        <v>80</v>
      </c>
      <c r="H263" s="29" t="s">
        <v>81</v>
      </c>
      <c r="I263" s="29" t="s">
        <v>82</v>
      </c>
      <c r="J263" s="30">
        <v>-3307.83</v>
      </c>
      <c r="K263" s="29" t="s">
        <v>231</v>
      </c>
      <c r="L263" s="29" t="s">
        <v>82</v>
      </c>
      <c r="M263" s="29" t="s">
        <v>161</v>
      </c>
      <c r="N263" s="29" t="s">
        <v>250</v>
      </c>
      <c r="O263" s="31">
        <v>44408</v>
      </c>
      <c r="P263" s="31">
        <v>44383</v>
      </c>
      <c r="Q263" s="29" t="s">
        <v>83</v>
      </c>
    </row>
    <row r="264" spans="1:17" ht="15" hidden="1" x14ac:dyDescent="0.25">
      <c r="A264" s="29" t="s">
        <v>97</v>
      </c>
      <c r="B264" s="29" t="s">
        <v>92</v>
      </c>
      <c r="C264" s="29" t="s">
        <v>310</v>
      </c>
      <c r="D264" s="29" t="s">
        <v>383</v>
      </c>
      <c r="E264" s="29" t="s">
        <v>92</v>
      </c>
      <c r="F264" s="29" t="s">
        <v>79</v>
      </c>
      <c r="G264" s="29" t="s">
        <v>80</v>
      </c>
      <c r="H264" s="29" t="s">
        <v>81</v>
      </c>
      <c r="I264" s="29" t="s">
        <v>82</v>
      </c>
      <c r="J264" s="30">
        <v>-3307.83</v>
      </c>
      <c r="K264" s="29" t="s">
        <v>160</v>
      </c>
      <c r="L264" s="29" t="s">
        <v>82</v>
      </c>
      <c r="M264" s="29" t="s">
        <v>161</v>
      </c>
      <c r="N264" s="29" t="s">
        <v>159</v>
      </c>
      <c r="O264" s="31">
        <v>44408</v>
      </c>
      <c r="P264" s="31">
        <v>44385</v>
      </c>
      <c r="Q264" s="29" t="s">
        <v>83</v>
      </c>
    </row>
    <row r="265" spans="1:17" ht="15" hidden="1" x14ac:dyDescent="0.25">
      <c r="A265" s="29" t="s">
        <v>97</v>
      </c>
      <c r="B265" s="29" t="s">
        <v>92</v>
      </c>
      <c r="C265" s="29" t="s">
        <v>311</v>
      </c>
      <c r="D265" s="29" t="s">
        <v>383</v>
      </c>
      <c r="E265" s="29" t="s">
        <v>92</v>
      </c>
      <c r="F265" s="29" t="s">
        <v>79</v>
      </c>
      <c r="G265" s="29" t="s">
        <v>80</v>
      </c>
      <c r="H265" s="29" t="s">
        <v>81</v>
      </c>
      <c r="I265" s="29" t="s">
        <v>82</v>
      </c>
      <c r="J265" s="30">
        <v>1727.77</v>
      </c>
      <c r="K265" s="29" t="s">
        <v>312</v>
      </c>
      <c r="L265" s="29" t="s">
        <v>82</v>
      </c>
      <c r="M265" s="29" t="s">
        <v>171</v>
      </c>
      <c r="N265" s="29" t="s">
        <v>311</v>
      </c>
      <c r="O265" s="31">
        <v>44408</v>
      </c>
      <c r="P265" s="31">
        <v>44413</v>
      </c>
      <c r="Q265" s="29" t="s">
        <v>83</v>
      </c>
    </row>
    <row r="266" spans="1:17" ht="15" hidden="1" x14ac:dyDescent="0.25">
      <c r="A266" s="29" t="s">
        <v>97</v>
      </c>
      <c r="B266" s="29" t="s">
        <v>92</v>
      </c>
      <c r="C266" s="29" t="s">
        <v>311</v>
      </c>
      <c r="D266" s="29" t="s">
        <v>383</v>
      </c>
      <c r="E266" s="29" t="s">
        <v>92</v>
      </c>
      <c r="F266" s="29" t="s">
        <v>79</v>
      </c>
      <c r="G266" s="29" t="s">
        <v>80</v>
      </c>
      <c r="H266" s="29" t="s">
        <v>81</v>
      </c>
      <c r="I266" s="29" t="s">
        <v>82</v>
      </c>
      <c r="J266" s="30">
        <v>2284</v>
      </c>
      <c r="K266" s="29" t="s">
        <v>313</v>
      </c>
      <c r="L266" s="29" t="s">
        <v>82</v>
      </c>
      <c r="M266" s="29" t="s">
        <v>174</v>
      </c>
      <c r="N266" s="29" t="s">
        <v>311</v>
      </c>
      <c r="O266" s="31">
        <v>44408</v>
      </c>
      <c r="P266" s="31">
        <v>44413</v>
      </c>
      <c r="Q266" s="29" t="s">
        <v>83</v>
      </c>
    </row>
    <row r="267" spans="1:17" ht="15" hidden="1" x14ac:dyDescent="0.25">
      <c r="A267" s="29" t="s">
        <v>97</v>
      </c>
      <c r="B267" s="29" t="s">
        <v>92</v>
      </c>
      <c r="C267" s="29" t="s">
        <v>340</v>
      </c>
      <c r="D267" s="29" t="s">
        <v>383</v>
      </c>
      <c r="E267" s="29" t="s">
        <v>92</v>
      </c>
      <c r="F267" s="29" t="s">
        <v>79</v>
      </c>
      <c r="G267" s="29" t="s">
        <v>80</v>
      </c>
      <c r="H267" s="29" t="s">
        <v>81</v>
      </c>
      <c r="I267" s="29" t="s">
        <v>82</v>
      </c>
      <c r="J267" s="30">
        <v>-1727.77</v>
      </c>
      <c r="K267" s="29" t="s">
        <v>312</v>
      </c>
      <c r="L267" s="29" t="s">
        <v>82</v>
      </c>
      <c r="M267" s="29" t="s">
        <v>171</v>
      </c>
      <c r="N267" s="29" t="s">
        <v>311</v>
      </c>
      <c r="O267" s="31">
        <v>44439</v>
      </c>
      <c r="P267" s="31">
        <v>44416</v>
      </c>
      <c r="Q267" s="29" t="s">
        <v>83</v>
      </c>
    </row>
    <row r="268" spans="1:17" ht="15" hidden="1" x14ac:dyDescent="0.25">
      <c r="A268" s="29" t="s">
        <v>97</v>
      </c>
      <c r="B268" s="29" t="s">
        <v>92</v>
      </c>
      <c r="C268" s="29" t="s">
        <v>340</v>
      </c>
      <c r="D268" s="29" t="s">
        <v>383</v>
      </c>
      <c r="E268" s="29" t="s">
        <v>92</v>
      </c>
      <c r="F268" s="29" t="s">
        <v>79</v>
      </c>
      <c r="G268" s="29" t="s">
        <v>80</v>
      </c>
      <c r="H268" s="29" t="s">
        <v>81</v>
      </c>
      <c r="I268" s="29" t="s">
        <v>82</v>
      </c>
      <c r="J268" s="30">
        <v>-2284</v>
      </c>
      <c r="K268" s="29" t="s">
        <v>313</v>
      </c>
      <c r="L268" s="29" t="s">
        <v>82</v>
      </c>
      <c r="M268" s="29" t="s">
        <v>174</v>
      </c>
      <c r="N268" s="29" t="s">
        <v>311</v>
      </c>
      <c r="O268" s="31">
        <v>44439</v>
      </c>
      <c r="P268" s="31">
        <v>44416</v>
      </c>
      <c r="Q268" s="29" t="s">
        <v>83</v>
      </c>
    </row>
    <row r="269" spans="1:17" ht="15" hidden="1" x14ac:dyDescent="0.25">
      <c r="A269" s="29" t="s">
        <v>97</v>
      </c>
      <c r="B269" s="29" t="s">
        <v>92</v>
      </c>
      <c r="C269" s="29" t="s">
        <v>316</v>
      </c>
      <c r="D269" s="29" t="s">
        <v>383</v>
      </c>
      <c r="E269" s="29" t="s">
        <v>92</v>
      </c>
      <c r="F269" s="29" t="s">
        <v>79</v>
      </c>
      <c r="G269" s="29" t="s">
        <v>80</v>
      </c>
      <c r="H269" s="29" t="s">
        <v>81</v>
      </c>
      <c r="I269" s="29" t="s">
        <v>82</v>
      </c>
      <c r="J269" s="30">
        <v>3662.28</v>
      </c>
      <c r="K269" s="29" t="s">
        <v>318</v>
      </c>
      <c r="L269" s="29" t="s">
        <v>82</v>
      </c>
      <c r="M269" s="29" t="s">
        <v>179</v>
      </c>
      <c r="N269" s="29" t="s">
        <v>316</v>
      </c>
      <c r="O269" s="31">
        <v>44439</v>
      </c>
      <c r="P269" s="31">
        <v>44448</v>
      </c>
      <c r="Q269" s="29" t="s">
        <v>83</v>
      </c>
    </row>
    <row r="270" spans="1:17" ht="15" hidden="1" x14ac:dyDescent="0.25">
      <c r="A270" s="29" t="s">
        <v>97</v>
      </c>
      <c r="B270" s="29" t="s">
        <v>92</v>
      </c>
      <c r="C270" s="29" t="s">
        <v>315</v>
      </c>
      <c r="D270" s="29" t="s">
        <v>383</v>
      </c>
      <c r="E270" s="29" t="s">
        <v>92</v>
      </c>
      <c r="F270" s="29" t="s">
        <v>79</v>
      </c>
      <c r="G270" s="29" t="s">
        <v>80</v>
      </c>
      <c r="H270" s="29" t="s">
        <v>81</v>
      </c>
      <c r="I270" s="29" t="s">
        <v>82</v>
      </c>
      <c r="J270" s="30">
        <v>-3662.28</v>
      </c>
      <c r="K270" s="29" t="s">
        <v>318</v>
      </c>
      <c r="L270" s="29" t="s">
        <v>82</v>
      </c>
      <c r="M270" s="29" t="s">
        <v>179</v>
      </c>
      <c r="N270" s="29" t="s">
        <v>316</v>
      </c>
      <c r="O270" s="31">
        <v>44469</v>
      </c>
      <c r="P270" s="31">
        <v>44448</v>
      </c>
      <c r="Q270" s="29" t="s">
        <v>83</v>
      </c>
    </row>
    <row r="271" spans="1:17" ht="15" hidden="1" x14ac:dyDescent="0.25">
      <c r="A271" s="29" t="s">
        <v>97</v>
      </c>
      <c r="B271" s="29" t="s">
        <v>92</v>
      </c>
      <c r="C271" s="29" t="s">
        <v>209</v>
      </c>
      <c r="D271" s="29" t="s">
        <v>383</v>
      </c>
      <c r="E271" s="29" t="s">
        <v>92</v>
      </c>
      <c r="F271" s="29" t="s">
        <v>79</v>
      </c>
      <c r="G271" s="29" t="s">
        <v>80</v>
      </c>
      <c r="H271" s="29" t="s">
        <v>81</v>
      </c>
      <c r="I271" s="29" t="s">
        <v>82</v>
      </c>
      <c r="J271" s="30">
        <v>1687.5</v>
      </c>
      <c r="K271" s="29" t="s">
        <v>213</v>
      </c>
      <c r="L271" s="29" t="s">
        <v>82</v>
      </c>
      <c r="M271" s="29" t="s">
        <v>214</v>
      </c>
      <c r="N271" s="29" t="s">
        <v>209</v>
      </c>
      <c r="O271" s="31">
        <v>44530</v>
      </c>
      <c r="P271" s="31">
        <v>44533</v>
      </c>
      <c r="Q271" s="29" t="s">
        <v>83</v>
      </c>
    </row>
    <row r="272" spans="1:17" ht="15" hidden="1" x14ac:dyDescent="0.25">
      <c r="A272" s="29" t="s">
        <v>97</v>
      </c>
      <c r="B272" s="29" t="s">
        <v>92</v>
      </c>
      <c r="C272" s="29" t="s">
        <v>207</v>
      </c>
      <c r="D272" s="29" t="s">
        <v>383</v>
      </c>
      <c r="E272" s="29" t="s">
        <v>92</v>
      </c>
      <c r="F272" s="29" t="s">
        <v>79</v>
      </c>
      <c r="G272" s="29" t="s">
        <v>80</v>
      </c>
      <c r="H272" s="29" t="s">
        <v>81</v>
      </c>
      <c r="I272" s="29" t="s">
        <v>82</v>
      </c>
      <c r="J272" s="30">
        <v>-1687.5</v>
      </c>
      <c r="K272" s="29" t="s">
        <v>213</v>
      </c>
      <c r="L272" s="29" t="s">
        <v>82</v>
      </c>
      <c r="M272" s="29" t="s">
        <v>214</v>
      </c>
      <c r="N272" s="29" t="s">
        <v>209</v>
      </c>
      <c r="O272" s="31">
        <v>44561</v>
      </c>
      <c r="P272" s="31">
        <v>44550</v>
      </c>
      <c r="Q272" s="29" t="s">
        <v>83</v>
      </c>
    </row>
    <row r="273" spans="1:17" ht="15" hidden="1" x14ac:dyDescent="0.25">
      <c r="A273" s="29" t="s">
        <v>97</v>
      </c>
      <c r="B273" s="29" t="s">
        <v>92</v>
      </c>
      <c r="C273" s="29" t="s">
        <v>415</v>
      </c>
      <c r="D273" s="29" t="s">
        <v>383</v>
      </c>
      <c r="E273" s="29" t="s">
        <v>92</v>
      </c>
      <c r="F273" s="29" t="s">
        <v>79</v>
      </c>
      <c r="G273" s="29" t="s">
        <v>80</v>
      </c>
      <c r="H273" s="29" t="s">
        <v>81</v>
      </c>
      <c r="I273" s="29" t="s">
        <v>82</v>
      </c>
      <c r="J273" s="30">
        <v>2174.79</v>
      </c>
      <c r="K273" s="29" t="s">
        <v>103</v>
      </c>
      <c r="L273" s="29" t="s">
        <v>82</v>
      </c>
      <c r="M273" s="29" t="s">
        <v>426</v>
      </c>
      <c r="N273" s="29" t="s">
        <v>415</v>
      </c>
      <c r="O273" s="31">
        <v>44561</v>
      </c>
      <c r="P273" s="31">
        <v>44568</v>
      </c>
      <c r="Q273" s="29" t="s">
        <v>83</v>
      </c>
    </row>
    <row r="274" spans="1:17" ht="15" hidden="1" x14ac:dyDescent="0.25">
      <c r="A274" s="29" t="s">
        <v>97</v>
      </c>
      <c r="B274" s="29" t="s">
        <v>92</v>
      </c>
      <c r="C274" s="29" t="s">
        <v>415</v>
      </c>
      <c r="D274" s="29" t="s">
        <v>383</v>
      </c>
      <c r="E274" s="29" t="s">
        <v>92</v>
      </c>
      <c r="F274" s="29" t="s">
        <v>79</v>
      </c>
      <c r="G274" s="29" t="s">
        <v>80</v>
      </c>
      <c r="H274" s="29" t="s">
        <v>81</v>
      </c>
      <c r="I274" s="29" t="s">
        <v>82</v>
      </c>
      <c r="J274" s="30">
        <v>2932.94</v>
      </c>
      <c r="K274" s="29" t="s">
        <v>103</v>
      </c>
      <c r="L274" s="29" t="s">
        <v>82</v>
      </c>
      <c r="M274" s="29" t="s">
        <v>426</v>
      </c>
      <c r="N274" s="29" t="s">
        <v>415</v>
      </c>
      <c r="O274" s="31">
        <v>44561</v>
      </c>
      <c r="P274" s="31">
        <v>44568</v>
      </c>
      <c r="Q274" s="29" t="s">
        <v>83</v>
      </c>
    </row>
    <row r="275" spans="1:17" ht="15" hidden="1" x14ac:dyDescent="0.25">
      <c r="A275" s="29" t="s">
        <v>97</v>
      </c>
      <c r="B275" s="29" t="s">
        <v>92</v>
      </c>
      <c r="C275" s="29" t="s">
        <v>415</v>
      </c>
      <c r="D275" s="29" t="s">
        <v>383</v>
      </c>
      <c r="E275" s="29" t="s">
        <v>92</v>
      </c>
      <c r="F275" s="29" t="s">
        <v>79</v>
      </c>
      <c r="G275" s="29" t="s">
        <v>80</v>
      </c>
      <c r="H275" s="29" t="s">
        <v>81</v>
      </c>
      <c r="I275" s="29" t="s">
        <v>82</v>
      </c>
      <c r="J275" s="30">
        <v>12000</v>
      </c>
      <c r="K275" s="29" t="s">
        <v>427</v>
      </c>
      <c r="L275" s="29" t="s">
        <v>82</v>
      </c>
      <c r="M275" s="29" t="s">
        <v>416</v>
      </c>
      <c r="N275" s="29" t="s">
        <v>415</v>
      </c>
      <c r="O275" s="31">
        <v>44561</v>
      </c>
      <c r="P275" s="31">
        <v>44568</v>
      </c>
      <c r="Q275" s="29" t="s">
        <v>83</v>
      </c>
    </row>
    <row r="276" spans="1:17" ht="15" hidden="1" x14ac:dyDescent="0.25">
      <c r="A276" s="29" t="s">
        <v>97</v>
      </c>
      <c r="B276" s="29" t="s">
        <v>92</v>
      </c>
      <c r="C276" s="29" t="s">
        <v>415</v>
      </c>
      <c r="D276" s="29" t="s">
        <v>383</v>
      </c>
      <c r="E276" s="29" t="s">
        <v>92</v>
      </c>
      <c r="F276" s="29" t="s">
        <v>79</v>
      </c>
      <c r="G276" s="29" t="s">
        <v>80</v>
      </c>
      <c r="H276" s="29" t="s">
        <v>81</v>
      </c>
      <c r="I276" s="29" t="s">
        <v>82</v>
      </c>
      <c r="J276" s="30">
        <v>2762.5</v>
      </c>
      <c r="K276" s="29" t="s">
        <v>428</v>
      </c>
      <c r="L276" s="29" t="s">
        <v>82</v>
      </c>
      <c r="M276" s="29" t="s">
        <v>416</v>
      </c>
      <c r="N276" s="29" t="s">
        <v>415</v>
      </c>
      <c r="O276" s="31">
        <v>44561</v>
      </c>
      <c r="P276" s="31">
        <v>44568</v>
      </c>
      <c r="Q276" s="29" t="s">
        <v>83</v>
      </c>
    </row>
    <row r="277" spans="1:17" ht="15" hidden="1" x14ac:dyDescent="0.25">
      <c r="A277" s="29" t="s">
        <v>97</v>
      </c>
      <c r="B277" s="29" t="s">
        <v>92</v>
      </c>
      <c r="C277" s="29" t="s">
        <v>415</v>
      </c>
      <c r="D277" s="29" t="s">
        <v>383</v>
      </c>
      <c r="E277" s="29" t="s">
        <v>92</v>
      </c>
      <c r="F277" s="29" t="s">
        <v>79</v>
      </c>
      <c r="G277" s="29" t="s">
        <v>80</v>
      </c>
      <c r="H277" s="29" t="s">
        <v>81</v>
      </c>
      <c r="I277" s="29" t="s">
        <v>82</v>
      </c>
      <c r="J277" s="30">
        <v>7718.75</v>
      </c>
      <c r="K277" s="29" t="s">
        <v>429</v>
      </c>
      <c r="L277" s="29" t="s">
        <v>82</v>
      </c>
      <c r="M277" s="29" t="s">
        <v>430</v>
      </c>
      <c r="N277" s="29" t="s">
        <v>415</v>
      </c>
      <c r="O277" s="31">
        <v>44561</v>
      </c>
      <c r="P277" s="31">
        <v>44568</v>
      </c>
      <c r="Q277" s="29" t="s">
        <v>83</v>
      </c>
    </row>
    <row r="278" spans="1:17" ht="15" hidden="1" x14ac:dyDescent="0.25">
      <c r="A278" s="29" t="s">
        <v>97</v>
      </c>
      <c r="B278" s="29" t="s">
        <v>108</v>
      </c>
      <c r="C278" s="29" t="s">
        <v>431</v>
      </c>
      <c r="D278" s="29" t="s">
        <v>384</v>
      </c>
      <c r="E278" s="29" t="s">
        <v>108</v>
      </c>
      <c r="F278" s="29" t="s">
        <v>79</v>
      </c>
      <c r="G278" s="29" t="s">
        <v>80</v>
      </c>
      <c r="H278" s="29" t="s">
        <v>81</v>
      </c>
      <c r="I278" s="29" t="s">
        <v>82</v>
      </c>
      <c r="J278" s="30">
        <v>26.59</v>
      </c>
      <c r="K278" s="29" t="s">
        <v>103</v>
      </c>
      <c r="L278" s="29" t="s">
        <v>82</v>
      </c>
      <c r="M278" s="29" t="s">
        <v>426</v>
      </c>
      <c r="N278" s="29" t="s">
        <v>431</v>
      </c>
      <c r="O278" s="31">
        <v>44561</v>
      </c>
      <c r="P278" s="31">
        <v>44568</v>
      </c>
      <c r="Q278" s="29" t="s">
        <v>83</v>
      </c>
    </row>
    <row r="279" spans="1:17" ht="15" hidden="1" x14ac:dyDescent="0.25">
      <c r="A279" s="29" t="s">
        <v>97</v>
      </c>
      <c r="B279" s="29" t="s">
        <v>109</v>
      </c>
      <c r="C279" s="29" t="s">
        <v>432</v>
      </c>
      <c r="D279" s="29" t="s">
        <v>385</v>
      </c>
      <c r="E279" s="29" t="s">
        <v>109</v>
      </c>
      <c r="F279" s="29" t="s">
        <v>79</v>
      </c>
      <c r="G279" s="29" t="s">
        <v>80</v>
      </c>
      <c r="H279" s="29" t="s">
        <v>81</v>
      </c>
      <c r="I279" s="29" t="s">
        <v>82</v>
      </c>
      <c r="J279" s="30">
        <v>8.27</v>
      </c>
      <c r="K279" s="29" t="s">
        <v>103</v>
      </c>
      <c r="L279" s="29" t="s">
        <v>82</v>
      </c>
      <c r="M279" s="29" t="s">
        <v>426</v>
      </c>
      <c r="N279" s="29" t="s">
        <v>432</v>
      </c>
      <c r="O279" s="31">
        <v>44561</v>
      </c>
      <c r="P279" s="31">
        <v>44568</v>
      </c>
      <c r="Q279" s="29" t="s">
        <v>83</v>
      </c>
    </row>
    <row r="280" spans="1:17" ht="15" hidden="1" x14ac:dyDescent="0.25">
      <c r="A280" s="29" t="s">
        <v>97</v>
      </c>
      <c r="B280" s="29" t="s">
        <v>87</v>
      </c>
      <c r="C280" s="29" t="s">
        <v>433</v>
      </c>
      <c r="D280" s="29" t="s">
        <v>382</v>
      </c>
      <c r="E280" s="29" t="s">
        <v>87</v>
      </c>
      <c r="F280" s="29" t="s">
        <v>79</v>
      </c>
      <c r="G280" s="29" t="s">
        <v>80</v>
      </c>
      <c r="H280" s="29" t="s">
        <v>81</v>
      </c>
      <c r="I280" s="29" t="s">
        <v>82</v>
      </c>
      <c r="J280" s="30">
        <v>1376.75</v>
      </c>
      <c r="K280" s="29" t="s">
        <v>103</v>
      </c>
      <c r="L280" s="29" t="s">
        <v>82</v>
      </c>
      <c r="M280" s="29" t="s">
        <v>426</v>
      </c>
      <c r="N280" s="29" t="s">
        <v>433</v>
      </c>
      <c r="O280" s="31">
        <v>44561</v>
      </c>
      <c r="P280" s="31">
        <v>44571</v>
      </c>
      <c r="Q280" s="29" t="s">
        <v>83</v>
      </c>
    </row>
    <row r="281" spans="1:17" ht="15" hidden="1" x14ac:dyDescent="0.25">
      <c r="A281" s="29" t="s">
        <v>97</v>
      </c>
      <c r="B281" s="29" t="s">
        <v>87</v>
      </c>
      <c r="C281" s="29" t="s">
        <v>433</v>
      </c>
      <c r="D281" s="29" t="s">
        <v>382</v>
      </c>
      <c r="E281" s="29" t="s">
        <v>87</v>
      </c>
      <c r="F281" s="29" t="s">
        <v>79</v>
      </c>
      <c r="G281" s="29" t="s">
        <v>80</v>
      </c>
      <c r="H281" s="29" t="s">
        <v>81</v>
      </c>
      <c r="I281" s="29" t="s">
        <v>82</v>
      </c>
      <c r="J281" s="30">
        <v>1423.34</v>
      </c>
      <c r="K281" s="29" t="s">
        <v>103</v>
      </c>
      <c r="L281" s="29" t="s">
        <v>82</v>
      </c>
      <c r="M281" s="29" t="s">
        <v>416</v>
      </c>
      <c r="N281" s="29" t="s">
        <v>433</v>
      </c>
      <c r="O281" s="31">
        <v>44561</v>
      </c>
      <c r="P281" s="31">
        <v>44571</v>
      </c>
      <c r="Q281" s="29" t="s">
        <v>83</v>
      </c>
    </row>
    <row r="282" spans="1:17" ht="15" hidden="1" x14ac:dyDescent="0.25">
      <c r="A282" s="29" t="s">
        <v>97</v>
      </c>
      <c r="B282" s="29" t="s">
        <v>108</v>
      </c>
      <c r="C282" s="29" t="s">
        <v>434</v>
      </c>
      <c r="D282" s="29" t="s">
        <v>384</v>
      </c>
      <c r="E282" s="29" t="s">
        <v>108</v>
      </c>
      <c r="F282" s="29" t="s">
        <v>79</v>
      </c>
      <c r="G282" s="29" t="s">
        <v>80</v>
      </c>
      <c r="H282" s="29" t="s">
        <v>81</v>
      </c>
      <c r="I282" s="29" t="s">
        <v>82</v>
      </c>
      <c r="J282" s="30">
        <v>-26.59</v>
      </c>
      <c r="K282" s="29" t="s">
        <v>103</v>
      </c>
      <c r="L282" s="29" t="s">
        <v>82</v>
      </c>
      <c r="M282" s="29" t="s">
        <v>426</v>
      </c>
      <c r="N282" s="29" t="s">
        <v>431</v>
      </c>
      <c r="O282" s="31">
        <v>44592</v>
      </c>
      <c r="P282" s="31">
        <v>44568</v>
      </c>
      <c r="Q282" s="29" t="s">
        <v>83</v>
      </c>
    </row>
    <row r="283" spans="1:17" ht="15" hidden="1" x14ac:dyDescent="0.25">
      <c r="A283" s="29" t="s">
        <v>97</v>
      </c>
      <c r="B283" s="29" t="s">
        <v>109</v>
      </c>
      <c r="C283" s="29" t="s">
        <v>435</v>
      </c>
      <c r="D283" s="29" t="s">
        <v>385</v>
      </c>
      <c r="E283" s="29" t="s">
        <v>109</v>
      </c>
      <c r="F283" s="29" t="s">
        <v>79</v>
      </c>
      <c r="G283" s="29" t="s">
        <v>80</v>
      </c>
      <c r="H283" s="29" t="s">
        <v>81</v>
      </c>
      <c r="I283" s="29" t="s">
        <v>82</v>
      </c>
      <c r="J283" s="30">
        <v>-8.27</v>
      </c>
      <c r="K283" s="29" t="s">
        <v>103</v>
      </c>
      <c r="L283" s="29" t="s">
        <v>82</v>
      </c>
      <c r="M283" s="29" t="s">
        <v>426</v>
      </c>
      <c r="N283" s="29" t="s">
        <v>432</v>
      </c>
      <c r="O283" s="31">
        <v>44592</v>
      </c>
      <c r="P283" s="31">
        <v>44568</v>
      </c>
      <c r="Q283" s="29" t="s">
        <v>83</v>
      </c>
    </row>
    <row r="284" spans="1:17" ht="15" hidden="1" x14ac:dyDescent="0.25">
      <c r="A284" s="29" t="s">
        <v>97</v>
      </c>
      <c r="B284" s="29" t="s">
        <v>92</v>
      </c>
      <c r="C284" s="29" t="s">
        <v>417</v>
      </c>
      <c r="D284" s="29" t="s">
        <v>383</v>
      </c>
      <c r="E284" s="29" t="s">
        <v>92</v>
      </c>
      <c r="F284" s="29" t="s">
        <v>79</v>
      </c>
      <c r="G284" s="29" t="s">
        <v>80</v>
      </c>
      <c r="H284" s="29" t="s">
        <v>81</v>
      </c>
      <c r="I284" s="29" t="s">
        <v>82</v>
      </c>
      <c r="J284" s="30">
        <v>-2174.79</v>
      </c>
      <c r="K284" s="29" t="s">
        <v>103</v>
      </c>
      <c r="L284" s="29" t="s">
        <v>82</v>
      </c>
      <c r="M284" s="29" t="s">
        <v>426</v>
      </c>
      <c r="N284" s="29" t="s">
        <v>415</v>
      </c>
      <c r="O284" s="31">
        <v>44592</v>
      </c>
      <c r="P284" s="31">
        <v>44569</v>
      </c>
      <c r="Q284" s="29" t="s">
        <v>83</v>
      </c>
    </row>
    <row r="285" spans="1:17" ht="15" hidden="1" x14ac:dyDescent="0.25">
      <c r="A285" s="29" t="s">
        <v>97</v>
      </c>
      <c r="B285" s="29" t="s">
        <v>92</v>
      </c>
      <c r="C285" s="29" t="s">
        <v>417</v>
      </c>
      <c r="D285" s="29" t="s">
        <v>383</v>
      </c>
      <c r="E285" s="29" t="s">
        <v>92</v>
      </c>
      <c r="F285" s="29" t="s">
        <v>79</v>
      </c>
      <c r="G285" s="29" t="s">
        <v>80</v>
      </c>
      <c r="H285" s="29" t="s">
        <v>81</v>
      </c>
      <c r="I285" s="29" t="s">
        <v>82</v>
      </c>
      <c r="J285" s="30">
        <v>-2932.94</v>
      </c>
      <c r="K285" s="29" t="s">
        <v>103</v>
      </c>
      <c r="L285" s="29" t="s">
        <v>82</v>
      </c>
      <c r="M285" s="29" t="s">
        <v>426</v>
      </c>
      <c r="N285" s="29" t="s">
        <v>415</v>
      </c>
      <c r="O285" s="31">
        <v>44592</v>
      </c>
      <c r="P285" s="31">
        <v>44569</v>
      </c>
      <c r="Q285" s="29" t="s">
        <v>83</v>
      </c>
    </row>
    <row r="286" spans="1:17" ht="15" hidden="1" x14ac:dyDescent="0.25">
      <c r="A286" s="29" t="s">
        <v>97</v>
      </c>
      <c r="B286" s="29" t="s">
        <v>92</v>
      </c>
      <c r="C286" s="29" t="s">
        <v>417</v>
      </c>
      <c r="D286" s="29" t="s">
        <v>383</v>
      </c>
      <c r="E286" s="29" t="s">
        <v>92</v>
      </c>
      <c r="F286" s="29" t="s">
        <v>79</v>
      </c>
      <c r="G286" s="29" t="s">
        <v>80</v>
      </c>
      <c r="H286" s="29" t="s">
        <v>81</v>
      </c>
      <c r="I286" s="29" t="s">
        <v>82</v>
      </c>
      <c r="J286" s="30">
        <v>-12000</v>
      </c>
      <c r="K286" s="29" t="s">
        <v>427</v>
      </c>
      <c r="L286" s="29" t="s">
        <v>82</v>
      </c>
      <c r="M286" s="29" t="s">
        <v>416</v>
      </c>
      <c r="N286" s="29" t="s">
        <v>415</v>
      </c>
      <c r="O286" s="31">
        <v>44592</v>
      </c>
      <c r="P286" s="31">
        <v>44569</v>
      </c>
      <c r="Q286" s="29" t="s">
        <v>83</v>
      </c>
    </row>
    <row r="287" spans="1:17" ht="15" hidden="1" x14ac:dyDescent="0.25">
      <c r="A287" s="29" t="s">
        <v>97</v>
      </c>
      <c r="B287" s="29" t="s">
        <v>92</v>
      </c>
      <c r="C287" s="29" t="s">
        <v>417</v>
      </c>
      <c r="D287" s="29" t="s">
        <v>383</v>
      </c>
      <c r="E287" s="29" t="s">
        <v>92</v>
      </c>
      <c r="F287" s="29" t="s">
        <v>79</v>
      </c>
      <c r="G287" s="29" t="s">
        <v>80</v>
      </c>
      <c r="H287" s="29" t="s">
        <v>81</v>
      </c>
      <c r="I287" s="29" t="s">
        <v>82</v>
      </c>
      <c r="J287" s="30">
        <v>-2762.5</v>
      </c>
      <c r="K287" s="29" t="s">
        <v>428</v>
      </c>
      <c r="L287" s="29" t="s">
        <v>82</v>
      </c>
      <c r="M287" s="29" t="s">
        <v>416</v>
      </c>
      <c r="N287" s="29" t="s">
        <v>415</v>
      </c>
      <c r="O287" s="31">
        <v>44592</v>
      </c>
      <c r="P287" s="31">
        <v>44569</v>
      </c>
      <c r="Q287" s="29" t="s">
        <v>83</v>
      </c>
    </row>
    <row r="288" spans="1:17" ht="15" hidden="1" x14ac:dyDescent="0.25">
      <c r="A288" s="29" t="s">
        <v>97</v>
      </c>
      <c r="B288" s="29" t="s">
        <v>92</v>
      </c>
      <c r="C288" s="29" t="s">
        <v>417</v>
      </c>
      <c r="D288" s="29" t="s">
        <v>383</v>
      </c>
      <c r="E288" s="29" t="s">
        <v>92</v>
      </c>
      <c r="F288" s="29" t="s">
        <v>79</v>
      </c>
      <c r="G288" s="29" t="s">
        <v>80</v>
      </c>
      <c r="H288" s="29" t="s">
        <v>81</v>
      </c>
      <c r="I288" s="29" t="s">
        <v>82</v>
      </c>
      <c r="J288" s="30">
        <v>-7718.75</v>
      </c>
      <c r="K288" s="29" t="s">
        <v>429</v>
      </c>
      <c r="L288" s="29" t="s">
        <v>82</v>
      </c>
      <c r="M288" s="29" t="s">
        <v>430</v>
      </c>
      <c r="N288" s="29" t="s">
        <v>415</v>
      </c>
      <c r="O288" s="31">
        <v>44592</v>
      </c>
      <c r="P288" s="31">
        <v>44569</v>
      </c>
      <c r="Q288" s="29" t="s">
        <v>83</v>
      </c>
    </row>
    <row r="289" spans="1:17" ht="15" hidden="1" x14ac:dyDescent="0.25">
      <c r="A289" s="29" t="s">
        <v>97</v>
      </c>
      <c r="B289" s="29" t="s">
        <v>87</v>
      </c>
      <c r="C289" s="29" t="s">
        <v>436</v>
      </c>
      <c r="D289" s="29" t="s">
        <v>382</v>
      </c>
      <c r="E289" s="29" t="s">
        <v>87</v>
      </c>
      <c r="F289" s="29" t="s">
        <v>79</v>
      </c>
      <c r="G289" s="29" t="s">
        <v>80</v>
      </c>
      <c r="H289" s="29" t="s">
        <v>81</v>
      </c>
      <c r="I289" s="29" t="s">
        <v>82</v>
      </c>
      <c r="J289" s="30">
        <v>-1376.75</v>
      </c>
      <c r="K289" s="29" t="s">
        <v>103</v>
      </c>
      <c r="L289" s="29" t="s">
        <v>82</v>
      </c>
      <c r="M289" s="29" t="s">
        <v>426</v>
      </c>
      <c r="N289" s="29" t="s">
        <v>433</v>
      </c>
      <c r="O289" s="31">
        <v>44592</v>
      </c>
      <c r="P289" s="31">
        <v>44571</v>
      </c>
      <c r="Q289" s="29" t="s">
        <v>83</v>
      </c>
    </row>
    <row r="290" spans="1:17" ht="15" hidden="1" x14ac:dyDescent="0.25">
      <c r="A290" s="29" t="s">
        <v>97</v>
      </c>
      <c r="B290" s="29" t="s">
        <v>87</v>
      </c>
      <c r="C290" s="29" t="s">
        <v>436</v>
      </c>
      <c r="D290" s="29" t="s">
        <v>382</v>
      </c>
      <c r="E290" s="29" t="s">
        <v>87</v>
      </c>
      <c r="F290" s="29" t="s">
        <v>79</v>
      </c>
      <c r="G290" s="29" t="s">
        <v>80</v>
      </c>
      <c r="H290" s="29" t="s">
        <v>81</v>
      </c>
      <c r="I290" s="29" t="s">
        <v>82</v>
      </c>
      <c r="J290" s="30">
        <v>-1423.34</v>
      </c>
      <c r="K290" s="29" t="s">
        <v>103</v>
      </c>
      <c r="L290" s="29" t="s">
        <v>82</v>
      </c>
      <c r="M290" s="29" t="s">
        <v>416</v>
      </c>
      <c r="N290" s="29" t="s">
        <v>433</v>
      </c>
      <c r="O290" s="31">
        <v>44592</v>
      </c>
      <c r="P290" s="31">
        <v>44571</v>
      </c>
      <c r="Q290" s="29" t="s">
        <v>83</v>
      </c>
    </row>
    <row r="291" spans="1:17" ht="15" hidden="1" x14ac:dyDescent="0.25">
      <c r="A291" s="29" t="s">
        <v>97</v>
      </c>
      <c r="B291" s="29" t="s">
        <v>92</v>
      </c>
      <c r="C291" s="29" t="s">
        <v>422</v>
      </c>
      <c r="D291" s="29" t="s">
        <v>383</v>
      </c>
      <c r="E291" s="29" t="s">
        <v>92</v>
      </c>
      <c r="F291" s="29" t="s">
        <v>79</v>
      </c>
      <c r="G291" s="29" t="s">
        <v>80</v>
      </c>
      <c r="H291" s="29" t="s">
        <v>81</v>
      </c>
      <c r="I291" s="29" t="s">
        <v>420</v>
      </c>
      <c r="J291" s="30">
        <v>1012.5</v>
      </c>
      <c r="K291" s="29" t="s">
        <v>437</v>
      </c>
      <c r="L291" s="29" t="s">
        <v>82</v>
      </c>
      <c r="M291" s="29" t="s">
        <v>438</v>
      </c>
      <c r="N291" s="29" t="s">
        <v>422</v>
      </c>
      <c r="O291" s="31">
        <v>44592</v>
      </c>
      <c r="P291" s="31"/>
      <c r="Q291" s="29" t="s">
        <v>210</v>
      </c>
    </row>
    <row r="292" spans="1:17" ht="15" hidden="1" x14ac:dyDescent="0.25">
      <c r="A292" s="29" t="s">
        <v>97</v>
      </c>
      <c r="B292" s="29" t="s">
        <v>92</v>
      </c>
      <c r="C292" s="29" t="s">
        <v>422</v>
      </c>
      <c r="D292" s="29" t="s">
        <v>383</v>
      </c>
      <c r="E292" s="29" t="s">
        <v>92</v>
      </c>
      <c r="F292" s="29" t="s">
        <v>79</v>
      </c>
      <c r="G292" s="29" t="s">
        <v>80</v>
      </c>
      <c r="H292" s="29" t="s">
        <v>81</v>
      </c>
      <c r="I292" s="29" t="s">
        <v>420</v>
      </c>
      <c r="J292" s="30">
        <v>3000</v>
      </c>
      <c r="K292" s="29" t="s">
        <v>439</v>
      </c>
      <c r="L292" s="29" t="s">
        <v>82</v>
      </c>
      <c r="M292" s="29" t="s">
        <v>440</v>
      </c>
      <c r="N292" s="29" t="s">
        <v>422</v>
      </c>
      <c r="O292" s="31">
        <v>44592</v>
      </c>
      <c r="P292" s="31"/>
      <c r="Q292" s="29" t="s">
        <v>210</v>
      </c>
    </row>
    <row r="293" spans="1:17" ht="15" hidden="1" x14ac:dyDescent="0.25">
      <c r="A293" s="29" t="s">
        <v>84</v>
      </c>
      <c r="B293" s="29" t="s">
        <v>85</v>
      </c>
      <c r="C293" s="29" t="s">
        <v>224</v>
      </c>
      <c r="D293" s="29" t="s">
        <v>382</v>
      </c>
      <c r="E293" s="29" t="s">
        <v>87</v>
      </c>
      <c r="F293" s="29" t="s">
        <v>79</v>
      </c>
      <c r="G293" s="29" t="s">
        <v>80</v>
      </c>
      <c r="H293" s="29" t="s">
        <v>81</v>
      </c>
      <c r="I293" s="29" t="s">
        <v>82</v>
      </c>
      <c r="J293" s="30">
        <v>450.58</v>
      </c>
      <c r="K293" s="29" t="s">
        <v>225</v>
      </c>
      <c r="L293" s="29" t="s">
        <v>122</v>
      </c>
      <c r="M293" s="29" t="s">
        <v>142</v>
      </c>
      <c r="N293" s="29" t="s">
        <v>226</v>
      </c>
      <c r="O293" s="31">
        <v>44320</v>
      </c>
      <c r="P293" s="31">
        <v>44320</v>
      </c>
      <c r="Q293" s="29" t="s">
        <v>83</v>
      </c>
    </row>
    <row r="294" spans="1:17" ht="15" hidden="1" x14ac:dyDescent="0.25">
      <c r="A294" s="29" t="s">
        <v>84</v>
      </c>
      <c r="B294" s="29" t="s">
        <v>85</v>
      </c>
      <c r="C294" s="29" t="s">
        <v>224</v>
      </c>
      <c r="D294" s="29" t="s">
        <v>384</v>
      </c>
      <c r="E294" s="29" t="s">
        <v>108</v>
      </c>
      <c r="F294" s="29" t="s">
        <v>79</v>
      </c>
      <c r="G294" s="29" t="s">
        <v>80</v>
      </c>
      <c r="H294" s="29" t="s">
        <v>81</v>
      </c>
      <c r="I294" s="29" t="s">
        <v>82</v>
      </c>
      <c r="J294" s="30">
        <v>8.69</v>
      </c>
      <c r="K294" s="29" t="s">
        <v>225</v>
      </c>
      <c r="L294" s="29" t="s">
        <v>122</v>
      </c>
      <c r="M294" s="29" t="s">
        <v>142</v>
      </c>
      <c r="N294" s="29" t="s">
        <v>226</v>
      </c>
      <c r="O294" s="31">
        <v>44320</v>
      </c>
      <c r="P294" s="31">
        <v>44320</v>
      </c>
      <c r="Q294" s="29" t="s">
        <v>83</v>
      </c>
    </row>
    <row r="295" spans="1:17" ht="15" hidden="1" x14ac:dyDescent="0.25">
      <c r="A295" s="29" t="s">
        <v>84</v>
      </c>
      <c r="B295" s="29" t="s">
        <v>85</v>
      </c>
      <c r="C295" s="29" t="s">
        <v>224</v>
      </c>
      <c r="D295" s="29" t="s">
        <v>383</v>
      </c>
      <c r="E295" s="29" t="s">
        <v>92</v>
      </c>
      <c r="F295" s="29" t="s">
        <v>79</v>
      </c>
      <c r="G295" s="29" t="s">
        <v>80</v>
      </c>
      <c r="H295" s="29" t="s">
        <v>81</v>
      </c>
      <c r="I295" s="29" t="s">
        <v>82</v>
      </c>
      <c r="J295" s="30">
        <v>959.87</v>
      </c>
      <c r="K295" s="29" t="s">
        <v>225</v>
      </c>
      <c r="L295" s="29" t="s">
        <v>122</v>
      </c>
      <c r="M295" s="29" t="s">
        <v>142</v>
      </c>
      <c r="N295" s="29" t="s">
        <v>226</v>
      </c>
      <c r="O295" s="31">
        <v>44320</v>
      </c>
      <c r="P295" s="31">
        <v>44320</v>
      </c>
      <c r="Q295" s="29" t="s">
        <v>83</v>
      </c>
    </row>
    <row r="296" spans="1:17" ht="15" hidden="1" x14ac:dyDescent="0.25">
      <c r="A296" s="29" t="s">
        <v>84</v>
      </c>
      <c r="B296" s="29" t="s">
        <v>85</v>
      </c>
      <c r="C296" s="29" t="s">
        <v>441</v>
      </c>
      <c r="D296" s="29" t="s">
        <v>383</v>
      </c>
      <c r="E296" s="29" t="s">
        <v>92</v>
      </c>
      <c r="F296" s="29" t="s">
        <v>79</v>
      </c>
      <c r="G296" s="29" t="s">
        <v>80</v>
      </c>
      <c r="H296" s="29" t="s">
        <v>81</v>
      </c>
      <c r="I296" s="29" t="s">
        <v>82</v>
      </c>
      <c r="J296" s="30">
        <v>19160</v>
      </c>
      <c r="K296" s="29" t="s">
        <v>442</v>
      </c>
      <c r="L296" s="29" t="s">
        <v>122</v>
      </c>
      <c r="M296" s="29" t="s">
        <v>418</v>
      </c>
      <c r="N296" s="29" t="s">
        <v>443</v>
      </c>
      <c r="O296" s="31">
        <v>44567</v>
      </c>
      <c r="P296" s="31">
        <v>44568</v>
      </c>
      <c r="Q296" s="29" t="s">
        <v>83</v>
      </c>
    </row>
    <row r="297" spans="1:17" ht="15" hidden="1" x14ac:dyDescent="0.25">
      <c r="A297" s="29" t="s">
        <v>84</v>
      </c>
      <c r="B297" s="29" t="s">
        <v>85</v>
      </c>
      <c r="C297" s="29" t="s">
        <v>444</v>
      </c>
      <c r="D297" s="29" t="s">
        <v>383</v>
      </c>
      <c r="E297" s="29" t="s">
        <v>92</v>
      </c>
      <c r="F297" s="29" t="s">
        <v>79</v>
      </c>
      <c r="G297" s="29" t="s">
        <v>80</v>
      </c>
      <c r="H297" s="29" t="s">
        <v>81</v>
      </c>
      <c r="I297" s="29" t="s">
        <v>420</v>
      </c>
      <c r="J297" s="30">
        <v>23720</v>
      </c>
      <c r="K297" s="29" t="s">
        <v>442</v>
      </c>
      <c r="L297" s="29" t="s">
        <v>122</v>
      </c>
      <c r="M297" s="29" t="s">
        <v>423</v>
      </c>
      <c r="N297" s="29" t="s">
        <v>445</v>
      </c>
      <c r="O297" s="31">
        <v>44594</v>
      </c>
      <c r="P297" s="31">
        <v>44595</v>
      </c>
      <c r="Q297" s="29" t="s">
        <v>83</v>
      </c>
    </row>
    <row r="298" spans="1:17" ht="15" x14ac:dyDescent="0.25">
      <c r="A298" s="29" t="s">
        <v>84</v>
      </c>
      <c r="B298" s="29" t="s">
        <v>85</v>
      </c>
      <c r="C298" s="29" t="s">
        <v>377</v>
      </c>
      <c r="D298" s="29" t="s">
        <v>384</v>
      </c>
      <c r="E298" s="29" t="s">
        <v>108</v>
      </c>
      <c r="F298" s="29" t="s">
        <v>79</v>
      </c>
      <c r="G298" s="29" t="s">
        <v>80</v>
      </c>
      <c r="H298" s="29" t="s">
        <v>81</v>
      </c>
      <c r="I298" s="29" t="s">
        <v>82</v>
      </c>
      <c r="J298" s="30">
        <v>32.44</v>
      </c>
      <c r="K298" s="29" t="s">
        <v>110</v>
      </c>
      <c r="L298" s="29" t="s">
        <v>111</v>
      </c>
      <c r="M298" s="29" t="s">
        <v>378</v>
      </c>
      <c r="N298" s="29" t="s">
        <v>379</v>
      </c>
      <c r="O298" s="31">
        <v>44476</v>
      </c>
      <c r="P298" s="31">
        <v>44477</v>
      </c>
      <c r="Q298" s="29" t="s">
        <v>83</v>
      </c>
    </row>
    <row r="299" spans="1:17" ht="15" x14ac:dyDescent="0.25">
      <c r="A299" s="29" t="s">
        <v>84</v>
      </c>
      <c r="B299" s="29" t="s">
        <v>85</v>
      </c>
      <c r="C299" s="29" t="s">
        <v>377</v>
      </c>
      <c r="D299" s="29" t="s">
        <v>383</v>
      </c>
      <c r="E299" s="29" t="s">
        <v>92</v>
      </c>
      <c r="F299" s="29" t="s">
        <v>79</v>
      </c>
      <c r="G299" s="29" t="s">
        <v>80</v>
      </c>
      <c r="H299" s="29" t="s">
        <v>81</v>
      </c>
      <c r="I299" s="29" t="s">
        <v>82</v>
      </c>
      <c r="J299" s="30">
        <v>3578.17</v>
      </c>
      <c r="K299" s="29" t="s">
        <v>110</v>
      </c>
      <c r="L299" s="29" t="s">
        <v>111</v>
      </c>
      <c r="M299" s="29" t="s">
        <v>378</v>
      </c>
      <c r="N299" s="29" t="s">
        <v>379</v>
      </c>
      <c r="O299" s="31">
        <v>44476</v>
      </c>
      <c r="P299" s="31">
        <v>44477</v>
      </c>
      <c r="Q299" s="29" t="s">
        <v>83</v>
      </c>
    </row>
    <row r="300" spans="1:17" ht="15" x14ac:dyDescent="0.25">
      <c r="A300" s="29" t="s">
        <v>84</v>
      </c>
      <c r="B300" s="29" t="s">
        <v>85</v>
      </c>
      <c r="C300" s="29" t="s">
        <v>377</v>
      </c>
      <c r="D300" s="29" t="s">
        <v>385</v>
      </c>
      <c r="E300" s="29" t="s">
        <v>109</v>
      </c>
      <c r="F300" s="29" t="s">
        <v>79</v>
      </c>
      <c r="G300" s="29" t="s">
        <v>80</v>
      </c>
      <c r="H300" s="29" t="s">
        <v>81</v>
      </c>
      <c r="I300" s="29" t="s">
        <v>82</v>
      </c>
      <c r="J300" s="30">
        <v>10.09</v>
      </c>
      <c r="K300" s="29" t="s">
        <v>110</v>
      </c>
      <c r="L300" s="29" t="s">
        <v>111</v>
      </c>
      <c r="M300" s="29" t="s">
        <v>378</v>
      </c>
      <c r="N300" s="29" t="s">
        <v>379</v>
      </c>
      <c r="O300" s="31">
        <v>44476</v>
      </c>
      <c r="P300" s="31">
        <v>44477</v>
      </c>
      <c r="Q300" s="29" t="s">
        <v>83</v>
      </c>
    </row>
    <row r="301" spans="1:17" ht="15" hidden="1" x14ac:dyDescent="0.25">
      <c r="A301" s="29" t="s">
        <v>84</v>
      </c>
      <c r="B301" s="29" t="s">
        <v>85</v>
      </c>
      <c r="C301" s="29" t="s">
        <v>191</v>
      </c>
      <c r="D301" s="29" t="s">
        <v>383</v>
      </c>
      <c r="E301" s="29" t="s">
        <v>92</v>
      </c>
      <c r="F301" s="29" t="s">
        <v>79</v>
      </c>
      <c r="G301" s="29" t="s">
        <v>80</v>
      </c>
      <c r="H301" s="29" t="s">
        <v>81</v>
      </c>
      <c r="I301" s="29" t="s">
        <v>82</v>
      </c>
      <c r="J301" s="30">
        <v>15440</v>
      </c>
      <c r="K301" s="29" t="s">
        <v>197</v>
      </c>
      <c r="L301" s="29" t="s">
        <v>122</v>
      </c>
      <c r="M301" s="29" t="s">
        <v>195</v>
      </c>
      <c r="N301" s="29" t="s">
        <v>196</v>
      </c>
      <c r="O301" s="31">
        <v>44501</v>
      </c>
      <c r="P301" s="31">
        <v>44502</v>
      </c>
      <c r="Q301" s="29" t="s">
        <v>83</v>
      </c>
    </row>
    <row r="302" spans="1:17" ht="15" x14ac:dyDescent="0.25">
      <c r="A302" s="29" t="s">
        <v>84</v>
      </c>
      <c r="B302" s="29" t="s">
        <v>85</v>
      </c>
      <c r="C302" s="29" t="s">
        <v>322</v>
      </c>
      <c r="D302" s="29" t="s">
        <v>382</v>
      </c>
      <c r="E302" s="29" t="s">
        <v>87</v>
      </c>
      <c r="F302" s="29" t="s">
        <v>79</v>
      </c>
      <c r="G302" s="29" t="s">
        <v>80</v>
      </c>
      <c r="H302" s="29" t="s">
        <v>81</v>
      </c>
      <c r="I302" s="29" t="s">
        <v>82</v>
      </c>
      <c r="J302" s="30">
        <v>598.89</v>
      </c>
      <c r="K302" s="29" t="s">
        <v>110</v>
      </c>
      <c r="L302" s="29" t="s">
        <v>111</v>
      </c>
      <c r="M302" s="29" t="s">
        <v>323</v>
      </c>
      <c r="N302" s="29" t="s">
        <v>324</v>
      </c>
      <c r="O302" s="31">
        <v>44509</v>
      </c>
      <c r="P302" s="31">
        <v>44510</v>
      </c>
      <c r="Q302" s="29" t="s">
        <v>83</v>
      </c>
    </row>
    <row r="303" spans="1:17" ht="15" x14ac:dyDescent="0.25">
      <c r="A303" s="29" t="s">
        <v>84</v>
      </c>
      <c r="B303" s="29" t="s">
        <v>85</v>
      </c>
      <c r="C303" s="29" t="s">
        <v>322</v>
      </c>
      <c r="D303" s="29" t="s">
        <v>384</v>
      </c>
      <c r="E303" s="29" t="s">
        <v>108</v>
      </c>
      <c r="F303" s="29" t="s">
        <v>79</v>
      </c>
      <c r="G303" s="29" t="s">
        <v>80</v>
      </c>
      <c r="H303" s="29" t="s">
        <v>81</v>
      </c>
      <c r="I303" s="29" t="s">
        <v>82</v>
      </c>
      <c r="J303" s="30">
        <v>11.57</v>
      </c>
      <c r="K303" s="29" t="s">
        <v>110</v>
      </c>
      <c r="L303" s="29" t="s">
        <v>111</v>
      </c>
      <c r="M303" s="29" t="s">
        <v>323</v>
      </c>
      <c r="N303" s="29" t="s">
        <v>324</v>
      </c>
      <c r="O303" s="31">
        <v>44509</v>
      </c>
      <c r="P303" s="31">
        <v>44510</v>
      </c>
      <c r="Q303" s="29" t="s">
        <v>83</v>
      </c>
    </row>
    <row r="304" spans="1:17" ht="15" x14ac:dyDescent="0.25">
      <c r="A304" s="29" t="s">
        <v>84</v>
      </c>
      <c r="B304" s="29" t="s">
        <v>85</v>
      </c>
      <c r="C304" s="29" t="s">
        <v>322</v>
      </c>
      <c r="D304" s="29" t="s">
        <v>383</v>
      </c>
      <c r="E304" s="29" t="s">
        <v>92</v>
      </c>
      <c r="F304" s="29" t="s">
        <v>79</v>
      </c>
      <c r="G304" s="29" t="s">
        <v>80</v>
      </c>
      <c r="H304" s="29" t="s">
        <v>81</v>
      </c>
      <c r="I304" s="29" t="s">
        <v>82</v>
      </c>
      <c r="J304" s="30">
        <v>1365.19</v>
      </c>
      <c r="K304" s="29" t="s">
        <v>110</v>
      </c>
      <c r="L304" s="29" t="s">
        <v>111</v>
      </c>
      <c r="M304" s="29" t="s">
        <v>323</v>
      </c>
      <c r="N304" s="29" t="s">
        <v>324</v>
      </c>
      <c r="O304" s="31">
        <v>44509</v>
      </c>
      <c r="P304" s="31">
        <v>44510</v>
      </c>
      <c r="Q304" s="29" t="s">
        <v>83</v>
      </c>
    </row>
    <row r="305" spans="1:17" ht="15" x14ac:dyDescent="0.25">
      <c r="A305" s="29" t="s">
        <v>84</v>
      </c>
      <c r="B305" s="29" t="s">
        <v>85</v>
      </c>
      <c r="C305" s="29" t="s">
        <v>322</v>
      </c>
      <c r="D305" s="29" t="s">
        <v>385</v>
      </c>
      <c r="E305" s="29" t="s">
        <v>109</v>
      </c>
      <c r="F305" s="29" t="s">
        <v>79</v>
      </c>
      <c r="G305" s="29" t="s">
        <v>80</v>
      </c>
      <c r="H305" s="29" t="s">
        <v>81</v>
      </c>
      <c r="I305" s="29" t="s">
        <v>82</v>
      </c>
      <c r="J305" s="30">
        <v>3.6</v>
      </c>
      <c r="K305" s="29" t="s">
        <v>110</v>
      </c>
      <c r="L305" s="29" t="s">
        <v>111</v>
      </c>
      <c r="M305" s="29" t="s">
        <v>323</v>
      </c>
      <c r="N305" s="29" t="s">
        <v>324</v>
      </c>
      <c r="O305" s="31">
        <v>44509</v>
      </c>
      <c r="P305" s="31">
        <v>44510</v>
      </c>
      <c r="Q305" s="29" t="s">
        <v>83</v>
      </c>
    </row>
    <row r="306" spans="1:17" ht="15" hidden="1" x14ac:dyDescent="0.25">
      <c r="A306" s="29" t="s">
        <v>84</v>
      </c>
      <c r="B306" s="29" t="s">
        <v>85</v>
      </c>
      <c r="C306" s="29" t="s">
        <v>327</v>
      </c>
      <c r="D306" s="29" t="s">
        <v>383</v>
      </c>
      <c r="E306" s="29" t="s">
        <v>92</v>
      </c>
      <c r="F306" s="29" t="s">
        <v>79</v>
      </c>
      <c r="G306" s="29" t="s">
        <v>80</v>
      </c>
      <c r="H306" s="29" t="s">
        <v>81</v>
      </c>
      <c r="I306" s="29" t="s">
        <v>82</v>
      </c>
      <c r="J306" s="30">
        <v>15320</v>
      </c>
      <c r="K306" s="29" t="s">
        <v>197</v>
      </c>
      <c r="L306" s="29" t="s">
        <v>122</v>
      </c>
      <c r="M306" s="29" t="s">
        <v>212</v>
      </c>
      <c r="N306" s="29" t="s">
        <v>328</v>
      </c>
      <c r="O306" s="31">
        <v>44536</v>
      </c>
      <c r="P306" s="31">
        <v>44537</v>
      </c>
      <c r="Q306" s="29" t="s">
        <v>83</v>
      </c>
    </row>
    <row r="307" spans="1:17" ht="15" hidden="1" x14ac:dyDescent="0.25">
      <c r="A307" s="29" t="s">
        <v>84</v>
      </c>
      <c r="B307" s="29" t="s">
        <v>85</v>
      </c>
      <c r="C307" s="29" t="s">
        <v>366</v>
      </c>
      <c r="D307" s="29" t="s">
        <v>383</v>
      </c>
      <c r="E307" s="29" t="s">
        <v>92</v>
      </c>
      <c r="F307" s="29" t="s">
        <v>79</v>
      </c>
      <c r="G307" s="29" t="s">
        <v>80</v>
      </c>
      <c r="H307" s="29" t="s">
        <v>81</v>
      </c>
      <c r="I307" s="29" t="s">
        <v>82</v>
      </c>
      <c r="J307" s="30">
        <v>630.75</v>
      </c>
      <c r="K307" s="29" t="s">
        <v>367</v>
      </c>
      <c r="L307" s="29" t="s">
        <v>60</v>
      </c>
      <c r="M307" s="29" t="s">
        <v>208</v>
      </c>
      <c r="N307" s="29" t="s">
        <v>368</v>
      </c>
      <c r="O307" s="31">
        <v>44539</v>
      </c>
      <c r="P307" s="31">
        <v>44540</v>
      </c>
      <c r="Q307" s="29" t="s">
        <v>83</v>
      </c>
    </row>
    <row r="308" spans="1:17" ht="15" x14ac:dyDescent="0.25">
      <c r="A308" s="29" t="s">
        <v>84</v>
      </c>
      <c r="B308" s="29" t="s">
        <v>85</v>
      </c>
      <c r="C308" s="29" t="s">
        <v>446</v>
      </c>
      <c r="D308" s="29" t="s">
        <v>382</v>
      </c>
      <c r="E308" s="29" t="s">
        <v>87</v>
      </c>
      <c r="F308" s="29" t="s">
        <v>79</v>
      </c>
      <c r="G308" s="29" t="s">
        <v>80</v>
      </c>
      <c r="H308" s="29" t="s">
        <v>81</v>
      </c>
      <c r="I308" s="29" t="s">
        <v>82</v>
      </c>
      <c r="J308" s="30">
        <v>1376.75</v>
      </c>
      <c r="K308" s="29" t="s">
        <v>110</v>
      </c>
      <c r="L308" s="29" t="s">
        <v>111</v>
      </c>
      <c r="M308" s="29" t="s">
        <v>426</v>
      </c>
      <c r="N308" s="29" t="s">
        <v>447</v>
      </c>
      <c r="O308" s="31">
        <v>44564</v>
      </c>
      <c r="P308" s="31">
        <v>44565</v>
      </c>
      <c r="Q308" s="29" t="s">
        <v>83</v>
      </c>
    </row>
    <row r="309" spans="1:17" ht="15" x14ac:dyDescent="0.25">
      <c r="A309" s="29" t="s">
        <v>84</v>
      </c>
      <c r="B309" s="29" t="s">
        <v>85</v>
      </c>
      <c r="C309" s="29" t="s">
        <v>446</v>
      </c>
      <c r="D309" s="29" t="s">
        <v>384</v>
      </c>
      <c r="E309" s="29" t="s">
        <v>108</v>
      </c>
      <c r="F309" s="29" t="s">
        <v>79</v>
      </c>
      <c r="G309" s="29" t="s">
        <v>80</v>
      </c>
      <c r="H309" s="29" t="s">
        <v>81</v>
      </c>
      <c r="I309" s="29" t="s">
        <v>82</v>
      </c>
      <c r="J309" s="30">
        <v>26.59</v>
      </c>
      <c r="K309" s="29" t="s">
        <v>110</v>
      </c>
      <c r="L309" s="29" t="s">
        <v>111</v>
      </c>
      <c r="M309" s="29" t="s">
        <v>426</v>
      </c>
      <c r="N309" s="29" t="s">
        <v>447</v>
      </c>
      <c r="O309" s="31">
        <v>44564</v>
      </c>
      <c r="P309" s="31">
        <v>44565</v>
      </c>
      <c r="Q309" s="29" t="s">
        <v>83</v>
      </c>
    </row>
    <row r="310" spans="1:17" ht="15" x14ac:dyDescent="0.25">
      <c r="A310" s="29" t="s">
        <v>84</v>
      </c>
      <c r="B310" s="29" t="s">
        <v>85</v>
      </c>
      <c r="C310" s="29" t="s">
        <v>446</v>
      </c>
      <c r="D310" s="29" t="s">
        <v>383</v>
      </c>
      <c r="E310" s="29" t="s">
        <v>92</v>
      </c>
      <c r="F310" s="29" t="s">
        <v>79</v>
      </c>
      <c r="G310" s="29" t="s">
        <v>80</v>
      </c>
      <c r="H310" s="29" t="s">
        <v>81</v>
      </c>
      <c r="I310" s="29" t="s">
        <v>82</v>
      </c>
      <c r="J310" s="30">
        <v>2174.79</v>
      </c>
      <c r="K310" s="29" t="s">
        <v>448</v>
      </c>
      <c r="L310" s="29" t="s">
        <v>111</v>
      </c>
      <c r="M310" s="29" t="s">
        <v>426</v>
      </c>
      <c r="N310" s="29" t="s">
        <v>447</v>
      </c>
      <c r="O310" s="31">
        <v>44564</v>
      </c>
      <c r="P310" s="31">
        <v>44565</v>
      </c>
      <c r="Q310" s="29" t="s">
        <v>83</v>
      </c>
    </row>
    <row r="311" spans="1:17" ht="15" hidden="1" x14ac:dyDescent="0.25">
      <c r="A311" s="29" t="s">
        <v>97</v>
      </c>
      <c r="B311" s="29" t="s">
        <v>87</v>
      </c>
      <c r="C311" s="29" t="s">
        <v>449</v>
      </c>
      <c r="D311" s="29" t="s">
        <v>382</v>
      </c>
      <c r="E311" s="29" t="s">
        <v>87</v>
      </c>
      <c r="F311" s="29" t="s">
        <v>79</v>
      </c>
      <c r="G311" s="29" t="s">
        <v>80</v>
      </c>
      <c r="H311" s="29" t="s">
        <v>81</v>
      </c>
      <c r="I311" s="29" t="s">
        <v>82</v>
      </c>
      <c r="J311" s="30">
        <v>865.23</v>
      </c>
      <c r="K311" s="29" t="s">
        <v>450</v>
      </c>
      <c r="L311" s="29" t="s">
        <v>82</v>
      </c>
      <c r="M311" s="29" t="s">
        <v>440</v>
      </c>
      <c r="N311" s="29" t="s">
        <v>449</v>
      </c>
      <c r="O311" s="31">
        <v>44592</v>
      </c>
      <c r="P311" s="31">
        <v>44601</v>
      </c>
      <c r="Q311" s="29" t="s">
        <v>83</v>
      </c>
    </row>
    <row r="312" spans="1:17" ht="15" hidden="1" x14ac:dyDescent="0.25">
      <c r="A312" s="29" t="s">
        <v>97</v>
      </c>
      <c r="B312" s="29" t="s">
        <v>108</v>
      </c>
      <c r="C312" s="29" t="s">
        <v>451</v>
      </c>
      <c r="D312" s="29" t="s">
        <v>384</v>
      </c>
      <c r="E312" s="29" t="s">
        <v>108</v>
      </c>
      <c r="F312" s="29" t="s">
        <v>79</v>
      </c>
      <c r="G312" s="29" t="s">
        <v>80</v>
      </c>
      <c r="H312" s="29" t="s">
        <v>81</v>
      </c>
      <c r="I312" s="29" t="s">
        <v>82</v>
      </c>
      <c r="J312" s="30">
        <v>16.690000000000001</v>
      </c>
      <c r="K312" s="29" t="s">
        <v>254</v>
      </c>
      <c r="L312" s="29" t="s">
        <v>82</v>
      </c>
      <c r="M312" s="29" t="s">
        <v>440</v>
      </c>
      <c r="N312" s="29" t="s">
        <v>451</v>
      </c>
      <c r="O312" s="31">
        <v>44592</v>
      </c>
      <c r="P312" s="31">
        <v>44601</v>
      </c>
      <c r="Q312" s="29" t="s">
        <v>83</v>
      </c>
    </row>
    <row r="313" spans="1:17" ht="15" hidden="1" x14ac:dyDescent="0.25">
      <c r="A313" s="29" t="s">
        <v>97</v>
      </c>
      <c r="B313" s="29" t="s">
        <v>92</v>
      </c>
      <c r="C313" s="29" t="s">
        <v>422</v>
      </c>
      <c r="D313" s="29" t="s">
        <v>383</v>
      </c>
      <c r="E313" s="29" t="s">
        <v>92</v>
      </c>
      <c r="F313" s="29" t="s">
        <v>79</v>
      </c>
      <c r="G313" s="29" t="s">
        <v>80</v>
      </c>
      <c r="H313" s="29" t="s">
        <v>81</v>
      </c>
      <c r="I313" s="29" t="s">
        <v>82</v>
      </c>
      <c r="J313" s="30">
        <v>4996.1899999999996</v>
      </c>
      <c r="K313" s="29" t="s">
        <v>452</v>
      </c>
      <c r="L313" s="29" t="s">
        <v>82</v>
      </c>
      <c r="M313" s="29" t="s">
        <v>440</v>
      </c>
      <c r="N313" s="29" t="s">
        <v>422</v>
      </c>
      <c r="O313" s="31">
        <v>44592</v>
      </c>
      <c r="P313" s="31"/>
      <c r="Q313" s="29" t="s">
        <v>210</v>
      </c>
    </row>
    <row r="314" spans="1:17" ht="15" hidden="1" x14ac:dyDescent="0.25">
      <c r="A314" s="29" t="s">
        <v>97</v>
      </c>
      <c r="B314" s="29" t="s">
        <v>87</v>
      </c>
      <c r="C314" s="29" t="s">
        <v>453</v>
      </c>
      <c r="D314" s="29" t="s">
        <v>382</v>
      </c>
      <c r="E314" s="29" t="s">
        <v>87</v>
      </c>
      <c r="F314" s="29" t="s">
        <v>79</v>
      </c>
      <c r="G314" s="29" t="s">
        <v>80</v>
      </c>
      <c r="H314" s="29" t="s">
        <v>81</v>
      </c>
      <c r="I314" s="29" t="s">
        <v>82</v>
      </c>
      <c r="J314" s="30">
        <v>-865.23</v>
      </c>
      <c r="K314" s="29" t="s">
        <v>450</v>
      </c>
      <c r="L314" s="29" t="s">
        <v>82</v>
      </c>
      <c r="M314" s="29" t="s">
        <v>440</v>
      </c>
      <c r="N314" s="29" t="s">
        <v>449</v>
      </c>
      <c r="O314" s="31">
        <v>44620</v>
      </c>
      <c r="P314" s="31">
        <v>44601</v>
      </c>
      <c r="Q314" s="29" t="s">
        <v>83</v>
      </c>
    </row>
    <row r="315" spans="1:17" ht="15" hidden="1" x14ac:dyDescent="0.25">
      <c r="A315" s="29" t="s">
        <v>97</v>
      </c>
      <c r="B315" s="29" t="s">
        <v>108</v>
      </c>
      <c r="C315" s="29" t="s">
        <v>454</v>
      </c>
      <c r="D315" s="29" t="s">
        <v>384</v>
      </c>
      <c r="E315" s="29" t="s">
        <v>108</v>
      </c>
      <c r="F315" s="29" t="s">
        <v>79</v>
      </c>
      <c r="G315" s="29" t="s">
        <v>80</v>
      </c>
      <c r="H315" s="29" t="s">
        <v>81</v>
      </c>
      <c r="I315" s="29" t="s">
        <v>82</v>
      </c>
      <c r="J315" s="30">
        <v>-16.690000000000001</v>
      </c>
      <c r="K315" s="29" t="s">
        <v>254</v>
      </c>
      <c r="L315" s="29" t="s">
        <v>82</v>
      </c>
      <c r="M315" s="29" t="s">
        <v>440</v>
      </c>
      <c r="N315" s="29" t="s">
        <v>451</v>
      </c>
      <c r="O315" s="31">
        <v>44620</v>
      </c>
      <c r="P315" s="31">
        <v>44601</v>
      </c>
      <c r="Q315" s="29" t="s">
        <v>83</v>
      </c>
    </row>
    <row r="316" spans="1:17" ht="15" hidden="1" x14ac:dyDescent="0.25">
      <c r="A316" s="29" t="s">
        <v>97</v>
      </c>
      <c r="B316" s="29" t="s">
        <v>87</v>
      </c>
      <c r="C316" s="29" t="s">
        <v>339</v>
      </c>
      <c r="D316" s="29" t="s">
        <v>382</v>
      </c>
      <c r="E316" s="29" t="s">
        <v>87</v>
      </c>
      <c r="F316" s="29" t="s">
        <v>79</v>
      </c>
      <c r="G316" s="29" t="s">
        <v>80</v>
      </c>
      <c r="H316" s="29" t="s">
        <v>81</v>
      </c>
      <c r="I316" s="29" t="s">
        <v>82</v>
      </c>
      <c r="J316" s="30">
        <v>-811.05</v>
      </c>
      <c r="K316" s="29" t="s">
        <v>166</v>
      </c>
      <c r="L316" s="29" t="s">
        <v>82</v>
      </c>
      <c r="M316" s="29" t="s">
        <v>171</v>
      </c>
      <c r="N316" s="29" t="s">
        <v>338</v>
      </c>
      <c r="O316" s="31">
        <v>44439</v>
      </c>
      <c r="P316" s="31">
        <v>44413</v>
      </c>
      <c r="Q316" s="29" t="s">
        <v>83</v>
      </c>
    </row>
    <row r="317" spans="1:17" ht="15" hidden="1" x14ac:dyDescent="0.25">
      <c r="A317" s="29" t="s">
        <v>97</v>
      </c>
      <c r="B317" s="29" t="s">
        <v>109</v>
      </c>
      <c r="C317" s="29" t="s">
        <v>280</v>
      </c>
      <c r="D317" s="29" t="s">
        <v>385</v>
      </c>
      <c r="E317" s="29" t="s">
        <v>109</v>
      </c>
      <c r="F317" s="29" t="s">
        <v>79</v>
      </c>
      <c r="G317" s="29" t="s">
        <v>80</v>
      </c>
      <c r="H317" s="29" t="s">
        <v>81</v>
      </c>
      <c r="I317" s="29" t="s">
        <v>82</v>
      </c>
      <c r="J317" s="30">
        <v>-4.88</v>
      </c>
      <c r="K317" s="29" t="s">
        <v>166</v>
      </c>
      <c r="L317" s="29" t="s">
        <v>82</v>
      </c>
      <c r="M317" s="29" t="s">
        <v>171</v>
      </c>
      <c r="N317" s="29" t="s">
        <v>281</v>
      </c>
      <c r="O317" s="31">
        <v>44439</v>
      </c>
      <c r="P317" s="31">
        <v>44413</v>
      </c>
      <c r="Q317" s="29" t="s">
        <v>83</v>
      </c>
    </row>
    <row r="318" spans="1:17" ht="15" hidden="1" x14ac:dyDescent="0.25">
      <c r="A318" s="29" t="s">
        <v>97</v>
      </c>
      <c r="B318" s="29" t="s">
        <v>108</v>
      </c>
      <c r="C318" s="29" t="s">
        <v>314</v>
      </c>
      <c r="D318" s="29" t="s">
        <v>384</v>
      </c>
      <c r="E318" s="29" t="s">
        <v>108</v>
      </c>
      <c r="F318" s="29" t="s">
        <v>79</v>
      </c>
      <c r="G318" s="29" t="s">
        <v>80</v>
      </c>
      <c r="H318" s="29" t="s">
        <v>81</v>
      </c>
      <c r="I318" s="29" t="s">
        <v>82</v>
      </c>
      <c r="J318" s="30">
        <v>-15.65</v>
      </c>
      <c r="K318" s="29" t="s">
        <v>166</v>
      </c>
      <c r="L318" s="29" t="s">
        <v>82</v>
      </c>
      <c r="M318" s="29" t="s">
        <v>171</v>
      </c>
      <c r="N318" s="29" t="s">
        <v>173</v>
      </c>
      <c r="O318" s="31">
        <v>44439</v>
      </c>
      <c r="P318" s="31">
        <v>44413</v>
      </c>
      <c r="Q318" s="29" t="s">
        <v>83</v>
      </c>
    </row>
    <row r="319" spans="1:17" ht="15" hidden="1" x14ac:dyDescent="0.25">
      <c r="A319" s="29" t="s">
        <v>97</v>
      </c>
      <c r="B319" s="29" t="s">
        <v>87</v>
      </c>
      <c r="C319" s="29" t="s">
        <v>180</v>
      </c>
      <c r="D319" s="29" t="s">
        <v>382</v>
      </c>
      <c r="E319" s="29" t="s">
        <v>87</v>
      </c>
      <c r="F319" s="29" t="s">
        <v>79</v>
      </c>
      <c r="G319" s="29" t="s">
        <v>80</v>
      </c>
      <c r="H319" s="29" t="s">
        <v>81</v>
      </c>
      <c r="I319" s="29" t="s">
        <v>82</v>
      </c>
      <c r="J319" s="30">
        <v>1719.14</v>
      </c>
      <c r="K319" s="29" t="s">
        <v>181</v>
      </c>
      <c r="L319" s="29" t="s">
        <v>82</v>
      </c>
      <c r="M319" s="29" t="s">
        <v>179</v>
      </c>
      <c r="N319" s="29" t="s">
        <v>180</v>
      </c>
      <c r="O319" s="31">
        <v>44439</v>
      </c>
      <c r="P319" s="31">
        <v>44447</v>
      </c>
      <c r="Q319" s="29" t="s">
        <v>83</v>
      </c>
    </row>
    <row r="320" spans="1:17" ht="15" hidden="1" x14ac:dyDescent="0.25">
      <c r="A320" s="29" t="s">
        <v>97</v>
      </c>
      <c r="B320" s="29" t="s">
        <v>87</v>
      </c>
      <c r="C320" s="29" t="s">
        <v>350</v>
      </c>
      <c r="D320" s="29" t="s">
        <v>382</v>
      </c>
      <c r="E320" s="29" t="s">
        <v>87</v>
      </c>
      <c r="F320" s="29" t="s">
        <v>79</v>
      </c>
      <c r="G320" s="29" t="s">
        <v>80</v>
      </c>
      <c r="H320" s="29" t="s">
        <v>81</v>
      </c>
      <c r="I320" s="29" t="s">
        <v>82</v>
      </c>
      <c r="J320" s="30">
        <v>-1719.14</v>
      </c>
      <c r="K320" s="29" t="s">
        <v>181</v>
      </c>
      <c r="L320" s="29" t="s">
        <v>82</v>
      </c>
      <c r="M320" s="29" t="s">
        <v>179</v>
      </c>
      <c r="N320" s="29" t="s">
        <v>180</v>
      </c>
      <c r="O320" s="31">
        <v>44469</v>
      </c>
      <c r="P320" s="31">
        <v>44447</v>
      </c>
      <c r="Q320" s="29" t="s">
        <v>83</v>
      </c>
    </row>
    <row r="321" spans="1:17" ht="15" hidden="1" x14ac:dyDescent="0.25">
      <c r="A321" s="29" t="s">
        <v>97</v>
      </c>
      <c r="B321" s="29" t="s">
        <v>109</v>
      </c>
      <c r="C321" s="29" t="s">
        <v>455</v>
      </c>
      <c r="D321" s="29" t="s">
        <v>385</v>
      </c>
      <c r="E321" s="29" t="s">
        <v>109</v>
      </c>
      <c r="F321" s="29" t="s">
        <v>79</v>
      </c>
      <c r="G321" s="29" t="s">
        <v>80</v>
      </c>
      <c r="H321" s="29" t="s">
        <v>81</v>
      </c>
      <c r="I321" s="29" t="s">
        <v>82</v>
      </c>
      <c r="J321" s="30">
        <v>5.21</v>
      </c>
      <c r="K321" s="29" t="s">
        <v>456</v>
      </c>
      <c r="L321" s="29" t="s">
        <v>82</v>
      </c>
      <c r="M321" s="29" t="s">
        <v>440</v>
      </c>
      <c r="N321" s="29" t="s">
        <v>455</v>
      </c>
      <c r="O321" s="31">
        <v>44592</v>
      </c>
      <c r="P321" s="31">
        <v>44601</v>
      </c>
      <c r="Q321" s="29" t="s">
        <v>83</v>
      </c>
    </row>
    <row r="322" spans="1:17" ht="15" hidden="1" x14ac:dyDescent="0.25">
      <c r="A322" s="29" t="s">
        <v>97</v>
      </c>
      <c r="B322" s="29" t="s">
        <v>109</v>
      </c>
      <c r="C322" s="29" t="s">
        <v>457</v>
      </c>
      <c r="D322" s="29" t="s">
        <v>385</v>
      </c>
      <c r="E322" s="29" t="s">
        <v>109</v>
      </c>
      <c r="F322" s="29" t="s">
        <v>79</v>
      </c>
      <c r="G322" s="29" t="s">
        <v>80</v>
      </c>
      <c r="H322" s="29" t="s">
        <v>81</v>
      </c>
      <c r="I322" s="29" t="s">
        <v>82</v>
      </c>
      <c r="J322" s="30">
        <v>-5.21</v>
      </c>
      <c r="K322" s="29" t="s">
        <v>456</v>
      </c>
      <c r="L322" s="29" t="s">
        <v>82</v>
      </c>
      <c r="M322" s="29" t="s">
        <v>440</v>
      </c>
      <c r="N322" s="29" t="s">
        <v>455</v>
      </c>
      <c r="O322" s="31">
        <v>44620</v>
      </c>
      <c r="P322" s="31">
        <v>44601</v>
      </c>
      <c r="Q322" s="29" t="s">
        <v>83</v>
      </c>
    </row>
    <row r="323" spans="1:17" ht="15" x14ac:dyDescent="0.25">
      <c r="A323" s="29" t="s">
        <v>84</v>
      </c>
      <c r="B323" s="29" t="s">
        <v>85</v>
      </c>
      <c r="C323" s="29" t="s">
        <v>446</v>
      </c>
      <c r="D323" s="29" t="s">
        <v>383</v>
      </c>
      <c r="E323" s="29" t="s">
        <v>92</v>
      </c>
      <c r="F323" s="29" t="s">
        <v>79</v>
      </c>
      <c r="G323" s="29" t="s">
        <v>80</v>
      </c>
      <c r="H323" s="29" t="s">
        <v>81</v>
      </c>
      <c r="I323" s="29" t="s">
        <v>82</v>
      </c>
      <c r="J323" s="30">
        <v>2932.94</v>
      </c>
      <c r="K323" s="29" t="s">
        <v>110</v>
      </c>
      <c r="L323" s="29" t="s">
        <v>111</v>
      </c>
      <c r="M323" s="29" t="s">
        <v>426</v>
      </c>
      <c r="N323" s="29" t="s">
        <v>447</v>
      </c>
      <c r="O323" s="31">
        <v>44564</v>
      </c>
      <c r="P323" s="31">
        <v>44565</v>
      </c>
      <c r="Q323" s="29" t="s">
        <v>83</v>
      </c>
    </row>
    <row r="324" spans="1:17" ht="15" x14ac:dyDescent="0.25">
      <c r="A324" s="29" t="s">
        <v>84</v>
      </c>
      <c r="B324" s="29" t="s">
        <v>85</v>
      </c>
      <c r="C324" s="29" t="s">
        <v>446</v>
      </c>
      <c r="D324" s="29" t="s">
        <v>385</v>
      </c>
      <c r="E324" s="29" t="s">
        <v>109</v>
      </c>
      <c r="F324" s="29" t="s">
        <v>79</v>
      </c>
      <c r="G324" s="29" t="s">
        <v>80</v>
      </c>
      <c r="H324" s="29" t="s">
        <v>81</v>
      </c>
      <c r="I324" s="29" t="s">
        <v>82</v>
      </c>
      <c r="J324" s="30">
        <v>8.27</v>
      </c>
      <c r="K324" s="29" t="s">
        <v>110</v>
      </c>
      <c r="L324" s="29" t="s">
        <v>111</v>
      </c>
      <c r="M324" s="29" t="s">
        <v>426</v>
      </c>
      <c r="N324" s="29" t="s">
        <v>447</v>
      </c>
      <c r="O324" s="31">
        <v>44564</v>
      </c>
      <c r="P324" s="31">
        <v>44565</v>
      </c>
      <c r="Q324" s="29" t="s">
        <v>83</v>
      </c>
    </row>
    <row r="325" spans="1:17" ht="15" x14ac:dyDescent="0.25">
      <c r="A325" s="29" t="s">
        <v>84</v>
      </c>
      <c r="B325" s="29" t="s">
        <v>85</v>
      </c>
      <c r="C325" s="29" t="s">
        <v>458</v>
      </c>
      <c r="D325" s="29" t="s">
        <v>382</v>
      </c>
      <c r="E325" s="29" t="s">
        <v>87</v>
      </c>
      <c r="F325" s="29" t="s">
        <v>79</v>
      </c>
      <c r="G325" s="29" t="s">
        <v>80</v>
      </c>
      <c r="H325" s="29" t="s">
        <v>81</v>
      </c>
      <c r="I325" s="29" t="s">
        <v>82</v>
      </c>
      <c r="J325" s="30">
        <v>735.18</v>
      </c>
      <c r="K325" s="29" t="s">
        <v>110</v>
      </c>
      <c r="L325" s="29" t="s">
        <v>111</v>
      </c>
      <c r="M325" s="29" t="s">
        <v>459</v>
      </c>
      <c r="N325" s="29" t="s">
        <v>460</v>
      </c>
      <c r="O325" s="31">
        <v>44580</v>
      </c>
      <c r="P325" s="31">
        <v>44581</v>
      </c>
      <c r="Q325" s="29" t="s">
        <v>83</v>
      </c>
    </row>
    <row r="326" spans="1:17" ht="15" x14ac:dyDescent="0.25">
      <c r="A326" s="29" t="s">
        <v>84</v>
      </c>
      <c r="B326" s="29" t="s">
        <v>85</v>
      </c>
      <c r="C326" s="29" t="s">
        <v>458</v>
      </c>
      <c r="D326" s="29" t="s">
        <v>384</v>
      </c>
      <c r="E326" s="29" t="s">
        <v>108</v>
      </c>
      <c r="F326" s="29" t="s">
        <v>79</v>
      </c>
      <c r="G326" s="29" t="s">
        <v>80</v>
      </c>
      <c r="H326" s="29" t="s">
        <v>81</v>
      </c>
      <c r="I326" s="29" t="s">
        <v>82</v>
      </c>
      <c r="J326" s="30">
        <v>14.2</v>
      </c>
      <c r="K326" s="29" t="s">
        <v>110</v>
      </c>
      <c r="L326" s="29" t="s">
        <v>111</v>
      </c>
      <c r="M326" s="29" t="s">
        <v>459</v>
      </c>
      <c r="N326" s="29" t="s">
        <v>460</v>
      </c>
      <c r="O326" s="31">
        <v>44580</v>
      </c>
      <c r="P326" s="31">
        <v>44581</v>
      </c>
      <c r="Q326" s="29" t="s">
        <v>83</v>
      </c>
    </row>
    <row r="327" spans="1:17" ht="15" x14ac:dyDescent="0.25">
      <c r="A327" s="29" t="s">
        <v>84</v>
      </c>
      <c r="B327" s="29" t="s">
        <v>85</v>
      </c>
      <c r="C327" s="29" t="s">
        <v>458</v>
      </c>
      <c r="D327" s="29" t="s">
        <v>383</v>
      </c>
      <c r="E327" s="29" t="s">
        <v>92</v>
      </c>
      <c r="F327" s="29" t="s">
        <v>79</v>
      </c>
      <c r="G327" s="29" t="s">
        <v>80</v>
      </c>
      <c r="H327" s="29" t="s">
        <v>81</v>
      </c>
      <c r="I327" s="29" t="s">
        <v>82</v>
      </c>
      <c r="J327" s="30">
        <v>1566.18</v>
      </c>
      <c r="K327" s="29" t="s">
        <v>110</v>
      </c>
      <c r="L327" s="29" t="s">
        <v>111</v>
      </c>
      <c r="M327" s="29" t="s">
        <v>459</v>
      </c>
      <c r="N327" s="29" t="s">
        <v>460</v>
      </c>
      <c r="O327" s="31">
        <v>44580</v>
      </c>
      <c r="P327" s="31">
        <v>44581</v>
      </c>
      <c r="Q327" s="29" t="s">
        <v>83</v>
      </c>
    </row>
    <row r="328" spans="1:17" ht="15" x14ac:dyDescent="0.25">
      <c r="A328" s="29" t="s">
        <v>84</v>
      </c>
      <c r="B328" s="29" t="s">
        <v>85</v>
      </c>
      <c r="C328" s="29" t="s">
        <v>458</v>
      </c>
      <c r="D328" s="29" t="s">
        <v>383</v>
      </c>
      <c r="E328" s="29" t="s">
        <v>92</v>
      </c>
      <c r="F328" s="29" t="s">
        <v>79</v>
      </c>
      <c r="G328" s="29" t="s">
        <v>80</v>
      </c>
      <c r="H328" s="29" t="s">
        <v>81</v>
      </c>
      <c r="I328" s="29" t="s">
        <v>82</v>
      </c>
      <c r="J328" s="30">
        <v>4245.33</v>
      </c>
      <c r="K328" s="29" t="s">
        <v>442</v>
      </c>
      <c r="L328" s="29" t="s">
        <v>111</v>
      </c>
      <c r="M328" s="29" t="s">
        <v>459</v>
      </c>
      <c r="N328" s="29" t="s">
        <v>460</v>
      </c>
      <c r="O328" s="31">
        <v>44580</v>
      </c>
      <c r="P328" s="31">
        <v>44581</v>
      </c>
      <c r="Q328" s="29" t="s">
        <v>83</v>
      </c>
    </row>
    <row r="329" spans="1:17" ht="15" x14ac:dyDescent="0.25">
      <c r="A329" s="29" t="s">
        <v>84</v>
      </c>
      <c r="B329" s="29" t="s">
        <v>85</v>
      </c>
      <c r="C329" s="29" t="s">
        <v>458</v>
      </c>
      <c r="D329" s="29" t="s">
        <v>385</v>
      </c>
      <c r="E329" s="29" t="s">
        <v>109</v>
      </c>
      <c r="F329" s="29" t="s">
        <v>79</v>
      </c>
      <c r="G329" s="29" t="s">
        <v>80</v>
      </c>
      <c r="H329" s="29" t="s">
        <v>81</v>
      </c>
      <c r="I329" s="29" t="s">
        <v>82</v>
      </c>
      <c r="J329" s="30">
        <v>4.41</v>
      </c>
      <c r="K329" s="29" t="s">
        <v>110</v>
      </c>
      <c r="L329" s="29" t="s">
        <v>111</v>
      </c>
      <c r="M329" s="29" t="s">
        <v>459</v>
      </c>
      <c r="N329" s="29" t="s">
        <v>460</v>
      </c>
      <c r="O329" s="31">
        <v>44580</v>
      </c>
      <c r="P329" s="31">
        <v>44581</v>
      </c>
      <c r="Q329" s="29" t="s">
        <v>83</v>
      </c>
    </row>
    <row r="330" spans="1:17" ht="15" hidden="1" x14ac:dyDescent="0.25">
      <c r="A330" s="29" t="s">
        <v>84</v>
      </c>
      <c r="B330" s="29" t="s">
        <v>85</v>
      </c>
      <c r="C330" s="29" t="s">
        <v>444</v>
      </c>
      <c r="D330" s="29" t="s">
        <v>383</v>
      </c>
      <c r="E330" s="29" t="s">
        <v>92</v>
      </c>
      <c r="F330" s="29" t="s">
        <v>79</v>
      </c>
      <c r="G330" s="29" t="s">
        <v>80</v>
      </c>
      <c r="H330" s="29" t="s">
        <v>81</v>
      </c>
      <c r="I330" s="29" t="s">
        <v>420</v>
      </c>
      <c r="J330" s="30">
        <v>5312.5</v>
      </c>
      <c r="K330" s="29" t="s">
        <v>442</v>
      </c>
      <c r="L330" s="29" t="s">
        <v>461</v>
      </c>
      <c r="M330" s="29" t="s">
        <v>462</v>
      </c>
      <c r="N330" s="29" t="s">
        <v>463</v>
      </c>
      <c r="O330" s="31">
        <v>44594</v>
      </c>
      <c r="P330" s="31">
        <v>44595</v>
      </c>
      <c r="Q330" s="29" t="s">
        <v>83</v>
      </c>
    </row>
    <row r="331" spans="1:17" ht="15" hidden="1" x14ac:dyDescent="0.25">
      <c r="A331" s="29" t="s">
        <v>84</v>
      </c>
      <c r="B331" s="29" t="s">
        <v>85</v>
      </c>
      <c r="C331" s="29" t="s">
        <v>444</v>
      </c>
      <c r="D331" s="29" t="s">
        <v>383</v>
      </c>
      <c r="E331" s="29" t="s">
        <v>92</v>
      </c>
      <c r="F331" s="29" t="s">
        <v>79</v>
      </c>
      <c r="G331" s="29" t="s">
        <v>80</v>
      </c>
      <c r="H331" s="29" t="s">
        <v>81</v>
      </c>
      <c r="I331" s="29" t="s">
        <v>420</v>
      </c>
      <c r="J331" s="30">
        <v>1012.5</v>
      </c>
      <c r="K331" s="29" t="s">
        <v>442</v>
      </c>
      <c r="L331" s="29" t="s">
        <v>370</v>
      </c>
      <c r="M331" s="29" t="s">
        <v>438</v>
      </c>
      <c r="N331" s="29" t="s">
        <v>464</v>
      </c>
      <c r="O331" s="31">
        <v>44594</v>
      </c>
      <c r="P331" s="31">
        <v>44595</v>
      </c>
      <c r="Q331" s="29" t="s">
        <v>83</v>
      </c>
    </row>
    <row r="332" spans="1:17" ht="15" x14ac:dyDescent="0.25">
      <c r="A332" s="29" t="s">
        <v>84</v>
      </c>
      <c r="B332" s="29" t="s">
        <v>85</v>
      </c>
      <c r="C332" s="29" t="s">
        <v>114</v>
      </c>
      <c r="D332" s="29" t="s">
        <v>382</v>
      </c>
      <c r="E332" s="29" t="s">
        <v>87</v>
      </c>
      <c r="F332" s="29" t="s">
        <v>79</v>
      </c>
      <c r="G332" s="29" t="s">
        <v>80</v>
      </c>
      <c r="H332" s="29" t="s">
        <v>81</v>
      </c>
      <c r="I332" s="29" t="s">
        <v>82</v>
      </c>
      <c r="J332" s="30">
        <v>612.24</v>
      </c>
      <c r="K332" s="29" t="s">
        <v>117</v>
      </c>
      <c r="L332" s="29" t="s">
        <v>111</v>
      </c>
      <c r="M332" s="29" t="s">
        <v>118</v>
      </c>
      <c r="N332" s="29" t="s">
        <v>119</v>
      </c>
      <c r="O332" s="31">
        <v>44246</v>
      </c>
      <c r="P332" s="31">
        <v>44249</v>
      </c>
      <c r="Q332" s="29" t="s">
        <v>83</v>
      </c>
    </row>
    <row r="333" spans="1:17" ht="15" x14ac:dyDescent="0.25">
      <c r="A333" s="29" t="s">
        <v>84</v>
      </c>
      <c r="B333" s="29" t="s">
        <v>85</v>
      </c>
      <c r="C333" s="29" t="s">
        <v>114</v>
      </c>
      <c r="D333" s="29" t="s">
        <v>383</v>
      </c>
      <c r="E333" s="29" t="s">
        <v>92</v>
      </c>
      <c r="F333" s="29" t="s">
        <v>79</v>
      </c>
      <c r="G333" s="29" t="s">
        <v>80</v>
      </c>
      <c r="H333" s="29" t="s">
        <v>81</v>
      </c>
      <c r="I333" s="29" t="s">
        <v>82</v>
      </c>
      <c r="J333" s="30">
        <v>612.24</v>
      </c>
      <c r="K333" s="29" t="s">
        <v>117</v>
      </c>
      <c r="L333" s="29" t="s">
        <v>111</v>
      </c>
      <c r="M333" s="29" t="s">
        <v>118</v>
      </c>
      <c r="N333" s="29" t="s">
        <v>119</v>
      </c>
      <c r="O333" s="31">
        <v>44246</v>
      </c>
      <c r="P333" s="31">
        <v>44249</v>
      </c>
      <c r="Q333" s="29" t="s">
        <v>83</v>
      </c>
    </row>
    <row r="334" spans="1:17" ht="15" hidden="1" x14ac:dyDescent="0.25">
      <c r="A334" s="29" t="s">
        <v>84</v>
      </c>
      <c r="B334" s="29" t="s">
        <v>85</v>
      </c>
      <c r="C334" s="29" t="s">
        <v>358</v>
      </c>
      <c r="D334" s="29" t="s">
        <v>383</v>
      </c>
      <c r="E334" s="29" t="s">
        <v>92</v>
      </c>
      <c r="F334" s="29" t="s">
        <v>79</v>
      </c>
      <c r="G334" s="29" t="s">
        <v>80</v>
      </c>
      <c r="H334" s="29" t="s">
        <v>81</v>
      </c>
      <c r="I334" s="29" t="s">
        <v>82</v>
      </c>
      <c r="J334" s="30">
        <v>16531.25</v>
      </c>
      <c r="K334" s="29" t="s">
        <v>359</v>
      </c>
      <c r="L334" s="29" t="s">
        <v>89</v>
      </c>
      <c r="M334" s="29" t="s">
        <v>360</v>
      </c>
      <c r="N334" s="29" t="s">
        <v>361</v>
      </c>
      <c r="O334" s="31">
        <v>44480</v>
      </c>
      <c r="P334" s="31">
        <v>44481</v>
      </c>
      <c r="Q334" s="29" t="s">
        <v>83</v>
      </c>
    </row>
    <row r="335" spans="1:17" ht="15" hidden="1" x14ac:dyDescent="0.25">
      <c r="A335" s="29" t="s">
        <v>84</v>
      </c>
      <c r="B335" s="29" t="s">
        <v>85</v>
      </c>
      <c r="C335" s="29" t="s">
        <v>205</v>
      </c>
      <c r="D335" s="29" t="s">
        <v>383</v>
      </c>
      <c r="E335" s="29" t="s">
        <v>92</v>
      </c>
      <c r="F335" s="29" t="s">
        <v>79</v>
      </c>
      <c r="G335" s="29" t="s">
        <v>80</v>
      </c>
      <c r="H335" s="29" t="s">
        <v>81</v>
      </c>
      <c r="I335" s="29" t="s">
        <v>82</v>
      </c>
      <c r="J335" s="30">
        <v>195.75</v>
      </c>
      <c r="K335" s="29" t="s">
        <v>192</v>
      </c>
      <c r="L335" s="29" t="s">
        <v>60</v>
      </c>
      <c r="M335" s="29" t="s">
        <v>202</v>
      </c>
      <c r="N335" s="29" t="s">
        <v>206</v>
      </c>
      <c r="O335" s="31">
        <v>44511</v>
      </c>
      <c r="P335" s="31">
        <v>44512</v>
      </c>
      <c r="Q335" s="29" t="s">
        <v>83</v>
      </c>
    </row>
    <row r="336" spans="1:17" ht="15" hidden="1" x14ac:dyDescent="0.25">
      <c r="A336" s="29" t="s">
        <v>84</v>
      </c>
      <c r="B336" s="29" t="s">
        <v>85</v>
      </c>
      <c r="C336" s="29" t="s">
        <v>362</v>
      </c>
      <c r="D336" s="29" t="s">
        <v>383</v>
      </c>
      <c r="E336" s="29" t="s">
        <v>92</v>
      </c>
      <c r="F336" s="29" t="s">
        <v>79</v>
      </c>
      <c r="G336" s="29" t="s">
        <v>80</v>
      </c>
      <c r="H336" s="29" t="s">
        <v>81</v>
      </c>
      <c r="I336" s="29" t="s">
        <v>82</v>
      </c>
      <c r="J336" s="30">
        <v>7640</v>
      </c>
      <c r="K336" s="29" t="s">
        <v>359</v>
      </c>
      <c r="L336" s="29" t="s">
        <v>89</v>
      </c>
      <c r="M336" s="29" t="s">
        <v>363</v>
      </c>
      <c r="N336" s="29" t="s">
        <v>364</v>
      </c>
      <c r="O336" s="31">
        <v>44515</v>
      </c>
      <c r="P336" s="31">
        <v>44516</v>
      </c>
      <c r="Q336" s="29" t="s">
        <v>83</v>
      </c>
    </row>
    <row r="337" spans="1:17" ht="15" hidden="1" x14ac:dyDescent="0.25">
      <c r="A337" s="29" t="s">
        <v>84</v>
      </c>
      <c r="B337" s="29" t="s">
        <v>85</v>
      </c>
      <c r="C337" s="29" t="s">
        <v>366</v>
      </c>
      <c r="D337" s="29" t="s">
        <v>383</v>
      </c>
      <c r="E337" s="29" t="s">
        <v>92</v>
      </c>
      <c r="F337" s="29" t="s">
        <v>79</v>
      </c>
      <c r="G337" s="29" t="s">
        <v>80</v>
      </c>
      <c r="H337" s="29" t="s">
        <v>81</v>
      </c>
      <c r="I337" s="29" t="s">
        <v>82</v>
      </c>
      <c r="J337" s="30">
        <v>1687.5</v>
      </c>
      <c r="K337" s="29" t="s">
        <v>369</v>
      </c>
      <c r="L337" s="29" t="s">
        <v>370</v>
      </c>
      <c r="M337" s="29" t="s">
        <v>214</v>
      </c>
      <c r="N337" s="29" t="s">
        <v>371</v>
      </c>
      <c r="O337" s="31">
        <v>44539</v>
      </c>
      <c r="P337" s="31">
        <v>44540</v>
      </c>
      <c r="Q337" s="29" t="s">
        <v>83</v>
      </c>
    </row>
    <row r="338" spans="1:17" ht="15" hidden="1" x14ac:dyDescent="0.25">
      <c r="A338" s="29" t="s">
        <v>84</v>
      </c>
      <c r="B338" s="29" t="s">
        <v>85</v>
      </c>
      <c r="C338" s="29" t="s">
        <v>465</v>
      </c>
      <c r="D338" s="29" t="s">
        <v>383</v>
      </c>
      <c r="E338" s="29" t="s">
        <v>92</v>
      </c>
      <c r="F338" s="29" t="s">
        <v>79</v>
      </c>
      <c r="G338" s="29" t="s">
        <v>80</v>
      </c>
      <c r="H338" s="29" t="s">
        <v>81</v>
      </c>
      <c r="I338" s="29" t="s">
        <v>82</v>
      </c>
      <c r="J338" s="30">
        <v>20798.75</v>
      </c>
      <c r="K338" s="29" t="s">
        <v>359</v>
      </c>
      <c r="L338" s="29" t="s">
        <v>89</v>
      </c>
      <c r="M338" s="29" t="s">
        <v>466</v>
      </c>
      <c r="N338" s="29" t="s">
        <v>467</v>
      </c>
      <c r="O338" s="31">
        <v>44550</v>
      </c>
      <c r="P338" s="31">
        <v>44551</v>
      </c>
      <c r="Q338" s="29" t="s">
        <v>83</v>
      </c>
    </row>
    <row r="339" spans="1:17" ht="15" hidden="1" x14ac:dyDescent="0.25">
      <c r="A339" s="29" t="s">
        <v>84</v>
      </c>
      <c r="B339" s="29" t="s">
        <v>85</v>
      </c>
      <c r="C339" s="29" t="s">
        <v>468</v>
      </c>
      <c r="D339" s="29" t="s">
        <v>383</v>
      </c>
      <c r="E339" s="29" t="s">
        <v>92</v>
      </c>
      <c r="F339" s="29" t="s">
        <v>79</v>
      </c>
      <c r="G339" s="29" t="s">
        <v>80</v>
      </c>
      <c r="H339" s="29" t="s">
        <v>81</v>
      </c>
      <c r="I339" s="29" t="s">
        <v>82</v>
      </c>
      <c r="J339" s="30">
        <v>506.25</v>
      </c>
      <c r="K339" s="29" t="s">
        <v>369</v>
      </c>
      <c r="L339" s="29" t="s">
        <v>370</v>
      </c>
      <c r="M339" s="29" t="s">
        <v>469</v>
      </c>
      <c r="N339" s="29" t="s">
        <v>470</v>
      </c>
      <c r="O339" s="31">
        <v>44559</v>
      </c>
      <c r="P339" s="31">
        <v>44560</v>
      </c>
      <c r="Q339" s="29" t="s">
        <v>83</v>
      </c>
    </row>
    <row r="340" spans="1:17" ht="15" hidden="1" x14ac:dyDescent="0.25">
      <c r="A340" s="29" t="s">
        <v>84</v>
      </c>
      <c r="B340" s="29" t="s">
        <v>85</v>
      </c>
      <c r="C340" s="29" t="s">
        <v>468</v>
      </c>
      <c r="D340" s="29" t="s">
        <v>383</v>
      </c>
      <c r="E340" s="29" t="s">
        <v>92</v>
      </c>
      <c r="F340" s="29" t="s">
        <v>79</v>
      </c>
      <c r="G340" s="29" t="s">
        <v>80</v>
      </c>
      <c r="H340" s="29" t="s">
        <v>81</v>
      </c>
      <c r="I340" s="29" t="s">
        <v>82</v>
      </c>
      <c r="J340" s="30">
        <v>1151.32</v>
      </c>
      <c r="K340" s="29" t="s">
        <v>471</v>
      </c>
      <c r="L340" s="29" t="s">
        <v>184</v>
      </c>
      <c r="M340" s="29" t="s">
        <v>472</v>
      </c>
      <c r="N340" s="29" t="s">
        <v>473</v>
      </c>
      <c r="O340" s="31">
        <v>44559</v>
      </c>
      <c r="P340" s="31">
        <v>44560</v>
      </c>
      <c r="Q340" s="29" t="s">
        <v>83</v>
      </c>
    </row>
    <row r="341" spans="1:17" ht="15" hidden="1" x14ac:dyDescent="0.25">
      <c r="A341" s="29" t="s">
        <v>84</v>
      </c>
      <c r="B341" s="29" t="s">
        <v>85</v>
      </c>
      <c r="C341" s="29" t="s">
        <v>474</v>
      </c>
      <c r="D341" s="29" t="s">
        <v>383</v>
      </c>
      <c r="E341" s="29" t="s">
        <v>92</v>
      </c>
      <c r="F341" s="29" t="s">
        <v>79</v>
      </c>
      <c r="G341" s="29" t="s">
        <v>80</v>
      </c>
      <c r="H341" s="29" t="s">
        <v>81</v>
      </c>
      <c r="I341" s="29" t="s">
        <v>420</v>
      </c>
      <c r="J341" s="30">
        <v>785.54</v>
      </c>
      <c r="K341" s="29" t="s">
        <v>471</v>
      </c>
      <c r="L341" s="29" t="s">
        <v>184</v>
      </c>
      <c r="M341" s="29" t="s">
        <v>475</v>
      </c>
      <c r="N341" s="29" t="s">
        <v>476</v>
      </c>
      <c r="O341" s="31">
        <v>44589</v>
      </c>
      <c r="P341" s="31">
        <v>44590</v>
      </c>
      <c r="Q341" s="29" t="s">
        <v>83</v>
      </c>
    </row>
    <row r="342" spans="1:17" ht="15" hidden="1" x14ac:dyDescent="0.25">
      <c r="A342" s="29" t="s">
        <v>84</v>
      </c>
      <c r="B342" s="29" t="s">
        <v>85</v>
      </c>
      <c r="C342" s="29" t="s">
        <v>263</v>
      </c>
      <c r="D342" s="29" t="s">
        <v>382</v>
      </c>
      <c r="E342" s="29" t="s">
        <v>87</v>
      </c>
      <c r="F342" s="29" t="s">
        <v>79</v>
      </c>
      <c r="G342" s="29" t="s">
        <v>80</v>
      </c>
      <c r="H342" s="29" t="s">
        <v>81</v>
      </c>
      <c r="I342" s="29" t="s">
        <v>82</v>
      </c>
      <c r="J342" s="30">
        <v>3644</v>
      </c>
      <c r="K342" s="29" t="s">
        <v>264</v>
      </c>
      <c r="L342" s="29" t="s">
        <v>89</v>
      </c>
      <c r="M342" s="29" t="s">
        <v>265</v>
      </c>
      <c r="N342" s="29" t="s">
        <v>266</v>
      </c>
      <c r="O342" s="31">
        <v>44286</v>
      </c>
      <c r="P342" s="31">
        <v>44286</v>
      </c>
      <c r="Q342" s="29" t="s">
        <v>83</v>
      </c>
    </row>
    <row r="343" spans="1:17" ht="15" hidden="1" x14ac:dyDescent="0.25">
      <c r="A343" s="29" t="s">
        <v>84</v>
      </c>
      <c r="B343" s="29" t="s">
        <v>85</v>
      </c>
      <c r="C343" s="29" t="s">
        <v>263</v>
      </c>
      <c r="D343" s="29" t="s">
        <v>502</v>
      </c>
      <c r="E343" s="29" t="s">
        <v>406</v>
      </c>
      <c r="F343" s="29" t="s">
        <v>79</v>
      </c>
      <c r="G343" s="29" t="s">
        <v>80</v>
      </c>
      <c r="H343" s="29" t="s">
        <v>81</v>
      </c>
      <c r="I343" s="29" t="s">
        <v>82</v>
      </c>
      <c r="J343" s="30">
        <v>3215</v>
      </c>
      <c r="K343" s="29" t="s">
        <v>264</v>
      </c>
      <c r="L343" s="29" t="s">
        <v>89</v>
      </c>
      <c r="M343" s="29" t="s">
        <v>265</v>
      </c>
      <c r="N343" s="29" t="s">
        <v>266</v>
      </c>
      <c r="O343" s="31">
        <v>44286</v>
      </c>
      <c r="P343" s="31">
        <v>44286</v>
      </c>
      <c r="Q343" s="29" t="s">
        <v>83</v>
      </c>
    </row>
    <row r="344" spans="1:17" ht="15" hidden="1" x14ac:dyDescent="0.25">
      <c r="A344" s="29" t="s">
        <v>84</v>
      </c>
      <c r="B344" s="29" t="s">
        <v>85</v>
      </c>
      <c r="C344" s="29" t="s">
        <v>263</v>
      </c>
      <c r="D344" s="29" t="s">
        <v>384</v>
      </c>
      <c r="E344" s="29" t="s">
        <v>108</v>
      </c>
      <c r="F344" s="29" t="s">
        <v>79</v>
      </c>
      <c r="G344" s="29" t="s">
        <v>80</v>
      </c>
      <c r="H344" s="29" t="s">
        <v>81</v>
      </c>
      <c r="I344" s="29" t="s">
        <v>82</v>
      </c>
      <c r="J344" s="30">
        <v>71</v>
      </c>
      <c r="K344" s="29" t="s">
        <v>264</v>
      </c>
      <c r="L344" s="29" t="s">
        <v>89</v>
      </c>
      <c r="M344" s="29" t="s">
        <v>265</v>
      </c>
      <c r="N344" s="29" t="s">
        <v>266</v>
      </c>
      <c r="O344" s="31">
        <v>44286</v>
      </c>
      <c r="P344" s="31">
        <v>44286</v>
      </c>
      <c r="Q344" s="29" t="s">
        <v>83</v>
      </c>
    </row>
    <row r="345" spans="1:17" ht="15" hidden="1" x14ac:dyDescent="0.25">
      <c r="A345" s="29" t="s">
        <v>84</v>
      </c>
      <c r="B345" s="29" t="s">
        <v>85</v>
      </c>
      <c r="C345" s="29" t="s">
        <v>263</v>
      </c>
      <c r="D345" s="29" t="s">
        <v>383</v>
      </c>
      <c r="E345" s="29" t="s">
        <v>92</v>
      </c>
      <c r="F345" s="29" t="s">
        <v>79</v>
      </c>
      <c r="G345" s="29" t="s">
        <v>80</v>
      </c>
      <c r="H345" s="29" t="s">
        <v>81</v>
      </c>
      <c r="I345" s="29" t="s">
        <v>82</v>
      </c>
      <c r="J345" s="30">
        <v>7764</v>
      </c>
      <c r="K345" s="29" t="s">
        <v>264</v>
      </c>
      <c r="L345" s="29" t="s">
        <v>89</v>
      </c>
      <c r="M345" s="29" t="s">
        <v>265</v>
      </c>
      <c r="N345" s="29" t="s">
        <v>266</v>
      </c>
      <c r="O345" s="31">
        <v>44286</v>
      </c>
      <c r="P345" s="31">
        <v>44286</v>
      </c>
      <c r="Q345" s="29" t="s">
        <v>83</v>
      </c>
    </row>
    <row r="346" spans="1:17" ht="15" hidden="1" x14ac:dyDescent="0.25">
      <c r="A346" s="29" t="s">
        <v>84</v>
      </c>
      <c r="B346" s="29" t="s">
        <v>85</v>
      </c>
      <c r="C346" s="29" t="s">
        <v>263</v>
      </c>
      <c r="D346" s="29" t="s">
        <v>385</v>
      </c>
      <c r="E346" s="29" t="s">
        <v>109</v>
      </c>
      <c r="F346" s="29" t="s">
        <v>79</v>
      </c>
      <c r="G346" s="29" t="s">
        <v>80</v>
      </c>
      <c r="H346" s="29" t="s">
        <v>81</v>
      </c>
      <c r="I346" s="29" t="s">
        <v>82</v>
      </c>
      <c r="J346" s="30">
        <v>23</v>
      </c>
      <c r="K346" s="29" t="s">
        <v>264</v>
      </c>
      <c r="L346" s="29" t="s">
        <v>89</v>
      </c>
      <c r="M346" s="29" t="s">
        <v>265</v>
      </c>
      <c r="N346" s="29" t="s">
        <v>266</v>
      </c>
      <c r="O346" s="31">
        <v>44286</v>
      </c>
      <c r="P346" s="31">
        <v>44286</v>
      </c>
      <c r="Q346" s="29" t="s">
        <v>83</v>
      </c>
    </row>
    <row r="347" spans="1:17" ht="15" hidden="1" x14ac:dyDescent="0.25">
      <c r="A347" s="29" t="s">
        <v>84</v>
      </c>
      <c r="B347" s="29" t="s">
        <v>85</v>
      </c>
      <c r="C347" s="29" t="s">
        <v>299</v>
      </c>
      <c r="D347" s="29" t="s">
        <v>382</v>
      </c>
      <c r="E347" s="29" t="s">
        <v>87</v>
      </c>
      <c r="F347" s="29" t="s">
        <v>79</v>
      </c>
      <c r="G347" s="29" t="s">
        <v>80</v>
      </c>
      <c r="H347" s="29" t="s">
        <v>81</v>
      </c>
      <c r="I347" s="29" t="s">
        <v>82</v>
      </c>
      <c r="J347" s="30">
        <v>395.5</v>
      </c>
      <c r="K347" s="29" t="s">
        <v>264</v>
      </c>
      <c r="L347" s="29" t="s">
        <v>89</v>
      </c>
      <c r="M347" s="29" t="s">
        <v>300</v>
      </c>
      <c r="N347" s="29" t="s">
        <v>301</v>
      </c>
      <c r="O347" s="31">
        <v>44298</v>
      </c>
      <c r="P347" s="31">
        <v>44299</v>
      </c>
      <c r="Q347" s="29" t="s">
        <v>83</v>
      </c>
    </row>
    <row r="348" spans="1:17" ht="15" hidden="1" x14ac:dyDescent="0.25">
      <c r="A348" s="29" t="s">
        <v>84</v>
      </c>
      <c r="B348" s="29" t="s">
        <v>85</v>
      </c>
      <c r="C348" s="29" t="s">
        <v>299</v>
      </c>
      <c r="D348" s="29" t="s">
        <v>502</v>
      </c>
      <c r="E348" s="29" t="s">
        <v>406</v>
      </c>
      <c r="F348" s="29" t="s">
        <v>79</v>
      </c>
      <c r="G348" s="29" t="s">
        <v>80</v>
      </c>
      <c r="H348" s="29" t="s">
        <v>81</v>
      </c>
      <c r="I348" s="29" t="s">
        <v>82</v>
      </c>
      <c r="J348" s="30">
        <v>348.96</v>
      </c>
      <c r="K348" s="29" t="s">
        <v>264</v>
      </c>
      <c r="L348" s="29" t="s">
        <v>89</v>
      </c>
      <c r="M348" s="29" t="s">
        <v>300</v>
      </c>
      <c r="N348" s="29" t="s">
        <v>301</v>
      </c>
      <c r="O348" s="31">
        <v>44298</v>
      </c>
      <c r="P348" s="31">
        <v>44299</v>
      </c>
      <c r="Q348" s="29" t="s">
        <v>83</v>
      </c>
    </row>
    <row r="349" spans="1:17" ht="15" hidden="1" x14ac:dyDescent="0.25">
      <c r="A349" s="29" t="s">
        <v>84</v>
      </c>
      <c r="B349" s="29" t="s">
        <v>85</v>
      </c>
      <c r="C349" s="29" t="s">
        <v>299</v>
      </c>
      <c r="D349" s="29" t="s">
        <v>384</v>
      </c>
      <c r="E349" s="29" t="s">
        <v>108</v>
      </c>
      <c r="F349" s="29" t="s">
        <v>79</v>
      </c>
      <c r="G349" s="29" t="s">
        <v>80</v>
      </c>
      <c r="H349" s="29" t="s">
        <v>81</v>
      </c>
      <c r="I349" s="29" t="s">
        <v>82</v>
      </c>
      <c r="J349" s="30">
        <v>7.72</v>
      </c>
      <c r="K349" s="29" t="s">
        <v>264</v>
      </c>
      <c r="L349" s="29" t="s">
        <v>89</v>
      </c>
      <c r="M349" s="29" t="s">
        <v>300</v>
      </c>
      <c r="N349" s="29" t="s">
        <v>301</v>
      </c>
      <c r="O349" s="31">
        <v>44298</v>
      </c>
      <c r="P349" s="31">
        <v>44299</v>
      </c>
      <c r="Q349" s="29" t="s">
        <v>83</v>
      </c>
    </row>
    <row r="350" spans="1:17" ht="15" hidden="1" x14ac:dyDescent="0.25">
      <c r="A350" s="29" t="s">
        <v>84</v>
      </c>
      <c r="B350" s="29" t="s">
        <v>85</v>
      </c>
      <c r="C350" s="29" t="s">
        <v>299</v>
      </c>
      <c r="D350" s="29" t="s">
        <v>383</v>
      </c>
      <c r="E350" s="29" t="s">
        <v>92</v>
      </c>
      <c r="F350" s="29" t="s">
        <v>79</v>
      </c>
      <c r="G350" s="29" t="s">
        <v>80</v>
      </c>
      <c r="H350" s="29" t="s">
        <v>81</v>
      </c>
      <c r="I350" s="29" t="s">
        <v>82</v>
      </c>
      <c r="J350" s="30">
        <v>842.77</v>
      </c>
      <c r="K350" s="29" t="s">
        <v>264</v>
      </c>
      <c r="L350" s="29" t="s">
        <v>89</v>
      </c>
      <c r="M350" s="29" t="s">
        <v>300</v>
      </c>
      <c r="N350" s="29" t="s">
        <v>301</v>
      </c>
      <c r="O350" s="31">
        <v>44298</v>
      </c>
      <c r="P350" s="31">
        <v>44299</v>
      </c>
      <c r="Q350" s="29" t="s">
        <v>83</v>
      </c>
    </row>
    <row r="351" spans="1:17" ht="15" hidden="1" x14ac:dyDescent="0.25">
      <c r="A351" s="29" t="s">
        <v>84</v>
      </c>
      <c r="B351" s="29" t="s">
        <v>85</v>
      </c>
      <c r="C351" s="29" t="s">
        <v>299</v>
      </c>
      <c r="D351" s="29" t="s">
        <v>385</v>
      </c>
      <c r="E351" s="29" t="s">
        <v>109</v>
      </c>
      <c r="F351" s="29" t="s">
        <v>79</v>
      </c>
      <c r="G351" s="29" t="s">
        <v>80</v>
      </c>
      <c r="H351" s="29" t="s">
        <v>81</v>
      </c>
      <c r="I351" s="29" t="s">
        <v>82</v>
      </c>
      <c r="J351" s="30">
        <v>2.4900000000000002</v>
      </c>
      <c r="K351" s="29" t="s">
        <v>264</v>
      </c>
      <c r="L351" s="29" t="s">
        <v>89</v>
      </c>
      <c r="M351" s="29" t="s">
        <v>300</v>
      </c>
      <c r="N351" s="29" t="s">
        <v>301</v>
      </c>
      <c r="O351" s="31">
        <v>44298</v>
      </c>
      <c r="P351" s="31">
        <v>44299</v>
      </c>
      <c r="Q351" s="29" t="s">
        <v>83</v>
      </c>
    </row>
    <row r="352" spans="1:17" ht="15" hidden="1" x14ac:dyDescent="0.25">
      <c r="A352" s="29" t="s">
        <v>84</v>
      </c>
      <c r="B352" s="29" t="s">
        <v>85</v>
      </c>
      <c r="C352" s="29" t="s">
        <v>477</v>
      </c>
      <c r="D352" s="29" t="s">
        <v>383</v>
      </c>
      <c r="E352" s="29" t="s">
        <v>92</v>
      </c>
      <c r="F352" s="29" t="s">
        <v>79</v>
      </c>
      <c r="G352" s="29" t="s">
        <v>80</v>
      </c>
      <c r="H352" s="29" t="s">
        <v>81</v>
      </c>
      <c r="I352" s="29" t="s">
        <v>420</v>
      </c>
      <c r="J352" s="30">
        <v>5784</v>
      </c>
      <c r="K352" s="29" t="s">
        <v>478</v>
      </c>
      <c r="L352" s="29" t="s">
        <v>184</v>
      </c>
      <c r="M352" s="29" t="s">
        <v>479</v>
      </c>
      <c r="N352" s="29" t="s">
        <v>480</v>
      </c>
      <c r="O352" s="31">
        <v>44582</v>
      </c>
      <c r="P352" s="31">
        <v>44585</v>
      </c>
      <c r="Q352" s="29" t="s">
        <v>83</v>
      </c>
    </row>
    <row r="353" spans="1:17" ht="15" hidden="1" x14ac:dyDescent="0.25">
      <c r="A353" s="29" t="s">
        <v>84</v>
      </c>
      <c r="B353" s="29" t="s">
        <v>85</v>
      </c>
      <c r="C353" s="29" t="s">
        <v>169</v>
      </c>
      <c r="D353" s="29" t="s">
        <v>384</v>
      </c>
      <c r="E353" s="29" t="s">
        <v>108</v>
      </c>
      <c r="F353" s="29" t="s">
        <v>79</v>
      </c>
      <c r="G353" s="29" t="s">
        <v>80</v>
      </c>
      <c r="H353" s="29" t="s">
        <v>81</v>
      </c>
      <c r="I353" s="29" t="s">
        <v>82</v>
      </c>
      <c r="J353" s="30">
        <v>15.65</v>
      </c>
      <c r="K353" s="29" t="s">
        <v>170</v>
      </c>
      <c r="L353" s="29" t="s">
        <v>122</v>
      </c>
      <c r="M353" s="29" t="s">
        <v>171</v>
      </c>
      <c r="N353" s="29" t="s">
        <v>172</v>
      </c>
      <c r="O353" s="31">
        <v>44411</v>
      </c>
      <c r="P353" s="31">
        <v>44412</v>
      </c>
      <c r="Q353" s="29" t="s">
        <v>83</v>
      </c>
    </row>
    <row r="354" spans="1:17" ht="15" hidden="1" x14ac:dyDescent="0.25">
      <c r="A354" s="29" t="s">
        <v>84</v>
      </c>
      <c r="B354" s="29" t="s">
        <v>85</v>
      </c>
      <c r="C354" s="29" t="s">
        <v>169</v>
      </c>
      <c r="D354" s="29" t="s">
        <v>383</v>
      </c>
      <c r="E354" s="29" t="s">
        <v>92</v>
      </c>
      <c r="F354" s="29" t="s">
        <v>79</v>
      </c>
      <c r="G354" s="29" t="s">
        <v>80</v>
      </c>
      <c r="H354" s="29" t="s">
        <v>81</v>
      </c>
      <c r="I354" s="29" t="s">
        <v>82</v>
      </c>
      <c r="J354" s="30">
        <v>1727.77</v>
      </c>
      <c r="K354" s="29" t="s">
        <v>170</v>
      </c>
      <c r="L354" s="29" t="s">
        <v>122</v>
      </c>
      <c r="M354" s="29" t="s">
        <v>171</v>
      </c>
      <c r="N354" s="29" t="s">
        <v>172</v>
      </c>
      <c r="O354" s="31">
        <v>44411</v>
      </c>
      <c r="P354" s="31">
        <v>44412</v>
      </c>
      <c r="Q354" s="29" t="s">
        <v>83</v>
      </c>
    </row>
    <row r="355" spans="1:17" ht="15" hidden="1" x14ac:dyDescent="0.25">
      <c r="A355" s="29" t="s">
        <v>84</v>
      </c>
      <c r="B355" s="29" t="s">
        <v>85</v>
      </c>
      <c r="C355" s="29" t="s">
        <v>169</v>
      </c>
      <c r="D355" s="29" t="s">
        <v>385</v>
      </c>
      <c r="E355" s="29" t="s">
        <v>109</v>
      </c>
      <c r="F355" s="29" t="s">
        <v>79</v>
      </c>
      <c r="G355" s="29" t="s">
        <v>80</v>
      </c>
      <c r="H355" s="29" t="s">
        <v>81</v>
      </c>
      <c r="I355" s="29" t="s">
        <v>82</v>
      </c>
      <c r="J355" s="30">
        <v>4.88</v>
      </c>
      <c r="K355" s="29" t="s">
        <v>170</v>
      </c>
      <c r="L355" s="29" t="s">
        <v>122</v>
      </c>
      <c r="M355" s="29" t="s">
        <v>171</v>
      </c>
      <c r="N355" s="29" t="s">
        <v>172</v>
      </c>
      <c r="O355" s="31">
        <v>44411</v>
      </c>
      <c r="P355" s="31">
        <v>44412</v>
      </c>
      <c r="Q355" s="29" t="s">
        <v>83</v>
      </c>
    </row>
    <row r="356" spans="1:17" ht="15" hidden="1" x14ac:dyDescent="0.25">
      <c r="A356" s="29" t="s">
        <v>84</v>
      </c>
      <c r="B356" s="29" t="s">
        <v>85</v>
      </c>
      <c r="C356" s="29" t="s">
        <v>481</v>
      </c>
      <c r="D356" s="29" t="s">
        <v>383</v>
      </c>
      <c r="E356" s="29" t="s">
        <v>92</v>
      </c>
      <c r="F356" s="29" t="s">
        <v>79</v>
      </c>
      <c r="G356" s="29" t="s">
        <v>80</v>
      </c>
      <c r="H356" s="29" t="s">
        <v>81</v>
      </c>
      <c r="I356" s="29" t="s">
        <v>82</v>
      </c>
      <c r="J356" s="30">
        <v>391.5</v>
      </c>
      <c r="K356" s="29" t="s">
        <v>482</v>
      </c>
      <c r="L356" s="29" t="s">
        <v>60</v>
      </c>
      <c r="M356" s="29" t="s">
        <v>421</v>
      </c>
      <c r="N356" s="29" t="s">
        <v>483</v>
      </c>
      <c r="O356" s="31">
        <v>44565</v>
      </c>
      <c r="P356" s="31">
        <v>44566</v>
      </c>
      <c r="Q356" s="29" t="s">
        <v>83</v>
      </c>
    </row>
    <row r="357" spans="1:17" ht="15" hidden="1" x14ac:dyDescent="0.25">
      <c r="A357" s="29" t="s">
        <v>84</v>
      </c>
      <c r="B357" s="29" t="s">
        <v>85</v>
      </c>
      <c r="C357" s="29" t="s">
        <v>477</v>
      </c>
      <c r="D357" s="29" t="s">
        <v>383</v>
      </c>
      <c r="E357" s="29" t="s">
        <v>92</v>
      </c>
      <c r="F357" s="29" t="s">
        <v>79</v>
      </c>
      <c r="G357" s="29" t="s">
        <v>80</v>
      </c>
      <c r="H357" s="29" t="s">
        <v>81</v>
      </c>
      <c r="I357" s="29" t="s">
        <v>420</v>
      </c>
      <c r="J357" s="30">
        <v>663.38</v>
      </c>
      <c r="K357" s="29" t="s">
        <v>484</v>
      </c>
      <c r="L357" s="29" t="s">
        <v>60</v>
      </c>
      <c r="M357" s="29" t="s">
        <v>485</v>
      </c>
      <c r="N357" s="29" t="s">
        <v>486</v>
      </c>
      <c r="O357" s="31">
        <v>44582</v>
      </c>
      <c r="P357" s="31">
        <v>44585</v>
      </c>
      <c r="Q357" s="29" t="s">
        <v>83</v>
      </c>
    </row>
    <row r="358" spans="1:17" ht="15" hidden="1" x14ac:dyDescent="0.25">
      <c r="A358" s="29" t="s">
        <v>84</v>
      </c>
      <c r="B358" s="29" t="s">
        <v>85</v>
      </c>
      <c r="C358" s="29" t="s">
        <v>182</v>
      </c>
      <c r="D358" s="29" t="s">
        <v>383</v>
      </c>
      <c r="E358" s="29" t="s">
        <v>92</v>
      </c>
      <c r="F358" s="29" t="s">
        <v>79</v>
      </c>
      <c r="G358" s="29" t="s">
        <v>80</v>
      </c>
      <c r="H358" s="29" t="s">
        <v>81</v>
      </c>
      <c r="I358" s="29" t="s">
        <v>82</v>
      </c>
      <c r="J358" s="30">
        <v>264.39999999999998</v>
      </c>
      <c r="K358" s="29" t="s">
        <v>183</v>
      </c>
      <c r="L358" s="29" t="s">
        <v>184</v>
      </c>
      <c r="M358" s="29" t="s">
        <v>185</v>
      </c>
      <c r="N358" s="29" t="s">
        <v>186</v>
      </c>
      <c r="O358" s="31">
        <v>44446</v>
      </c>
      <c r="P358" s="31">
        <v>44446</v>
      </c>
      <c r="Q358" s="29" t="s">
        <v>83</v>
      </c>
    </row>
    <row r="359" spans="1:17" ht="15" hidden="1" x14ac:dyDescent="0.25">
      <c r="A359" s="29" t="s">
        <v>84</v>
      </c>
      <c r="B359" s="29" t="s">
        <v>85</v>
      </c>
      <c r="C359" s="29" t="s">
        <v>282</v>
      </c>
      <c r="D359" s="29" t="s">
        <v>383</v>
      </c>
      <c r="E359" s="29" t="s">
        <v>92</v>
      </c>
      <c r="F359" s="29" t="s">
        <v>79</v>
      </c>
      <c r="G359" s="29" t="s">
        <v>80</v>
      </c>
      <c r="H359" s="29" t="s">
        <v>81</v>
      </c>
      <c r="I359" s="29" t="s">
        <v>82</v>
      </c>
      <c r="J359" s="30">
        <v>811.46</v>
      </c>
      <c r="K359" s="29" t="s">
        <v>192</v>
      </c>
      <c r="L359" s="29" t="s">
        <v>184</v>
      </c>
      <c r="M359" s="29" t="s">
        <v>283</v>
      </c>
      <c r="N359" s="29" t="s">
        <v>284</v>
      </c>
      <c r="O359" s="31">
        <v>44466</v>
      </c>
      <c r="P359" s="31">
        <v>44467</v>
      </c>
      <c r="Q359" s="29" t="s">
        <v>83</v>
      </c>
    </row>
    <row r="360" spans="1:17" ht="15" hidden="1" x14ac:dyDescent="0.25">
      <c r="A360" s="29" t="s">
        <v>84</v>
      </c>
      <c r="B360" s="29" t="s">
        <v>85</v>
      </c>
      <c r="C360" s="29" t="s">
        <v>290</v>
      </c>
      <c r="D360" s="29" t="s">
        <v>383</v>
      </c>
      <c r="E360" s="29" t="s">
        <v>92</v>
      </c>
      <c r="F360" s="29" t="s">
        <v>79</v>
      </c>
      <c r="G360" s="29" t="s">
        <v>80</v>
      </c>
      <c r="H360" s="29" t="s">
        <v>81</v>
      </c>
      <c r="I360" s="29" t="s">
        <v>82</v>
      </c>
      <c r="J360" s="30">
        <v>280</v>
      </c>
      <c r="K360" s="29" t="s">
        <v>291</v>
      </c>
      <c r="L360" s="29" t="s">
        <v>292</v>
      </c>
      <c r="M360" s="29" t="s">
        <v>293</v>
      </c>
      <c r="N360" s="29" t="s">
        <v>294</v>
      </c>
      <c r="O360" s="31">
        <v>44483</v>
      </c>
      <c r="P360" s="31">
        <v>44484</v>
      </c>
      <c r="Q360" s="29" t="s">
        <v>83</v>
      </c>
    </row>
    <row r="361" spans="1:17" ht="15" hidden="1" x14ac:dyDescent="0.25">
      <c r="A361" s="29" t="s">
        <v>84</v>
      </c>
      <c r="B361" s="29" t="s">
        <v>85</v>
      </c>
      <c r="C361" s="29" t="s">
        <v>191</v>
      </c>
      <c r="D361" s="29" t="s">
        <v>383</v>
      </c>
      <c r="E361" s="29" t="s">
        <v>92</v>
      </c>
      <c r="F361" s="29" t="s">
        <v>79</v>
      </c>
      <c r="G361" s="29" t="s">
        <v>80</v>
      </c>
      <c r="H361" s="29" t="s">
        <v>81</v>
      </c>
      <c r="I361" s="29" t="s">
        <v>82</v>
      </c>
      <c r="J361" s="30">
        <v>401.86</v>
      </c>
      <c r="K361" s="29" t="s">
        <v>192</v>
      </c>
      <c r="L361" s="29" t="s">
        <v>184</v>
      </c>
      <c r="M361" s="29" t="s">
        <v>193</v>
      </c>
      <c r="N361" s="29" t="s">
        <v>194</v>
      </c>
      <c r="O361" s="31">
        <v>44501</v>
      </c>
      <c r="P361" s="31">
        <v>44502</v>
      </c>
      <c r="Q361" s="29" t="s">
        <v>83</v>
      </c>
    </row>
    <row r="362" spans="1:17" ht="15" hidden="1" x14ac:dyDescent="0.25">
      <c r="A362" s="29" t="s">
        <v>84</v>
      </c>
      <c r="B362" s="29" t="s">
        <v>85</v>
      </c>
      <c r="C362" s="29" t="s">
        <v>295</v>
      </c>
      <c r="D362" s="29" t="s">
        <v>383</v>
      </c>
      <c r="E362" s="29" t="s">
        <v>92</v>
      </c>
      <c r="F362" s="29" t="s">
        <v>79</v>
      </c>
      <c r="G362" s="29" t="s">
        <v>80</v>
      </c>
      <c r="H362" s="29" t="s">
        <v>81</v>
      </c>
      <c r="I362" s="29" t="s">
        <v>82</v>
      </c>
      <c r="J362" s="30">
        <v>2810.73</v>
      </c>
      <c r="K362" s="29" t="s">
        <v>192</v>
      </c>
      <c r="L362" s="29" t="s">
        <v>184</v>
      </c>
      <c r="M362" s="29" t="s">
        <v>211</v>
      </c>
      <c r="N362" s="29" t="s">
        <v>296</v>
      </c>
      <c r="O362" s="31">
        <v>44531</v>
      </c>
      <c r="P362" s="31">
        <v>44532</v>
      </c>
      <c r="Q362" s="29" t="s">
        <v>83</v>
      </c>
    </row>
    <row r="363" spans="1:17" ht="15" hidden="1" x14ac:dyDescent="0.25">
      <c r="A363" s="29" t="s">
        <v>84</v>
      </c>
      <c r="B363" s="29" t="s">
        <v>85</v>
      </c>
      <c r="C363" s="29" t="s">
        <v>468</v>
      </c>
      <c r="D363" s="29" t="s">
        <v>383</v>
      </c>
      <c r="E363" s="29" t="s">
        <v>92</v>
      </c>
      <c r="F363" s="29" t="s">
        <v>79</v>
      </c>
      <c r="G363" s="29" t="s">
        <v>80</v>
      </c>
      <c r="H363" s="29" t="s">
        <v>81</v>
      </c>
      <c r="I363" s="29" t="s">
        <v>82</v>
      </c>
      <c r="J363" s="30">
        <v>87</v>
      </c>
      <c r="K363" s="29" t="s">
        <v>487</v>
      </c>
      <c r="L363" s="29" t="s">
        <v>60</v>
      </c>
      <c r="M363" s="29" t="s">
        <v>488</v>
      </c>
      <c r="N363" s="29" t="s">
        <v>489</v>
      </c>
      <c r="O363" s="31">
        <v>44559</v>
      </c>
      <c r="P363" s="31">
        <v>44560</v>
      </c>
      <c r="Q363" s="29" t="s">
        <v>83</v>
      </c>
    </row>
    <row r="364" spans="1:17" ht="15" hidden="1" x14ac:dyDescent="0.25">
      <c r="A364" s="29" t="s">
        <v>84</v>
      </c>
      <c r="B364" s="29" t="s">
        <v>85</v>
      </c>
      <c r="C364" s="29" t="s">
        <v>468</v>
      </c>
      <c r="D364" s="29" t="s">
        <v>383</v>
      </c>
      <c r="E364" s="29" t="s">
        <v>92</v>
      </c>
      <c r="F364" s="29" t="s">
        <v>79</v>
      </c>
      <c r="G364" s="29" t="s">
        <v>80</v>
      </c>
      <c r="H364" s="29" t="s">
        <v>81</v>
      </c>
      <c r="I364" s="29" t="s">
        <v>82</v>
      </c>
      <c r="J364" s="30">
        <v>298.45999999999998</v>
      </c>
      <c r="K364" s="29" t="s">
        <v>487</v>
      </c>
      <c r="L364" s="29" t="s">
        <v>60</v>
      </c>
      <c r="M364" s="29" t="s">
        <v>490</v>
      </c>
      <c r="N364" s="29" t="s">
        <v>491</v>
      </c>
      <c r="O364" s="31">
        <v>44559</v>
      </c>
      <c r="P364" s="31">
        <v>44560</v>
      </c>
      <c r="Q364" s="29" t="s">
        <v>83</v>
      </c>
    </row>
    <row r="365" spans="1:17" ht="15" hidden="1" x14ac:dyDescent="0.25">
      <c r="A365" s="29" t="s">
        <v>84</v>
      </c>
      <c r="B365" s="29" t="s">
        <v>85</v>
      </c>
      <c r="C365" s="29" t="s">
        <v>492</v>
      </c>
      <c r="D365" s="29" t="s">
        <v>383</v>
      </c>
      <c r="E365" s="29" t="s">
        <v>92</v>
      </c>
      <c r="F365" s="29" t="s">
        <v>79</v>
      </c>
      <c r="G365" s="29" t="s">
        <v>80</v>
      </c>
      <c r="H365" s="29" t="s">
        <v>81</v>
      </c>
      <c r="I365" s="29" t="s">
        <v>82</v>
      </c>
      <c r="J365" s="30">
        <v>19718.75</v>
      </c>
      <c r="K365" s="29" t="s">
        <v>442</v>
      </c>
      <c r="L365" s="29" t="s">
        <v>89</v>
      </c>
      <c r="M365" s="29" t="s">
        <v>493</v>
      </c>
      <c r="N365" s="29" t="s">
        <v>494</v>
      </c>
      <c r="O365" s="31">
        <v>44572</v>
      </c>
      <c r="P365" s="31">
        <v>44572</v>
      </c>
      <c r="Q365" s="29" t="s">
        <v>83</v>
      </c>
    </row>
    <row r="366" spans="1:17" ht="15" hidden="1" x14ac:dyDescent="0.25">
      <c r="A366" s="29" t="s">
        <v>84</v>
      </c>
      <c r="B366" s="29" t="s">
        <v>85</v>
      </c>
      <c r="C366" s="29" t="s">
        <v>492</v>
      </c>
      <c r="D366" s="29" t="s">
        <v>383</v>
      </c>
      <c r="E366" s="29" t="s">
        <v>92</v>
      </c>
      <c r="F366" s="29" t="s">
        <v>79</v>
      </c>
      <c r="G366" s="29" t="s">
        <v>80</v>
      </c>
      <c r="H366" s="29" t="s">
        <v>81</v>
      </c>
      <c r="I366" s="29" t="s">
        <v>82</v>
      </c>
      <c r="J366" s="30">
        <v>2762.5</v>
      </c>
      <c r="K366" s="29" t="s">
        <v>495</v>
      </c>
      <c r="L366" s="29" t="s">
        <v>461</v>
      </c>
      <c r="M366" s="29" t="s">
        <v>496</v>
      </c>
      <c r="N366" s="29" t="s">
        <v>497</v>
      </c>
      <c r="O366" s="31">
        <v>44572</v>
      </c>
      <c r="P366" s="31">
        <v>44572</v>
      </c>
      <c r="Q366" s="29" t="s">
        <v>83</v>
      </c>
    </row>
    <row r="367" spans="1:17" ht="15" hidden="1" x14ac:dyDescent="0.25">
      <c r="A367" s="29" t="s">
        <v>84</v>
      </c>
      <c r="B367" s="29" t="s">
        <v>85</v>
      </c>
      <c r="C367" s="29" t="s">
        <v>474</v>
      </c>
      <c r="D367" s="29" t="s">
        <v>383</v>
      </c>
      <c r="E367" s="29" t="s">
        <v>92</v>
      </c>
      <c r="F367" s="29" t="s">
        <v>79</v>
      </c>
      <c r="G367" s="29" t="s">
        <v>80</v>
      </c>
      <c r="H367" s="29" t="s">
        <v>81</v>
      </c>
      <c r="I367" s="29" t="s">
        <v>82</v>
      </c>
      <c r="J367" s="30">
        <v>206.63</v>
      </c>
      <c r="K367" s="29" t="s">
        <v>498</v>
      </c>
      <c r="L367" s="29" t="s">
        <v>60</v>
      </c>
      <c r="M367" s="29" t="s">
        <v>499</v>
      </c>
      <c r="N367" s="29" t="s">
        <v>500</v>
      </c>
      <c r="O367" s="31">
        <v>44589</v>
      </c>
      <c r="P367" s="31">
        <v>44590</v>
      </c>
      <c r="Q367" s="29" t="s">
        <v>83</v>
      </c>
    </row>
    <row r="368" spans="1:17" ht="15" hidden="1" x14ac:dyDescent="0.25">
      <c r="A368" s="29" t="s">
        <v>84</v>
      </c>
      <c r="B368" s="29" t="s">
        <v>85</v>
      </c>
      <c r="C368" s="29" t="s">
        <v>444</v>
      </c>
      <c r="D368" s="29" t="s">
        <v>383</v>
      </c>
      <c r="E368" s="29" t="s">
        <v>92</v>
      </c>
      <c r="F368" s="29" t="s">
        <v>79</v>
      </c>
      <c r="G368" s="29" t="s">
        <v>80</v>
      </c>
      <c r="H368" s="29" t="s">
        <v>81</v>
      </c>
      <c r="I368" s="29" t="s">
        <v>420</v>
      </c>
      <c r="J368" s="30">
        <v>17230</v>
      </c>
      <c r="K368" s="29" t="s">
        <v>442</v>
      </c>
      <c r="L368" s="29" t="s">
        <v>89</v>
      </c>
      <c r="M368" s="29" t="s">
        <v>425</v>
      </c>
      <c r="N368" s="29" t="s">
        <v>501</v>
      </c>
      <c r="O368" s="31">
        <v>44594</v>
      </c>
      <c r="P368" s="31">
        <v>44595</v>
      </c>
      <c r="Q368" s="29" t="s">
        <v>83</v>
      </c>
    </row>
  </sheetData>
  <autoFilter ref="A1:Q368">
    <filterColumn colId="11">
      <filters>
        <filter val="PIERPONT AND MCLELLAND LLC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8"/>
  <sheetViews>
    <sheetView workbookViewId="0">
      <pane ySplit="7" topLeftCell="A74" activePane="bottomLeft" state="frozen"/>
      <selection pane="bottomLeft" activeCell="B46" sqref="B46"/>
    </sheetView>
  </sheetViews>
  <sheetFormatPr defaultRowHeight="12.75" x14ac:dyDescent="0.2"/>
  <cols>
    <col min="1" max="1" width="50.28515625" customWidth="1"/>
    <col min="2" max="2" width="17.140625" bestFit="1" customWidth="1"/>
    <col min="3" max="3" width="13.28515625" bestFit="1" customWidth="1"/>
    <col min="4" max="4" width="11.28515625" bestFit="1" customWidth="1"/>
    <col min="5" max="5" width="13.28515625" bestFit="1" customWidth="1"/>
    <col min="6" max="6" width="12.28515625" customWidth="1"/>
    <col min="7" max="7" width="7" customWidth="1"/>
    <col min="8" max="8" width="9" customWidth="1"/>
    <col min="9" max="11" width="8" customWidth="1"/>
    <col min="12" max="13" width="9" customWidth="1"/>
    <col min="14" max="14" width="10" bestFit="1" customWidth="1"/>
    <col min="15" max="16" width="9" customWidth="1"/>
    <col min="17" max="17" width="11.7109375" bestFit="1" customWidth="1"/>
    <col min="19" max="19" width="8.140625" customWidth="1"/>
    <col min="22" max="22" width="8.140625" customWidth="1"/>
    <col min="25" max="25" width="8.140625" customWidth="1"/>
    <col min="28" max="28" width="8.140625" customWidth="1"/>
    <col min="35" max="37" width="10.140625" bestFit="1" customWidth="1"/>
    <col min="40" max="42" width="10.140625" bestFit="1" customWidth="1"/>
    <col min="46" max="48" width="10.140625" bestFit="1" customWidth="1"/>
    <col min="49" max="51" width="8.140625" customWidth="1"/>
    <col min="57" max="57" width="8.140625" customWidth="1"/>
    <col min="59" max="59" width="11.7109375" bestFit="1" customWidth="1"/>
  </cols>
  <sheetData>
    <row r="3" spans="1:6" x14ac:dyDescent="0.2">
      <c r="A3" s="19" t="s">
        <v>388</v>
      </c>
      <c r="B3" s="19" t="s">
        <v>503</v>
      </c>
    </row>
    <row r="4" spans="1:6" x14ac:dyDescent="0.2">
      <c r="B4" t="s">
        <v>504</v>
      </c>
      <c r="C4" t="s">
        <v>505</v>
      </c>
      <c r="D4" t="s">
        <v>506</v>
      </c>
      <c r="E4" t="s">
        <v>387</v>
      </c>
    </row>
    <row r="6" spans="1:6" x14ac:dyDescent="0.2">
      <c r="A6" s="19" t="s">
        <v>386</v>
      </c>
    </row>
    <row r="7" spans="1:6" x14ac:dyDescent="0.2">
      <c r="A7" s="4" t="s">
        <v>82</v>
      </c>
      <c r="B7" s="6">
        <v>-14483.59</v>
      </c>
      <c r="C7" s="6">
        <v>135266.87</v>
      </c>
      <c r="D7" s="6">
        <v>-4548.9400000000005</v>
      </c>
      <c r="E7" s="6">
        <v>116234.34000000001</v>
      </c>
      <c r="F7" s="6"/>
    </row>
    <row r="8" spans="1:6" x14ac:dyDescent="0.2">
      <c r="A8" s="20" t="s">
        <v>335</v>
      </c>
      <c r="B8" s="6"/>
      <c r="C8" s="6">
        <v>0</v>
      </c>
      <c r="D8" s="6"/>
      <c r="E8" s="6">
        <v>0</v>
      </c>
      <c r="F8" s="6"/>
    </row>
    <row r="9" spans="1:6" x14ac:dyDescent="0.2">
      <c r="A9" s="20" t="s">
        <v>334</v>
      </c>
      <c r="B9" s="6"/>
      <c r="C9" s="6">
        <v>0</v>
      </c>
      <c r="D9" s="6"/>
      <c r="E9" s="6">
        <v>0</v>
      </c>
      <c r="F9" s="6"/>
    </row>
    <row r="10" spans="1:6" x14ac:dyDescent="0.2">
      <c r="A10" s="20" t="s">
        <v>277</v>
      </c>
      <c r="B10" s="6"/>
      <c r="C10" s="6">
        <v>0</v>
      </c>
      <c r="D10" s="6"/>
      <c r="E10" s="6">
        <v>0</v>
      </c>
      <c r="F10" s="6"/>
    </row>
    <row r="11" spans="1:6" x14ac:dyDescent="0.2">
      <c r="A11" s="20" t="s">
        <v>312</v>
      </c>
      <c r="B11" s="6"/>
      <c r="C11" s="6">
        <v>0</v>
      </c>
      <c r="D11" s="6"/>
      <c r="E11" s="6">
        <v>0</v>
      </c>
      <c r="F11" s="6"/>
    </row>
    <row r="12" spans="1:6" x14ac:dyDescent="0.2">
      <c r="A12" s="20" t="s">
        <v>201</v>
      </c>
      <c r="B12" s="6"/>
      <c r="C12" s="6">
        <v>391.5</v>
      </c>
      <c r="D12" s="6">
        <v>-391.5</v>
      </c>
      <c r="E12" s="6">
        <v>0</v>
      </c>
      <c r="F12" s="6"/>
    </row>
    <row r="13" spans="1:6" x14ac:dyDescent="0.2">
      <c r="A13" s="20" t="s">
        <v>424</v>
      </c>
      <c r="B13" s="6"/>
      <c r="C13" s="6"/>
      <c r="D13" s="6">
        <v>17230</v>
      </c>
      <c r="E13" s="6">
        <v>17230</v>
      </c>
      <c r="F13" s="6"/>
    </row>
    <row r="14" spans="1:6" x14ac:dyDescent="0.2">
      <c r="A14" s="20" t="s">
        <v>357</v>
      </c>
      <c r="B14" s="6"/>
      <c r="C14" s="6">
        <v>0</v>
      </c>
      <c r="D14" s="6"/>
      <c r="E14" s="6">
        <v>0</v>
      </c>
      <c r="F14" s="6"/>
    </row>
    <row r="15" spans="1:6" x14ac:dyDescent="0.2">
      <c r="A15" s="20" t="s">
        <v>437</v>
      </c>
      <c r="B15" s="6"/>
      <c r="C15" s="6"/>
      <c r="D15" s="6">
        <v>1012.5</v>
      </c>
      <c r="E15" s="6">
        <v>1012.5</v>
      </c>
      <c r="F15" s="6"/>
    </row>
    <row r="16" spans="1:6" x14ac:dyDescent="0.2">
      <c r="A16" s="20" t="s">
        <v>203</v>
      </c>
      <c r="B16" s="6"/>
      <c r="C16" s="6">
        <v>0</v>
      </c>
      <c r="D16" s="6"/>
      <c r="E16" s="6">
        <v>0</v>
      </c>
      <c r="F16" s="6"/>
    </row>
    <row r="17" spans="1:6" x14ac:dyDescent="0.2">
      <c r="A17" s="20" t="s">
        <v>127</v>
      </c>
      <c r="B17" s="6"/>
      <c r="C17" s="6">
        <v>19160</v>
      </c>
      <c r="D17" s="6">
        <v>-19160</v>
      </c>
      <c r="E17" s="6">
        <v>0</v>
      </c>
      <c r="F17" s="6"/>
    </row>
    <row r="18" spans="1:6" x14ac:dyDescent="0.2">
      <c r="A18" s="20" t="s">
        <v>153</v>
      </c>
      <c r="B18" s="6"/>
      <c r="C18" s="6">
        <v>0</v>
      </c>
      <c r="D18" s="6"/>
      <c r="E18" s="6">
        <v>0</v>
      </c>
      <c r="F18" s="6"/>
    </row>
    <row r="19" spans="1:6" x14ac:dyDescent="0.2">
      <c r="A19" s="20" t="s">
        <v>231</v>
      </c>
      <c r="B19" s="6"/>
      <c r="C19" s="6">
        <v>0</v>
      </c>
      <c r="D19" s="6"/>
      <c r="E19" s="6">
        <v>0</v>
      </c>
      <c r="F19" s="6"/>
    </row>
    <row r="20" spans="1:6" x14ac:dyDescent="0.2">
      <c r="A20" s="20" t="s">
        <v>450</v>
      </c>
      <c r="B20" s="6"/>
      <c r="C20" s="6"/>
      <c r="D20" s="6">
        <v>0</v>
      </c>
      <c r="E20" s="6">
        <v>0</v>
      </c>
      <c r="F20" s="6"/>
    </row>
    <row r="21" spans="1:6" x14ac:dyDescent="0.2">
      <c r="A21" s="20" t="s">
        <v>279</v>
      </c>
      <c r="B21" s="6"/>
      <c r="C21" s="6">
        <v>0</v>
      </c>
      <c r="D21" s="6"/>
      <c r="E21" s="6">
        <v>0</v>
      </c>
      <c r="F21" s="6"/>
    </row>
    <row r="22" spans="1:6" x14ac:dyDescent="0.2">
      <c r="A22" s="20" t="s">
        <v>176</v>
      </c>
      <c r="B22" s="6"/>
      <c r="C22" s="6">
        <v>0</v>
      </c>
      <c r="D22" s="6">
        <v>0</v>
      </c>
      <c r="E22" s="6">
        <v>0</v>
      </c>
      <c r="F22" s="6"/>
    </row>
    <row r="23" spans="1:6" x14ac:dyDescent="0.2">
      <c r="A23" s="20" t="s">
        <v>456</v>
      </c>
      <c r="B23" s="6"/>
      <c r="C23" s="6"/>
      <c r="D23" s="6">
        <v>0</v>
      </c>
      <c r="E23" s="6">
        <v>0</v>
      </c>
      <c r="F23" s="6"/>
    </row>
    <row r="24" spans="1:6" x14ac:dyDescent="0.2">
      <c r="A24" s="20" t="s">
        <v>103</v>
      </c>
      <c r="B24" s="6"/>
      <c r="C24" s="6">
        <v>7942.68</v>
      </c>
      <c r="D24" s="6">
        <v>-7942.68</v>
      </c>
      <c r="E24" s="6">
        <v>0</v>
      </c>
      <c r="F24" s="6"/>
    </row>
    <row r="25" spans="1:6" x14ac:dyDescent="0.2">
      <c r="A25" s="20" t="s">
        <v>181</v>
      </c>
      <c r="B25" s="6"/>
      <c r="C25" s="6">
        <v>0</v>
      </c>
      <c r="D25" s="6"/>
      <c r="E25" s="6">
        <v>0</v>
      </c>
      <c r="F25" s="6"/>
    </row>
    <row r="26" spans="1:6" x14ac:dyDescent="0.2">
      <c r="A26" s="20" t="s">
        <v>233</v>
      </c>
      <c r="B26" s="6"/>
      <c r="C26" s="6">
        <v>0</v>
      </c>
      <c r="D26" s="6"/>
      <c r="E26" s="6">
        <v>0</v>
      </c>
      <c r="F26" s="6"/>
    </row>
    <row r="27" spans="1:6" x14ac:dyDescent="0.2">
      <c r="A27" s="20" t="s">
        <v>100</v>
      </c>
      <c r="B27" s="6"/>
      <c r="C27" s="6">
        <v>0</v>
      </c>
      <c r="D27" s="6">
        <v>23720</v>
      </c>
      <c r="E27" s="6">
        <v>23720</v>
      </c>
      <c r="F27" s="6"/>
    </row>
    <row r="28" spans="1:6" x14ac:dyDescent="0.2">
      <c r="A28" s="20" t="s">
        <v>429</v>
      </c>
      <c r="B28" s="6"/>
      <c r="C28" s="6">
        <v>7718.75</v>
      </c>
      <c r="D28" s="6">
        <v>-7718.75</v>
      </c>
      <c r="E28" s="6">
        <v>0</v>
      </c>
      <c r="F28" s="6"/>
    </row>
    <row r="29" spans="1:6" x14ac:dyDescent="0.2">
      <c r="A29" s="20" t="s">
        <v>427</v>
      </c>
      <c r="B29" s="6"/>
      <c r="C29" s="6">
        <v>12000</v>
      </c>
      <c r="D29" s="6">
        <v>-12000</v>
      </c>
      <c r="E29" s="6">
        <v>0</v>
      </c>
      <c r="F29" s="6"/>
    </row>
    <row r="30" spans="1:6" x14ac:dyDescent="0.2">
      <c r="A30" s="20" t="s">
        <v>313</v>
      </c>
      <c r="B30" s="6"/>
      <c r="C30" s="6">
        <v>0</v>
      </c>
      <c r="D30" s="6"/>
      <c r="E30" s="6">
        <v>0</v>
      </c>
      <c r="F30" s="6"/>
    </row>
    <row r="31" spans="1:6" x14ac:dyDescent="0.2">
      <c r="A31" s="20" t="s">
        <v>213</v>
      </c>
      <c r="B31" s="6"/>
      <c r="C31" s="6">
        <v>0</v>
      </c>
      <c r="D31" s="6"/>
      <c r="E31" s="6">
        <v>0</v>
      </c>
      <c r="F31" s="6"/>
    </row>
    <row r="32" spans="1:6" x14ac:dyDescent="0.2">
      <c r="A32" s="20" t="s">
        <v>428</v>
      </c>
      <c r="B32" s="6"/>
      <c r="C32" s="6">
        <v>2762.5</v>
      </c>
      <c r="D32" s="6">
        <v>237.5</v>
      </c>
      <c r="E32" s="6">
        <v>3000</v>
      </c>
      <c r="F32" s="6"/>
    </row>
    <row r="33" spans="1:6" x14ac:dyDescent="0.2">
      <c r="A33" s="20" t="s">
        <v>160</v>
      </c>
      <c r="B33" s="6"/>
      <c r="C33" s="6">
        <v>0</v>
      </c>
      <c r="D33" s="6"/>
      <c r="E33" s="6">
        <v>0</v>
      </c>
      <c r="F33" s="6"/>
    </row>
    <row r="34" spans="1:6" x14ac:dyDescent="0.2">
      <c r="A34" s="20" t="s">
        <v>215</v>
      </c>
      <c r="B34" s="6"/>
      <c r="C34" s="6">
        <v>4532.2</v>
      </c>
      <c r="D34" s="6">
        <v>463.98999999999978</v>
      </c>
      <c r="E34" s="6">
        <v>4996.1899999999996</v>
      </c>
      <c r="F34" s="6"/>
    </row>
    <row r="35" spans="1:6" x14ac:dyDescent="0.2">
      <c r="A35" s="20" t="s">
        <v>218</v>
      </c>
      <c r="B35" s="6"/>
      <c r="C35" s="6">
        <v>0</v>
      </c>
      <c r="D35" s="6"/>
      <c r="E35" s="6">
        <v>0</v>
      </c>
      <c r="F35" s="6"/>
    </row>
    <row r="36" spans="1:6" x14ac:dyDescent="0.2">
      <c r="A36" s="20" t="s">
        <v>336</v>
      </c>
      <c r="B36" s="6"/>
      <c r="C36" s="6">
        <v>0</v>
      </c>
      <c r="D36" s="6"/>
      <c r="E36" s="6">
        <v>0</v>
      </c>
      <c r="F36" s="6"/>
    </row>
    <row r="37" spans="1:6" x14ac:dyDescent="0.2">
      <c r="A37" s="20" t="s">
        <v>204</v>
      </c>
      <c r="B37" s="6"/>
      <c r="C37" s="6">
        <v>0</v>
      </c>
      <c r="D37" s="6"/>
      <c r="E37" s="6">
        <v>0</v>
      </c>
      <c r="F37" s="6"/>
    </row>
    <row r="38" spans="1:6" x14ac:dyDescent="0.2">
      <c r="A38" s="20" t="s">
        <v>149</v>
      </c>
      <c r="B38" s="6"/>
      <c r="C38" s="6">
        <v>1.6653345369377348E-16</v>
      </c>
      <c r="D38" s="6"/>
      <c r="E38" s="6">
        <v>1.6653345369377348E-16</v>
      </c>
      <c r="F38" s="6"/>
    </row>
    <row r="39" spans="1:6" x14ac:dyDescent="0.2">
      <c r="A39" s="20" t="s">
        <v>146</v>
      </c>
      <c r="B39" s="6"/>
      <c r="C39" s="6">
        <v>0</v>
      </c>
      <c r="D39" s="6"/>
      <c r="E39" s="6">
        <v>0</v>
      </c>
      <c r="F39" s="6"/>
    </row>
    <row r="40" spans="1:6" x14ac:dyDescent="0.2">
      <c r="A40" s="20" t="s">
        <v>144</v>
      </c>
      <c r="B40" s="6"/>
      <c r="C40" s="6">
        <v>-1.1368683772161603E-13</v>
      </c>
      <c r="D40" s="6"/>
      <c r="E40" s="6">
        <v>-1.1368683772161603E-13</v>
      </c>
      <c r="F40" s="6"/>
    </row>
    <row r="41" spans="1:6" x14ac:dyDescent="0.2">
      <c r="A41" s="20" t="s">
        <v>168</v>
      </c>
      <c r="B41" s="6"/>
      <c r="C41" s="6">
        <v>0</v>
      </c>
      <c r="D41" s="6"/>
      <c r="E41" s="6">
        <v>0</v>
      </c>
      <c r="F41" s="6"/>
    </row>
    <row r="42" spans="1:6" x14ac:dyDescent="0.2">
      <c r="A42" s="20" t="s">
        <v>166</v>
      </c>
      <c r="B42" s="6"/>
      <c r="C42" s="6">
        <v>-2.6645352591003757E-14</v>
      </c>
      <c r="D42" s="6"/>
      <c r="E42" s="6">
        <v>-2.6645352591003757E-14</v>
      </c>
      <c r="F42" s="6"/>
    </row>
    <row r="43" spans="1:6" x14ac:dyDescent="0.2">
      <c r="A43" s="20" t="s">
        <v>410</v>
      </c>
      <c r="B43" s="6">
        <v>-531.25</v>
      </c>
      <c r="C43" s="6"/>
      <c r="D43" s="6"/>
      <c r="E43" s="6">
        <v>-531.25</v>
      </c>
      <c r="F43" s="6"/>
    </row>
    <row r="44" spans="1:6" x14ac:dyDescent="0.2">
      <c r="A44" s="20" t="s">
        <v>98</v>
      </c>
      <c r="B44" s="6"/>
      <c r="C44" s="6">
        <v>0</v>
      </c>
      <c r="D44" s="6"/>
      <c r="E44" s="6">
        <v>0</v>
      </c>
      <c r="F44" s="6"/>
    </row>
    <row r="45" spans="1:6" x14ac:dyDescent="0.2">
      <c r="A45" s="20" t="s">
        <v>129</v>
      </c>
      <c r="B45" s="6"/>
      <c r="C45" s="6">
        <v>0</v>
      </c>
      <c r="D45" s="6"/>
      <c r="E45" s="6">
        <v>0</v>
      </c>
      <c r="F45" s="6"/>
    </row>
    <row r="46" spans="1:6" x14ac:dyDescent="0.2">
      <c r="A46" s="20" t="s">
        <v>412</v>
      </c>
      <c r="B46" s="6">
        <v>-13952.34</v>
      </c>
      <c r="C46" s="6"/>
      <c r="D46" s="6"/>
      <c r="E46" s="6">
        <v>-13952.34</v>
      </c>
      <c r="F46" s="6"/>
    </row>
    <row r="47" spans="1:6" x14ac:dyDescent="0.2">
      <c r="A47" s="20" t="s">
        <v>95</v>
      </c>
      <c r="B47" s="6"/>
      <c r="C47" s="6">
        <v>0</v>
      </c>
      <c r="D47" s="6"/>
      <c r="E47" s="6">
        <v>0</v>
      </c>
      <c r="F47" s="6"/>
    </row>
    <row r="48" spans="1:6" x14ac:dyDescent="0.2">
      <c r="A48" s="20" t="s">
        <v>394</v>
      </c>
      <c r="B48" s="6"/>
      <c r="C48" s="6">
        <v>80759.240000000005</v>
      </c>
      <c r="D48" s="6"/>
      <c r="E48" s="24">
        <v>80759.240000000005</v>
      </c>
      <c r="F48" s="6"/>
    </row>
    <row r="49" spans="1:6" x14ac:dyDescent="0.2">
      <c r="A49" s="4" t="s">
        <v>60</v>
      </c>
      <c r="B49" s="6"/>
      <c r="C49" s="6">
        <v>1211.96</v>
      </c>
      <c r="D49" s="6">
        <v>1261.51</v>
      </c>
      <c r="E49" s="24">
        <v>2473.4700000000003</v>
      </c>
      <c r="F49" s="6"/>
    </row>
    <row r="50" spans="1:6" x14ac:dyDescent="0.2">
      <c r="A50" s="20" t="s">
        <v>484</v>
      </c>
      <c r="B50" s="6"/>
      <c r="C50" s="6"/>
      <c r="D50" s="6">
        <v>663.38</v>
      </c>
      <c r="E50" s="6">
        <v>663.38</v>
      </c>
      <c r="F50" s="6"/>
    </row>
    <row r="51" spans="1:6" x14ac:dyDescent="0.2">
      <c r="A51" s="20" t="s">
        <v>498</v>
      </c>
      <c r="B51" s="6"/>
      <c r="C51" s="6"/>
      <c r="D51" s="6">
        <v>206.63</v>
      </c>
      <c r="E51" s="6">
        <v>206.63</v>
      </c>
      <c r="F51" s="6"/>
    </row>
    <row r="52" spans="1:6" x14ac:dyDescent="0.2">
      <c r="A52" s="20" t="s">
        <v>367</v>
      </c>
      <c r="B52" s="6"/>
      <c r="C52" s="6">
        <v>630.75</v>
      </c>
      <c r="D52" s="6"/>
      <c r="E52" s="6">
        <v>630.75</v>
      </c>
      <c r="F52" s="6"/>
    </row>
    <row r="53" spans="1:6" x14ac:dyDescent="0.2">
      <c r="A53" s="20" t="s">
        <v>487</v>
      </c>
      <c r="B53" s="6"/>
      <c r="C53" s="6">
        <v>385.46</v>
      </c>
      <c r="D53" s="6"/>
      <c r="E53" s="6">
        <v>385.46</v>
      </c>
      <c r="F53" s="6"/>
    </row>
    <row r="54" spans="1:6" x14ac:dyDescent="0.2">
      <c r="A54" s="20" t="s">
        <v>482</v>
      </c>
      <c r="B54" s="6"/>
      <c r="C54" s="6"/>
      <c r="D54" s="6">
        <v>391.5</v>
      </c>
      <c r="E54" s="6">
        <v>391.5</v>
      </c>
      <c r="F54" s="6"/>
    </row>
    <row r="55" spans="1:6" x14ac:dyDescent="0.2">
      <c r="A55" s="20" t="s">
        <v>192</v>
      </c>
      <c r="B55" s="6"/>
      <c r="C55" s="6">
        <v>195.75</v>
      </c>
      <c r="D55" s="6"/>
      <c r="E55" s="24">
        <v>195.75</v>
      </c>
      <c r="F55" s="6"/>
    </row>
    <row r="56" spans="1:6" x14ac:dyDescent="0.2">
      <c r="A56" s="4" t="s">
        <v>89</v>
      </c>
      <c r="B56" s="6"/>
      <c r="C56" s="6">
        <v>72788.11</v>
      </c>
      <c r="D56" s="6">
        <v>36948.75</v>
      </c>
      <c r="E56" s="24">
        <v>109736.86</v>
      </c>
      <c r="F56" s="6"/>
    </row>
    <row r="57" spans="1:6" x14ac:dyDescent="0.2">
      <c r="A57" s="20" t="s">
        <v>442</v>
      </c>
      <c r="B57" s="6"/>
      <c r="C57" s="6"/>
      <c r="D57" s="6">
        <v>36948.75</v>
      </c>
      <c r="E57" s="6">
        <v>36948.75</v>
      </c>
      <c r="F57" s="6"/>
    </row>
    <row r="58" spans="1:6" x14ac:dyDescent="0.2">
      <c r="A58" s="20" t="s">
        <v>359</v>
      </c>
      <c r="B58" s="6"/>
      <c r="C58" s="6">
        <v>44970</v>
      </c>
      <c r="D58" s="6"/>
      <c r="E58" s="6">
        <v>44970</v>
      </c>
      <c r="F58" s="6"/>
    </row>
    <row r="59" spans="1:6" x14ac:dyDescent="0.2">
      <c r="A59" s="20" t="s">
        <v>264</v>
      </c>
      <c r="B59" s="6"/>
      <c r="C59" s="6">
        <v>16314.439999999999</v>
      </c>
      <c r="D59" s="6"/>
      <c r="E59" s="6">
        <v>16314.439999999999</v>
      </c>
      <c r="F59" s="6"/>
    </row>
    <row r="60" spans="1:6" x14ac:dyDescent="0.2">
      <c r="A60" s="20" t="s">
        <v>88</v>
      </c>
      <c r="B60" s="6"/>
      <c r="C60" s="6">
        <v>11503.67</v>
      </c>
      <c r="D60" s="6"/>
      <c r="E60" s="6">
        <v>11503.67</v>
      </c>
      <c r="F60" s="6"/>
    </row>
    <row r="61" spans="1:6" x14ac:dyDescent="0.2">
      <c r="A61" s="4" t="s">
        <v>292</v>
      </c>
      <c r="B61" s="6"/>
      <c r="C61" s="6">
        <v>280</v>
      </c>
      <c r="D61" s="6"/>
      <c r="E61" s="24">
        <v>280</v>
      </c>
      <c r="F61" s="6"/>
    </row>
    <row r="62" spans="1:6" x14ac:dyDescent="0.2">
      <c r="A62" s="20" t="s">
        <v>291</v>
      </c>
      <c r="B62" s="6"/>
      <c r="C62" s="6">
        <v>280</v>
      </c>
      <c r="D62" s="6"/>
      <c r="E62" s="6">
        <v>280</v>
      </c>
      <c r="F62" s="6"/>
    </row>
    <row r="63" spans="1:6" x14ac:dyDescent="0.2">
      <c r="A63" s="4" t="s">
        <v>370</v>
      </c>
      <c r="B63" s="6"/>
      <c r="C63" s="6">
        <v>2193.75</v>
      </c>
      <c r="D63" s="6">
        <v>1012.5</v>
      </c>
      <c r="E63" s="6">
        <v>3206.25</v>
      </c>
      <c r="F63" s="6"/>
    </row>
    <row r="64" spans="1:6" x14ac:dyDescent="0.2">
      <c r="A64" s="20" t="s">
        <v>369</v>
      </c>
      <c r="B64" s="6"/>
      <c r="C64" s="6">
        <v>2193.75</v>
      </c>
      <c r="D64" s="6"/>
      <c r="E64" s="6">
        <v>2193.75</v>
      </c>
      <c r="F64" s="6"/>
    </row>
    <row r="65" spans="1:6" x14ac:dyDescent="0.2">
      <c r="A65" s="20" t="s">
        <v>442</v>
      </c>
      <c r="B65" s="6"/>
      <c r="C65" s="6"/>
      <c r="D65" s="6">
        <v>1012.5</v>
      </c>
      <c r="E65" s="6">
        <v>1012.5</v>
      </c>
      <c r="F65" s="6"/>
    </row>
    <row r="66" spans="1:6" x14ac:dyDescent="0.2">
      <c r="A66" s="4" t="s">
        <v>184</v>
      </c>
      <c r="B66" s="6"/>
      <c r="C66" s="6">
        <v>5439.77</v>
      </c>
      <c r="D66" s="6">
        <v>6569.54</v>
      </c>
      <c r="E66" s="24">
        <v>12009.31</v>
      </c>
      <c r="F66" s="6"/>
    </row>
    <row r="67" spans="1:6" x14ac:dyDescent="0.2">
      <c r="A67" s="20" t="s">
        <v>478</v>
      </c>
      <c r="B67" s="6"/>
      <c r="C67" s="6"/>
      <c r="D67" s="6">
        <v>5784</v>
      </c>
      <c r="E67" s="6">
        <v>5784</v>
      </c>
      <c r="F67" s="6"/>
    </row>
    <row r="68" spans="1:6" x14ac:dyDescent="0.2">
      <c r="A68" s="20" t="s">
        <v>183</v>
      </c>
      <c r="B68" s="6"/>
      <c r="C68" s="6">
        <v>264.39999999999998</v>
      </c>
      <c r="D68" s="6"/>
      <c r="E68" s="6">
        <v>264.39999999999998</v>
      </c>
      <c r="F68" s="6"/>
    </row>
    <row r="69" spans="1:6" x14ac:dyDescent="0.2">
      <c r="A69" s="20" t="s">
        <v>471</v>
      </c>
      <c r="B69" s="6"/>
      <c r="C69" s="6">
        <v>1151.32</v>
      </c>
      <c r="D69" s="6">
        <v>785.54</v>
      </c>
      <c r="E69" s="6">
        <v>1936.86</v>
      </c>
      <c r="F69" s="6"/>
    </row>
    <row r="70" spans="1:6" x14ac:dyDescent="0.2">
      <c r="A70" s="20" t="s">
        <v>192</v>
      </c>
      <c r="B70" s="6"/>
      <c r="C70" s="6">
        <v>4024.05</v>
      </c>
      <c r="D70" s="6"/>
      <c r="E70" s="6">
        <v>4024.05</v>
      </c>
      <c r="F70" s="6"/>
    </row>
    <row r="71" spans="1:6" x14ac:dyDescent="0.2">
      <c r="A71" s="4" t="s">
        <v>461</v>
      </c>
      <c r="B71" s="6"/>
      <c r="C71" s="6"/>
      <c r="D71" s="6">
        <v>8075</v>
      </c>
      <c r="E71" s="24">
        <v>8075</v>
      </c>
      <c r="F71" s="6"/>
    </row>
    <row r="72" spans="1:6" x14ac:dyDescent="0.2">
      <c r="A72" s="20" t="s">
        <v>442</v>
      </c>
      <c r="B72" s="6"/>
      <c r="C72" s="6"/>
      <c r="D72" s="6">
        <v>5312.5</v>
      </c>
      <c r="E72" s="6">
        <v>5312.5</v>
      </c>
      <c r="F72" s="6"/>
    </row>
    <row r="73" spans="1:6" x14ac:dyDescent="0.2">
      <c r="A73" s="20" t="s">
        <v>495</v>
      </c>
      <c r="B73" s="6"/>
      <c r="C73" s="6"/>
      <c r="D73" s="6">
        <v>2762.5</v>
      </c>
      <c r="E73" s="6">
        <v>2762.5</v>
      </c>
      <c r="F73" s="6"/>
    </row>
    <row r="74" spans="1:6" x14ac:dyDescent="0.2">
      <c r="A74" s="4" t="s">
        <v>122</v>
      </c>
      <c r="B74" s="6"/>
      <c r="C74" s="6">
        <v>64398.329999999994</v>
      </c>
      <c r="D74" s="6">
        <v>42880</v>
      </c>
      <c r="E74" s="24">
        <v>107278.33000000002</v>
      </c>
      <c r="F74" s="6"/>
    </row>
    <row r="75" spans="1:6" x14ac:dyDescent="0.2">
      <c r="A75" s="20" t="s">
        <v>442</v>
      </c>
      <c r="B75" s="6"/>
      <c r="C75" s="6"/>
      <c r="D75" s="6">
        <v>42880</v>
      </c>
      <c r="E75" s="6">
        <v>42880</v>
      </c>
      <c r="F75" s="6"/>
    </row>
    <row r="76" spans="1:6" x14ac:dyDescent="0.2">
      <c r="A76" s="20" t="s">
        <v>197</v>
      </c>
      <c r="B76" s="6"/>
      <c r="C76" s="6">
        <v>57960</v>
      </c>
      <c r="D76" s="6"/>
      <c r="E76" s="6">
        <v>57960</v>
      </c>
      <c r="F76" s="6"/>
    </row>
    <row r="77" spans="1:6" x14ac:dyDescent="0.2">
      <c r="A77" s="20" t="s">
        <v>237</v>
      </c>
      <c r="B77" s="6"/>
      <c r="C77" s="6">
        <v>246.46</v>
      </c>
      <c r="D77" s="6"/>
      <c r="E77" s="6">
        <v>246.46</v>
      </c>
      <c r="F77" s="6"/>
    </row>
    <row r="78" spans="1:6" x14ac:dyDescent="0.2">
      <c r="A78" s="20" t="s">
        <v>170</v>
      </c>
      <c r="B78" s="6"/>
      <c r="C78" s="6">
        <v>2559.35</v>
      </c>
      <c r="D78" s="6"/>
      <c r="E78" s="6">
        <v>2559.35</v>
      </c>
      <c r="F78" s="6"/>
    </row>
    <row r="79" spans="1:6" x14ac:dyDescent="0.2">
      <c r="A79" s="20" t="s">
        <v>121</v>
      </c>
      <c r="B79" s="6"/>
      <c r="C79" s="6">
        <v>2213.38</v>
      </c>
      <c r="D79" s="6"/>
      <c r="E79" s="6">
        <v>2213.38</v>
      </c>
      <c r="F79" s="6"/>
    </row>
    <row r="80" spans="1:6" x14ac:dyDescent="0.2">
      <c r="A80" s="20" t="s">
        <v>225</v>
      </c>
      <c r="B80" s="6"/>
      <c r="C80" s="6">
        <v>1419.1399999999999</v>
      </c>
      <c r="D80" s="6"/>
      <c r="E80" s="6">
        <v>1419.1399999999999</v>
      </c>
      <c r="F80" s="6"/>
    </row>
    <row r="81" spans="1:7" x14ac:dyDescent="0.2">
      <c r="A81" s="4" t="s">
        <v>111</v>
      </c>
      <c r="B81" s="6"/>
      <c r="C81" s="6">
        <v>38623.709999999992</v>
      </c>
      <c r="D81" s="6">
        <v>13084.64</v>
      </c>
      <c r="E81" s="24">
        <v>51708.35</v>
      </c>
      <c r="F81" s="6"/>
    </row>
    <row r="82" spans="1:7" x14ac:dyDescent="0.2">
      <c r="A82" s="20" t="s">
        <v>135</v>
      </c>
      <c r="B82" s="6"/>
      <c r="C82" s="6">
        <v>280.58</v>
      </c>
      <c r="D82" s="6"/>
      <c r="E82" s="6">
        <v>280.58</v>
      </c>
      <c r="F82" s="6"/>
    </row>
    <row r="83" spans="1:7" x14ac:dyDescent="0.2">
      <c r="A83" s="20" t="s">
        <v>117</v>
      </c>
      <c r="B83" s="6"/>
      <c r="C83" s="6">
        <v>1224.48</v>
      </c>
      <c r="D83" s="6"/>
      <c r="E83" s="6">
        <v>1224.48</v>
      </c>
      <c r="F83" s="6"/>
    </row>
    <row r="84" spans="1:7" x14ac:dyDescent="0.2">
      <c r="A84" s="20" t="s">
        <v>448</v>
      </c>
      <c r="B84" s="6"/>
      <c r="C84" s="6"/>
      <c r="D84" s="6">
        <v>2174.79</v>
      </c>
      <c r="E84" s="6">
        <v>2174.79</v>
      </c>
      <c r="F84" s="6"/>
    </row>
    <row r="85" spans="1:7" x14ac:dyDescent="0.2">
      <c r="A85" s="20" t="s">
        <v>442</v>
      </c>
      <c r="B85" s="6"/>
      <c r="C85" s="6"/>
      <c r="D85" s="6">
        <v>4245.33</v>
      </c>
      <c r="E85" s="6">
        <v>4245.33</v>
      </c>
      <c r="F85" s="6"/>
    </row>
    <row r="86" spans="1:7" x14ac:dyDescent="0.2">
      <c r="A86" s="20" t="s">
        <v>110</v>
      </c>
      <c r="B86" s="6"/>
      <c r="C86" s="6">
        <v>37118.649999999994</v>
      </c>
      <c r="D86" s="6">
        <v>6664.52</v>
      </c>
      <c r="E86" s="6">
        <v>43783.17</v>
      </c>
      <c r="F86" s="6"/>
    </row>
    <row r="87" spans="1:7" x14ac:dyDescent="0.2">
      <c r="A87" s="4" t="s">
        <v>387</v>
      </c>
      <c r="B87" s="6">
        <v>-14483.59</v>
      </c>
      <c r="C87" s="6">
        <v>320202.5</v>
      </c>
      <c r="D87" s="6">
        <v>105283</v>
      </c>
      <c r="E87" s="6">
        <v>411001.91</v>
      </c>
      <c r="F87" s="24">
        <f>+E81+E74+E71+E66+E63+E61+E56+E49+E48</f>
        <v>375526.81</v>
      </c>
      <c r="G87" s="6">
        <f>+F81+F74+F71+F66+F63+F61+F56+F49+F48</f>
        <v>0</v>
      </c>
    </row>
    <row r="88" spans="1:7" x14ac:dyDescent="0.2">
      <c r="B88" s="6"/>
      <c r="C88" s="6"/>
      <c r="D88" s="6"/>
      <c r="E88" s="6"/>
      <c r="F88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H21" sqref="H21"/>
    </sheetView>
  </sheetViews>
  <sheetFormatPr defaultRowHeight="12.75" x14ac:dyDescent="0.2"/>
  <cols>
    <col min="1" max="1" width="12.7109375" bestFit="1" customWidth="1"/>
    <col min="3" max="3" width="15.85546875" bestFit="1" customWidth="1"/>
    <col min="4" max="4" width="20.5703125" bestFit="1" customWidth="1"/>
    <col min="9" max="9" width="15.85546875" bestFit="1" customWidth="1"/>
    <col min="10" max="10" width="13.42578125" style="6" customWidth="1"/>
    <col min="15" max="15" width="11.28515625" bestFit="1" customWidth="1"/>
    <col min="16" max="16" width="12.28515625" bestFit="1" customWidth="1"/>
  </cols>
  <sheetData>
    <row r="1" spans="1:17" ht="15" x14ac:dyDescent="0.25">
      <c r="A1" s="21" t="s">
        <v>63</v>
      </c>
      <c r="B1" s="21" t="s">
        <v>64</v>
      </c>
      <c r="C1" s="21" t="s">
        <v>65</v>
      </c>
      <c r="D1" s="21" t="s">
        <v>66</v>
      </c>
      <c r="E1" s="21" t="s">
        <v>67</v>
      </c>
      <c r="F1" s="21" t="s">
        <v>68</v>
      </c>
      <c r="G1" s="21" t="s">
        <v>69</v>
      </c>
      <c r="H1" s="21" t="s">
        <v>70</v>
      </c>
      <c r="I1" s="21" t="s">
        <v>71</v>
      </c>
      <c r="J1" s="25" t="s">
        <v>27</v>
      </c>
      <c r="K1" s="21" t="s">
        <v>26</v>
      </c>
      <c r="L1" s="21" t="s">
        <v>72</v>
      </c>
      <c r="M1" s="21" t="s">
        <v>73</v>
      </c>
      <c r="N1" s="21" t="s">
        <v>74</v>
      </c>
      <c r="O1" s="21" t="s">
        <v>75</v>
      </c>
      <c r="P1" s="21" t="s">
        <v>76</v>
      </c>
      <c r="Q1" s="21" t="s">
        <v>77</v>
      </c>
    </row>
    <row r="2" spans="1:17" ht="15" x14ac:dyDescent="0.25">
      <c r="A2" s="21" t="s">
        <v>391</v>
      </c>
      <c r="B2" s="21" t="s">
        <v>93</v>
      </c>
      <c r="C2" s="21" t="s">
        <v>396</v>
      </c>
      <c r="D2" s="21" t="s">
        <v>399</v>
      </c>
      <c r="E2" s="21" t="s">
        <v>390</v>
      </c>
      <c r="F2" s="21" t="s">
        <v>79</v>
      </c>
      <c r="G2" s="21" t="s">
        <v>80</v>
      </c>
      <c r="H2" s="21" t="s">
        <v>81</v>
      </c>
      <c r="I2" s="21" t="s">
        <v>393</v>
      </c>
      <c r="J2" s="26">
        <v>13803.32</v>
      </c>
      <c r="K2" s="21" t="s">
        <v>394</v>
      </c>
      <c r="L2" s="21" t="s">
        <v>82</v>
      </c>
      <c r="M2" s="21" t="s">
        <v>82</v>
      </c>
      <c r="N2" s="21" t="s">
        <v>396</v>
      </c>
      <c r="O2" s="22">
        <v>44530</v>
      </c>
      <c r="P2" s="22">
        <v>44536</v>
      </c>
      <c r="Q2" s="21" t="s">
        <v>83</v>
      </c>
    </row>
    <row r="3" spans="1:17" ht="15" x14ac:dyDescent="0.25">
      <c r="A3" s="21" t="s">
        <v>391</v>
      </c>
      <c r="B3" s="21" t="s">
        <v>93</v>
      </c>
      <c r="C3" s="21" t="s">
        <v>397</v>
      </c>
      <c r="D3" s="21" t="s">
        <v>399</v>
      </c>
      <c r="E3" s="21" t="s">
        <v>390</v>
      </c>
      <c r="F3" s="21" t="s">
        <v>79</v>
      </c>
      <c r="G3" s="21" t="s">
        <v>80</v>
      </c>
      <c r="H3" s="21" t="s">
        <v>81</v>
      </c>
      <c r="I3" s="21" t="s">
        <v>393</v>
      </c>
      <c r="J3" s="26">
        <v>14335.19</v>
      </c>
      <c r="K3" s="21" t="s">
        <v>394</v>
      </c>
      <c r="L3" s="21" t="s">
        <v>82</v>
      </c>
      <c r="M3" s="21" t="s">
        <v>82</v>
      </c>
      <c r="N3" s="21" t="s">
        <v>397</v>
      </c>
      <c r="O3" s="22">
        <v>44500</v>
      </c>
      <c r="P3" s="22">
        <v>44504</v>
      </c>
      <c r="Q3" s="21" t="s">
        <v>83</v>
      </c>
    </row>
    <row r="4" spans="1:17" ht="15" x14ac:dyDescent="0.25">
      <c r="A4" s="21" t="s">
        <v>391</v>
      </c>
      <c r="B4" s="21" t="s">
        <v>93</v>
      </c>
      <c r="C4" s="21" t="s">
        <v>398</v>
      </c>
      <c r="D4" s="21" t="s">
        <v>399</v>
      </c>
      <c r="E4" s="21" t="s">
        <v>390</v>
      </c>
      <c r="F4" s="21" t="s">
        <v>79</v>
      </c>
      <c r="G4" s="21" t="s">
        <v>80</v>
      </c>
      <c r="H4" s="21" t="s">
        <v>81</v>
      </c>
      <c r="I4" s="21" t="s">
        <v>393</v>
      </c>
      <c r="J4" s="26">
        <v>12934.02</v>
      </c>
      <c r="K4" s="21" t="s">
        <v>394</v>
      </c>
      <c r="L4" s="21" t="s">
        <v>82</v>
      </c>
      <c r="M4" s="21" t="s">
        <v>82</v>
      </c>
      <c r="N4" s="21" t="s">
        <v>398</v>
      </c>
      <c r="O4" s="22">
        <v>44469</v>
      </c>
      <c r="P4" s="22">
        <v>44475</v>
      </c>
      <c r="Q4" s="21" t="s">
        <v>83</v>
      </c>
    </row>
    <row r="5" spans="1:17" ht="15" x14ac:dyDescent="0.25">
      <c r="A5" s="21" t="s">
        <v>391</v>
      </c>
      <c r="B5" s="21" t="s">
        <v>93</v>
      </c>
      <c r="C5" s="21" t="s">
        <v>395</v>
      </c>
      <c r="D5" s="21" t="s">
        <v>399</v>
      </c>
      <c r="E5" s="21" t="s">
        <v>390</v>
      </c>
      <c r="F5" s="21" t="s">
        <v>79</v>
      </c>
      <c r="G5" s="21" t="s">
        <v>80</v>
      </c>
      <c r="H5" s="21" t="s">
        <v>81</v>
      </c>
      <c r="I5" s="21" t="s">
        <v>393</v>
      </c>
      <c r="J5" s="26">
        <v>15836.29</v>
      </c>
      <c r="K5" s="21" t="s">
        <v>394</v>
      </c>
      <c r="L5" s="21" t="s">
        <v>82</v>
      </c>
      <c r="M5" s="21" t="s">
        <v>82</v>
      </c>
      <c r="N5" s="21" t="s">
        <v>395</v>
      </c>
      <c r="O5" s="22">
        <v>44439</v>
      </c>
      <c r="P5" s="22">
        <v>44448</v>
      </c>
      <c r="Q5" s="21" t="s">
        <v>83</v>
      </c>
    </row>
    <row r="6" spans="1:17" ht="15" x14ac:dyDescent="0.25">
      <c r="A6" s="21" t="s">
        <v>391</v>
      </c>
      <c r="B6" s="21" t="s">
        <v>93</v>
      </c>
      <c r="C6" s="21" t="s">
        <v>392</v>
      </c>
      <c r="D6" s="21" t="s">
        <v>399</v>
      </c>
      <c r="E6" s="21" t="s">
        <v>390</v>
      </c>
      <c r="F6" s="21" t="s">
        <v>79</v>
      </c>
      <c r="G6" s="21" t="s">
        <v>80</v>
      </c>
      <c r="H6" s="21" t="s">
        <v>81</v>
      </c>
      <c r="I6" s="21" t="s">
        <v>393</v>
      </c>
      <c r="J6" s="26">
        <v>9318.6299999999992</v>
      </c>
      <c r="K6" s="21" t="s">
        <v>394</v>
      </c>
      <c r="L6" s="21" t="s">
        <v>82</v>
      </c>
      <c r="M6" s="21" t="s">
        <v>82</v>
      </c>
      <c r="N6" s="21" t="s">
        <v>392</v>
      </c>
      <c r="O6" s="22">
        <v>44408</v>
      </c>
      <c r="P6" s="22">
        <v>44413</v>
      </c>
      <c r="Q6" s="21" t="s">
        <v>83</v>
      </c>
    </row>
    <row r="7" spans="1:17" x14ac:dyDescent="0.2">
      <c r="J7" s="23">
        <f>SUM(J2:J6)</f>
        <v>66227.45</v>
      </c>
    </row>
  </sheetData>
  <sortState ref="A2:Q7">
    <sortCondition descending="1" ref="O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96"/>
  <sheetViews>
    <sheetView zoomScaleNormal="100" zoomScalePageLayoutView="80" workbookViewId="0">
      <selection activeCell="B3" sqref="B3"/>
    </sheetView>
  </sheetViews>
  <sheetFormatPr defaultRowHeight="12.75" x14ac:dyDescent="0.2"/>
  <cols>
    <col min="2" max="2" width="34.5703125" customWidth="1"/>
    <col min="3" max="3" width="2.42578125" customWidth="1"/>
    <col min="4" max="4" width="32.28515625" customWidth="1"/>
    <col min="5" max="5" width="7.140625" bestFit="1" customWidth="1"/>
    <col min="6" max="6" width="12.85546875" style="66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1" spans="2:12" x14ac:dyDescent="0.2">
      <c r="I1" s="62"/>
    </row>
    <row r="2" spans="2:12" x14ac:dyDescent="0.2">
      <c r="I2" s="54"/>
    </row>
    <row r="3" spans="2:12" x14ac:dyDescent="0.2">
      <c r="B3" s="1" t="s">
        <v>401</v>
      </c>
      <c r="I3" s="62"/>
    </row>
    <row r="4" spans="2:12" x14ac:dyDescent="0.2">
      <c r="I4" s="62"/>
    </row>
    <row r="5" spans="2:12" s="2" customFormat="1" ht="38.25" x14ac:dyDescent="0.2">
      <c r="F5" s="67" t="s">
        <v>16</v>
      </c>
      <c r="G5" s="44" t="s">
        <v>512</v>
      </c>
      <c r="H5" s="44" t="s">
        <v>22</v>
      </c>
      <c r="I5" s="45" t="s">
        <v>18</v>
      </c>
      <c r="J5" s="12"/>
      <c r="K5" s="12"/>
      <c r="L5" s="12"/>
    </row>
    <row r="6" spans="2:12" x14ac:dyDescent="0.2">
      <c r="B6" s="1" t="s">
        <v>0</v>
      </c>
      <c r="C6" s="1"/>
    </row>
    <row r="7" spans="2:12" ht="12" customHeight="1" x14ac:dyDescent="0.2">
      <c r="F7" s="68"/>
      <c r="G7" s="35"/>
      <c r="H7" s="35"/>
    </row>
    <row r="8" spans="2:12" x14ac:dyDescent="0.2">
      <c r="B8" s="1" t="s">
        <v>28</v>
      </c>
      <c r="C8" s="1"/>
      <c r="D8" t="s">
        <v>1</v>
      </c>
      <c r="F8" s="37">
        <f>+Consulting!K12</f>
        <v>198000</v>
      </c>
      <c r="G8" s="37">
        <f>Sheet1!E56</f>
        <v>109736.86</v>
      </c>
      <c r="H8" s="36">
        <f>+F8-G8</f>
        <v>88263.14</v>
      </c>
    </row>
    <row r="9" spans="2:12" x14ac:dyDescent="0.2">
      <c r="D9" t="s">
        <v>513</v>
      </c>
      <c r="F9" s="5">
        <f>+Consulting!K13</f>
        <v>20000</v>
      </c>
      <c r="G9" s="38">
        <v>0</v>
      </c>
      <c r="H9" s="38">
        <f>+F9-G9</f>
        <v>20000</v>
      </c>
    </row>
    <row r="10" spans="2:12" x14ac:dyDescent="0.2">
      <c r="D10" s="56" t="s">
        <v>635</v>
      </c>
      <c r="F10" s="5">
        <f>ROUND(+F8*0.3,0)</f>
        <v>59400</v>
      </c>
      <c r="G10" s="38"/>
      <c r="H10" s="38">
        <f>+F10-G10</f>
        <v>59400</v>
      </c>
      <c r="I10" s="11" t="s">
        <v>638</v>
      </c>
    </row>
    <row r="11" spans="2:12" x14ac:dyDescent="0.2">
      <c r="E11" s="1"/>
      <c r="F11" s="69">
        <f>SUM(F8:F10)</f>
        <v>277400</v>
      </c>
      <c r="G11" s="39">
        <f>SUM(G8:G10)</f>
        <v>109736.86</v>
      </c>
      <c r="H11" s="39">
        <f>SUM(H8:H10)</f>
        <v>167663.14000000001</v>
      </c>
    </row>
    <row r="12" spans="2:12" x14ac:dyDescent="0.2">
      <c r="E12" s="1"/>
      <c r="F12" s="61"/>
      <c r="G12" s="27"/>
      <c r="H12" s="27"/>
    </row>
    <row r="13" spans="2:12" x14ac:dyDescent="0.2">
      <c r="B13" s="1" t="s">
        <v>507</v>
      </c>
      <c r="C13" s="1"/>
      <c r="D13" t="s">
        <v>1</v>
      </c>
      <c r="F13" s="5"/>
      <c r="G13" s="38">
        <f>Sheet1!E81</f>
        <v>51708.35</v>
      </c>
      <c r="H13" s="38">
        <f>+F13-G13</f>
        <v>-51708.35</v>
      </c>
      <c r="I13" s="11" t="s">
        <v>569</v>
      </c>
    </row>
    <row r="14" spans="2:12" x14ac:dyDescent="0.2">
      <c r="B14" s="1"/>
      <c r="C14" s="1"/>
      <c r="D14" s="56" t="s">
        <v>635</v>
      </c>
      <c r="F14" s="5">
        <f>+Consulting!K17</f>
        <v>12513</v>
      </c>
      <c r="G14" s="38"/>
      <c r="H14" s="38">
        <f>+F14-G14</f>
        <v>12513</v>
      </c>
    </row>
    <row r="15" spans="2:12" x14ac:dyDescent="0.2">
      <c r="F15" s="69">
        <f>SUM(F12:F14)</f>
        <v>12513</v>
      </c>
      <c r="G15" s="39">
        <f>SUM(G12:G14)</f>
        <v>51708.35</v>
      </c>
      <c r="H15" s="39">
        <f>SUM(H12:H14)</f>
        <v>-39195.35</v>
      </c>
    </row>
    <row r="16" spans="2:12" x14ac:dyDescent="0.2">
      <c r="F16" s="61"/>
      <c r="G16" s="27"/>
      <c r="H16" s="27"/>
    </row>
    <row r="17" spans="2:10" x14ac:dyDescent="0.2">
      <c r="B17" s="1" t="s">
        <v>30</v>
      </c>
      <c r="C17" s="1"/>
      <c r="D17" t="s">
        <v>1</v>
      </c>
      <c r="F17" s="5">
        <f>+Consulting!K21</f>
        <v>240000</v>
      </c>
      <c r="G17" s="38">
        <f>Sheet1!E74</f>
        <v>107278.33000000002</v>
      </c>
      <c r="H17" s="38">
        <f t="shared" ref="H17:H18" si="0">+F17-G17</f>
        <v>132721.66999999998</v>
      </c>
    </row>
    <row r="18" spans="2:10" x14ac:dyDescent="0.2">
      <c r="D18" s="56" t="s">
        <v>634</v>
      </c>
      <c r="F18" s="5">
        <f>+Consulting!K22</f>
        <v>0</v>
      </c>
      <c r="G18" s="38"/>
      <c r="H18" s="38">
        <f t="shared" si="0"/>
        <v>0</v>
      </c>
    </row>
    <row r="19" spans="2:10" x14ac:dyDescent="0.2">
      <c r="E19" s="1"/>
      <c r="F19" s="69">
        <f>SUM(F17:F18)</f>
        <v>240000</v>
      </c>
      <c r="G19" s="39">
        <f t="shared" ref="G19:H19" si="1">SUM(G17:G18)</f>
        <v>107278.33000000002</v>
      </c>
      <c r="H19" s="39">
        <f t="shared" si="1"/>
        <v>132721.66999999998</v>
      </c>
      <c r="I19" s="13"/>
    </row>
    <row r="20" spans="2:10" hidden="1" x14ac:dyDescent="0.2">
      <c r="F20" s="5"/>
      <c r="G20" s="38"/>
      <c r="H20" s="38"/>
      <c r="J20" s="11">
        <f>850+58888.74+9500+76974.77+23468.42+162066.24-538053.13</f>
        <v>-206304.96000000002</v>
      </c>
    </row>
    <row r="21" spans="2:10" x14ac:dyDescent="0.2">
      <c r="F21" s="5"/>
      <c r="G21" s="38"/>
      <c r="H21" s="38"/>
    </row>
    <row r="22" spans="2:10" x14ac:dyDescent="0.2">
      <c r="B22" s="1" t="s">
        <v>51</v>
      </c>
      <c r="C22" s="1"/>
      <c r="D22" t="s">
        <v>1</v>
      </c>
      <c r="F22" s="5">
        <f>+Consulting!K26</f>
        <v>34000</v>
      </c>
      <c r="G22" s="38"/>
      <c r="H22" s="38">
        <f t="shared" ref="H22:H23" si="2">+F22-G22</f>
        <v>34000</v>
      </c>
      <c r="I22" s="11" t="s">
        <v>568</v>
      </c>
    </row>
    <row r="23" spans="2:10" x14ac:dyDescent="0.2">
      <c r="B23" s="1"/>
      <c r="C23" s="1"/>
      <c r="D23" t="s">
        <v>514</v>
      </c>
      <c r="F23" s="5">
        <f>+Consulting!K27</f>
        <v>27370</v>
      </c>
      <c r="G23" s="38"/>
      <c r="H23" s="38">
        <f t="shared" si="2"/>
        <v>27370</v>
      </c>
    </row>
    <row r="24" spans="2:10" x14ac:dyDescent="0.2">
      <c r="B24" s="1"/>
      <c r="C24" s="1"/>
      <c r="F24" s="69">
        <f>SUM(F22:F23)</f>
        <v>61370</v>
      </c>
      <c r="G24" s="39"/>
      <c r="H24" s="39">
        <f>SUM(H22:H23)</f>
        <v>61370</v>
      </c>
    </row>
    <row r="25" spans="2:10" x14ac:dyDescent="0.2">
      <c r="E25" s="1"/>
      <c r="F25" s="61"/>
      <c r="G25" s="27"/>
      <c r="H25" s="27"/>
      <c r="I25" s="13"/>
    </row>
    <row r="26" spans="2:10" x14ac:dyDescent="0.2">
      <c r="B26" s="1" t="s">
        <v>53</v>
      </c>
      <c r="C26" s="1"/>
      <c r="D26" t="s">
        <v>1</v>
      </c>
      <c r="F26" s="5">
        <f>Consulting!K30</f>
        <v>2358.75</v>
      </c>
      <c r="G26" s="38">
        <v>0</v>
      </c>
      <c r="H26" s="38">
        <f t="shared" ref="H26" si="3">+F26-G26</f>
        <v>2358.75</v>
      </c>
      <c r="I26" s="13"/>
    </row>
    <row r="27" spans="2:10" x14ac:dyDescent="0.2">
      <c r="E27" s="1"/>
      <c r="F27" s="61"/>
      <c r="G27" s="27"/>
      <c r="H27" s="27"/>
      <c r="I27" s="13"/>
    </row>
    <row r="28" spans="2:10" x14ac:dyDescent="0.2">
      <c r="B28" s="1" t="s">
        <v>55</v>
      </c>
      <c r="D28" t="s">
        <v>1</v>
      </c>
      <c r="E28" s="1"/>
      <c r="F28" s="61">
        <f>Consulting!K34</f>
        <v>29000</v>
      </c>
      <c r="G28" s="27"/>
      <c r="H28" s="38">
        <f t="shared" ref="H28:H29" si="4">+F28-G28</f>
        <v>29000</v>
      </c>
      <c r="I28" s="13" t="s">
        <v>573</v>
      </c>
    </row>
    <row r="29" spans="2:10" x14ac:dyDescent="0.2">
      <c r="D29" t="s">
        <v>514</v>
      </c>
      <c r="E29" s="1"/>
      <c r="F29" s="61">
        <f>Consulting!K35</f>
        <v>65600</v>
      </c>
      <c r="G29" s="27"/>
      <c r="H29" s="38">
        <f t="shared" si="4"/>
        <v>65600</v>
      </c>
      <c r="I29" s="13"/>
    </row>
    <row r="30" spans="2:10" x14ac:dyDescent="0.2">
      <c r="E30" s="1"/>
      <c r="F30" s="69">
        <f>+F28+F29</f>
        <v>94600</v>
      </c>
      <c r="G30" s="39">
        <f t="shared" ref="G30:H30" si="5">+G28+G29</f>
        <v>0</v>
      </c>
      <c r="H30" s="39">
        <f t="shared" si="5"/>
        <v>94600</v>
      </c>
      <c r="I30" s="13"/>
    </row>
    <row r="31" spans="2:10" x14ac:dyDescent="0.2">
      <c r="E31" s="1"/>
      <c r="F31" s="61"/>
      <c r="G31" s="27"/>
      <c r="H31" s="27"/>
      <c r="I31" s="13"/>
    </row>
    <row r="32" spans="2:10" x14ac:dyDescent="0.2">
      <c r="B32" s="1" t="s">
        <v>56</v>
      </c>
      <c r="D32" t="s">
        <v>1</v>
      </c>
      <c r="E32" s="1"/>
      <c r="F32" s="61">
        <f>+Consulting!K38</f>
        <v>16594</v>
      </c>
      <c r="G32" s="27">
        <f>Sheet1!E63</f>
        <v>3206.25</v>
      </c>
      <c r="H32" s="38">
        <f t="shared" ref="H32" si="6">+F32-G32</f>
        <v>13387.75</v>
      </c>
      <c r="I32" s="13"/>
    </row>
    <row r="33" spans="2:9" x14ac:dyDescent="0.2">
      <c r="E33" s="1"/>
      <c r="F33" s="61"/>
      <c r="G33" s="27"/>
      <c r="H33" s="27"/>
      <c r="I33" s="13"/>
    </row>
    <row r="34" spans="2:9" x14ac:dyDescent="0.2">
      <c r="B34" s="1" t="s">
        <v>578</v>
      </c>
      <c r="D34" t="s">
        <v>1</v>
      </c>
      <c r="E34" s="1"/>
      <c r="F34" s="61">
        <f>Consulting!E41</f>
        <v>42000</v>
      </c>
      <c r="G34" s="27">
        <f>Sheet1!E61</f>
        <v>280</v>
      </c>
      <c r="H34" s="38">
        <f t="shared" ref="H34" si="7">+F34-G34</f>
        <v>41720</v>
      </c>
      <c r="I34" s="13"/>
    </row>
    <row r="35" spans="2:9" x14ac:dyDescent="0.2">
      <c r="F35" s="61"/>
      <c r="G35" s="27"/>
      <c r="H35" s="27"/>
      <c r="I35" s="13"/>
    </row>
    <row r="36" spans="2:9" x14ac:dyDescent="0.2">
      <c r="B36" s="1" t="s">
        <v>618</v>
      </c>
      <c r="D36" t="s">
        <v>619</v>
      </c>
      <c r="E36" s="1"/>
      <c r="F36" s="61">
        <f>150000/2</f>
        <v>75000</v>
      </c>
      <c r="G36" s="27">
        <v>0</v>
      </c>
      <c r="H36" s="38">
        <f t="shared" ref="H36" si="8">+F36-G36</f>
        <v>75000</v>
      </c>
      <c r="I36" s="13" t="s">
        <v>568</v>
      </c>
    </row>
    <row r="37" spans="2:9" x14ac:dyDescent="0.2">
      <c r="F37" s="61"/>
      <c r="G37" s="27"/>
      <c r="H37" s="27"/>
      <c r="I37" s="13"/>
    </row>
    <row r="38" spans="2:9" x14ac:dyDescent="0.2">
      <c r="B38" s="1" t="s">
        <v>586</v>
      </c>
      <c r="D38" t="s">
        <v>1</v>
      </c>
      <c r="E38" s="1"/>
      <c r="F38" s="61">
        <f>Consulting!K44</f>
        <v>18700</v>
      </c>
      <c r="G38" s="27">
        <f>Sheet1!E71</f>
        <v>8075</v>
      </c>
      <c r="H38" s="38">
        <f t="shared" ref="H38:H40" si="9">+F38-G38</f>
        <v>10625</v>
      </c>
      <c r="I38" s="13"/>
    </row>
    <row r="39" spans="2:9" x14ac:dyDescent="0.2">
      <c r="B39" s="1"/>
      <c r="E39" s="1"/>
      <c r="F39" s="61"/>
      <c r="G39" s="27"/>
      <c r="H39" s="38"/>
      <c r="I39" s="13"/>
    </row>
    <row r="40" spans="2:9" x14ac:dyDescent="0.2">
      <c r="B40" s="1" t="s">
        <v>510</v>
      </c>
      <c r="D40" t="s">
        <v>617</v>
      </c>
      <c r="E40" s="1"/>
      <c r="F40" s="61">
        <f>+Consulting!K50</f>
        <v>30000</v>
      </c>
      <c r="G40" s="27">
        <v>0</v>
      </c>
      <c r="H40" s="38">
        <f t="shared" si="9"/>
        <v>30000</v>
      </c>
      <c r="I40" s="13" t="s">
        <v>621</v>
      </c>
    </row>
    <row r="41" spans="2:9" x14ac:dyDescent="0.2">
      <c r="D41" s="56"/>
      <c r="F41" s="61"/>
      <c r="G41" s="27"/>
      <c r="H41" s="27"/>
      <c r="I41" s="13"/>
    </row>
    <row r="42" spans="2:9" x14ac:dyDescent="0.2">
      <c r="F42" s="61"/>
      <c r="G42" s="27"/>
      <c r="H42" s="27"/>
      <c r="I42" s="13"/>
    </row>
    <row r="43" spans="2:9" x14ac:dyDescent="0.2">
      <c r="B43" s="1" t="s">
        <v>610</v>
      </c>
      <c r="D43" s="56" t="s">
        <v>611</v>
      </c>
      <c r="F43" s="5">
        <v>27818.11</v>
      </c>
      <c r="G43" s="38"/>
      <c r="H43" s="38"/>
      <c r="I43" s="11" t="s">
        <v>613</v>
      </c>
    </row>
    <row r="44" spans="2:9" x14ac:dyDescent="0.2">
      <c r="B44" s="1"/>
      <c r="D44" s="56" t="s">
        <v>612</v>
      </c>
      <c r="F44" s="5">
        <f>43783+Consulting!E16</f>
        <v>63446</v>
      </c>
      <c r="G44" s="38"/>
      <c r="H44" s="38"/>
      <c r="I44" s="11" t="s">
        <v>625</v>
      </c>
    </row>
    <row r="45" spans="2:9" x14ac:dyDescent="0.2">
      <c r="B45" s="1"/>
      <c r="D45" s="56" t="s">
        <v>30</v>
      </c>
      <c r="F45" s="5">
        <v>3332</v>
      </c>
      <c r="G45" s="38"/>
      <c r="H45" s="38"/>
      <c r="I45" s="11" t="s">
        <v>613</v>
      </c>
    </row>
    <row r="46" spans="2:9" x14ac:dyDescent="0.2">
      <c r="B46" s="1"/>
      <c r="D46" s="56"/>
      <c r="F46" s="69">
        <f>SUM(F43:F45)</f>
        <v>94596.11</v>
      </c>
      <c r="G46" s="38"/>
      <c r="H46" s="38"/>
    </row>
    <row r="47" spans="2:9" x14ac:dyDescent="0.2">
      <c r="F47" s="5"/>
      <c r="G47" s="38"/>
      <c r="H47" s="38"/>
    </row>
    <row r="48" spans="2:9" x14ac:dyDescent="0.2">
      <c r="B48" s="1" t="s">
        <v>400</v>
      </c>
      <c r="D48" t="s">
        <v>557</v>
      </c>
      <c r="F48" s="5">
        <f>+Legal!G48</f>
        <v>350500</v>
      </c>
      <c r="G48" s="5">
        <f>Sheet1!E66</f>
        <v>12009.31</v>
      </c>
      <c r="H48" s="38">
        <f>+F48-G48</f>
        <v>338490.69</v>
      </c>
    </row>
    <row r="49" spans="2:9" x14ac:dyDescent="0.2">
      <c r="D49" s="56" t="s">
        <v>587</v>
      </c>
      <c r="F49" s="5">
        <f>+Legal!E58</f>
        <v>21719.131200000003</v>
      </c>
      <c r="G49" s="38"/>
      <c r="H49" s="38">
        <f>+F49-G49</f>
        <v>21719.131200000003</v>
      </c>
    </row>
    <row r="50" spans="2:9" x14ac:dyDescent="0.2">
      <c r="F50" s="5"/>
      <c r="G50" s="38"/>
      <c r="H50" s="38">
        <f>+F50-G50</f>
        <v>0</v>
      </c>
    </row>
    <row r="51" spans="2:9" x14ac:dyDescent="0.2">
      <c r="F51" s="5"/>
      <c r="G51" s="38"/>
      <c r="H51" s="38"/>
    </row>
    <row r="52" spans="2:9" x14ac:dyDescent="0.2">
      <c r="E52" s="1"/>
      <c r="F52" s="69">
        <f>SUM(F48:F51)</f>
        <v>372219.1312</v>
      </c>
      <c r="G52" s="39">
        <f>SUM(G48:G51)</f>
        <v>12009.31</v>
      </c>
      <c r="H52" s="39">
        <f>SUM(H48:H51)</f>
        <v>360209.82120000001</v>
      </c>
    </row>
    <row r="53" spans="2:9" x14ac:dyDescent="0.2">
      <c r="E53" s="1"/>
      <c r="F53" s="61"/>
      <c r="G53" s="27"/>
      <c r="H53" s="27"/>
    </row>
    <row r="54" spans="2:9" x14ac:dyDescent="0.2">
      <c r="B54" s="1" t="s">
        <v>402</v>
      </c>
      <c r="D54" s="56" t="s">
        <v>589</v>
      </c>
      <c r="F54" s="70">
        <f>+Legal!E61</f>
        <v>75000</v>
      </c>
      <c r="G54" s="5"/>
      <c r="H54" s="38">
        <f>+F54-G54</f>
        <v>75000</v>
      </c>
    </row>
    <row r="55" spans="2:9" x14ac:dyDescent="0.2">
      <c r="B55" s="1"/>
      <c r="F55" s="5"/>
      <c r="G55" s="5"/>
      <c r="H55" s="38"/>
    </row>
    <row r="56" spans="2:9" x14ac:dyDescent="0.2">
      <c r="B56" s="1" t="s">
        <v>563</v>
      </c>
      <c r="F56" s="5"/>
      <c r="G56" s="38"/>
      <c r="H56" s="38"/>
    </row>
    <row r="57" spans="2:9" x14ac:dyDescent="0.2">
      <c r="B57" s="1"/>
      <c r="F57" s="5"/>
      <c r="G57" s="38"/>
      <c r="H57" s="38"/>
    </row>
    <row r="58" spans="2:9" x14ac:dyDescent="0.2">
      <c r="B58" t="s">
        <v>59</v>
      </c>
      <c r="D58" s="56" t="s">
        <v>590</v>
      </c>
      <c r="F58" s="5">
        <f>Payroll!F8</f>
        <v>625594</v>
      </c>
      <c r="G58" s="5">
        <f>Sheet1!E48</f>
        <v>80759.240000000005</v>
      </c>
      <c r="H58" s="38">
        <f t="shared" ref="H58:H60" si="10">+F58-G58</f>
        <v>544834.76</v>
      </c>
      <c r="I58" s="11" t="s">
        <v>593</v>
      </c>
    </row>
    <row r="59" spans="2:9" x14ac:dyDescent="0.2">
      <c r="B59" t="s">
        <v>405</v>
      </c>
      <c r="D59" t="s">
        <v>511</v>
      </c>
      <c r="F59" s="5">
        <f>Temp!C4</f>
        <v>27187.5</v>
      </c>
      <c r="G59" s="5">
        <f>Sheet1!E49</f>
        <v>2473.4700000000003</v>
      </c>
      <c r="H59" s="38">
        <f t="shared" si="10"/>
        <v>24714.03</v>
      </c>
      <c r="I59" s="28"/>
    </row>
    <row r="60" spans="2:9" x14ac:dyDescent="0.2">
      <c r="B60" s="56" t="s">
        <v>654</v>
      </c>
      <c r="D60" s="56" t="s">
        <v>655</v>
      </c>
      <c r="F60" s="5">
        <f>Temp!C7</f>
        <v>514000</v>
      </c>
      <c r="G60" s="5"/>
      <c r="H60" s="38">
        <f t="shared" si="10"/>
        <v>514000</v>
      </c>
      <c r="I60" s="74"/>
    </row>
    <row r="61" spans="2:9" x14ac:dyDescent="0.2">
      <c r="E61" s="1"/>
      <c r="F61" s="69">
        <f>SUM(F58:F60)</f>
        <v>1166781.5</v>
      </c>
      <c r="G61" s="69">
        <f t="shared" ref="G61:H61" si="11">SUM(G58:G60)</f>
        <v>83232.710000000006</v>
      </c>
      <c r="H61" s="69">
        <f t="shared" si="11"/>
        <v>1083548.79</v>
      </c>
    </row>
    <row r="62" spans="2:9" x14ac:dyDescent="0.2">
      <c r="E62" s="1"/>
      <c r="F62" s="61"/>
      <c r="G62" s="27"/>
      <c r="H62" s="27"/>
    </row>
    <row r="63" spans="2:9" x14ac:dyDescent="0.2">
      <c r="B63" s="56"/>
      <c r="E63" s="1"/>
      <c r="F63" s="61"/>
      <c r="G63" s="27"/>
      <c r="H63" s="38"/>
    </row>
    <row r="64" spans="2:9" x14ac:dyDescent="0.2">
      <c r="E64" s="1"/>
      <c r="F64" s="61"/>
      <c r="G64" s="27"/>
      <c r="H64" s="27"/>
    </row>
    <row r="65" spans="2:8" x14ac:dyDescent="0.2">
      <c r="B65" s="1" t="s">
        <v>5</v>
      </c>
      <c r="F65" s="71"/>
      <c r="G65" s="40"/>
      <c r="H65" s="40"/>
    </row>
    <row r="66" spans="2:8" x14ac:dyDescent="0.2">
      <c r="F66" s="71"/>
      <c r="G66" s="40"/>
      <c r="H66" s="40"/>
    </row>
    <row r="67" spans="2:8" x14ac:dyDescent="0.2">
      <c r="B67" s="1" t="s">
        <v>596</v>
      </c>
      <c r="F67" s="5"/>
      <c r="G67" s="38"/>
      <c r="H67" s="38"/>
    </row>
    <row r="68" spans="2:8" x14ac:dyDescent="0.2">
      <c r="F68" s="5"/>
      <c r="G68" s="38"/>
      <c r="H68" s="38"/>
    </row>
    <row r="69" spans="2:8" x14ac:dyDescent="0.2">
      <c r="B69" t="s">
        <v>7</v>
      </c>
      <c r="F69" s="5">
        <f>+Travel!E7</f>
        <v>5600</v>
      </c>
      <c r="G69" s="38"/>
      <c r="H69" s="38">
        <f t="shared" ref="H69:H72" si="12">+F69-G69</f>
        <v>5600</v>
      </c>
    </row>
    <row r="70" spans="2:8" x14ac:dyDescent="0.2">
      <c r="B70" t="s">
        <v>8</v>
      </c>
      <c r="F70" s="5">
        <f>+Travel!E9</f>
        <v>3787</v>
      </c>
      <c r="G70" s="38"/>
      <c r="H70" s="38">
        <f t="shared" si="12"/>
        <v>3787</v>
      </c>
    </row>
    <row r="71" spans="2:8" x14ac:dyDescent="0.2">
      <c r="B71" t="s">
        <v>9</v>
      </c>
      <c r="F71" s="5">
        <f>+Travel!E8</f>
        <v>1600</v>
      </c>
      <c r="G71" s="38"/>
      <c r="H71" s="38">
        <f t="shared" si="12"/>
        <v>1600</v>
      </c>
    </row>
    <row r="72" spans="2:8" x14ac:dyDescent="0.2">
      <c r="B72" s="56" t="s">
        <v>598</v>
      </c>
      <c r="F72" s="5">
        <f>+Travel!D6</f>
        <v>0</v>
      </c>
      <c r="G72" s="40"/>
      <c r="H72" s="38">
        <f t="shared" si="12"/>
        <v>0</v>
      </c>
    </row>
    <row r="73" spans="2:8" x14ac:dyDescent="0.2">
      <c r="E73" s="1"/>
      <c r="F73" s="69">
        <f>SUM(F69:F72)</f>
        <v>10987</v>
      </c>
      <c r="G73" s="39">
        <f>SUM(G69:G72)</f>
        <v>0</v>
      </c>
      <c r="H73" s="39">
        <f>SUM(H69:H72)</f>
        <v>10987</v>
      </c>
    </row>
    <row r="74" spans="2:8" x14ac:dyDescent="0.2">
      <c r="B74" s="1" t="s">
        <v>642</v>
      </c>
      <c r="F74" s="71"/>
      <c r="G74" s="40"/>
      <c r="H74" s="40"/>
    </row>
    <row r="75" spans="2:8" x14ac:dyDescent="0.2">
      <c r="B75" t="s">
        <v>7</v>
      </c>
      <c r="F75" s="5">
        <f>+Travel!E15+Travel!E16+Travel!E17</f>
        <v>8667</v>
      </c>
      <c r="G75" s="38">
        <v>0</v>
      </c>
      <c r="H75" s="38">
        <f t="shared" ref="H75:H78" si="13">+F75-G75</f>
        <v>8667</v>
      </c>
    </row>
    <row r="76" spans="2:8" x14ac:dyDescent="0.2">
      <c r="B76" t="s">
        <v>8</v>
      </c>
      <c r="F76" s="5">
        <f>+Travel!E19</f>
        <v>2766</v>
      </c>
      <c r="G76" s="38">
        <v>0</v>
      </c>
      <c r="H76" s="38">
        <f t="shared" si="13"/>
        <v>2766</v>
      </c>
    </row>
    <row r="77" spans="2:8" x14ac:dyDescent="0.2">
      <c r="B77" t="s">
        <v>12</v>
      </c>
      <c r="F77" s="5">
        <f>+Travel!E18</f>
        <v>16320</v>
      </c>
      <c r="G77" s="38">
        <v>0</v>
      </c>
      <c r="H77" s="38">
        <f t="shared" si="13"/>
        <v>16320</v>
      </c>
    </row>
    <row r="78" spans="2:8" x14ac:dyDescent="0.2">
      <c r="B78" t="s">
        <v>10</v>
      </c>
      <c r="F78" s="5"/>
      <c r="G78" s="38">
        <v>0</v>
      </c>
      <c r="H78" s="38">
        <f t="shared" si="13"/>
        <v>0</v>
      </c>
    </row>
    <row r="79" spans="2:8" ht="3.75" customHeight="1" x14ac:dyDescent="0.2">
      <c r="F79" s="5"/>
      <c r="G79" s="38"/>
      <c r="H79" s="38"/>
    </row>
    <row r="80" spans="2:8" x14ac:dyDescent="0.2">
      <c r="E80" s="1"/>
      <c r="F80" s="69">
        <f>SUM(F75:F79)</f>
        <v>27753</v>
      </c>
      <c r="G80" s="39">
        <f>SUM(G75:G79)</f>
        <v>0</v>
      </c>
      <c r="H80" s="39">
        <f>SUM(H75:H79)</f>
        <v>27753</v>
      </c>
    </row>
    <row r="81" spans="2:13" x14ac:dyDescent="0.2">
      <c r="B81" s="1" t="s">
        <v>13</v>
      </c>
      <c r="F81" s="5"/>
      <c r="G81" s="38"/>
      <c r="H81" s="38"/>
    </row>
    <row r="82" spans="2:13" x14ac:dyDescent="0.2">
      <c r="B82" t="s">
        <v>24</v>
      </c>
      <c r="F82" s="5">
        <f>+'Misc Charges'!D7</f>
        <v>81000</v>
      </c>
      <c r="G82" s="38">
        <v>0</v>
      </c>
      <c r="H82" s="38">
        <f t="shared" ref="H82:H88" si="14">+F82-G82</f>
        <v>81000</v>
      </c>
      <c r="I82" s="11" t="s">
        <v>565</v>
      </c>
    </row>
    <row r="83" spans="2:13" x14ac:dyDescent="0.2">
      <c r="B83" t="s">
        <v>25</v>
      </c>
      <c r="F83" s="5">
        <f>+'Misc Charges'!D8</f>
        <v>81000</v>
      </c>
      <c r="G83" s="38">
        <v>0</v>
      </c>
      <c r="H83" s="38">
        <f t="shared" si="14"/>
        <v>81000</v>
      </c>
      <c r="I83" s="11" t="s">
        <v>565</v>
      </c>
    </row>
    <row r="84" spans="2:13" x14ac:dyDescent="0.2">
      <c r="B84" t="s">
        <v>20</v>
      </c>
      <c r="F84" s="5">
        <f>+'Misc Charges'!D9</f>
        <v>82000</v>
      </c>
      <c r="G84" s="38">
        <v>0</v>
      </c>
      <c r="H84" s="38">
        <f t="shared" si="14"/>
        <v>82000</v>
      </c>
      <c r="I84" s="11" t="s">
        <v>565</v>
      </c>
    </row>
    <row r="85" spans="2:13" x14ac:dyDescent="0.2">
      <c r="B85" t="s">
        <v>21</v>
      </c>
      <c r="F85" s="5">
        <f>+'Rate Case expenses with hearing'!F85</f>
        <v>10000</v>
      </c>
      <c r="G85" s="38">
        <v>0</v>
      </c>
      <c r="H85" s="38">
        <f t="shared" si="14"/>
        <v>10000</v>
      </c>
      <c r="I85" s="11" t="s">
        <v>566</v>
      </c>
    </row>
    <row r="86" spans="2:13" x14ac:dyDescent="0.2">
      <c r="B86" s="56" t="s">
        <v>643</v>
      </c>
      <c r="F86" s="5">
        <f>+'Rate Case expenses with hearing'!F86</f>
        <v>50000</v>
      </c>
      <c r="G86" s="38">
        <v>0</v>
      </c>
      <c r="H86" s="38">
        <f t="shared" si="14"/>
        <v>50000</v>
      </c>
      <c r="I86" s="11" t="s">
        <v>17</v>
      </c>
      <c r="J86" s="11" t="s">
        <v>570</v>
      </c>
    </row>
    <row r="87" spans="2:13" x14ac:dyDescent="0.2">
      <c r="F87" s="5"/>
      <c r="G87" s="38">
        <v>0</v>
      </c>
      <c r="H87" s="38">
        <f t="shared" si="14"/>
        <v>0</v>
      </c>
      <c r="I87" s="11" t="s">
        <v>17</v>
      </c>
    </row>
    <row r="88" spans="2:13" x14ac:dyDescent="0.2">
      <c r="B88" s="7"/>
      <c r="F88" s="5">
        <v>0</v>
      </c>
      <c r="G88" s="41">
        <v>0</v>
      </c>
      <c r="H88" s="38">
        <f t="shared" si="14"/>
        <v>0</v>
      </c>
      <c r="M88" s="3"/>
    </row>
    <row r="89" spans="2:13" x14ac:dyDescent="0.2">
      <c r="E89" s="1"/>
      <c r="F89" s="69">
        <f>SUM(F82:F88)</f>
        <v>304000</v>
      </c>
      <c r="G89" s="39">
        <f>SUM(G82:G88)</f>
        <v>0</v>
      </c>
      <c r="H89" s="39">
        <f>SUM(H82:H88)</f>
        <v>304000</v>
      </c>
    </row>
    <row r="90" spans="2:13" x14ac:dyDescent="0.2">
      <c r="E90" s="1"/>
      <c r="F90" s="61"/>
      <c r="G90" s="27"/>
      <c r="H90" s="27"/>
    </row>
    <row r="91" spans="2:13" x14ac:dyDescent="0.2">
      <c r="B91" s="1"/>
      <c r="E91" s="1"/>
      <c r="F91" s="61"/>
      <c r="G91" s="27"/>
      <c r="H91" s="27"/>
    </row>
    <row r="92" spans="2:13" x14ac:dyDescent="0.2">
      <c r="B92" s="1" t="s">
        <v>616</v>
      </c>
      <c r="E92" s="1"/>
      <c r="F92" s="61">
        <f>+Consulting!E48</f>
        <v>8063</v>
      </c>
      <c r="G92" s="27"/>
      <c r="H92" s="27"/>
    </row>
    <row r="93" spans="2:13" x14ac:dyDescent="0.2">
      <c r="F93" s="71"/>
      <c r="G93" s="40"/>
      <c r="H93" s="40"/>
      <c r="I93" s="10"/>
      <c r="J93" s="8"/>
      <c r="K93" s="8"/>
      <c r="L93" s="8"/>
      <c r="M93" s="10"/>
    </row>
    <row r="94" spans="2:13" ht="13.5" thickBot="1" x14ac:dyDescent="0.25">
      <c r="E94" s="1" t="s">
        <v>15</v>
      </c>
      <c r="F94" s="72">
        <f>+SUM(F11,F15,F19,F24,F26,F30,F32,F34,F36,F38,F40,F41,F46,F52,F54,F61,F73,F80,F89,F91,F92)</f>
        <v>2929935.4912</v>
      </c>
      <c r="G94" s="42">
        <f t="shared" ref="G94:H94" si="15">+SUM(G11,G15,G19,G24,G26,G30,G32,G34,G36,G38,G40,G41,G46,G52,G54,G61,G73,G80,G89,G91,G92)</f>
        <v>375526.81000000006</v>
      </c>
      <c r="H94" s="42">
        <f t="shared" si="15"/>
        <v>2451749.5712000001</v>
      </c>
      <c r="I94" s="8"/>
      <c r="J94" s="8"/>
      <c r="K94" s="8"/>
      <c r="L94" s="8"/>
      <c r="M94" s="8"/>
    </row>
    <row r="95" spans="2:13" ht="13.5" thickTop="1" x14ac:dyDescent="0.2">
      <c r="B95" t="s">
        <v>23</v>
      </c>
      <c r="F95" s="73">
        <f>ROUND(+F94/5,0)</f>
        <v>585987</v>
      </c>
      <c r="G95" s="43">
        <f>ROUND(+G94/5,0)</f>
        <v>75105</v>
      </c>
      <c r="H95" s="43">
        <f>ROUND(+H94/5,0)</f>
        <v>490350</v>
      </c>
      <c r="I95" s="10"/>
      <c r="J95" s="8"/>
      <c r="K95" s="8"/>
      <c r="L95" s="9"/>
      <c r="M95" s="9"/>
    </row>
    <row r="96" spans="2:13" x14ac:dyDescent="0.2">
      <c r="I96" s="10"/>
      <c r="J96" s="8"/>
      <c r="K96" s="8"/>
      <c r="L96" s="9"/>
      <c r="M96" s="9"/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in="1" max="10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opLeftCell="A50" zoomScaleNormal="100" zoomScalePageLayoutView="80" workbookViewId="0">
      <selection activeCell="F9" sqref="F9"/>
    </sheetView>
  </sheetViews>
  <sheetFormatPr defaultRowHeight="12.75" x14ac:dyDescent="0.2"/>
  <cols>
    <col min="2" max="2" width="34.5703125" customWidth="1"/>
    <col min="3" max="3" width="2.42578125" customWidth="1"/>
    <col min="4" max="4" width="32.28515625" customWidth="1"/>
    <col min="5" max="5" width="7.140625" bestFit="1" customWidth="1"/>
    <col min="6" max="6" width="12.85546875" style="7" bestFit="1" customWidth="1"/>
    <col min="7" max="7" width="15.28515625" style="7" customWidth="1"/>
    <col min="8" max="8" width="13.140625" style="7" customWidth="1"/>
    <col min="9" max="9" width="23" style="11" customWidth="1"/>
    <col min="10" max="10" width="10.28515625" style="11" customWidth="1"/>
    <col min="11" max="11" width="1.5703125" style="11" customWidth="1"/>
    <col min="12" max="12" width="11.7109375" style="11" customWidth="1"/>
    <col min="13" max="13" width="14.28515625" customWidth="1"/>
  </cols>
  <sheetData>
    <row r="2" spans="2:12" x14ac:dyDescent="0.2">
      <c r="B2" s="1" t="s">
        <v>567</v>
      </c>
    </row>
    <row r="4" spans="2:12" s="2" customFormat="1" ht="38.25" x14ac:dyDescent="0.2">
      <c r="F4" s="44" t="s">
        <v>16</v>
      </c>
      <c r="G4" s="44" t="s">
        <v>512</v>
      </c>
      <c r="H4" s="44" t="s">
        <v>22</v>
      </c>
      <c r="I4" s="45" t="s">
        <v>18</v>
      </c>
      <c r="J4" s="12"/>
      <c r="K4" s="12"/>
      <c r="L4" s="12"/>
    </row>
    <row r="5" spans="2:12" x14ac:dyDescent="0.2">
      <c r="B5" s="1" t="s">
        <v>0</v>
      </c>
      <c r="C5" s="1"/>
    </row>
    <row r="6" spans="2:12" ht="12" customHeight="1" x14ac:dyDescent="0.2">
      <c r="F6" s="35"/>
      <c r="G6" s="35"/>
      <c r="H6" s="35"/>
    </row>
    <row r="7" spans="2:12" x14ac:dyDescent="0.2">
      <c r="B7" s="1" t="s">
        <v>28</v>
      </c>
      <c r="C7" s="1"/>
      <c r="D7" t="s">
        <v>1</v>
      </c>
      <c r="F7" s="36">
        <f>+Consulting!E12</f>
        <v>198000</v>
      </c>
      <c r="G7" s="37">
        <f>Sheet1!E56</f>
        <v>109736.86</v>
      </c>
      <c r="H7" s="36">
        <f>+F7-G7</f>
        <v>88263.14</v>
      </c>
    </row>
    <row r="8" spans="2:12" x14ac:dyDescent="0.2">
      <c r="D8" t="s">
        <v>513</v>
      </c>
      <c r="F8" s="38">
        <f>+Consulting!E13</f>
        <v>20000</v>
      </c>
      <c r="G8" s="38">
        <v>0</v>
      </c>
      <c r="H8" s="38">
        <f>+F8-G8</f>
        <v>20000</v>
      </c>
    </row>
    <row r="9" spans="2:12" x14ac:dyDescent="0.2">
      <c r="F9" s="38"/>
      <c r="G9" s="38"/>
      <c r="H9" s="38">
        <f>+F9-G9</f>
        <v>0</v>
      </c>
    </row>
    <row r="10" spans="2:12" x14ac:dyDescent="0.2">
      <c r="E10" s="1"/>
      <c r="F10" s="39">
        <f>SUM(F7:F9)</f>
        <v>218000</v>
      </c>
      <c r="G10" s="39">
        <f>SUM(G7:G9)</f>
        <v>109736.86</v>
      </c>
      <c r="H10" s="39">
        <f>SUM(H7:H9)</f>
        <v>108263.14</v>
      </c>
    </row>
    <row r="11" spans="2:12" x14ac:dyDescent="0.2">
      <c r="E11" s="1"/>
      <c r="F11" s="27"/>
      <c r="G11" s="27"/>
      <c r="H11" s="27"/>
    </row>
    <row r="12" spans="2:12" x14ac:dyDescent="0.2">
      <c r="B12" s="1" t="s">
        <v>507</v>
      </c>
      <c r="C12" s="1"/>
      <c r="D12" t="s">
        <v>1</v>
      </c>
      <c r="F12" s="38">
        <f>+Consulting!E16</f>
        <v>19663</v>
      </c>
      <c r="G12" s="38">
        <f>Sheet1!E81</f>
        <v>51708.35</v>
      </c>
      <c r="H12" s="38">
        <f>+F12-G12</f>
        <v>-32045.35</v>
      </c>
    </row>
    <row r="13" spans="2:12" x14ac:dyDescent="0.2">
      <c r="B13" s="1"/>
      <c r="C13" s="1"/>
      <c r="F13" s="38"/>
      <c r="G13" s="38"/>
      <c r="H13" s="38">
        <f>+F13-G13</f>
        <v>0</v>
      </c>
    </row>
    <row r="14" spans="2:12" x14ac:dyDescent="0.2">
      <c r="F14" s="39">
        <f>SUM(F11:F13)</f>
        <v>19663</v>
      </c>
      <c r="G14" s="39">
        <f>SUM(G11:G13)</f>
        <v>51708.35</v>
      </c>
      <c r="H14" s="39">
        <f>SUM(H11:H13)</f>
        <v>-32045.35</v>
      </c>
    </row>
    <row r="15" spans="2:12" x14ac:dyDescent="0.2">
      <c r="F15" s="27"/>
      <c r="G15" s="27"/>
      <c r="H15" s="27"/>
    </row>
    <row r="16" spans="2:12" x14ac:dyDescent="0.2">
      <c r="B16" s="1" t="s">
        <v>30</v>
      </c>
      <c r="C16" s="1"/>
      <c r="D16" t="s">
        <v>1</v>
      </c>
      <c r="F16" s="38">
        <f>+Consulting!E21</f>
        <v>302400</v>
      </c>
      <c r="G16" s="38">
        <f>Sheet1!E74</f>
        <v>107278.33000000002</v>
      </c>
      <c r="H16" s="38">
        <f t="shared" ref="H16:H17" si="0">+F16-G16</f>
        <v>195121.66999999998</v>
      </c>
    </row>
    <row r="17" spans="2:10" x14ac:dyDescent="0.2">
      <c r="F17" s="38"/>
      <c r="G17" s="38"/>
      <c r="H17" s="38">
        <f t="shared" si="0"/>
        <v>0</v>
      </c>
    </row>
    <row r="18" spans="2:10" x14ac:dyDescent="0.2">
      <c r="E18" s="1"/>
      <c r="F18" s="39">
        <f>SUM(F16:F17)</f>
        <v>302400</v>
      </c>
      <c r="G18" s="39">
        <f t="shared" ref="G18:H18" si="1">SUM(G16:G17)</f>
        <v>107278.33000000002</v>
      </c>
      <c r="H18" s="39">
        <f t="shared" si="1"/>
        <v>195121.66999999998</v>
      </c>
      <c r="I18" s="13"/>
    </row>
    <row r="19" spans="2:10" hidden="1" x14ac:dyDescent="0.2">
      <c r="F19" s="38"/>
      <c r="G19" s="38"/>
      <c r="H19" s="38"/>
      <c r="J19" s="11">
        <f>850+58888.74+9500+76974.77+23468.42+162066.24-538053.13</f>
        <v>-206304.96000000002</v>
      </c>
    </row>
    <row r="20" spans="2:10" x14ac:dyDescent="0.2">
      <c r="F20" s="38"/>
      <c r="G20" s="38"/>
      <c r="H20" s="38"/>
    </row>
    <row r="21" spans="2:10" x14ac:dyDescent="0.2">
      <c r="B21" s="1" t="s">
        <v>51</v>
      </c>
      <c r="C21" s="1"/>
      <c r="D21" t="s">
        <v>1</v>
      </c>
      <c r="F21" s="38">
        <f>Consulting!E26</f>
        <v>34000</v>
      </c>
      <c r="G21" s="38"/>
      <c r="H21" s="38">
        <f t="shared" ref="H21:H22" si="2">+F21-G21</f>
        <v>34000</v>
      </c>
    </row>
    <row r="22" spans="2:10" x14ac:dyDescent="0.2">
      <c r="B22" s="1"/>
      <c r="C22" s="1"/>
      <c r="F22" s="38"/>
      <c r="G22" s="38"/>
      <c r="H22" s="38">
        <f t="shared" si="2"/>
        <v>0</v>
      </c>
    </row>
    <row r="23" spans="2:10" x14ac:dyDescent="0.2">
      <c r="B23" s="1"/>
      <c r="C23" s="1"/>
      <c r="F23" s="39">
        <f>SUM(F21:F22)</f>
        <v>34000</v>
      </c>
      <c r="G23" s="39"/>
      <c r="H23" s="39">
        <f>SUM(H21:H22)</f>
        <v>34000</v>
      </c>
    </row>
    <row r="24" spans="2:10" x14ac:dyDescent="0.2">
      <c r="E24" s="1"/>
      <c r="F24" s="27"/>
      <c r="G24" s="27"/>
      <c r="H24" s="27"/>
      <c r="I24" s="13"/>
    </row>
    <row r="25" spans="2:10" x14ac:dyDescent="0.2">
      <c r="B25" s="1" t="s">
        <v>53</v>
      </c>
      <c r="C25" s="1"/>
      <c r="D25" t="s">
        <v>1</v>
      </c>
      <c r="F25" s="38">
        <f>Consulting!E30</f>
        <v>2358.75</v>
      </c>
      <c r="G25" s="38">
        <v>0</v>
      </c>
      <c r="H25" s="38">
        <f t="shared" ref="H25" si="3">+F25-G25</f>
        <v>2358.75</v>
      </c>
      <c r="I25" s="13"/>
    </row>
    <row r="26" spans="2:10" x14ac:dyDescent="0.2">
      <c r="E26" s="1"/>
      <c r="F26" s="27"/>
      <c r="G26" s="27"/>
      <c r="H26" s="27"/>
      <c r="I26" s="13"/>
    </row>
    <row r="27" spans="2:10" x14ac:dyDescent="0.2">
      <c r="B27" s="1" t="s">
        <v>55</v>
      </c>
      <c r="D27" t="s">
        <v>1</v>
      </c>
      <c r="E27" s="1"/>
      <c r="F27" s="27">
        <f>Consulting!E34</f>
        <v>29000</v>
      </c>
      <c r="G27" s="27"/>
      <c r="H27" s="38">
        <f t="shared" ref="H27" si="4">+F27-G27</f>
        <v>29000</v>
      </c>
      <c r="I27" s="13"/>
    </row>
    <row r="28" spans="2:10" x14ac:dyDescent="0.2">
      <c r="E28" s="1"/>
      <c r="F28" s="27"/>
      <c r="G28" s="27"/>
      <c r="H28" s="27"/>
      <c r="I28" s="13"/>
    </row>
    <row r="29" spans="2:10" x14ac:dyDescent="0.2">
      <c r="B29" s="1" t="s">
        <v>56</v>
      </c>
      <c r="D29" t="s">
        <v>1</v>
      </c>
      <c r="E29" s="1"/>
      <c r="F29" s="27">
        <f>Consulting!E38</f>
        <v>25593.75</v>
      </c>
      <c r="G29" s="27">
        <f>Sheet1!E63</f>
        <v>3206.25</v>
      </c>
      <c r="H29" s="38">
        <f t="shared" ref="H29" si="5">+F29-G29</f>
        <v>22387.5</v>
      </c>
      <c r="I29" s="13"/>
    </row>
    <row r="30" spans="2:10" x14ac:dyDescent="0.2">
      <c r="E30" s="1"/>
      <c r="F30" s="27"/>
      <c r="G30" s="27"/>
      <c r="H30" s="27"/>
      <c r="I30" s="13"/>
    </row>
    <row r="31" spans="2:10" x14ac:dyDescent="0.2">
      <c r="B31" s="1" t="s">
        <v>404</v>
      </c>
      <c r="D31" t="s">
        <v>1</v>
      </c>
      <c r="E31" s="1"/>
      <c r="F31" s="27">
        <f>Consulting!E41</f>
        <v>42000</v>
      </c>
      <c r="G31" s="27">
        <f>Sheet1!E61</f>
        <v>280</v>
      </c>
      <c r="H31" s="38">
        <f t="shared" ref="H31" si="6">+F31-G31</f>
        <v>41720</v>
      </c>
      <c r="I31" s="13"/>
    </row>
    <row r="32" spans="2:10" x14ac:dyDescent="0.2">
      <c r="F32" s="27"/>
      <c r="G32" s="27"/>
      <c r="H32" s="27"/>
      <c r="I32" s="13"/>
    </row>
    <row r="33" spans="2:9" x14ac:dyDescent="0.2">
      <c r="B33" s="1" t="s">
        <v>403</v>
      </c>
      <c r="D33" t="s">
        <v>560</v>
      </c>
      <c r="E33" s="1"/>
      <c r="F33" s="27">
        <v>6000</v>
      </c>
      <c r="G33" s="27">
        <v>0</v>
      </c>
      <c r="H33" s="38">
        <f t="shared" ref="H33" si="7">+F33-G33</f>
        <v>6000</v>
      </c>
      <c r="I33" s="13"/>
    </row>
    <row r="34" spans="2:9" x14ac:dyDescent="0.2">
      <c r="F34" s="27"/>
      <c r="G34" s="27"/>
      <c r="H34" s="27"/>
      <c r="I34" s="13"/>
    </row>
    <row r="35" spans="2:9" x14ac:dyDescent="0.2">
      <c r="B35" s="1" t="s">
        <v>509</v>
      </c>
      <c r="D35" t="s">
        <v>1</v>
      </c>
      <c r="E35" s="1"/>
      <c r="F35" s="27">
        <f>Consulting!E44</f>
        <v>26350</v>
      </c>
      <c r="G35" s="27">
        <f>Sheet1!E71</f>
        <v>8075</v>
      </c>
      <c r="H35" s="38">
        <f t="shared" ref="H35" si="8">+F35-G35</f>
        <v>18275</v>
      </c>
      <c r="I35" s="13"/>
    </row>
    <row r="36" spans="2:9" x14ac:dyDescent="0.2">
      <c r="B36" s="1"/>
      <c r="E36" s="1"/>
      <c r="F36" s="27"/>
      <c r="G36" s="27"/>
      <c r="H36" s="38"/>
      <c r="I36" s="13"/>
    </row>
    <row r="37" spans="2:9" x14ac:dyDescent="0.2">
      <c r="B37" s="1" t="s">
        <v>510</v>
      </c>
      <c r="D37" t="s">
        <v>559</v>
      </c>
      <c r="E37" s="1"/>
      <c r="F37" s="27">
        <v>10000</v>
      </c>
      <c r="G37" s="27">
        <v>0</v>
      </c>
      <c r="H37" s="38">
        <f t="shared" ref="H37" si="9">SUM(H35:H36)</f>
        <v>18275</v>
      </c>
      <c r="I37" s="13"/>
    </row>
    <row r="38" spans="2:9" x14ac:dyDescent="0.2">
      <c r="F38" s="27"/>
      <c r="G38" s="27"/>
      <c r="H38" s="27"/>
      <c r="I38" s="13"/>
    </row>
    <row r="39" spans="2:9" x14ac:dyDescent="0.2">
      <c r="B39" s="1" t="s">
        <v>4</v>
      </c>
      <c r="F39" s="38"/>
      <c r="G39" s="38"/>
      <c r="H39" s="38"/>
    </row>
    <row r="40" spans="2:9" x14ac:dyDescent="0.2">
      <c r="F40" s="38"/>
      <c r="G40" s="38"/>
      <c r="H40" s="38"/>
    </row>
    <row r="41" spans="2:9" x14ac:dyDescent="0.2">
      <c r="B41" s="1" t="s">
        <v>400</v>
      </c>
      <c r="D41" t="s">
        <v>557</v>
      </c>
      <c r="F41" s="38">
        <f>Legal!E53</f>
        <v>290000</v>
      </c>
      <c r="G41" s="5">
        <f>Sheet1!E66</f>
        <v>12009.31</v>
      </c>
      <c r="H41" s="38">
        <f>+F41-G41</f>
        <v>277990.69</v>
      </c>
    </row>
    <row r="42" spans="2:9" x14ac:dyDescent="0.2">
      <c r="D42" t="s">
        <v>513</v>
      </c>
      <c r="F42" s="38">
        <v>20000</v>
      </c>
      <c r="G42" s="38"/>
      <c r="H42" s="38">
        <f>+F42-G42</f>
        <v>20000</v>
      </c>
    </row>
    <row r="43" spans="2:9" x14ac:dyDescent="0.2">
      <c r="F43" s="38"/>
      <c r="G43" s="38"/>
      <c r="H43" s="38">
        <f>+F43-G43</f>
        <v>0</v>
      </c>
    </row>
    <row r="44" spans="2:9" x14ac:dyDescent="0.2">
      <c r="F44" s="38"/>
      <c r="G44" s="38"/>
      <c r="H44" s="38"/>
    </row>
    <row r="45" spans="2:9" x14ac:dyDescent="0.2">
      <c r="E45" s="1"/>
      <c r="F45" s="39">
        <f>SUM(F41:F44)</f>
        <v>310000</v>
      </c>
      <c r="G45" s="39">
        <f>SUM(G41:G44)</f>
        <v>12009.31</v>
      </c>
      <c r="H45" s="39">
        <f>SUM(H41:H44)</f>
        <v>297990.69</v>
      </c>
    </row>
    <row r="46" spans="2:9" x14ac:dyDescent="0.2">
      <c r="E46" s="1"/>
      <c r="F46" s="27"/>
      <c r="G46" s="27"/>
      <c r="H46" s="27"/>
    </row>
    <row r="47" spans="2:9" x14ac:dyDescent="0.2">
      <c r="B47" s="1" t="s">
        <v>402</v>
      </c>
      <c r="D47" t="s">
        <v>558</v>
      </c>
      <c r="F47" s="38">
        <v>75000</v>
      </c>
      <c r="G47" s="5"/>
      <c r="H47" s="38">
        <f>+F47-G47</f>
        <v>75000</v>
      </c>
    </row>
    <row r="48" spans="2:9" x14ac:dyDescent="0.2">
      <c r="B48" s="1"/>
      <c r="F48" s="38"/>
      <c r="G48" s="5"/>
      <c r="H48" s="38"/>
    </row>
    <row r="49" spans="2:9" x14ac:dyDescent="0.2">
      <c r="B49" s="1" t="s">
        <v>563</v>
      </c>
      <c r="F49" s="38"/>
      <c r="G49" s="38"/>
      <c r="H49" s="38"/>
    </row>
    <row r="50" spans="2:9" x14ac:dyDescent="0.2">
      <c r="B50" s="1"/>
      <c r="F50" s="38"/>
      <c r="G50" s="38"/>
      <c r="H50" s="38"/>
    </row>
    <row r="51" spans="2:9" x14ac:dyDescent="0.2">
      <c r="B51" t="s">
        <v>59</v>
      </c>
      <c r="D51" t="s">
        <v>564</v>
      </c>
      <c r="F51" s="38">
        <f>Payroll!F8</f>
        <v>625594</v>
      </c>
      <c r="G51" s="5">
        <f>Sheet1!E48</f>
        <v>80759.240000000005</v>
      </c>
      <c r="H51" s="38">
        <f t="shared" ref="H51:H52" si="10">+F51-G51</f>
        <v>544834.76</v>
      </c>
    </row>
    <row r="52" spans="2:9" x14ac:dyDescent="0.2">
      <c r="B52" t="s">
        <v>405</v>
      </c>
      <c r="D52" t="s">
        <v>511</v>
      </c>
      <c r="F52" s="38">
        <f>Temp!C4</f>
        <v>27187.5</v>
      </c>
      <c r="G52" s="5">
        <f>Sheet1!E49</f>
        <v>2473.4700000000003</v>
      </c>
      <c r="H52" s="38">
        <f t="shared" si="10"/>
        <v>24714.03</v>
      </c>
      <c r="I52" s="28"/>
    </row>
    <row r="53" spans="2:9" x14ac:dyDescent="0.2">
      <c r="E53" s="1"/>
      <c r="F53" s="39">
        <f>SUM(F51:F52)</f>
        <v>652781.5</v>
      </c>
      <c r="G53" s="39">
        <f>SUM(G51:G52)</f>
        <v>83232.710000000006</v>
      </c>
      <c r="H53" s="39">
        <f>SUM(H51:H52)</f>
        <v>569548.79</v>
      </c>
    </row>
    <row r="54" spans="2:9" x14ac:dyDescent="0.2">
      <c r="B54" s="1" t="s">
        <v>5</v>
      </c>
      <c r="F54" s="40"/>
      <c r="G54" s="40"/>
      <c r="H54" s="40"/>
    </row>
    <row r="55" spans="2:9" x14ac:dyDescent="0.2">
      <c r="F55" s="40"/>
      <c r="G55" s="40"/>
      <c r="H55" s="40"/>
    </row>
    <row r="56" spans="2:9" x14ac:dyDescent="0.2">
      <c r="B56" s="1" t="s">
        <v>6</v>
      </c>
      <c r="F56" s="38"/>
      <c r="G56" s="38"/>
      <c r="H56" s="38"/>
    </row>
    <row r="57" spans="2:9" x14ac:dyDescent="0.2">
      <c r="F57" s="38"/>
      <c r="G57" s="38"/>
      <c r="H57" s="38"/>
    </row>
    <row r="58" spans="2:9" x14ac:dyDescent="0.2">
      <c r="B58" t="s">
        <v>7</v>
      </c>
      <c r="F58" s="38">
        <v>5000</v>
      </c>
      <c r="G58" s="38">
        <v>0</v>
      </c>
      <c r="H58" s="38">
        <f t="shared" ref="H58:H62" si="11">+F58-G58</f>
        <v>5000</v>
      </c>
    </row>
    <row r="59" spans="2:9" x14ac:dyDescent="0.2">
      <c r="B59" t="s">
        <v>8</v>
      </c>
      <c r="F59" s="38">
        <v>6000</v>
      </c>
      <c r="G59" s="38">
        <v>0</v>
      </c>
      <c r="H59" s="38">
        <f t="shared" si="11"/>
        <v>6000</v>
      </c>
    </row>
    <row r="60" spans="2:9" x14ac:dyDescent="0.2">
      <c r="B60" t="s">
        <v>9</v>
      </c>
      <c r="F60" s="38">
        <v>3000</v>
      </c>
      <c r="G60" s="38">
        <v>0</v>
      </c>
      <c r="H60" s="38">
        <f t="shared" si="11"/>
        <v>3000</v>
      </c>
    </row>
    <row r="61" spans="2:9" x14ac:dyDescent="0.2">
      <c r="B61" t="s">
        <v>10</v>
      </c>
      <c r="F61" s="38"/>
      <c r="G61" s="38">
        <v>0</v>
      </c>
      <c r="H61" s="38">
        <f t="shared" si="11"/>
        <v>0</v>
      </c>
    </row>
    <row r="62" spans="2:9" ht="3.75" customHeight="1" x14ac:dyDescent="0.2">
      <c r="F62" s="38"/>
      <c r="G62" s="38"/>
      <c r="H62" s="38">
        <f t="shared" si="11"/>
        <v>0</v>
      </c>
    </row>
    <row r="63" spans="2:9" x14ac:dyDescent="0.2">
      <c r="E63" s="1"/>
      <c r="F63" s="39">
        <f>SUM(F58:F62)</f>
        <v>14000</v>
      </c>
      <c r="G63" s="39">
        <f>SUM(G58:G62)</f>
        <v>0</v>
      </c>
      <c r="H63" s="39">
        <f>SUM(H58:H62)</f>
        <v>14000</v>
      </c>
    </row>
    <row r="64" spans="2:9" x14ac:dyDescent="0.2">
      <c r="B64" s="1" t="s">
        <v>19</v>
      </c>
      <c r="F64" s="38"/>
      <c r="G64" s="38"/>
      <c r="H64" s="38"/>
    </row>
    <row r="65" spans="2:9" x14ac:dyDescent="0.2">
      <c r="B65" t="s">
        <v>7</v>
      </c>
      <c r="F65" s="38">
        <v>5000</v>
      </c>
      <c r="G65" s="38"/>
      <c r="H65" s="38">
        <f t="shared" ref="H65:H67" si="12">+F65-G65</f>
        <v>5000</v>
      </c>
    </row>
    <row r="66" spans="2:9" x14ac:dyDescent="0.2">
      <c r="B66" t="s">
        <v>8</v>
      </c>
      <c r="F66" s="38">
        <v>6000</v>
      </c>
      <c r="G66" s="38"/>
      <c r="H66" s="38">
        <f t="shared" si="12"/>
        <v>6000</v>
      </c>
    </row>
    <row r="67" spans="2:9" x14ac:dyDescent="0.2">
      <c r="B67" t="s">
        <v>9</v>
      </c>
      <c r="F67" s="38">
        <v>3000</v>
      </c>
      <c r="G67" s="38"/>
      <c r="H67" s="38">
        <f t="shared" si="12"/>
        <v>3000</v>
      </c>
    </row>
    <row r="68" spans="2:9" x14ac:dyDescent="0.2">
      <c r="F68" s="40"/>
      <c r="G68" s="40"/>
      <c r="H68" s="40"/>
    </row>
    <row r="69" spans="2:9" x14ac:dyDescent="0.2">
      <c r="E69" s="1"/>
      <c r="F69" s="39">
        <f>SUM(F65:F68)</f>
        <v>14000</v>
      </c>
      <c r="G69" s="39">
        <f>SUM(G65:G68)</f>
        <v>0</v>
      </c>
      <c r="H69" s="39">
        <f>SUM(H65:H68)</f>
        <v>14000</v>
      </c>
    </row>
    <row r="70" spans="2:9" x14ac:dyDescent="0.2">
      <c r="B70" s="1" t="s">
        <v>11</v>
      </c>
      <c r="F70" s="40"/>
      <c r="G70" s="40"/>
      <c r="H70" s="40"/>
    </row>
    <row r="71" spans="2:9" x14ac:dyDescent="0.2">
      <c r="B71" t="s">
        <v>7</v>
      </c>
      <c r="F71" s="38">
        <v>6000</v>
      </c>
      <c r="G71" s="38">
        <v>0</v>
      </c>
      <c r="H71" s="38">
        <f t="shared" ref="H71:H74" si="13">+F71-G71</f>
        <v>6000</v>
      </c>
    </row>
    <row r="72" spans="2:9" x14ac:dyDescent="0.2">
      <c r="B72" t="s">
        <v>8</v>
      </c>
      <c r="F72" s="38">
        <v>25000</v>
      </c>
      <c r="G72" s="38">
        <v>0</v>
      </c>
      <c r="H72" s="38">
        <f t="shared" si="13"/>
        <v>25000</v>
      </c>
    </row>
    <row r="73" spans="2:9" x14ac:dyDescent="0.2">
      <c r="B73" t="s">
        <v>12</v>
      </c>
      <c r="F73" s="38">
        <v>2000</v>
      </c>
      <c r="G73" s="38">
        <v>0</v>
      </c>
      <c r="H73" s="38">
        <f t="shared" si="13"/>
        <v>2000</v>
      </c>
    </row>
    <row r="74" spans="2:9" x14ac:dyDescent="0.2">
      <c r="B74" t="s">
        <v>10</v>
      </c>
      <c r="F74" s="38">
        <v>2000</v>
      </c>
      <c r="G74" s="38">
        <v>0</v>
      </c>
      <c r="H74" s="38">
        <f t="shared" si="13"/>
        <v>2000</v>
      </c>
    </row>
    <row r="75" spans="2:9" ht="3.75" customHeight="1" x14ac:dyDescent="0.2">
      <c r="F75" s="38"/>
      <c r="G75" s="38"/>
      <c r="H75" s="38"/>
    </row>
    <row r="76" spans="2:9" x14ac:dyDescent="0.2">
      <c r="E76" s="1"/>
      <c r="F76" s="39">
        <f>SUM(F71:F75)</f>
        <v>35000</v>
      </c>
      <c r="G76" s="39">
        <f>SUM(G71:G75)</f>
        <v>0</v>
      </c>
      <c r="H76" s="39">
        <f>SUM(H71:H75)</f>
        <v>35000</v>
      </c>
    </row>
    <row r="77" spans="2:9" x14ac:dyDescent="0.2">
      <c r="B77" s="1" t="s">
        <v>13</v>
      </c>
      <c r="F77" s="38"/>
      <c r="G77" s="38"/>
      <c r="H77" s="38"/>
    </row>
    <row r="78" spans="2:9" x14ac:dyDescent="0.2">
      <c r="B78" t="s">
        <v>24</v>
      </c>
      <c r="F78" s="38">
        <v>50000</v>
      </c>
      <c r="G78" s="38">
        <v>0</v>
      </c>
      <c r="H78" s="38">
        <f t="shared" ref="H78:H83" si="14">+F78-G78</f>
        <v>50000</v>
      </c>
      <c r="I78" s="11" t="s">
        <v>565</v>
      </c>
    </row>
    <row r="79" spans="2:9" x14ac:dyDescent="0.2">
      <c r="B79" t="s">
        <v>25</v>
      </c>
      <c r="F79" s="38">
        <v>50000</v>
      </c>
      <c r="G79" s="38">
        <v>0</v>
      </c>
      <c r="H79" s="38">
        <f t="shared" si="14"/>
        <v>50000</v>
      </c>
      <c r="I79" s="11" t="s">
        <v>565</v>
      </c>
    </row>
    <row r="80" spans="2:9" x14ac:dyDescent="0.2">
      <c r="B80" t="s">
        <v>20</v>
      </c>
      <c r="F80" s="38">
        <v>50000</v>
      </c>
      <c r="G80" s="38">
        <v>0</v>
      </c>
      <c r="H80" s="38">
        <f t="shared" si="14"/>
        <v>50000</v>
      </c>
      <c r="I80" s="11" t="s">
        <v>565</v>
      </c>
    </row>
    <row r="81" spans="2:13" x14ac:dyDescent="0.2">
      <c r="B81" t="s">
        <v>21</v>
      </c>
      <c r="F81" s="38">
        <v>20000</v>
      </c>
      <c r="G81" s="38">
        <v>0</v>
      </c>
      <c r="H81" s="38">
        <f t="shared" si="14"/>
        <v>20000</v>
      </c>
      <c r="I81" s="11" t="s">
        <v>566</v>
      </c>
    </row>
    <row r="82" spans="2:13" x14ac:dyDescent="0.2">
      <c r="B82" t="s">
        <v>14</v>
      </c>
      <c r="F82" s="38">
        <v>70000</v>
      </c>
      <c r="G82" s="38">
        <v>0</v>
      </c>
      <c r="H82" s="38">
        <f t="shared" si="14"/>
        <v>70000</v>
      </c>
    </row>
    <row r="83" spans="2:13" x14ac:dyDescent="0.2">
      <c r="B83" t="s">
        <v>2</v>
      </c>
      <c r="F83" s="38">
        <v>10000</v>
      </c>
      <c r="G83" s="38">
        <v>0</v>
      </c>
      <c r="H83" s="38">
        <f t="shared" si="14"/>
        <v>10000</v>
      </c>
      <c r="I83" s="11" t="s">
        <v>17</v>
      </c>
    </row>
    <row r="84" spans="2:13" x14ac:dyDescent="0.2">
      <c r="B84" s="7"/>
      <c r="F84" s="38">
        <v>0</v>
      </c>
      <c r="G84" s="41">
        <v>0</v>
      </c>
      <c r="H84" s="38">
        <f t="shared" ref="H84" si="15">+F84-G84</f>
        <v>0</v>
      </c>
      <c r="M84" s="3"/>
    </row>
    <row r="85" spans="2:13" x14ac:dyDescent="0.2">
      <c r="E85" s="1"/>
      <c r="F85" s="39">
        <f>SUM(F78:F84)</f>
        <v>250000</v>
      </c>
      <c r="G85" s="39">
        <f>SUM(G78:G84)</f>
        <v>0</v>
      </c>
      <c r="H85" s="39">
        <f>SUM(H78:H84)</f>
        <v>250000</v>
      </c>
    </row>
    <row r="86" spans="2:13" x14ac:dyDescent="0.2">
      <c r="F86" s="40"/>
      <c r="G86" s="40"/>
      <c r="H86" s="40"/>
      <c r="I86" s="10"/>
      <c r="J86" s="8"/>
      <c r="K86" s="8"/>
      <c r="L86" s="8"/>
      <c r="M86" s="10"/>
    </row>
    <row r="87" spans="2:13" ht="13.5" thickBot="1" x14ac:dyDescent="0.25">
      <c r="E87" s="1" t="s">
        <v>15</v>
      </c>
      <c r="F87" s="42">
        <f>+SUM(F10,F14,F18,F23,F25,F27,F29,F31,F33,F35,F37,F45,F47,F53,F63,F69,F76,F85)</f>
        <v>2066147</v>
      </c>
      <c r="G87" s="42">
        <f t="shared" ref="G87:H87" si="16">+SUM(G10,G14,G18,G23,G25,G27,G29,G31,G33,G35,G37,G45,G47,G53,G63,G69,G76,G85)</f>
        <v>375526.81000000006</v>
      </c>
      <c r="H87" s="42">
        <f t="shared" si="16"/>
        <v>1698895.19</v>
      </c>
      <c r="I87" s="8"/>
      <c r="J87" s="8"/>
      <c r="K87" s="8"/>
      <c r="L87" s="8"/>
      <c r="M87" s="8"/>
    </row>
    <row r="88" spans="2:13" ht="13.5" thickTop="1" x14ac:dyDescent="0.2">
      <c r="B88" t="s">
        <v>23</v>
      </c>
      <c r="F88" s="43">
        <f>ROUND(+F87/5,0)</f>
        <v>413229</v>
      </c>
      <c r="G88" s="43">
        <f>ROUND(+G87/5,0)</f>
        <v>75105</v>
      </c>
      <c r="H88" s="43">
        <f>ROUND(+H87/5,0)</f>
        <v>339779</v>
      </c>
      <c r="I88" s="10"/>
      <c r="J88" s="8"/>
      <c r="K88" s="8"/>
      <c r="L88" s="9"/>
      <c r="M88" s="9"/>
    </row>
    <row r="89" spans="2:13" x14ac:dyDescent="0.2">
      <c r="I89" s="10"/>
      <c r="J89" s="8"/>
      <c r="K89" s="8"/>
      <c r="L89" s="9"/>
      <c r="M89" s="9"/>
    </row>
  </sheetData>
  <pageMargins left="0.25" right="0.25" top="0.17" bottom="0.26" header="0.17" footer="0.26"/>
  <pageSetup scale="56" orientation="portrait" r:id="rId1"/>
  <headerFooter alignWithMargins="0">
    <oddHeader xml:space="preserve">&amp;CElectric Rate Worksheet
</oddHeader>
    <oddFooter>&amp;C&amp;Z&amp;F&amp;F&amp;D</oddFooter>
  </headerFooter>
  <colBreaks count="1" manualBreakCount="1">
    <brk id="9" max="10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topLeftCell="B1" workbookViewId="0">
      <selection activeCell="C21" sqref="C21"/>
    </sheetView>
  </sheetViews>
  <sheetFormatPr defaultRowHeight="12.75" x14ac:dyDescent="0.2"/>
  <cols>
    <col min="1" max="1" width="21.7109375" customWidth="1"/>
    <col min="2" max="2" width="49.5703125" bestFit="1" customWidth="1"/>
    <col min="3" max="3" width="17.7109375" customWidth="1"/>
    <col min="4" max="4" width="13.140625" customWidth="1"/>
    <col min="5" max="5" width="13.42578125" bestFit="1" customWidth="1"/>
    <col min="6" max="6" width="9.7109375" bestFit="1" customWidth="1"/>
    <col min="11" max="11" width="11.42578125" customWidth="1"/>
  </cols>
  <sheetData>
    <row r="1" spans="1:11" x14ac:dyDescent="0.2">
      <c r="A1" t="s">
        <v>35</v>
      </c>
    </row>
    <row r="2" spans="1:11" x14ac:dyDescent="0.2">
      <c r="A2" t="s">
        <v>29</v>
      </c>
      <c r="E2" s="56" t="s">
        <v>629</v>
      </c>
      <c r="K2" s="56" t="s">
        <v>630</v>
      </c>
    </row>
    <row r="4" spans="1:11" x14ac:dyDescent="0.2">
      <c r="A4" s="18" t="s">
        <v>28</v>
      </c>
      <c r="B4" s="18" t="s">
        <v>26</v>
      </c>
      <c r="C4" s="18" t="s">
        <v>31</v>
      </c>
      <c r="D4" s="18" t="s">
        <v>32</v>
      </c>
      <c r="E4" s="18" t="s">
        <v>33</v>
      </c>
    </row>
    <row r="5" spans="1:11" x14ac:dyDescent="0.2">
      <c r="A5" t="s">
        <v>42</v>
      </c>
      <c r="B5" t="s">
        <v>36</v>
      </c>
      <c r="D5" s="14"/>
    </row>
    <row r="6" spans="1:11" x14ac:dyDescent="0.2">
      <c r="A6" t="s">
        <v>43</v>
      </c>
      <c r="B6" t="s">
        <v>37</v>
      </c>
    </row>
    <row r="7" spans="1:11" x14ac:dyDescent="0.2">
      <c r="A7" t="s">
        <v>44</v>
      </c>
      <c r="B7" t="s">
        <v>38</v>
      </c>
    </row>
    <row r="8" spans="1:11" x14ac:dyDescent="0.2">
      <c r="A8" t="s">
        <v>45</v>
      </c>
      <c r="B8" t="s">
        <v>39</v>
      </c>
    </row>
    <row r="9" spans="1:11" x14ac:dyDescent="0.2">
      <c r="A9" t="s">
        <v>46</v>
      </c>
      <c r="B9" t="s">
        <v>3</v>
      </c>
    </row>
    <row r="10" spans="1:11" x14ac:dyDescent="0.2">
      <c r="A10" t="s">
        <v>47</v>
      </c>
      <c r="B10" t="s">
        <v>40</v>
      </c>
    </row>
    <row r="11" spans="1:11" x14ac:dyDescent="0.2">
      <c r="A11" t="s">
        <v>48</v>
      </c>
      <c r="B11" t="s">
        <v>41</v>
      </c>
      <c r="C11" s="15"/>
      <c r="E11" s="16"/>
    </row>
    <row r="12" spans="1:11" x14ac:dyDescent="0.2">
      <c r="A12" t="s">
        <v>49</v>
      </c>
      <c r="C12" s="15">
        <v>640</v>
      </c>
      <c r="D12" s="56">
        <f>198000/640</f>
        <v>309.375</v>
      </c>
      <c r="E12" s="16">
        <f>+C12*D12</f>
        <v>198000</v>
      </c>
      <c r="F12" s="55">
        <f>+C12*D12</f>
        <v>198000</v>
      </c>
      <c r="G12" s="56">
        <f>54.25+27+73+78.75+60.5</f>
        <v>293.5</v>
      </c>
      <c r="H12" s="56" t="s">
        <v>609</v>
      </c>
      <c r="K12" s="55">
        <f>+E12</f>
        <v>198000</v>
      </c>
    </row>
    <row r="13" spans="1:11" x14ac:dyDescent="0.2">
      <c r="B13" t="s">
        <v>50</v>
      </c>
      <c r="C13" s="15"/>
      <c r="D13" s="16"/>
      <c r="E13" s="16">
        <v>20000</v>
      </c>
      <c r="K13" s="55">
        <f>+E13</f>
        <v>20000</v>
      </c>
    </row>
    <row r="14" spans="1:11" ht="13.5" thickBot="1" x14ac:dyDescent="0.25">
      <c r="C14" s="15"/>
      <c r="D14" s="16"/>
      <c r="E14" s="17">
        <f>SUM(E12:E13)</f>
        <v>218000</v>
      </c>
      <c r="K14" s="17">
        <f>SUM(K12:K13)</f>
        <v>218000</v>
      </c>
    </row>
    <row r="15" spans="1:11" ht="13.5" thickTop="1" x14ac:dyDescent="0.2">
      <c r="C15" s="15"/>
      <c r="D15" s="16"/>
      <c r="E15" s="16"/>
    </row>
    <row r="16" spans="1:11" x14ac:dyDescent="0.2">
      <c r="A16" t="s">
        <v>508</v>
      </c>
      <c r="B16" s="56" t="s">
        <v>626</v>
      </c>
      <c r="C16" s="15">
        <f>40+70</f>
        <v>110</v>
      </c>
      <c r="D16" s="16">
        <v>178.75</v>
      </c>
      <c r="E16" s="16">
        <f>ROUND(C16*$D16,0)</f>
        <v>19663</v>
      </c>
      <c r="K16" s="16">
        <f>ROUND(C16*$D16,0)</f>
        <v>19663</v>
      </c>
    </row>
    <row r="17" spans="1:11" x14ac:dyDescent="0.2">
      <c r="B17" s="56" t="s">
        <v>633</v>
      </c>
      <c r="C17" s="15">
        <f>20+50</f>
        <v>70</v>
      </c>
      <c r="D17" s="16">
        <v>178.75</v>
      </c>
      <c r="E17" s="16">
        <f>ROUND(C17*$D17,0)</f>
        <v>12513</v>
      </c>
      <c r="K17" s="16">
        <f>ROUND(C17*$D17,0)</f>
        <v>12513</v>
      </c>
    </row>
    <row r="18" spans="1:11" x14ac:dyDescent="0.2">
      <c r="B18" s="56"/>
      <c r="C18" s="15"/>
      <c r="D18" s="16"/>
      <c r="E18" s="63">
        <f>+E16+E17</f>
        <v>32176</v>
      </c>
      <c r="K18" s="63">
        <f>+K16+K17</f>
        <v>32176</v>
      </c>
    </row>
    <row r="19" spans="1:11" x14ac:dyDescent="0.2">
      <c r="C19" s="15"/>
      <c r="D19" s="16"/>
      <c r="E19" s="16"/>
    </row>
    <row r="20" spans="1:11" x14ac:dyDescent="0.2">
      <c r="A20" t="s">
        <v>30</v>
      </c>
      <c r="B20" s="56" t="s">
        <v>614</v>
      </c>
      <c r="C20" s="15" t="s">
        <v>31</v>
      </c>
      <c r="D20" s="16" t="s">
        <v>32</v>
      </c>
      <c r="E20" s="16" t="s">
        <v>33</v>
      </c>
    </row>
    <row r="21" spans="1:11" x14ac:dyDescent="0.2">
      <c r="A21" t="s">
        <v>42</v>
      </c>
      <c r="B21" t="s">
        <v>34</v>
      </c>
      <c r="C21" s="57">
        <f>1500+540-150</f>
        <v>1890</v>
      </c>
      <c r="D21" s="16">
        <v>160</v>
      </c>
      <c r="E21" s="16">
        <f>+C21*D21</f>
        <v>302400</v>
      </c>
      <c r="F21" s="56" t="s">
        <v>580</v>
      </c>
      <c r="K21">
        <f>ROUND(1500*D21,0)</f>
        <v>240000</v>
      </c>
    </row>
    <row r="22" spans="1:11" x14ac:dyDescent="0.2">
      <c r="A22" t="s">
        <v>43</v>
      </c>
      <c r="B22" t="s">
        <v>515</v>
      </c>
      <c r="C22" s="15">
        <v>150</v>
      </c>
      <c r="D22" s="16">
        <v>160</v>
      </c>
      <c r="E22" s="16">
        <f>+C22*D22</f>
        <v>24000</v>
      </c>
      <c r="F22">
        <f>180+180-660+(180*3)</f>
        <v>240</v>
      </c>
      <c r="K22">
        <v>0</v>
      </c>
    </row>
    <row r="23" spans="1:11" ht="13.5" thickBot="1" x14ac:dyDescent="0.25">
      <c r="C23" s="15"/>
      <c r="D23" s="16"/>
      <c r="E23" s="17">
        <f>SUM(E21:E22)</f>
        <v>326400</v>
      </c>
      <c r="K23" s="17">
        <f>SUM(K21:K22)</f>
        <v>240000</v>
      </c>
    </row>
    <row r="24" spans="1:11" ht="13.5" thickTop="1" x14ac:dyDescent="0.2">
      <c r="C24" s="15"/>
      <c r="D24" s="16"/>
      <c r="E24" s="16"/>
    </row>
    <row r="25" spans="1:11" x14ac:dyDescent="0.2">
      <c r="C25" s="15"/>
      <c r="D25" s="16"/>
      <c r="E25" s="16"/>
    </row>
    <row r="26" spans="1:11" x14ac:dyDescent="0.2">
      <c r="A26" t="s">
        <v>51</v>
      </c>
      <c r="B26" t="s">
        <v>52</v>
      </c>
      <c r="C26" s="15"/>
      <c r="D26" s="16"/>
      <c r="E26" s="16">
        <v>34000</v>
      </c>
      <c r="F26" s="56" t="s">
        <v>571</v>
      </c>
      <c r="K26" s="55">
        <f>+E26</f>
        <v>34000</v>
      </c>
    </row>
    <row r="27" spans="1:11" x14ac:dyDescent="0.2">
      <c r="B27" t="s">
        <v>516</v>
      </c>
      <c r="C27" s="15"/>
      <c r="D27" s="16">
        <v>320</v>
      </c>
      <c r="E27" s="16">
        <f>ROUND(E26*1.61,0)</f>
        <v>54740</v>
      </c>
      <c r="F27" s="56" t="s">
        <v>572</v>
      </c>
      <c r="K27" s="16">
        <f>+E27/2</f>
        <v>27370</v>
      </c>
    </row>
    <row r="28" spans="1:11" ht="13.5" thickBot="1" x14ac:dyDescent="0.25">
      <c r="C28" s="15"/>
      <c r="D28" s="16"/>
      <c r="E28" s="17">
        <f>SUM(E26:E27)</f>
        <v>88740</v>
      </c>
      <c r="K28" s="17">
        <f>SUM(K26:K27)</f>
        <v>61370</v>
      </c>
    </row>
    <row r="29" spans="1:11" ht="13.5" thickTop="1" x14ac:dyDescent="0.2">
      <c r="C29" s="15"/>
      <c r="D29" s="16"/>
      <c r="E29" s="16"/>
    </row>
    <row r="30" spans="1:11" x14ac:dyDescent="0.2">
      <c r="A30" t="s">
        <v>54</v>
      </c>
      <c r="B30" s="56" t="s">
        <v>576</v>
      </c>
      <c r="C30" s="15">
        <f>(18.5/2)*3</f>
        <v>27.75</v>
      </c>
      <c r="D30" s="16">
        <v>85</v>
      </c>
      <c r="E30" s="16">
        <f>+C30*D30</f>
        <v>2358.75</v>
      </c>
      <c r="F30" s="56" t="s">
        <v>582</v>
      </c>
      <c r="K30" s="55">
        <f>+E30</f>
        <v>2358.75</v>
      </c>
    </row>
    <row r="31" spans="1:11" x14ac:dyDescent="0.2">
      <c r="C31" s="15"/>
      <c r="D31" s="16"/>
      <c r="E31" s="16"/>
    </row>
    <row r="32" spans="1:11" x14ac:dyDescent="0.2">
      <c r="C32" s="15"/>
      <c r="D32" s="16"/>
      <c r="E32" s="16"/>
    </row>
    <row r="33" spans="1:11" x14ac:dyDescent="0.2">
      <c r="C33" s="15"/>
      <c r="D33" s="16"/>
      <c r="E33" s="16"/>
    </row>
    <row r="34" spans="1:11" x14ac:dyDescent="0.2">
      <c r="A34" t="s">
        <v>55</v>
      </c>
      <c r="B34" s="56" t="s">
        <v>575</v>
      </c>
      <c r="C34" s="15"/>
      <c r="D34" s="16"/>
      <c r="E34" s="16">
        <v>29000</v>
      </c>
      <c r="F34" s="56" t="s">
        <v>573</v>
      </c>
      <c r="K34" s="55">
        <f>+E34</f>
        <v>29000</v>
      </c>
    </row>
    <row r="35" spans="1:11" x14ac:dyDescent="0.2">
      <c r="B35" s="56" t="s">
        <v>577</v>
      </c>
      <c r="C35" s="15">
        <f>56+120+120+32</f>
        <v>328</v>
      </c>
      <c r="D35" s="16">
        <v>400</v>
      </c>
      <c r="E35" s="16">
        <f>ROUND(C35*D35,0)</f>
        <v>131200</v>
      </c>
      <c r="K35" s="16">
        <f>ROUND((C35/2)*D35,0)</f>
        <v>65600</v>
      </c>
    </row>
    <row r="36" spans="1:11" ht="13.5" thickBot="1" x14ac:dyDescent="0.25">
      <c r="C36" s="15"/>
      <c r="D36" s="16"/>
      <c r="E36" s="17">
        <f>SUM(E34:E35)</f>
        <v>160200</v>
      </c>
      <c r="K36" s="64">
        <f>SUM(K34:K35)</f>
        <v>94600</v>
      </c>
    </row>
    <row r="37" spans="1:11" ht="13.5" thickTop="1" x14ac:dyDescent="0.2">
      <c r="C37" s="15"/>
      <c r="D37" s="16"/>
      <c r="E37" s="16"/>
    </row>
    <row r="38" spans="1:11" x14ac:dyDescent="0.2">
      <c r="A38" t="s">
        <v>56</v>
      </c>
      <c r="B38" s="56" t="s">
        <v>581</v>
      </c>
      <c r="C38" s="15">
        <f>53.75+60</f>
        <v>113.75</v>
      </c>
      <c r="D38" s="16">
        <v>225</v>
      </c>
      <c r="E38" s="16">
        <f>+C38*D38</f>
        <v>25593.75</v>
      </c>
      <c r="F38" s="56" t="s">
        <v>583</v>
      </c>
      <c r="K38" s="16">
        <f>ROUND((C38-60+20)*D38,0)</f>
        <v>16594</v>
      </c>
    </row>
    <row r="41" spans="1:11" x14ac:dyDescent="0.2">
      <c r="A41" t="s">
        <v>404</v>
      </c>
      <c r="B41" s="56" t="s">
        <v>579</v>
      </c>
      <c r="C41">
        <v>600</v>
      </c>
      <c r="D41">
        <v>70</v>
      </c>
      <c r="E41" s="16">
        <f>+C41*D41</f>
        <v>42000</v>
      </c>
      <c r="K41" s="55">
        <f>+E41</f>
        <v>42000</v>
      </c>
    </row>
    <row r="44" spans="1:11" x14ac:dyDescent="0.2">
      <c r="A44" t="s">
        <v>620</v>
      </c>
      <c r="C44">
        <f>20+16+8+10+8</f>
        <v>62</v>
      </c>
      <c r="D44" s="16">
        <v>425</v>
      </c>
      <c r="E44" s="16">
        <f>+C44*D44</f>
        <v>26350</v>
      </c>
      <c r="F44" t="s">
        <v>552</v>
      </c>
      <c r="K44" s="16">
        <f>ROUND((C44-18)*D44,0)</f>
        <v>18700</v>
      </c>
    </row>
    <row r="46" spans="1:11" x14ac:dyDescent="0.2">
      <c r="A46" s="56" t="s">
        <v>584</v>
      </c>
      <c r="E46" s="16">
        <v>6000</v>
      </c>
      <c r="F46" s="56" t="s">
        <v>585</v>
      </c>
    </row>
    <row r="48" spans="1:11" x14ac:dyDescent="0.2">
      <c r="A48" t="s">
        <v>624</v>
      </c>
      <c r="B48" t="s">
        <v>648</v>
      </c>
      <c r="C48">
        <v>51</v>
      </c>
      <c r="E48" s="16">
        <v>8063</v>
      </c>
      <c r="K48" s="55">
        <f>+E48</f>
        <v>8063</v>
      </c>
    </row>
    <row r="50" spans="1:11" x14ac:dyDescent="0.2">
      <c r="A50" s="56" t="s">
        <v>631</v>
      </c>
      <c r="B50" s="56" t="s">
        <v>632</v>
      </c>
      <c r="C50">
        <v>160</v>
      </c>
      <c r="D50">
        <f>60000/160</f>
        <v>375</v>
      </c>
      <c r="E50" s="16">
        <f>ROUND(C50*D50,0)</f>
        <v>60000</v>
      </c>
      <c r="K50" s="16">
        <f>ROUND((C50/2)*D5:D50,0)</f>
        <v>30000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1"/>
  <sheetViews>
    <sheetView topLeftCell="B34" workbookViewId="0">
      <selection activeCell="F48" sqref="F48"/>
    </sheetView>
  </sheetViews>
  <sheetFormatPr defaultRowHeight="12.75" x14ac:dyDescent="0.2"/>
  <cols>
    <col min="1" max="1" width="9.140625" style="7"/>
    <col min="2" max="2" width="102" style="7" customWidth="1"/>
    <col min="3" max="3" width="9.28515625" style="7" bestFit="1" customWidth="1"/>
    <col min="4" max="6" width="9.140625" style="7"/>
    <col min="7" max="7" width="10.28515625" style="7" bestFit="1" customWidth="1"/>
    <col min="8" max="8" width="13.5703125" style="7" customWidth="1"/>
    <col min="9" max="16384" width="9.140625" style="7"/>
  </cols>
  <sheetData>
    <row r="1" spans="1:8" x14ac:dyDescent="0.2">
      <c r="A1" s="7" t="s">
        <v>35</v>
      </c>
    </row>
    <row r="2" spans="1:8" x14ac:dyDescent="0.2">
      <c r="A2" s="7" t="s">
        <v>29</v>
      </c>
    </row>
    <row r="3" spans="1:8" x14ac:dyDescent="0.2">
      <c r="A3" s="7" t="s">
        <v>389</v>
      </c>
    </row>
    <row r="8" spans="1:8" x14ac:dyDescent="0.2">
      <c r="B8" s="7" t="s">
        <v>400</v>
      </c>
    </row>
    <row r="10" spans="1:8" x14ac:dyDescent="0.2">
      <c r="C10" s="7" t="s">
        <v>552</v>
      </c>
      <c r="D10" s="7" t="s">
        <v>553</v>
      </c>
      <c r="E10" s="7" t="s">
        <v>554</v>
      </c>
    </row>
    <row r="11" spans="1:8" x14ac:dyDescent="0.2">
      <c r="B11" s="47" t="s">
        <v>517</v>
      </c>
      <c r="C11" s="47">
        <v>25</v>
      </c>
    </row>
    <row r="12" spans="1:8" ht="25.5" x14ac:dyDescent="0.2">
      <c r="B12" s="51" t="s">
        <v>518</v>
      </c>
      <c r="C12" s="47">
        <v>80</v>
      </c>
    </row>
    <row r="13" spans="1:8" x14ac:dyDescent="0.2">
      <c r="B13" s="47" t="s">
        <v>519</v>
      </c>
      <c r="C13" s="7">
        <v>18</v>
      </c>
      <c r="H13" s="47"/>
    </row>
    <row r="14" spans="1:8" x14ac:dyDescent="0.2">
      <c r="B14" s="47" t="s">
        <v>520</v>
      </c>
      <c r="C14" s="7">
        <v>30</v>
      </c>
      <c r="F14" s="47"/>
    </row>
    <row r="15" spans="1:8" x14ac:dyDescent="0.2">
      <c r="B15" s="47" t="s">
        <v>521</v>
      </c>
      <c r="C15" s="7">
        <v>5</v>
      </c>
    </row>
    <row r="16" spans="1:8" x14ac:dyDescent="0.2">
      <c r="B16" s="47" t="s">
        <v>522</v>
      </c>
      <c r="C16" s="7">
        <v>6</v>
      </c>
      <c r="D16" s="47"/>
    </row>
    <row r="17" spans="2:6" x14ac:dyDescent="0.2">
      <c r="B17" s="47" t="s">
        <v>523</v>
      </c>
      <c r="C17" s="7">
        <v>6</v>
      </c>
    </row>
    <row r="18" spans="2:6" x14ac:dyDescent="0.2">
      <c r="B18" s="47" t="s">
        <v>524</v>
      </c>
      <c r="C18" s="47">
        <v>8</v>
      </c>
    </row>
    <row r="19" spans="2:6" x14ac:dyDescent="0.2">
      <c r="B19" s="47" t="s">
        <v>525</v>
      </c>
      <c r="C19" s="7">
        <v>8</v>
      </c>
    </row>
    <row r="20" spans="2:6" ht="25.5" x14ac:dyDescent="0.2">
      <c r="B20" s="51" t="s">
        <v>546</v>
      </c>
      <c r="C20" s="7">
        <v>50</v>
      </c>
    </row>
    <row r="21" spans="2:6" x14ac:dyDescent="0.2">
      <c r="B21" s="47" t="s">
        <v>526</v>
      </c>
      <c r="C21" s="7">
        <v>4</v>
      </c>
    </row>
    <row r="22" spans="2:6" ht="25.5" x14ac:dyDescent="0.2">
      <c r="B22" s="51" t="s">
        <v>527</v>
      </c>
      <c r="C22" s="7">
        <v>60</v>
      </c>
      <c r="F22" s="47"/>
    </row>
    <row r="23" spans="2:6" x14ac:dyDescent="0.2">
      <c r="B23" s="47" t="s">
        <v>528</v>
      </c>
      <c r="C23" s="7">
        <v>10</v>
      </c>
    </row>
    <row r="24" spans="2:6" x14ac:dyDescent="0.2">
      <c r="B24" s="47" t="s">
        <v>529</v>
      </c>
      <c r="C24" s="7">
        <v>25</v>
      </c>
      <c r="D24" s="47"/>
    </row>
    <row r="25" spans="2:6" x14ac:dyDescent="0.2">
      <c r="B25" s="47" t="s">
        <v>530</v>
      </c>
      <c r="C25" s="47">
        <v>48</v>
      </c>
    </row>
    <row r="26" spans="2:6" ht="25.5" x14ac:dyDescent="0.2">
      <c r="B26" s="51" t="s">
        <v>545</v>
      </c>
      <c r="C26" s="7">
        <v>17</v>
      </c>
    </row>
    <row r="27" spans="2:6" x14ac:dyDescent="0.2">
      <c r="B27" s="47" t="s">
        <v>531</v>
      </c>
      <c r="C27" s="7">
        <v>8</v>
      </c>
      <c r="D27" s="47"/>
    </row>
    <row r="28" spans="2:6" x14ac:dyDescent="0.2">
      <c r="B28" s="47" t="s">
        <v>532</v>
      </c>
      <c r="C28" s="7">
        <v>40</v>
      </c>
      <c r="D28" s="47"/>
    </row>
    <row r="29" spans="2:6" x14ac:dyDescent="0.2">
      <c r="B29" s="47" t="s">
        <v>533</v>
      </c>
      <c r="C29" s="7">
        <v>5</v>
      </c>
      <c r="F29" s="47"/>
    </row>
    <row r="30" spans="2:6" x14ac:dyDescent="0.2">
      <c r="B30" s="47" t="s">
        <v>534</v>
      </c>
      <c r="C30" s="7">
        <v>8</v>
      </c>
      <c r="E30" s="47"/>
    </row>
    <row r="31" spans="2:6" x14ac:dyDescent="0.2">
      <c r="B31" s="47" t="s">
        <v>535</v>
      </c>
      <c r="C31" s="7">
        <v>18</v>
      </c>
    </row>
    <row r="32" spans="2:6" x14ac:dyDescent="0.2">
      <c r="B32" s="53" t="s">
        <v>547</v>
      </c>
      <c r="C32" s="52">
        <v>60</v>
      </c>
    </row>
    <row r="33" spans="2:19" x14ac:dyDescent="0.2">
      <c r="B33" s="53" t="s">
        <v>536</v>
      </c>
      <c r="C33" s="52">
        <v>40</v>
      </c>
    </row>
    <row r="34" spans="2:19" x14ac:dyDescent="0.2">
      <c r="B34" s="53" t="s">
        <v>537</v>
      </c>
      <c r="C34" s="53">
        <v>18</v>
      </c>
    </row>
    <row r="35" spans="2:19" x14ac:dyDescent="0.2">
      <c r="B35" s="47" t="s">
        <v>538</v>
      </c>
      <c r="C35" s="47">
        <v>3</v>
      </c>
    </row>
    <row r="36" spans="2:19" x14ac:dyDescent="0.2">
      <c r="B36" s="47" t="s">
        <v>548</v>
      </c>
      <c r="C36" s="7">
        <v>10</v>
      </c>
    </row>
    <row r="37" spans="2:19" x14ac:dyDescent="0.2">
      <c r="B37" s="47"/>
      <c r="D37" s="47"/>
    </row>
    <row r="38" spans="2:19" x14ac:dyDescent="0.2">
      <c r="B38" s="47" t="s">
        <v>539</v>
      </c>
      <c r="C38" s="7">
        <f>SUM(C11:C37)</f>
        <v>610</v>
      </c>
      <c r="D38" s="7">
        <v>244000</v>
      </c>
      <c r="E38" s="7">
        <v>425000</v>
      </c>
      <c r="F38" s="47"/>
      <c r="G38" s="47"/>
    </row>
    <row r="39" spans="2:19" x14ac:dyDescent="0.2">
      <c r="B39" s="47" t="s">
        <v>549</v>
      </c>
    </row>
    <row r="40" spans="2:19" x14ac:dyDescent="0.2">
      <c r="B40" s="47" t="s">
        <v>550</v>
      </c>
    </row>
    <row r="41" spans="2:19" x14ac:dyDescent="0.2">
      <c r="B41" s="48"/>
    </row>
    <row r="42" spans="2:19" x14ac:dyDescent="0.2">
      <c r="B42" s="48"/>
    </row>
    <row r="43" spans="2:19" x14ac:dyDescent="0.2">
      <c r="B43" s="47" t="s">
        <v>540</v>
      </c>
      <c r="D43" s="49">
        <v>12000</v>
      </c>
      <c r="E43" s="49">
        <v>12000</v>
      </c>
      <c r="G43" s="49"/>
    </row>
    <row r="44" spans="2:19" x14ac:dyDescent="0.2">
      <c r="B44" s="47" t="s">
        <v>551</v>
      </c>
    </row>
    <row r="45" spans="2:19" x14ac:dyDescent="0.2">
      <c r="B45" s="47" t="s">
        <v>541</v>
      </c>
    </row>
    <row r="46" spans="2:19" x14ac:dyDescent="0.2">
      <c r="B46" s="47" t="s">
        <v>555</v>
      </c>
      <c r="D46" s="7">
        <v>4000</v>
      </c>
      <c r="E46" s="7">
        <v>4000</v>
      </c>
      <c r="H46" s="47"/>
      <c r="S46" s="47" t="s">
        <v>542</v>
      </c>
    </row>
    <row r="47" spans="2:19" x14ac:dyDescent="0.2">
      <c r="B47" s="47"/>
    </row>
    <row r="48" spans="2:19" ht="23.25" customHeight="1" x14ac:dyDescent="0.2">
      <c r="B48" s="50" t="s">
        <v>543</v>
      </c>
      <c r="C48" s="50" t="s">
        <v>544</v>
      </c>
      <c r="D48" s="46">
        <f>+SUM(D38:D46)</f>
        <v>260000</v>
      </c>
      <c r="E48" s="46">
        <f>+SUM(E38:E46)</f>
        <v>441000</v>
      </c>
      <c r="F48" s="7">
        <f>+E48-75000</f>
        <v>366000</v>
      </c>
      <c r="G48" s="7">
        <f>ROUND((D48+E48)/2,0)</f>
        <v>350500</v>
      </c>
      <c r="H48" s="65" t="s">
        <v>641</v>
      </c>
    </row>
    <row r="49" spans="1:8" x14ac:dyDescent="0.2">
      <c r="B49" s="50" t="s">
        <v>556</v>
      </c>
      <c r="E49" s="52">
        <v>350000</v>
      </c>
    </row>
    <row r="51" spans="1:8" x14ac:dyDescent="0.2">
      <c r="B51" s="7" t="s">
        <v>561</v>
      </c>
      <c r="C51" s="7">
        <f>+SUM(C32:C34)</f>
        <v>118</v>
      </c>
      <c r="D51" s="7">
        <f>+C51/C38</f>
        <v>0.19344262295081968</v>
      </c>
      <c r="E51" s="7">
        <f>+D51*E49</f>
        <v>67704.918032786882</v>
      </c>
    </row>
    <row r="52" spans="1:8" x14ac:dyDescent="0.2">
      <c r="E52" s="7">
        <f>+E49-E51</f>
        <v>282295.08196721313</v>
      </c>
    </row>
    <row r="53" spans="1:8" x14ac:dyDescent="0.2">
      <c r="E53" s="7">
        <v>290000</v>
      </c>
    </row>
    <row r="54" spans="1:8" x14ac:dyDescent="0.2">
      <c r="B54" s="7" t="s">
        <v>562</v>
      </c>
      <c r="E54" s="7">
        <v>68000</v>
      </c>
    </row>
    <row r="58" spans="1:8" x14ac:dyDescent="0.2">
      <c r="B58" s="56" t="s">
        <v>587</v>
      </c>
      <c r="E58" s="7">
        <f>+F59*20</f>
        <v>21719.131200000003</v>
      </c>
      <c r="F58" s="56" t="s">
        <v>594</v>
      </c>
    </row>
    <row r="59" spans="1:8" x14ac:dyDescent="0.2">
      <c r="F59" s="7">
        <f>(3764.8/6)*1.7307</f>
        <v>1085.9565600000001</v>
      </c>
      <c r="H59" s="56" t="s">
        <v>595</v>
      </c>
    </row>
    <row r="60" spans="1:8" x14ac:dyDescent="0.2">
      <c r="A60" s="1" t="s">
        <v>402</v>
      </c>
    </row>
    <row r="61" spans="1:8" x14ac:dyDescent="0.2">
      <c r="B61" s="56" t="s">
        <v>588</v>
      </c>
      <c r="E61" s="58">
        <v>75000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F7" sqref="F7"/>
    </sheetView>
  </sheetViews>
  <sheetFormatPr defaultRowHeight="12.75" x14ac:dyDescent="0.2"/>
  <cols>
    <col min="1" max="1" width="47" bestFit="1" customWidth="1"/>
    <col min="2" max="2" width="26.28515625" bestFit="1" customWidth="1"/>
    <col min="3" max="3" width="10.85546875" customWidth="1"/>
    <col min="4" max="4" width="9.5703125" customWidth="1"/>
    <col min="5" max="5" width="12.28515625" bestFit="1" customWidth="1"/>
    <col min="11" max="11" width="9.7109375" bestFit="1" customWidth="1"/>
  </cols>
  <sheetData>
    <row r="1" spans="1:11" x14ac:dyDescent="0.2">
      <c r="A1" t="s">
        <v>35</v>
      </c>
    </row>
    <row r="2" spans="1:11" x14ac:dyDescent="0.2">
      <c r="A2" t="s">
        <v>29</v>
      </c>
    </row>
    <row r="3" spans="1:11" x14ac:dyDescent="0.2">
      <c r="A3" t="s">
        <v>60</v>
      </c>
      <c r="B3" t="s">
        <v>26</v>
      </c>
      <c r="C3" t="s">
        <v>27</v>
      </c>
    </row>
    <row r="4" spans="1:11" x14ac:dyDescent="0.2">
      <c r="A4" t="s">
        <v>62</v>
      </c>
      <c r="B4" t="s">
        <v>61</v>
      </c>
      <c r="C4" s="15">
        <f>500*54.375</f>
        <v>27187.5</v>
      </c>
      <c r="D4" s="55"/>
      <c r="E4" s="59">
        <f>(43.5+65.25)/2</f>
        <v>54.375</v>
      </c>
      <c r="F4" s="56" t="s">
        <v>592</v>
      </c>
      <c r="K4">
        <f>37*4</f>
        <v>148</v>
      </c>
    </row>
    <row r="5" spans="1:11" x14ac:dyDescent="0.2">
      <c r="F5" t="s">
        <v>651</v>
      </c>
      <c r="K5">
        <v>3</v>
      </c>
    </row>
    <row r="6" spans="1:11" x14ac:dyDescent="0.2">
      <c r="K6">
        <f>+K4*K5</f>
        <v>444</v>
      </c>
    </row>
    <row r="7" spans="1:11" x14ac:dyDescent="0.2">
      <c r="A7" s="56" t="s">
        <v>656</v>
      </c>
      <c r="B7" s="56" t="s">
        <v>655</v>
      </c>
      <c r="C7" s="16">
        <v>514000</v>
      </c>
      <c r="F7" s="56" t="s">
        <v>657</v>
      </c>
      <c r="K7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6" sqref="E6"/>
    </sheetView>
  </sheetViews>
  <sheetFormatPr defaultRowHeight="12.75" x14ac:dyDescent="0.2"/>
  <cols>
    <col min="1" max="1" width="17" customWidth="1"/>
    <col min="2" max="2" width="11.28515625" bestFit="1" customWidth="1"/>
    <col min="6" max="6" width="11.28515625" bestFit="1" customWidth="1"/>
  </cols>
  <sheetData>
    <row r="1" spans="1:8" x14ac:dyDescent="0.2">
      <c r="A1" t="s">
        <v>35</v>
      </c>
    </row>
    <row r="2" spans="1:8" x14ac:dyDescent="0.2">
      <c r="A2" t="s">
        <v>29</v>
      </c>
    </row>
    <row r="4" spans="1:8" x14ac:dyDescent="0.2">
      <c r="B4">
        <v>2021</v>
      </c>
      <c r="C4">
        <v>2022</v>
      </c>
      <c r="E4" s="56" t="s">
        <v>591</v>
      </c>
      <c r="F4" s="56" t="s">
        <v>33</v>
      </c>
    </row>
    <row r="5" spans="1:8" x14ac:dyDescent="0.2">
      <c r="A5" t="s">
        <v>57</v>
      </c>
      <c r="B5" s="15">
        <f>140000/2</f>
        <v>70000</v>
      </c>
      <c r="C5" s="15">
        <f>ROUND(140000*1.035,0)</f>
        <v>144900</v>
      </c>
      <c r="D5" s="15">
        <f>+B5+C5</f>
        <v>214900</v>
      </c>
      <c r="E5" s="15">
        <f>ROUND(D5*0.43,0)</f>
        <v>92407</v>
      </c>
      <c r="F5" s="15">
        <f>+D5+E5</f>
        <v>307307</v>
      </c>
      <c r="G5" s="15"/>
      <c r="H5" t="s">
        <v>647</v>
      </c>
    </row>
    <row r="6" spans="1:8" x14ac:dyDescent="0.2">
      <c r="A6" t="s">
        <v>58</v>
      </c>
      <c r="B6" s="15">
        <f>132000*(4/12)</f>
        <v>44000</v>
      </c>
      <c r="C6" s="15">
        <f>ROUND(132000*1.035,0)</f>
        <v>136620</v>
      </c>
      <c r="D6" s="15">
        <f>+B6+C6</f>
        <v>180620</v>
      </c>
      <c r="E6" s="15">
        <f>ROUND(D6*0.43,0)</f>
        <v>77667</v>
      </c>
      <c r="F6" s="15">
        <f>+D6+E6</f>
        <v>258287</v>
      </c>
      <c r="G6" s="15"/>
    </row>
    <row r="7" spans="1:8" x14ac:dyDescent="0.2">
      <c r="A7" t="s">
        <v>574</v>
      </c>
      <c r="B7" s="15"/>
      <c r="C7" s="15"/>
      <c r="D7" s="15"/>
      <c r="E7" s="15"/>
      <c r="F7" s="15">
        <v>60000</v>
      </c>
      <c r="G7" s="15"/>
    </row>
    <row r="8" spans="1:8" x14ac:dyDescent="0.2">
      <c r="B8" s="15"/>
      <c r="C8" s="15"/>
      <c r="D8" s="15"/>
      <c r="E8" s="15"/>
      <c r="F8" s="15">
        <f>SUM(F5:F7)</f>
        <v>625594</v>
      </c>
      <c r="G8" s="15"/>
    </row>
    <row r="9" spans="1:8" x14ac:dyDescent="0.2">
      <c r="B9" s="15"/>
      <c r="C9" s="15"/>
      <c r="D9" s="15"/>
      <c r="E9" s="15"/>
      <c r="F9" s="15"/>
      <c r="G9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17" sqref="D17"/>
    </sheetView>
  </sheetViews>
  <sheetFormatPr defaultRowHeight="12.75" x14ac:dyDescent="0.2"/>
  <sheetData>
    <row r="1" spans="1:12" x14ac:dyDescent="0.2">
      <c r="A1" t="s">
        <v>35</v>
      </c>
    </row>
    <row r="2" spans="1:12" x14ac:dyDescent="0.2">
      <c r="A2" t="s">
        <v>29</v>
      </c>
      <c r="B2" t="s">
        <v>26</v>
      </c>
      <c r="C2" t="s">
        <v>27</v>
      </c>
    </row>
    <row r="4" spans="1:12" x14ac:dyDescent="0.2">
      <c r="D4" s="56" t="s">
        <v>629</v>
      </c>
      <c r="E4" s="56" t="s">
        <v>630</v>
      </c>
    </row>
    <row r="5" spans="1:12" x14ac:dyDescent="0.2">
      <c r="A5" t="s">
        <v>600</v>
      </c>
    </row>
    <row r="6" spans="1:12" x14ac:dyDescent="0.2">
      <c r="A6" t="s">
        <v>598</v>
      </c>
    </row>
    <row r="7" spans="1:12" x14ac:dyDescent="0.2">
      <c r="A7" t="s">
        <v>597</v>
      </c>
      <c r="D7">
        <f>(280*2)*10</f>
        <v>5600</v>
      </c>
      <c r="E7">
        <f>+D7</f>
        <v>5600</v>
      </c>
      <c r="G7" s="56" t="s">
        <v>627</v>
      </c>
      <c r="L7">
        <f>(280*2)*10</f>
        <v>5600</v>
      </c>
    </row>
    <row r="8" spans="1:12" x14ac:dyDescent="0.2">
      <c r="A8" t="s">
        <v>9</v>
      </c>
      <c r="D8">
        <f>(80*2)*10</f>
        <v>1600</v>
      </c>
      <c r="E8">
        <f t="shared" ref="E8:E9" si="0">+D8</f>
        <v>1600</v>
      </c>
      <c r="G8" t="s">
        <v>622</v>
      </c>
      <c r="I8">
        <f>(80*10)*10</f>
        <v>8000</v>
      </c>
      <c r="J8">
        <f>(80*2)*10</f>
        <v>1600</v>
      </c>
    </row>
    <row r="9" spans="1:12" x14ac:dyDescent="0.2">
      <c r="A9" t="s">
        <v>8</v>
      </c>
      <c r="D9">
        <f>ROUND((0.585*705)*7,0)+400+500</f>
        <v>3787</v>
      </c>
      <c r="E9">
        <f t="shared" si="0"/>
        <v>3787</v>
      </c>
      <c r="G9">
        <f>0.585</f>
        <v>0.58499999999999996</v>
      </c>
      <c r="H9">
        <f>201+123+201+22+158</f>
        <v>705</v>
      </c>
      <c r="I9" s="56" t="s">
        <v>623</v>
      </c>
    </row>
    <row r="10" spans="1:12" x14ac:dyDescent="0.2">
      <c r="D10" s="60">
        <f>SUM(D6:D9)</f>
        <v>10987</v>
      </c>
      <c r="E10" s="60">
        <f>SUM(E6:E9)</f>
        <v>10987</v>
      </c>
    </row>
    <row r="14" spans="1:12" x14ac:dyDescent="0.2">
      <c r="A14" t="s">
        <v>599</v>
      </c>
    </row>
    <row r="15" spans="1:12" x14ac:dyDescent="0.2">
      <c r="A15" s="56" t="s">
        <v>601</v>
      </c>
      <c r="D15">
        <f>ROUND(((300*4)*3)*1.07,0)</f>
        <v>3852</v>
      </c>
      <c r="E15">
        <f>ROUND(((300*3)*3)*1.07,0)</f>
        <v>2889</v>
      </c>
      <c r="G15" s="56" t="s">
        <v>644</v>
      </c>
    </row>
    <row r="16" spans="1:12" x14ac:dyDescent="0.2">
      <c r="A16" s="56" t="s">
        <v>602</v>
      </c>
      <c r="D16">
        <f>ROUND(((300*4)*6)*1.07,0)</f>
        <v>7704</v>
      </c>
      <c r="E16">
        <f>ROUND(((300*3)*6)*1.07,0)</f>
        <v>5778</v>
      </c>
      <c r="G16" s="56" t="s">
        <v>645</v>
      </c>
    </row>
    <row r="17" spans="1:13" x14ac:dyDescent="0.2">
      <c r="A17" s="56" t="s">
        <v>603</v>
      </c>
      <c r="D17">
        <f>ROUND(((400*4)*12)*1.07,0)</f>
        <v>20544</v>
      </c>
      <c r="G17" s="56" t="s">
        <v>604</v>
      </c>
    </row>
    <row r="18" spans="1:13" x14ac:dyDescent="0.2">
      <c r="A18" t="s">
        <v>9</v>
      </c>
      <c r="D18" s="56">
        <f>((80*4)*12)+(2000*4)+((80*4)*15)+(2000*4)+8000</f>
        <v>32640</v>
      </c>
      <c r="E18" s="56">
        <f>+D18/2</f>
        <v>16320</v>
      </c>
      <c r="G18" t="s">
        <v>622</v>
      </c>
      <c r="I18" s="56" t="s">
        <v>628</v>
      </c>
      <c r="M18">
        <v>32000</v>
      </c>
    </row>
    <row r="19" spans="1:13" x14ac:dyDescent="0.2">
      <c r="A19" t="s">
        <v>8</v>
      </c>
      <c r="D19">
        <f>ROUND((0.585*417)*3,0)+(400*7)+1000+1000</f>
        <v>5532</v>
      </c>
      <c r="E19">
        <f>+D19/2</f>
        <v>2766</v>
      </c>
      <c r="G19" t="s">
        <v>605</v>
      </c>
    </row>
    <row r="21" spans="1:13" x14ac:dyDescent="0.2">
      <c r="D21" s="60">
        <f>SUM(D15:D20)</f>
        <v>70272</v>
      </c>
      <c r="E21" s="60">
        <f>SUM(E15:E20)</f>
        <v>27753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J9" sqref="J9"/>
    </sheetView>
  </sheetViews>
  <sheetFormatPr defaultRowHeight="12.75" x14ac:dyDescent="0.2"/>
  <sheetData>
    <row r="1" spans="1:12" x14ac:dyDescent="0.2">
      <c r="A1" t="s">
        <v>35</v>
      </c>
    </row>
    <row r="2" spans="1:12" x14ac:dyDescent="0.2">
      <c r="A2" t="s">
        <v>29</v>
      </c>
    </row>
    <row r="6" spans="1:12" x14ac:dyDescent="0.2">
      <c r="A6" s="56" t="s">
        <v>606</v>
      </c>
    </row>
    <row r="7" spans="1:12" x14ac:dyDescent="0.2">
      <c r="A7" t="s">
        <v>24</v>
      </c>
      <c r="D7">
        <f>ROUND(244000/3,-3)</f>
        <v>81000</v>
      </c>
      <c r="H7" s="56" t="s">
        <v>646</v>
      </c>
    </row>
    <row r="8" spans="1:12" x14ac:dyDescent="0.2">
      <c r="A8" t="s">
        <v>25</v>
      </c>
      <c r="D8">
        <f t="shared" ref="D8" si="0">ROUND(244000/3,-3)</f>
        <v>81000</v>
      </c>
      <c r="H8" s="56" t="s">
        <v>608</v>
      </c>
      <c r="I8" s="56" t="s">
        <v>607</v>
      </c>
      <c r="J8" s="56" t="s">
        <v>653</v>
      </c>
    </row>
    <row r="9" spans="1:12" x14ac:dyDescent="0.2">
      <c r="A9" t="s">
        <v>20</v>
      </c>
      <c r="D9">
        <f>ROUND(244000/3,-3)+1000</f>
        <v>82000</v>
      </c>
      <c r="H9" s="56">
        <f>80501/31000</f>
        <v>2.596806451612903</v>
      </c>
      <c r="I9">
        <v>91000</v>
      </c>
      <c r="J9">
        <v>1.03</v>
      </c>
      <c r="K9">
        <f>ROUND(H9*I9*J9,0)</f>
        <v>243399</v>
      </c>
    </row>
    <row r="10" spans="1:12" x14ac:dyDescent="0.2">
      <c r="D10">
        <f>SUM(D7:D9)</f>
        <v>244000</v>
      </c>
      <c r="I10">
        <f>+I9*H9</f>
        <v>236309.38709677418</v>
      </c>
    </row>
    <row r="13" spans="1:12" x14ac:dyDescent="0.2">
      <c r="A13" t="s">
        <v>615</v>
      </c>
      <c r="D13">
        <v>245000</v>
      </c>
      <c r="H13" t="s">
        <v>650</v>
      </c>
      <c r="L13">
        <f>+D13/5</f>
        <v>49000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 A C T I V E ! 1 5 6 7 6 8 1 6 . 1 < / d o c u m e n t i d >  
     < s e n d e r i d > K E A B E T < / s e n d e r i d >  
     < s e n d e r e m a i l > B K E A T I N G @ G U N S T E R . C O M < / s e n d e r e m a i l >  
     < l a s t m o d i f i e d > 2 0 2 2 - 0 3 - 3 0 T 1 2 : 4 6 : 4 2 . 0 0 0 0 0 0 0 - 0 4 : 0 0 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Rate Case expenses with hearing</vt:lpstr>
      <vt:lpstr>Rate Case expenses no hearing</vt:lpstr>
      <vt:lpstr>Rate Case Expenses no hear old</vt:lpstr>
      <vt:lpstr>Consulting</vt:lpstr>
      <vt:lpstr>Legal</vt:lpstr>
      <vt:lpstr>Temp</vt:lpstr>
      <vt:lpstr>Payroll</vt:lpstr>
      <vt:lpstr>Travel</vt:lpstr>
      <vt:lpstr>Misc Charges</vt:lpstr>
      <vt:lpstr>Download of Rate Case Activity</vt:lpstr>
      <vt:lpstr>Sheet1</vt:lpstr>
      <vt:lpstr>Sheet4</vt:lpstr>
      <vt:lpstr>'Rate Case Expenses no hear old'!Print_Area</vt:lpstr>
      <vt:lpstr>'Rate Case expenses no hearing'!Print_Area</vt:lpstr>
      <vt:lpstr>'Rate Case expenses with hearing'!Print_Area</vt:lpstr>
    </vt:vector>
  </TitlesOfParts>
  <Company>Florida Public Utilities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Onsomu</dc:creator>
  <cp:lastModifiedBy>Onsomu, Philip</cp:lastModifiedBy>
  <cp:lastPrinted>2022-02-10T04:00:07Z</cp:lastPrinted>
  <dcterms:created xsi:type="dcterms:W3CDTF">2003-05-01T17:26:27Z</dcterms:created>
  <dcterms:modified xsi:type="dcterms:W3CDTF">2022-03-30T16:46:42Z</dcterms:modified>
</cp:coreProperties>
</file>