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Departments &amp; Divisions\Florida Regulatory\Rate Proceedings\2022 Natural Gas\MFR Backup\G Schedules\G-2 NOI\G2-12 to 19 Operation &amp; Maint Expense\"/>
    </mc:Choice>
  </mc:AlternateContent>
  <bookViews>
    <workbookView xWindow="0" yWindow="0" windowWidth="25200" windowHeight="10950"/>
  </bookViews>
  <sheets>
    <sheet name="2022 Monthly Breakdown Consol" sheetId="1" r:id="rId1"/>
    <sheet name="FN Monthly Breakdown" sheetId="4" r:id="rId2"/>
    <sheet name="CF Monthly Breakdown" sheetId="5" r:id="rId3"/>
    <sheet name="FI Monthly Breakdown" sheetId="6" r:id="rId4"/>
    <sheet name="FT Monthly Breakdown" sheetId="7" r:id="rId5"/>
    <sheet name="Over and Under Adj" sheetId="3" r:id="rId6"/>
  </sheets>
  <externalReferences>
    <externalReference r:id="rId7"/>
  </externalReferences>
  <definedNames>
    <definedName name="_xlnm._FilterDatabase" localSheetId="5" hidden="1">'Over and Under Adj'!$A$2:$Z$82</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7" l="1"/>
  <c r="C7" i="5"/>
  <c r="C40" i="7" l="1"/>
  <c r="C39" i="7"/>
  <c r="C38" i="7"/>
  <c r="C40" i="6"/>
  <c r="C39" i="6"/>
  <c r="C38" i="6"/>
  <c r="C40" i="5"/>
  <c r="C39" i="5"/>
  <c r="C38" i="5"/>
  <c r="C40" i="4"/>
  <c r="C39" i="4"/>
  <c r="C38" i="4"/>
  <c r="C37" i="7" l="1"/>
  <c r="C30" i="7"/>
  <c r="C51" i="7"/>
  <c r="C6" i="7"/>
  <c r="C5" i="7"/>
  <c r="D46" i="7"/>
  <c r="O45" i="7"/>
  <c r="N45" i="7"/>
  <c r="M45" i="7"/>
  <c r="K45" i="7"/>
  <c r="J45" i="7"/>
  <c r="I45" i="7"/>
  <c r="G45" i="7"/>
  <c r="F45" i="7"/>
  <c r="E45" i="7"/>
  <c r="D45" i="7"/>
  <c r="J44" i="7"/>
  <c r="K40" i="7"/>
  <c r="L40" i="7" s="1"/>
  <c r="D39" i="7"/>
  <c r="D38" i="7"/>
  <c r="M38" i="7" s="1"/>
  <c r="D37" i="7"/>
  <c r="L37" i="7" s="1"/>
  <c r="L36" i="7"/>
  <c r="M36" i="7" s="1"/>
  <c r="L35" i="7"/>
  <c r="G31" i="7"/>
  <c r="C31" i="7"/>
  <c r="I30" i="7"/>
  <c r="O29" i="7"/>
  <c r="J29" i="7"/>
  <c r="F28" i="7"/>
  <c r="O28" i="7" s="1"/>
  <c r="J27" i="7"/>
  <c r="O27" i="7" s="1"/>
  <c r="C25" i="7"/>
  <c r="L24" i="7"/>
  <c r="H24" i="7"/>
  <c r="I23" i="7"/>
  <c r="P22" i="7"/>
  <c r="O21" i="7"/>
  <c r="M21" i="7"/>
  <c r="K21" i="7"/>
  <c r="I21" i="7"/>
  <c r="H21" i="7"/>
  <c r="N21" i="7" s="1"/>
  <c r="P20" i="7"/>
  <c r="O19" i="7"/>
  <c r="N19" i="7"/>
  <c r="M19" i="7"/>
  <c r="L19" i="7"/>
  <c r="P19" i="7" s="1"/>
  <c r="N18" i="7"/>
  <c r="L18" i="7"/>
  <c r="M18" i="7" s="1"/>
  <c r="K17" i="7"/>
  <c r="M16" i="7"/>
  <c r="I16" i="7"/>
  <c r="M15" i="7"/>
  <c r="I15" i="7"/>
  <c r="G15" i="7"/>
  <c r="C13" i="7"/>
  <c r="C12" i="7"/>
  <c r="J12" i="7" s="1"/>
  <c r="O11" i="7"/>
  <c r="K11" i="7"/>
  <c r="G11" i="7"/>
  <c r="F11" i="7"/>
  <c r="D11" i="7"/>
  <c r="N11" i="7" s="1"/>
  <c r="M10" i="7"/>
  <c r="M9" i="7"/>
  <c r="M8" i="7"/>
  <c r="J8" i="7"/>
  <c r="D5" i="7"/>
  <c r="C36" i="6"/>
  <c r="C44" i="6"/>
  <c r="C43" i="6"/>
  <c r="C42" i="6"/>
  <c r="C41" i="6"/>
  <c r="C37" i="6"/>
  <c r="C34" i="6"/>
  <c r="C33" i="6"/>
  <c r="C32" i="6"/>
  <c r="C31" i="6"/>
  <c r="C30" i="6"/>
  <c r="C29" i="6"/>
  <c r="C28" i="6"/>
  <c r="C27" i="6"/>
  <c r="C26" i="6"/>
  <c r="C25" i="6"/>
  <c r="C23" i="6"/>
  <c r="C14" i="6"/>
  <c r="C13" i="6"/>
  <c r="C12" i="6"/>
  <c r="C51" i="6"/>
  <c r="C6" i="6"/>
  <c r="C5" i="6"/>
  <c r="D46" i="6"/>
  <c r="J44" i="6"/>
  <c r="G43" i="6"/>
  <c r="K40" i="6"/>
  <c r="D38" i="6"/>
  <c r="H38" i="6" s="1"/>
  <c r="L36" i="6"/>
  <c r="D34" i="6"/>
  <c r="L34" i="6" s="1"/>
  <c r="D32" i="6"/>
  <c r="I30" i="6"/>
  <c r="M30" i="6" s="1"/>
  <c r="J29" i="6"/>
  <c r="N29" i="6" s="1"/>
  <c r="F28" i="6"/>
  <c r="J28" i="6" s="1"/>
  <c r="J27" i="6"/>
  <c r="H26" i="6"/>
  <c r="M26" i="6" s="1"/>
  <c r="K25" i="6"/>
  <c r="I23" i="6"/>
  <c r="M23" i="6" s="1"/>
  <c r="P22" i="6"/>
  <c r="O21" i="6"/>
  <c r="M21" i="6"/>
  <c r="K21" i="6"/>
  <c r="I21" i="6"/>
  <c r="H21" i="6"/>
  <c r="N21" i="6" s="1"/>
  <c r="P20" i="6"/>
  <c r="M17" i="6"/>
  <c r="K17" i="6"/>
  <c r="L17" i="6" s="1"/>
  <c r="I16" i="6"/>
  <c r="L16" i="6" s="1"/>
  <c r="M15" i="6"/>
  <c r="I15" i="6"/>
  <c r="G15" i="6"/>
  <c r="I11" i="6"/>
  <c r="D11" i="6"/>
  <c r="P10" i="6"/>
  <c r="N10" i="6"/>
  <c r="M10" i="6"/>
  <c r="O10" i="6" s="1"/>
  <c r="M9" i="6"/>
  <c r="L8" i="6"/>
  <c r="K8" i="6"/>
  <c r="J8" i="6"/>
  <c r="O8" i="6" s="1"/>
  <c r="C37" i="5"/>
  <c r="C46" i="5"/>
  <c r="C45" i="5"/>
  <c r="C44" i="5"/>
  <c r="C43" i="5"/>
  <c r="C42" i="5"/>
  <c r="C41" i="5"/>
  <c r="C36" i="5"/>
  <c r="C35" i="5"/>
  <c r="C34" i="5"/>
  <c r="C33" i="5"/>
  <c r="C32" i="5"/>
  <c r="C31" i="5"/>
  <c r="C30" i="5"/>
  <c r="C29" i="5"/>
  <c r="C28" i="5"/>
  <c r="C27" i="5"/>
  <c r="C26" i="5"/>
  <c r="C25" i="5"/>
  <c r="C24" i="5"/>
  <c r="C23" i="5"/>
  <c r="I23" i="5" s="1"/>
  <c r="L23" i="5" s="1"/>
  <c r="C19" i="5"/>
  <c r="L19" i="5" s="1"/>
  <c r="M19" i="5" s="1"/>
  <c r="C18" i="5"/>
  <c r="C17" i="5"/>
  <c r="C16" i="5"/>
  <c r="C14" i="5"/>
  <c r="C13" i="5"/>
  <c r="C12" i="5"/>
  <c r="C9" i="5"/>
  <c r="C51" i="5"/>
  <c r="C6" i="5"/>
  <c r="C5" i="5"/>
  <c r="D46" i="5"/>
  <c r="O44" i="5"/>
  <c r="J44" i="5"/>
  <c r="G43" i="5"/>
  <c r="O43" i="5" s="1"/>
  <c r="N42" i="5"/>
  <c r="H42" i="5"/>
  <c r="M42" i="5" s="1"/>
  <c r="H41" i="5"/>
  <c r="L41" i="5" s="1"/>
  <c r="I30" i="5"/>
  <c r="K25" i="5"/>
  <c r="P22" i="5"/>
  <c r="P20" i="5"/>
  <c r="K17" i="5"/>
  <c r="M17" i="5" s="1"/>
  <c r="I16" i="5"/>
  <c r="L16" i="5" s="1"/>
  <c r="G15" i="5"/>
  <c r="D14" i="5"/>
  <c r="D13" i="5"/>
  <c r="I13" i="5" s="1"/>
  <c r="M10" i="5"/>
  <c r="M9" i="5"/>
  <c r="O9" i="5" s="1"/>
  <c r="M8" i="5"/>
  <c r="L8" i="5"/>
  <c r="J8" i="5"/>
  <c r="O8" i="5" s="1"/>
  <c r="C6" i="4"/>
  <c r="C45" i="4"/>
  <c r="C44" i="4"/>
  <c r="C43" i="4"/>
  <c r="C42" i="4"/>
  <c r="C41" i="4"/>
  <c r="C37" i="4"/>
  <c r="C36" i="4"/>
  <c r="C35" i="4"/>
  <c r="C34" i="4"/>
  <c r="C33" i="4"/>
  <c r="C32" i="4"/>
  <c r="C31" i="4"/>
  <c r="C30" i="4"/>
  <c r="C29" i="4"/>
  <c r="C28" i="4"/>
  <c r="C27" i="4"/>
  <c r="C26" i="4"/>
  <c r="C25" i="4"/>
  <c r="C24" i="4"/>
  <c r="C23" i="4"/>
  <c r="C21" i="4"/>
  <c r="C19" i="4"/>
  <c r="C18" i="4"/>
  <c r="C17" i="4"/>
  <c r="C16" i="4"/>
  <c r="C15" i="4"/>
  <c r="C13" i="4"/>
  <c r="C12" i="4"/>
  <c r="C11" i="4"/>
  <c r="C10" i="4"/>
  <c r="Q13" i="3"/>
  <c r="W13" i="3"/>
  <c r="U13" i="3"/>
  <c r="S13" i="3"/>
  <c r="X13" i="3" s="1"/>
  <c r="W14" i="3"/>
  <c r="U14" i="3"/>
  <c r="S14" i="3"/>
  <c r="Q14" i="3"/>
  <c r="V11" i="3"/>
  <c r="V16" i="3" s="1"/>
  <c r="T11" i="3"/>
  <c r="T16" i="3" s="1"/>
  <c r="R11" i="3"/>
  <c r="R16" i="3" s="1"/>
  <c r="P78" i="3"/>
  <c r="U78" i="3"/>
  <c r="T78" i="3"/>
  <c r="S78" i="3"/>
  <c r="R78" i="3"/>
  <c r="Q78" i="3"/>
  <c r="M40" i="7" l="1"/>
  <c r="F38" i="7"/>
  <c r="J38" i="7"/>
  <c r="N38" i="7"/>
  <c r="N36" i="7"/>
  <c r="K28" i="7"/>
  <c r="K27" i="7"/>
  <c r="L5" i="7"/>
  <c r="D14" i="7"/>
  <c r="D33" i="7"/>
  <c r="O39" i="7"/>
  <c r="K39" i="7"/>
  <c r="G39" i="7"/>
  <c r="N39" i="7"/>
  <c r="J39" i="7"/>
  <c r="F39" i="7"/>
  <c r="M39" i="7"/>
  <c r="I39" i="7"/>
  <c r="E39" i="7"/>
  <c r="E5" i="7"/>
  <c r="I5" i="7"/>
  <c r="M5" i="7"/>
  <c r="N8" i="7"/>
  <c r="N9" i="7"/>
  <c r="P9" i="7" s="1"/>
  <c r="N10" i="7"/>
  <c r="P10" i="7" s="1"/>
  <c r="N12" i="7"/>
  <c r="P12" i="7" s="1"/>
  <c r="M12" i="7"/>
  <c r="L12" i="7"/>
  <c r="N17" i="7"/>
  <c r="M17" i="7"/>
  <c r="L17" i="7"/>
  <c r="P17" i="7" s="1"/>
  <c r="L23" i="7"/>
  <c r="O23" i="7"/>
  <c r="K23" i="7"/>
  <c r="N23" i="7"/>
  <c r="J23" i="7"/>
  <c r="M30" i="7"/>
  <c r="L30" i="7"/>
  <c r="O30" i="7"/>
  <c r="K30" i="7"/>
  <c r="N31" i="7"/>
  <c r="J31" i="7"/>
  <c r="M31" i="7"/>
  <c r="I31" i="7"/>
  <c r="L31" i="7"/>
  <c r="H31" i="7"/>
  <c r="H39" i="7"/>
  <c r="G43" i="7"/>
  <c r="M44" i="7"/>
  <c r="L44" i="7"/>
  <c r="O44" i="7"/>
  <c r="K44" i="7"/>
  <c r="O46" i="7"/>
  <c r="K46" i="7"/>
  <c r="G46" i="7"/>
  <c r="N46" i="7"/>
  <c r="J46" i="7"/>
  <c r="F46" i="7"/>
  <c r="M46" i="7"/>
  <c r="I46" i="7"/>
  <c r="E46" i="7"/>
  <c r="H5" i="7"/>
  <c r="H26" i="7"/>
  <c r="F5" i="7"/>
  <c r="J5" i="7"/>
  <c r="N5" i="7"/>
  <c r="D6" i="7"/>
  <c r="K8" i="7"/>
  <c r="P8" i="7" s="1"/>
  <c r="O8" i="7"/>
  <c r="O9" i="7"/>
  <c r="O10" i="7"/>
  <c r="K12" i="7"/>
  <c r="O17" i="7"/>
  <c r="M23" i="7"/>
  <c r="N28" i="7"/>
  <c r="J28" i="7"/>
  <c r="M28" i="7"/>
  <c r="I28" i="7"/>
  <c r="L28" i="7"/>
  <c r="H28" i="7"/>
  <c r="N29" i="7"/>
  <c r="M29" i="7"/>
  <c r="P29" i="7" s="1"/>
  <c r="L29" i="7"/>
  <c r="J30" i="7"/>
  <c r="K31" i="7"/>
  <c r="O37" i="7"/>
  <c r="K37" i="7"/>
  <c r="G37" i="7"/>
  <c r="N37" i="7"/>
  <c r="J37" i="7"/>
  <c r="F37" i="7"/>
  <c r="M37" i="7"/>
  <c r="I37" i="7"/>
  <c r="E37" i="7"/>
  <c r="L39" i="7"/>
  <c r="N44" i="7"/>
  <c r="H46" i="7"/>
  <c r="O35" i="7"/>
  <c r="N35" i="7"/>
  <c r="P35" i="7" s="1"/>
  <c r="M35" i="7"/>
  <c r="G5" i="7"/>
  <c r="P5" i="7" s="1"/>
  <c r="K5" i="7"/>
  <c r="O5" i="7"/>
  <c r="L8" i="7"/>
  <c r="O12" i="7"/>
  <c r="L16" i="7"/>
  <c r="O16" i="7"/>
  <c r="K16" i="7"/>
  <c r="N16" i="7"/>
  <c r="J16" i="7"/>
  <c r="P16" i="7" s="1"/>
  <c r="O24" i="7"/>
  <c r="K24" i="7"/>
  <c r="N24" i="7"/>
  <c r="J24" i="7"/>
  <c r="M24" i="7"/>
  <c r="I24" i="7"/>
  <c r="N27" i="7"/>
  <c r="M27" i="7"/>
  <c r="L27" i="7"/>
  <c r="P27" i="7" s="1"/>
  <c r="G28" i="7"/>
  <c r="K29" i="7"/>
  <c r="N30" i="7"/>
  <c r="O31" i="7"/>
  <c r="P31" i="7" s="1"/>
  <c r="H37" i="7"/>
  <c r="H41" i="7"/>
  <c r="L46" i="7"/>
  <c r="H11" i="7"/>
  <c r="L11" i="7"/>
  <c r="J15" i="7"/>
  <c r="N15" i="7"/>
  <c r="O18" i="7"/>
  <c r="L21" i="7"/>
  <c r="O36" i="7"/>
  <c r="G38" i="7"/>
  <c r="K38" i="7"/>
  <c r="O38" i="7"/>
  <c r="N40" i="7"/>
  <c r="E11" i="7"/>
  <c r="P11" i="7" s="1"/>
  <c r="I11" i="7"/>
  <c r="M11" i="7"/>
  <c r="K15" i="7"/>
  <c r="O15" i="7"/>
  <c r="P18" i="7"/>
  <c r="K25" i="7"/>
  <c r="P36" i="7"/>
  <c r="H38" i="7"/>
  <c r="L38" i="7"/>
  <c r="O40" i="7"/>
  <c r="J11" i="7"/>
  <c r="D13" i="7"/>
  <c r="H15" i="7"/>
  <c r="P15" i="7" s="1"/>
  <c r="L15" i="7"/>
  <c r="J21" i="7"/>
  <c r="P21" i="7" s="1"/>
  <c r="D32" i="7"/>
  <c r="D34" i="7"/>
  <c r="E38" i="7"/>
  <c r="I38" i="7"/>
  <c r="H42" i="7"/>
  <c r="H45" i="7"/>
  <c r="P45" i="7" s="1"/>
  <c r="L45" i="7"/>
  <c r="N26" i="6"/>
  <c r="J26" i="6"/>
  <c r="M8" i="6"/>
  <c r="N9" i="6"/>
  <c r="O9" i="6"/>
  <c r="J12" i="6"/>
  <c r="D5" i="6"/>
  <c r="N11" i="6"/>
  <c r="J11" i="6"/>
  <c r="F11" i="6"/>
  <c r="L11" i="6"/>
  <c r="H11" i="6"/>
  <c r="K11" i="6"/>
  <c r="O25" i="6"/>
  <c r="N25" i="6"/>
  <c r="M25" i="6"/>
  <c r="M27" i="6"/>
  <c r="L27" i="6"/>
  <c r="O27" i="6"/>
  <c r="K27" i="6"/>
  <c r="P27" i="6" s="1"/>
  <c r="G31" i="6"/>
  <c r="O32" i="6"/>
  <c r="K32" i="6"/>
  <c r="G32" i="6"/>
  <c r="N32" i="6"/>
  <c r="J32" i="6"/>
  <c r="F32" i="6"/>
  <c r="M32" i="6"/>
  <c r="I32" i="6"/>
  <c r="E32" i="6"/>
  <c r="O36" i="6"/>
  <c r="N36" i="6"/>
  <c r="P36" i="6" s="1"/>
  <c r="M36" i="6"/>
  <c r="N40" i="6"/>
  <c r="M40" i="6"/>
  <c r="L40" i="6"/>
  <c r="P40" i="6" s="1"/>
  <c r="O43" i="6"/>
  <c r="K43" i="6"/>
  <c r="N43" i="6"/>
  <c r="J43" i="6"/>
  <c r="M43" i="6"/>
  <c r="I43" i="6"/>
  <c r="O44" i="6"/>
  <c r="K44" i="6"/>
  <c r="N44" i="6"/>
  <c r="M44" i="6"/>
  <c r="O46" i="6"/>
  <c r="K46" i="6"/>
  <c r="G46" i="6"/>
  <c r="N46" i="6"/>
  <c r="J46" i="6"/>
  <c r="F46" i="6"/>
  <c r="M46" i="6"/>
  <c r="I46" i="6"/>
  <c r="E46" i="6"/>
  <c r="L18" i="6"/>
  <c r="M28" i="6"/>
  <c r="I28" i="6"/>
  <c r="L28" i="6"/>
  <c r="H28" i="6"/>
  <c r="P28" i="6" s="1"/>
  <c r="O28" i="6"/>
  <c r="K28" i="6"/>
  <c r="G28" i="6"/>
  <c r="O38" i="6"/>
  <c r="K38" i="6"/>
  <c r="G38" i="6"/>
  <c r="N38" i="6"/>
  <c r="J38" i="6"/>
  <c r="F38" i="6"/>
  <c r="M38" i="6"/>
  <c r="I38" i="6"/>
  <c r="E38" i="6"/>
  <c r="P38" i="6" s="1"/>
  <c r="N8" i="6"/>
  <c r="P8" i="6" s="1"/>
  <c r="E11" i="6"/>
  <c r="P11" i="6" s="1"/>
  <c r="M11" i="6"/>
  <c r="O16" i="6"/>
  <c r="K16" i="6"/>
  <c r="N16" i="6"/>
  <c r="J16" i="6"/>
  <c r="P16" i="6" s="1"/>
  <c r="M16" i="6"/>
  <c r="H24" i="6"/>
  <c r="L25" i="6"/>
  <c r="N27" i="6"/>
  <c r="N28" i="6"/>
  <c r="H32" i="6"/>
  <c r="O34" i="6"/>
  <c r="K34" i="6"/>
  <c r="G34" i="6"/>
  <c r="N34" i="6"/>
  <c r="J34" i="6"/>
  <c r="F34" i="6"/>
  <c r="M34" i="6"/>
  <c r="I34" i="6"/>
  <c r="E34" i="6"/>
  <c r="L38" i="6"/>
  <c r="O40" i="6"/>
  <c r="H42" i="6"/>
  <c r="H43" i="6"/>
  <c r="L44" i="6"/>
  <c r="H46" i="6"/>
  <c r="L23" i="6"/>
  <c r="O23" i="6"/>
  <c r="K23" i="6"/>
  <c r="N23" i="6"/>
  <c r="J23" i="6"/>
  <c r="P23" i="6" s="1"/>
  <c r="M29" i="6"/>
  <c r="L29" i="6"/>
  <c r="O29" i="6"/>
  <c r="K29" i="6"/>
  <c r="D6" i="6"/>
  <c r="G11" i="6"/>
  <c r="O11" i="6"/>
  <c r="D14" i="6"/>
  <c r="L30" i="6"/>
  <c r="O30" i="6"/>
  <c r="K30" i="6"/>
  <c r="N30" i="6"/>
  <c r="J30" i="6"/>
  <c r="L32" i="6"/>
  <c r="H34" i="6"/>
  <c r="L43" i="6"/>
  <c r="L46" i="6"/>
  <c r="J15" i="6"/>
  <c r="N15" i="6"/>
  <c r="N17" i="6"/>
  <c r="L21" i="6"/>
  <c r="K26" i="6"/>
  <c r="O26" i="6"/>
  <c r="K15" i="6"/>
  <c r="O15" i="6"/>
  <c r="O17" i="6"/>
  <c r="L26" i="6"/>
  <c r="P26" i="6"/>
  <c r="D33" i="6"/>
  <c r="L35" i="6"/>
  <c r="D37" i="6"/>
  <c r="D39" i="6"/>
  <c r="D45" i="6"/>
  <c r="D13" i="6"/>
  <c r="H15" i="6"/>
  <c r="P15" i="6" s="1"/>
  <c r="L15" i="6"/>
  <c r="L19" i="6"/>
  <c r="J21" i="6"/>
  <c r="P21" i="6" s="1"/>
  <c r="I26" i="6"/>
  <c r="H41" i="6"/>
  <c r="K43" i="5"/>
  <c r="J42" i="5"/>
  <c r="H13" i="5"/>
  <c r="N10" i="5"/>
  <c r="O10" i="5"/>
  <c r="D34" i="5"/>
  <c r="D5" i="5"/>
  <c r="P10" i="5"/>
  <c r="J12" i="5"/>
  <c r="O14" i="5"/>
  <c r="K14" i="5"/>
  <c r="G14" i="5"/>
  <c r="N14" i="5"/>
  <c r="J14" i="5"/>
  <c r="F14" i="5"/>
  <c r="M14" i="5"/>
  <c r="I14" i="5"/>
  <c r="E14" i="5"/>
  <c r="L15" i="5"/>
  <c r="H15" i="5"/>
  <c r="O15" i="5"/>
  <c r="K15" i="5"/>
  <c r="N15" i="5"/>
  <c r="J15" i="5"/>
  <c r="L18" i="5"/>
  <c r="F28" i="5"/>
  <c r="O46" i="5"/>
  <c r="K46" i="5"/>
  <c r="G46" i="5"/>
  <c r="N46" i="5"/>
  <c r="J46" i="5"/>
  <c r="F46" i="5"/>
  <c r="M46" i="5"/>
  <c r="I46" i="5"/>
  <c r="E46" i="5"/>
  <c r="O16" i="5"/>
  <c r="K16" i="5"/>
  <c r="N16" i="5"/>
  <c r="J16" i="5"/>
  <c r="M16" i="5"/>
  <c r="J29" i="5"/>
  <c r="D32" i="5"/>
  <c r="D38" i="5"/>
  <c r="K40" i="5"/>
  <c r="N8" i="5"/>
  <c r="N9" i="5"/>
  <c r="P9" i="5" s="1"/>
  <c r="O13" i="5"/>
  <c r="K13" i="5"/>
  <c r="G13" i="5"/>
  <c r="N13" i="5"/>
  <c r="J13" i="5"/>
  <c r="F13" i="5"/>
  <c r="L13" i="5"/>
  <c r="H14" i="5"/>
  <c r="I15" i="5"/>
  <c r="N25" i="5"/>
  <c r="M25" i="5"/>
  <c r="L25" i="5"/>
  <c r="P25" i="5" s="1"/>
  <c r="O30" i="5"/>
  <c r="K30" i="5"/>
  <c r="N30" i="5"/>
  <c r="J30" i="5"/>
  <c r="M30" i="5"/>
  <c r="L36" i="5"/>
  <c r="N44" i="5"/>
  <c r="M44" i="5"/>
  <c r="L44" i="5"/>
  <c r="H46" i="5"/>
  <c r="D6" i="5"/>
  <c r="K8" i="5"/>
  <c r="D11" i="5"/>
  <c r="E13" i="5"/>
  <c r="M13" i="5"/>
  <c r="L14" i="5"/>
  <c r="M15" i="5"/>
  <c r="L17" i="5"/>
  <c r="O17" i="5"/>
  <c r="N17" i="5"/>
  <c r="O23" i="5"/>
  <c r="K23" i="5"/>
  <c r="N23" i="5"/>
  <c r="J23" i="5"/>
  <c r="M23" i="5"/>
  <c r="O25" i="5"/>
  <c r="J27" i="5"/>
  <c r="L30" i="5"/>
  <c r="O41" i="5"/>
  <c r="K41" i="5"/>
  <c r="N41" i="5"/>
  <c r="J41" i="5"/>
  <c r="M41" i="5"/>
  <c r="I41" i="5"/>
  <c r="N43" i="5"/>
  <c r="J43" i="5"/>
  <c r="M43" i="5"/>
  <c r="I43" i="5"/>
  <c r="L43" i="5"/>
  <c r="H43" i="5"/>
  <c r="P43" i="5" s="1"/>
  <c r="K44" i="5"/>
  <c r="P44" i="5" s="1"/>
  <c r="L46" i="5"/>
  <c r="N19" i="5"/>
  <c r="P19" i="5" s="1"/>
  <c r="K42" i="5"/>
  <c r="O42" i="5"/>
  <c r="O19" i="5"/>
  <c r="H21" i="5"/>
  <c r="H24" i="5"/>
  <c r="G31" i="5"/>
  <c r="L42" i="5"/>
  <c r="H26" i="5"/>
  <c r="D33" i="5"/>
  <c r="L35" i="5"/>
  <c r="D37" i="5"/>
  <c r="D39" i="5"/>
  <c r="I42" i="5"/>
  <c r="D45" i="5"/>
  <c r="X14" i="3"/>
  <c r="P40" i="7" l="1"/>
  <c r="P39" i="7"/>
  <c r="P44" i="7"/>
  <c r="P38" i="7"/>
  <c r="P30" i="7"/>
  <c r="P28" i="7"/>
  <c r="P23" i="7"/>
  <c r="M6" i="7"/>
  <c r="I6" i="7"/>
  <c r="E6" i="7"/>
  <c r="N6" i="7"/>
  <c r="L6" i="7"/>
  <c r="H6" i="7"/>
  <c r="F6" i="7"/>
  <c r="O6" i="7"/>
  <c r="K6" i="7"/>
  <c r="G6" i="7"/>
  <c r="J6" i="7"/>
  <c r="P46" i="7"/>
  <c r="N41" i="7"/>
  <c r="J41" i="7"/>
  <c r="M41" i="7"/>
  <c r="I41" i="7"/>
  <c r="L41" i="7"/>
  <c r="O41" i="7"/>
  <c r="K41" i="7"/>
  <c r="L34" i="7"/>
  <c r="H34" i="7"/>
  <c r="O34" i="7"/>
  <c r="K34" i="7"/>
  <c r="G34" i="7"/>
  <c r="N34" i="7"/>
  <c r="J34" i="7"/>
  <c r="F34" i="7"/>
  <c r="M34" i="7"/>
  <c r="I34" i="7"/>
  <c r="E34" i="7"/>
  <c r="L25" i="7"/>
  <c r="P25" i="7" s="1"/>
  <c r="O25" i="7"/>
  <c r="N25" i="7"/>
  <c r="M25" i="7"/>
  <c r="P37" i="7"/>
  <c r="N14" i="7"/>
  <c r="J14" i="7"/>
  <c r="F14" i="7"/>
  <c r="M14" i="7"/>
  <c r="I14" i="7"/>
  <c r="E14" i="7"/>
  <c r="L14" i="7"/>
  <c r="H14" i="7"/>
  <c r="O14" i="7"/>
  <c r="K14" i="7"/>
  <c r="G14" i="7"/>
  <c r="L42" i="7"/>
  <c r="O42" i="7"/>
  <c r="K42" i="7"/>
  <c r="N42" i="7"/>
  <c r="P42" i="7" s="1"/>
  <c r="J42" i="7"/>
  <c r="I42" i="7"/>
  <c r="M42" i="7"/>
  <c r="L32" i="7"/>
  <c r="H32" i="7"/>
  <c r="O32" i="7"/>
  <c r="K32" i="7"/>
  <c r="G32" i="7"/>
  <c r="N32" i="7"/>
  <c r="J32" i="7"/>
  <c r="F32" i="7"/>
  <c r="M32" i="7"/>
  <c r="I32" i="7"/>
  <c r="E32" i="7"/>
  <c r="L13" i="7"/>
  <c r="H13" i="7"/>
  <c r="O13" i="7"/>
  <c r="K13" i="7"/>
  <c r="G13" i="7"/>
  <c r="N13" i="7"/>
  <c r="J13" i="7"/>
  <c r="F13" i="7"/>
  <c r="M13" i="7"/>
  <c r="I13" i="7"/>
  <c r="E13" i="7"/>
  <c r="P13" i="7" s="1"/>
  <c r="P24" i="7"/>
  <c r="N26" i="7"/>
  <c r="J26" i="7"/>
  <c r="M26" i="7"/>
  <c r="I26" i="7"/>
  <c r="L26" i="7"/>
  <c r="O26" i="7"/>
  <c r="K26" i="7"/>
  <c r="M43" i="7"/>
  <c r="I43" i="7"/>
  <c r="L43" i="7"/>
  <c r="H43" i="7"/>
  <c r="O43" i="7"/>
  <c r="K43" i="7"/>
  <c r="N43" i="7"/>
  <c r="J43" i="7"/>
  <c r="N33" i="7"/>
  <c r="J33" i="7"/>
  <c r="F33" i="7"/>
  <c r="M33" i="7"/>
  <c r="I33" i="7"/>
  <c r="E33" i="7"/>
  <c r="L33" i="7"/>
  <c r="H33" i="7"/>
  <c r="O33" i="7"/>
  <c r="K33" i="7"/>
  <c r="G33" i="7"/>
  <c r="P44" i="6"/>
  <c r="P30" i="6"/>
  <c r="P29" i="6"/>
  <c r="P25" i="6"/>
  <c r="P17" i="6"/>
  <c r="P9" i="6"/>
  <c r="L41" i="6"/>
  <c r="O41" i="6"/>
  <c r="K41" i="6"/>
  <c r="N41" i="6"/>
  <c r="J41" i="6"/>
  <c r="I41" i="6"/>
  <c r="M41" i="6"/>
  <c r="M39" i="6"/>
  <c r="I39" i="6"/>
  <c r="E39" i="6"/>
  <c r="L39" i="6"/>
  <c r="H39" i="6"/>
  <c r="O39" i="6"/>
  <c r="K39" i="6"/>
  <c r="G39" i="6"/>
  <c r="N39" i="6"/>
  <c r="J39" i="6"/>
  <c r="F39" i="6"/>
  <c r="N42" i="6"/>
  <c r="J42" i="6"/>
  <c r="M42" i="6"/>
  <c r="I42" i="6"/>
  <c r="L42" i="6"/>
  <c r="K42" i="6"/>
  <c r="O42" i="6"/>
  <c r="M37" i="6"/>
  <c r="I37" i="6"/>
  <c r="E37" i="6"/>
  <c r="L37" i="6"/>
  <c r="H37" i="6"/>
  <c r="O37" i="6"/>
  <c r="K37" i="6"/>
  <c r="G37" i="6"/>
  <c r="N37" i="6"/>
  <c r="F37" i="6"/>
  <c r="P37" i="6" s="1"/>
  <c r="J37" i="6"/>
  <c r="P32" i="6"/>
  <c r="N24" i="6"/>
  <c r="J24" i="6"/>
  <c r="M24" i="6"/>
  <c r="I24" i="6"/>
  <c r="L24" i="6"/>
  <c r="K24" i="6"/>
  <c r="O24" i="6"/>
  <c r="N18" i="6"/>
  <c r="M18" i="6"/>
  <c r="O18" i="6"/>
  <c r="L13" i="6"/>
  <c r="H13" i="6"/>
  <c r="O13" i="6"/>
  <c r="K13" i="6"/>
  <c r="G13" i="6"/>
  <c r="N13" i="6"/>
  <c r="J13" i="6"/>
  <c r="F13" i="6"/>
  <c r="M13" i="6"/>
  <c r="E13" i="6"/>
  <c r="I13" i="6"/>
  <c r="M35" i="6"/>
  <c r="O35" i="6"/>
  <c r="N35" i="6"/>
  <c r="N14" i="6"/>
  <c r="J14" i="6"/>
  <c r="F14" i="6"/>
  <c r="M14" i="6"/>
  <c r="I14" i="6"/>
  <c r="E14" i="6"/>
  <c r="L14" i="6"/>
  <c r="H14" i="6"/>
  <c r="O14" i="6"/>
  <c r="G14" i="6"/>
  <c r="K14" i="6"/>
  <c r="P34" i="6"/>
  <c r="P46" i="6"/>
  <c r="M31" i="6"/>
  <c r="I31" i="6"/>
  <c r="L31" i="6"/>
  <c r="H31" i="6"/>
  <c r="O31" i="6"/>
  <c r="K31" i="6"/>
  <c r="N31" i="6"/>
  <c r="J31" i="6"/>
  <c r="N5" i="6"/>
  <c r="J5" i="6"/>
  <c r="F5" i="6"/>
  <c r="K5" i="6"/>
  <c r="M5" i="6"/>
  <c r="I5" i="6"/>
  <c r="E5" i="6"/>
  <c r="O5" i="6"/>
  <c r="G5" i="6"/>
  <c r="L5" i="6"/>
  <c r="H5" i="6"/>
  <c r="N12" i="6"/>
  <c r="M12" i="6"/>
  <c r="L12" i="6"/>
  <c r="O12" i="6"/>
  <c r="K12" i="6"/>
  <c r="P12" i="6" s="1"/>
  <c r="O19" i="6"/>
  <c r="N19" i="6"/>
  <c r="M19" i="6"/>
  <c r="P19" i="6" s="1"/>
  <c r="M45" i="6"/>
  <c r="I45" i="6"/>
  <c r="E45" i="6"/>
  <c r="L45" i="6"/>
  <c r="H45" i="6"/>
  <c r="O45" i="6"/>
  <c r="K45" i="6"/>
  <c r="G45" i="6"/>
  <c r="P45" i="6" s="1"/>
  <c r="N45" i="6"/>
  <c r="J45" i="6"/>
  <c r="F45" i="6"/>
  <c r="M33" i="6"/>
  <c r="I33" i="6"/>
  <c r="E33" i="6"/>
  <c r="L33" i="6"/>
  <c r="H33" i="6"/>
  <c r="O33" i="6"/>
  <c r="K33" i="6"/>
  <c r="G33" i="6"/>
  <c r="J33" i="6"/>
  <c r="F33" i="6"/>
  <c r="N33" i="6"/>
  <c r="L6" i="6"/>
  <c r="H6" i="6"/>
  <c r="I6" i="6"/>
  <c r="O6" i="6"/>
  <c r="K6" i="6"/>
  <c r="G6" i="6"/>
  <c r="M6" i="6"/>
  <c r="E6" i="6"/>
  <c r="N6" i="6"/>
  <c r="J6" i="6"/>
  <c r="F6" i="6"/>
  <c r="P43" i="6"/>
  <c r="P42" i="5"/>
  <c r="P17" i="5"/>
  <c r="P16" i="5"/>
  <c r="P15" i="5"/>
  <c r="L39" i="5"/>
  <c r="H39" i="5"/>
  <c r="O39" i="5"/>
  <c r="K39" i="5"/>
  <c r="G39" i="5"/>
  <c r="N39" i="5"/>
  <c r="J39" i="5"/>
  <c r="F39" i="5"/>
  <c r="M39" i="5"/>
  <c r="I39" i="5"/>
  <c r="E39" i="5"/>
  <c r="L6" i="5"/>
  <c r="P6" i="5" s="1"/>
  <c r="H6" i="5"/>
  <c r="K6" i="5"/>
  <c r="J6" i="5"/>
  <c r="M6" i="5"/>
  <c r="E6" i="5"/>
  <c r="O6" i="5"/>
  <c r="G6" i="5"/>
  <c r="N6" i="5"/>
  <c r="F6" i="5"/>
  <c r="I6" i="5"/>
  <c r="L37" i="5"/>
  <c r="H37" i="5"/>
  <c r="O37" i="5"/>
  <c r="K37" i="5"/>
  <c r="G37" i="5"/>
  <c r="N37" i="5"/>
  <c r="J37" i="5"/>
  <c r="F37" i="5"/>
  <c r="M37" i="5"/>
  <c r="I37" i="5"/>
  <c r="E37" i="5"/>
  <c r="P13" i="5"/>
  <c r="P30" i="5"/>
  <c r="M40" i="5"/>
  <c r="L40" i="5"/>
  <c r="O40" i="5"/>
  <c r="N40" i="5"/>
  <c r="N34" i="5"/>
  <c r="J34" i="5"/>
  <c r="F34" i="5"/>
  <c r="M34" i="5"/>
  <c r="I34" i="5"/>
  <c r="E34" i="5"/>
  <c r="L34" i="5"/>
  <c r="H34" i="5"/>
  <c r="O34" i="5"/>
  <c r="K34" i="5"/>
  <c r="G34" i="5"/>
  <c r="L26" i="5"/>
  <c r="O26" i="5"/>
  <c r="K26" i="5"/>
  <c r="N26" i="5"/>
  <c r="J26" i="5"/>
  <c r="M26" i="5"/>
  <c r="I26" i="5"/>
  <c r="P46" i="5"/>
  <c r="M12" i="5"/>
  <c r="L12" i="5"/>
  <c r="N12" i="5"/>
  <c r="K12" i="5"/>
  <c r="O12" i="5"/>
  <c r="L27" i="5"/>
  <c r="O27" i="5"/>
  <c r="K27" i="5"/>
  <c r="N27" i="5"/>
  <c r="M27" i="5"/>
  <c r="L45" i="5"/>
  <c r="H45" i="5"/>
  <c r="O45" i="5"/>
  <c r="K45" i="5"/>
  <c r="G45" i="5"/>
  <c r="N45" i="5"/>
  <c r="J45" i="5"/>
  <c r="F45" i="5"/>
  <c r="I45" i="5"/>
  <c r="M45" i="5"/>
  <c r="E45" i="5"/>
  <c r="O35" i="5"/>
  <c r="N35" i="5"/>
  <c r="M35" i="5"/>
  <c r="L31" i="5"/>
  <c r="H31" i="5"/>
  <c r="O31" i="5"/>
  <c r="K31" i="5"/>
  <c r="N31" i="5"/>
  <c r="J31" i="5"/>
  <c r="M31" i="5"/>
  <c r="I31" i="5"/>
  <c r="P41" i="5"/>
  <c r="L11" i="5"/>
  <c r="H11" i="5"/>
  <c r="I11" i="5"/>
  <c r="O11" i="5"/>
  <c r="K11" i="5"/>
  <c r="G11" i="5"/>
  <c r="M11" i="5"/>
  <c r="E11" i="5"/>
  <c r="N11" i="5"/>
  <c r="J11" i="5"/>
  <c r="F11" i="5"/>
  <c r="N36" i="5"/>
  <c r="M36" i="5"/>
  <c r="O36" i="5"/>
  <c r="N32" i="5"/>
  <c r="J32" i="5"/>
  <c r="F32" i="5"/>
  <c r="M32" i="5"/>
  <c r="I32" i="5"/>
  <c r="E32" i="5"/>
  <c r="L32" i="5"/>
  <c r="H32" i="5"/>
  <c r="P32" i="5" s="1"/>
  <c r="O32" i="5"/>
  <c r="K32" i="5"/>
  <c r="G32" i="5"/>
  <c r="N18" i="5"/>
  <c r="M18" i="5"/>
  <c r="O18" i="5"/>
  <c r="M21" i="5"/>
  <c r="I21" i="5"/>
  <c r="P21" i="5" s="1"/>
  <c r="L21" i="5"/>
  <c r="O21" i="5"/>
  <c r="K21" i="5"/>
  <c r="J21" i="5"/>
  <c r="N21" i="5"/>
  <c r="L29" i="5"/>
  <c r="O29" i="5"/>
  <c r="P29" i="5" s="1"/>
  <c r="K29" i="5"/>
  <c r="N29" i="5"/>
  <c r="M29" i="5"/>
  <c r="P12" i="5"/>
  <c r="P23" i="5"/>
  <c r="L33" i="5"/>
  <c r="H33" i="5"/>
  <c r="O33" i="5"/>
  <c r="K33" i="5"/>
  <c r="G33" i="5"/>
  <c r="N33" i="5"/>
  <c r="J33" i="5"/>
  <c r="F33" i="5"/>
  <c r="M33" i="5"/>
  <c r="I33" i="5"/>
  <c r="E33" i="5"/>
  <c r="M24" i="5"/>
  <c r="I24" i="5"/>
  <c r="L24" i="5"/>
  <c r="O24" i="5"/>
  <c r="K24" i="5"/>
  <c r="J24" i="5"/>
  <c r="N24" i="5"/>
  <c r="P8" i="5"/>
  <c r="N38" i="5"/>
  <c r="J38" i="5"/>
  <c r="F38" i="5"/>
  <c r="M38" i="5"/>
  <c r="I38" i="5"/>
  <c r="E38" i="5"/>
  <c r="L38" i="5"/>
  <c r="H38" i="5"/>
  <c r="O38" i="5"/>
  <c r="K38" i="5"/>
  <c r="G38" i="5"/>
  <c r="L28" i="5"/>
  <c r="H28" i="5"/>
  <c r="O28" i="5"/>
  <c r="K28" i="5"/>
  <c r="G28" i="5"/>
  <c r="N28" i="5"/>
  <c r="J28" i="5"/>
  <c r="M28" i="5"/>
  <c r="I28" i="5"/>
  <c r="P14" i="5"/>
  <c r="N5" i="5"/>
  <c r="J5" i="5"/>
  <c r="F5" i="5"/>
  <c r="M5" i="5"/>
  <c r="I5" i="5"/>
  <c r="E5" i="5"/>
  <c r="K5" i="5"/>
  <c r="H5" i="5"/>
  <c r="L5" i="5"/>
  <c r="O5" i="5"/>
  <c r="G5" i="5"/>
  <c r="P43" i="7" l="1"/>
  <c r="P41" i="7"/>
  <c r="P34" i="7"/>
  <c r="P32" i="7"/>
  <c r="P14" i="7"/>
  <c r="P33" i="7"/>
  <c r="P6" i="7"/>
  <c r="P26" i="7"/>
  <c r="P42" i="6"/>
  <c r="P41" i="6"/>
  <c r="P39" i="6"/>
  <c r="P35" i="6"/>
  <c r="P31" i="6"/>
  <c r="P24" i="6"/>
  <c r="P18" i="6"/>
  <c r="P14" i="6"/>
  <c r="P6" i="6"/>
  <c r="P5" i="6"/>
  <c r="P13" i="6"/>
  <c r="P33" i="6"/>
  <c r="P45" i="5"/>
  <c r="P40" i="5"/>
  <c r="P39" i="5"/>
  <c r="P37" i="5"/>
  <c r="P36" i="5"/>
  <c r="P35" i="5"/>
  <c r="P34" i="5"/>
  <c r="P33" i="5"/>
  <c r="P31" i="5"/>
  <c r="P27" i="5"/>
  <c r="P26" i="5"/>
  <c r="P24" i="5"/>
  <c r="P11" i="5"/>
  <c r="P38" i="5"/>
  <c r="P5" i="5"/>
  <c r="P28" i="5"/>
  <c r="P18" i="5"/>
  <c r="S32" i="3" l="1"/>
  <c r="W32" i="3"/>
  <c r="U32" i="3"/>
  <c r="Q32" i="3"/>
  <c r="W66" i="3" l="1"/>
  <c r="V66" i="3"/>
  <c r="U66" i="3"/>
  <c r="T66" i="3"/>
  <c r="S66" i="3"/>
  <c r="R66" i="3"/>
  <c r="Q66" i="3"/>
  <c r="P66" i="3"/>
  <c r="U40" i="3"/>
  <c r="S40" i="3"/>
  <c r="Q40" i="3"/>
  <c r="U39" i="3"/>
  <c r="S39" i="3"/>
  <c r="Q39" i="3"/>
  <c r="X82" i="3" l="1"/>
  <c r="X81" i="3"/>
  <c r="X80" i="3"/>
  <c r="X79" i="3"/>
  <c r="X78" i="3"/>
  <c r="X77" i="3"/>
  <c r="X73" i="3"/>
  <c r="Y73" i="3" s="1"/>
  <c r="X72" i="3"/>
  <c r="X71" i="3"/>
  <c r="X70" i="3"/>
  <c r="X69" i="3"/>
  <c r="X68" i="3"/>
  <c r="X67" i="3"/>
  <c r="X66" i="3"/>
  <c r="X65" i="3"/>
  <c r="X64" i="3"/>
  <c r="X63" i="3"/>
  <c r="X62" i="3"/>
  <c r="X61" i="3"/>
  <c r="X60" i="3"/>
  <c r="X59" i="3"/>
  <c r="X58" i="3"/>
  <c r="X57" i="3"/>
  <c r="X56" i="3"/>
  <c r="X55" i="3"/>
  <c r="X54" i="3"/>
  <c r="X53" i="3"/>
  <c r="X52" i="3"/>
  <c r="X51" i="3"/>
  <c r="X50" i="3"/>
  <c r="X49" i="3"/>
  <c r="X48" i="3"/>
  <c r="X47" i="3"/>
  <c r="X46" i="3"/>
  <c r="X45" i="3"/>
  <c r="X44" i="3"/>
  <c r="X43" i="3"/>
  <c r="Y43" i="3" s="1"/>
  <c r="X42" i="3"/>
  <c r="X41" i="3"/>
  <c r="X40" i="3"/>
  <c r="X39" i="3"/>
  <c r="X38" i="3"/>
  <c r="X37" i="3"/>
  <c r="X36" i="3"/>
  <c r="X35" i="3"/>
  <c r="X34" i="3"/>
  <c r="X33" i="3"/>
  <c r="X32" i="3"/>
  <c r="X31" i="3"/>
  <c r="X30" i="3"/>
  <c r="X29" i="3"/>
  <c r="X28" i="3"/>
  <c r="X27" i="3"/>
  <c r="X26" i="3"/>
  <c r="X25" i="3"/>
  <c r="X24" i="3"/>
  <c r="X23" i="3"/>
  <c r="X22" i="3"/>
  <c r="X21" i="3"/>
  <c r="X20" i="3"/>
  <c r="X19" i="3"/>
  <c r="X5" i="3"/>
  <c r="X4" i="3"/>
  <c r="X10" i="3"/>
  <c r="X9" i="3"/>
  <c r="X8" i="3"/>
  <c r="Q7" i="3"/>
  <c r="X18" i="3"/>
  <c r="W7" i="3"/>
  <c r="U7" i="3"/>
  <c r="X7" i="3" s="1"/>
  <c r="S7" i="3"/>
  <c r="W6" i="3"/>
  <c r="U6" i="3"/>
  <c r="S6" i="3"/>
  <c r="S11" i="3" s="1"/>
  <c r="S16" i="3" s="1"/>
  <c r="Q6" i="3"/>
  <c r="W11" i="3" l="1"/>
  <c r="W16" i="3" s="1"/>
  <c r="U11" i="3"/>
  <c r="U16" i="3" s="1"/>
  <c r="Q11" i="3"/>
  <c r="Q16" i="3" s="1"/>
  <c r="X6" i="3"/>
  <c r="X11" i="3" s="1"/>
  <c r="D46" i="4"/>
  <c r="D45" i="4"/>
  <c r="M45" i="4" s="1"/>
  <c r="M44" i="4"/>
  <c r="J44" i="4"/>
  <c r="N44" i="4" s="1"/>
  <c r="G43" i="4"/>
  <c r="M43" i="4" s="1"/>
  <c r="L42" i="4"/>
  <c r="H42" i="4"/>
  <c r="H41" i="4"/>
  <c r="K41" i="4" s="1"/>
  <c r="K40" i="4"/>
  <c r="M40" i="4" s="1"/>
  <c r="D39" i="4"/>
  <c r="D38" i="4"/>
  <c r="O38" i="4" s="1"/>
  <c r="D37" i="4"/>
  <c r="M37" i="4" s="1"/>
  <c r="L36" i="4"/>
  <c r="N36" i="4" s="1"/>
  <c r="L35" i="4"/>
  <c r="D34" i="4"/>
  <c r="O34" i="4" s="1"/>
  <c r="D33" i="4"/>
  <c r="M33" i="4" s="1"/>
  <c r="I32" i="4"/>
  <c r="D32" i="4"/>
  <c r="N32" i="4" s="1"/>
  <c r="G31" i="4"/>
  <c r="O31" i="4" s="1"/>
  <c r="I30" i="4"/>
  <c r="M30" i="4" s="1"/>
  <c r="J29" i="4"/>
  <c r="K28" i="4"/>
  <c r="F28" i="4"/>
  <c r="I28" i="4" s="1"/>
  <c r="L27" i="4"/>
  <c r="J27" i="4"/>
  <c r="O27" i="4" s="1"/>
  <c r="M26" i="4"/>
  <c r="K26" i="4"/>
  <c r="H26" i="4"/>
  <c r="N26" i="4" s="1"/>
  <c r="N25" i="4"/>
  <c r="L25" i="4"/>
  <c r="K25" i="4"/>
  <c r="O25" i="4" s="1"/>
  <c r="H24" i="4"/>
  <c r="M24" i="4" s="1"/>
  <c r="I23" i="4"/>
  <c r="N23" i="4" s="1"/>
  <c r="P22" i="4"/>
  <c r="H21" i="4"/>
  <c r="P20" i="4"/>
  <c r="L19" i="4"/>
  <c r="M19" i="4" s="1"/>
  <c r="L18" i="4"/>
  <c r="N18" i="4" s="1"/>
  <c r="K17" i="4"/>
  <c r="O17" i="4" s="1"/>
  <c r="I16" i="4"/>
  <c r="M16" i="4" s="1"/>
  <c r="G15" i="4"/>
  <c r="M15" i="4" s="1"/>
  <c r="D14" i="4"/>
  <c r="L14" i="4" s="1"/>
  <c r="D13" i="4"/>
  <c r="M13" i="4" s="1"/>
  <c r="J12" i="4"/>
  <c r="D11" i="4"/>
  <c r="M11" i="4" s="1"/>
  <c r="M10" i="4"/>
  <c r="O10" i="4" s="1"/>
  <c r="M9" i="4"/>
  <c r="O9" i="4" s="1"/>
  <c r="J8" i="4"/>
  <c r="F45" i="4" l="1"/>
  <c r="J45" i="4"/>
  <c r="N45" i="4"/>
  <c r="L44" i="4"/>
  <c r="O44" i="4"/>
  <c r="K44" i="4"/>
  <c r="P44" i="4" s="1"/>
  <c r="N43" i="4"/>
  <c r="L43" i="4"/>
  <c r="H43" i="4"/>
  <c r="J43" i="4"/>
  <c r="M41" i="4"/>
  <c r="I41" i="4"/>
  <c r="N41" i="4"/>
  <c r="J41" i="4"/>
  <c r="O41" i="4"/>
  <c r="L40" i="4"/>
  <c r="N40" i="4"/>
  <c r="I38" i="4"/>
  <c r="E38" i="4"/>
  <c r="K38" i="4"/>
  <c r="F38" i="4"/>
  <c r="M38" i="4"/>
  <c r="G38" i="4"/>
  <c r="F37" i="4"/>
  <c r="J37" i="4"/>
  <c r="N37" i="4"/>
  <c r="M36" i="4"/>
  <c r="O36" i="4"/>
  <c r="I34" i="4"/>
  <c r="E34" i="4"/>
  <c r="K34" i="4"/>
  <c r="F34" i="4"/>
  <c r="M34" i="4"/>
  <c r="G34" i="4"/>
  <c r="F33" i="4"/>
  <c r="J33" i="4"/>
  <c r="N33" i="4"/>
  <c r="K32" i="4"/>
  <c r="E32" i="4"/>
  <c r="M32" i="4"/>
  <c r="G32" i="4"/>
  <c r="O32" i="4"/>
  <c r="N31" i="4"/>
  <c r="H31" i="4"/>
  <c r="J31" i="4"/>
  <c r="L31" i="4"/>
  <c r="J30" i="4"/>
  <c r="L30" i="4"/>
  <c r="N30" i="4"/>
  <c r="M28" i="4"/>
  <c r="G28" i="4"/>
  <c r="O28" i="4"/>
  <c r="O26" i="4"/>
  <c r="I26" i="4"/>
  <c r="J24" i="4"/>
  <c r="N24" i="4"/>
  <c r="K23" i="4"/>
  <c r="O23" i="4"/>
  <c r="N19" i="4"/>
  <c r="M18" i="4"/>
  <c r="O18" i="4"/>
  <c r="P18" i="4" s="1"/>
  <c r="N16" i="4"/>
  <c r="G13" i="4"/>
  <c r="O13" i="4"/>
  <c r="L17" i="4"/>
  <c r="N17" i="4"/>
  <c r="J16" i="4"/>
  <c r="L16" i="4"/>
  <c r="G11" i="4"/>
  <c r="O11" i="4"/>
  <c r="H15" i="4"/>
  <c r="N15" i="4"/>
  <c r="J15" i="4"/>
  <c r="L15" i="4"/>
  <c r="H14" i="4"/>
  <c r="I13" i="4"/>
  <c r="K13" i="4"/>
  <c r="E13" i="4"/>
  <c r="I11" i="4"/>
  <c r="K11" i="4"/>
  <c r="E11" i="4"/>
  <c r="N10" i="4"/>
  <c r="P10" i="4" s="1"/>
  <c r="N9" i="4"/>
  <c r="P9" i="4" s="1"/>
  <c r="M8" i="4"/>
  <c r="O8" i="4"/>
  <c r="K8" i="4"/>
  <c r="O35" i="4"/>
  <c r="N35" i="4"/>
  <c r="M35" i="4"/>
  <c r="L8" i="4"/>
  <c r="M12" i="4"/>
  <c r="L12" i="4"/>
  <c r="O12" i="4"/>
  <c r="K12" i="4"/>
  <c r="O21" i="4"/>
  <c r="K21" i="4"/>
  <c r="N21" i="4"/>
  <c r="J21" i="4"/>
  <c r="M21" i="4"/>
  <c r="I21" i="4"/>
  <c r="P21" i="4" s="1"/>
  <c r="M29" i="4"/>
  <c r="L29" i="4"/>
  <c r="O29" i="4"/>
  <c r="K29" i="4"/>
  <c r="P29" i="4" s="1"/>
  <c r="O39" i="4"/>
  <c r="K39" i="4"/>
  <c r="G39" i="4"/>
  <c r="N39" i="4"/>
  <c r="J39" i="4"/>
  <c r="F39" i="4"/>
  <c r="M39" i="4"/>
  <c r="I39" i="4"/>
  <c r="E39" i="4"/>
  <c r="O46" i="4"/>
  <c r="K46" i="4"/>
  <c r="G46" i="4"/>
  <c r="N46" i="4"/>
  <c r="J46" i="4"/>
  <c r="F46" i="4"/>
  <c r="M46" i="4"/>
  <c r="I46" i="4"/>
  <c r="E46" i="4"/>
  <c r="N8" i="4"/>
  <c r="N12" i="4"/>
  <c r="O14" i="4"/>
  <c r="K14" i="4"/>
  <c r="G14" i="4"/>
  <c r="N14" i="4"/>
  <c r="J14" i="4"/>
  <c r="F14" i="4"/>
  <c r="M14" i="4"/>
  <c r="I14" i="4"/>
  <c r="E14" i="4"/>
  <c r="L21" i="4"/>
  <c r="N29" i="4"/>
  <c r="H39" i="4"/>
  <c r="H46" i="4"/>
  <c r="L39" i="4"/>
  <c r="O42" i="4"/>
  <c r="K42" i="4"/>
  <c r="N42" i="4"/>
  <c r="J42" i="4"/>
  <c r="M42" i="4"/>
  <c r="I42" i="4"/>
  <c r="L46" i="4"/>
  <c r="F11" i="4"/>
  <c r="J11" i="4"/>
  <c r="N11" i="4"/>
  <c r="F13" i="4"/>
  <c r="J13" i="4"/>
  <c r="N13" i="4"/>
  <c r="K15" i="4"/>
  <c r="O15" i="4"/>
  <c r="K16" i="4"/>
  <c r="O16" i="4"/>
  <c r="M17" i="4"/>
  <c r="P17" i="4" s="1"/>
  <c r="O19" i="4"/>
  <c r="L23" i="4"/>
  <c r="P23" i="4"/>
  <c r="K24" i="4"/>
  <c r="O24" i="4"/>
  <c r="M25" i="4"/>
  <c r="P25" i="4" s="1"/>
  <c r="L26" i="4"/>
  <c r="M27" i="4"/>
  <c r="J28" i="4"/>
  <c r="N28" i="4"/>
  <c r="K30" i="4"/>
  <c r="O30" i="4"/>
  <c r="I31" i="4"/>
  <c r="P31" i="4" s="1"/>
  <c r="M31" i="4"/>
  <c r="H32" i="4"/>
  <c r="L32" i="4"/>
  <c r="G33" i="4"/>
  <c r="K33" i="4"/>
  <c r="O33" i="4"/>
  <c r="J34" i="4"/>
  <c r="N34" i="4"/>
  <c r="P36" i="4"/>
  <c r="G37" i="4"/>
  <c r="K37" i="4"/>
  <c r="O37" i="4"/>
  <c r="J38" i="4"/>
  <c r="N38" i="4"/>
  <c r="O40" i="4"/>
  <c r="K43" i="4"/>
  <c r="O43" i="4"/>
  <c r="G45" i="4"/>
  <c r="K45" i="4"/>
  <c r="O45" i="4"/>
  <c r="P19" i="4"/>
  <c r="M23" i="4"/>
  <c r="L24" i="4"/>
  <c r="P24" i="4"/>
  <c r="N27" i="4"/>
  <c r="H33" i="4"/>
  <c r="L33" i="4"/>
  <c r="H37" i="4"/>
  <c r="L37" i="4"/>
  <c r="H45" i="4"/>
  <c r="L45" i="4"/>
  <c r="H11" i="4"/>
  <c r="L11" i="4"/>
  <c r="H13" i="4"/>
  <c r="L13" i="4"/>
  <c r="I15" i="4"/>
  <c r="J23" i="4"/>
  <c r="I24" i="4"/>
  <c r="J26" i="4"/>
  <c r="K27" i="4"/>
  <c r="P27" i="4" s="1"/>
  <c r="H28" i="4"/>
  <c r="L28" i="4"/>
  <c r="K31" i="4"/>
  <c r="F32" i="4"/>
  <c r="J32" i="4"/>
  <c r="E33" i="4"/>
  <c r="I33" i="4"/>
  <c r="H34" i="4"/>
  <c r="P34" i="4" s="1"/>
  <c r="L34" i="4"/>
  <c r="E37" i="4"/>
  <c r="I37" i="4"/>
  <c r="H38" i="4"/>
  <c r="L38" i="4"/>
  <c r="L41" i="4"/>
  <c r="I43" i="4"/>
  <c r="E45" i="4"/>
  <c r="I45" i="4"/>
  <c r="J29" i="1"/>
  <c r="O29" i="1" s="1"/>
  <c r="P45" i="4" l="1"/>
  <c r="P43" i="4"/>
  <c r="P42" i="4"/>
  <c r="P41" i="4"/>
  <c r="P40" i="4"/>
  <c r="P39" i="4"/>
  <c r="P38" i="4"/>
  <c r="P37" i="4"/>
  <c r="P35" i="4"/>
  <c r="P33" i="4"/>
  <c r="P32" i="4"/>
  <c r="P30" i="4"/>
  <c r="P28" i="4"/>
  <c r="P26" i="4"/>
  <c r="P16" i="4"/>
  <c r="P15" i="4"/>
  <c r="P13" i="4"/>
  <c r="P12" i="4"/>
  <c r="P11" i="4"/>
  <c r="P8" i="4"/>
  <c r="P46" i="4"/>
  <c r="P14" i="4"/>
  <c r="D6" i="4"/>
  <c r="L29" i="1"/>
  <c r="M29" i="1"/>
  <c r="N29" i="1"/>
  <c r="K29" i="1"/>
  <c r="J59" i="3"/>
  <c r="N6" i="4" l="1"/>
  <c r="G6" i="4"/>
  <c r="E6" i="4"/>
  <c r="O6" i="4"/>
  <c r="M6" i="4"/>
  <c r="J6" i="4"/>
  <c r="I6" i="4"/>
  <c r="H6" i="4"/>
  <c r="K6" i="4"/>
  <c r="L6" i="4"/>
  <c r="F6" i="4"/>
  <c r="C5" i="4"/>
  <c r="J8" i="1"/>
  <c r="O8" i="1"/>
  <c r="N8" i="1"/>
  <c r="M8" i="1"/>
  <c r="L8" i="1"/>
  <c r="K8" i="1"/>
  <c r="P8" i="1" s="1"/>
  <c r="P6" i="4" l="1"/>
  <c r="D5" i="4"/>
  <c r="C51" i="4"/>
  <c r="C46" i="1"/>
  <c r="N5" i="4" l="1"/>
  <c r="F5" i="4"/>
  <c r="G5" i="4"/>
  <c r="O5" i="4"/>
  <c r="E5" i="4"/>
  <c r="K5" i="4"/>
  <c r="J5" i="4"/>
  <c r="H5" i="4"/>
  <c r="L5" i="4"/>
  <c r="I5" i="4"/>
  <c r="M5" i="4"/>
  <c r="J44" i="1"/>
  <c r="M44" i="1" s="1"/>
  <c r="L43" i="1"/>
  <c r="H43" i="1"/>
  <c r="G43" i="1"/>
  <c r="O43" i="1" s="1"/>
  <c r="K40" i="1"/>
  <c r="O40" i="1" s="1"/>
  <c r="M31" i="1"/>
  <c r="J31" i="1"/>
  <c r="H31" i="1"/>
  <c r="G31" i="1"/>
  <c r="O31" i="1" s="1"/>
  <c r="L36" i="1"/>
  <c r="O36" i="1" s="1"/>
  <c r="L35" i="1"/>
  <c r="O35" i="1" s="1"/>
  <c r="D34" i="1"/>
  <c r="O34" i="1" s="1"/>
  <c r="D33" i="1"/>
  <c r="O33" i="1" s="1"/>
  <c r="D32" i="1"/>
  <c r="O32" i="1" s="1"/>
  <c r="I30" i="1"/>
  <c r="O30" i="1" s="1"/>
  <c r="H28" i="1"/>
  <c r="F28" i="1"/>
  <c r="O28" i="1" s="1"/>
  <c r="J27" i="1"/>
  <c r="M27" i="1" s="1"/>
  <c r="D39" i="1"/>
  <c r="O39" i="1" s="1"/>
  <c r="D38" i="1"/>
  <c r="O38" i="1" s="1"/>
  <c r="D37" i="1"/>
  <c r="O37" i="1" s="1"/>
  <c r="D46" i="1"/>
  <c r="O46" i="1" s="1"/>
  <c r="D45" i="1"/>
  <c r="O45" i="1" s="1"/>
  <c r="H42" i="1"/>
  <c r="O42" i="1" s="1"/>
  <c r="H41" i="1"/>
  <c r="O41" i="1" s="1"/>
  <c r="H26" i="1"/>
  <c r="O26" i="1" s="1"/>
  <c r="N25" i="1"/>
  <c r="K25" i="1"/>
  <c r="M25" i="1" s="1"/>
  <c r="O24" i="1"/>
  <c r="M24" i="1"/>
  <c r="K24" i="1"/>
  <c r="I24" i="1"/>
  <c r="H24" i="1"/>
  <c r="N24" i="1" s="1"/>
  <c r="O23" i="1"/>
  <c r="L23" i="1"/>
  <c r="I23" i="1"/>
  <c r="M23" i="1" s="1"/>
  <c r="H21" i="1"/>
  <c r="L21" i="1" s="1"/>
  <c r="L19" i="1"/>
  <c r="O19" i="1" s="1"/>
  <c r="M18" i="1"/>
  <c r="L18" i="1"/>
  <c r="O18" i="1" s="1"/>
  <c r="N17" i="1"/>
  <c r="M17" i="1"/>
  <c r="L17" i="1"/>
  <c r="K17" i="1"/>
  <c r="O17" i="1" s="1"/>
  <c r="O16" i="1"/>
  <c r="N16" i="1"/>
  <c r="K16" i="1"/>
  <c r="J16" i="1"/>
  <c r="I16" i="1"/>
  <c r="M16" i="1" s="1"/>
  <c r="N15" i="1"/>
  <c r="M15" i="1"/>
  <c r="L15" i="1"/>
  <c r="J15" i="1"/>
  <c r="I15" i="1"/>
  <c r="H15" i="1"/>
  <c r="G15" i="1"/>
  <c r="O15" i="1" s="1"/>
  <c r="J14" i="1"/>
  <c r="F14" i="1"/>
  <c r="M13" i="1"/>
  <c r="L13" i="1"/>
  <c r="I13" i="1"/>
  <c r="H13" i="1"/>
  <c r="G13" i="1"/>
  <c r="E14" i="1"/>
  <c r="E13" i="1"/>
  <c r="D14" i="1"/>
  <c r="N14" i="1" s="1"/>
  <c r="D13" i="1"/>
  <c r="P22" i="1"/>
  <c r="P20" i="1"/>
  <c r="M12" i="1"/>
  <c r="L12" i="1"/>
  <c r="J12" i="1"/>
  <c r="D11" i="1"/>
  <c r="E11" i="1" s="1"/>
  <c r="M10" i="1"/>
  <c r="O10" i="1" s="1"/>
  <c r="O9" i="1"/>
  <c r="M9" i="1"/>
  <c r="N9" i="1" s="1"/>
  <c r="M73" i="3"/>
  <c r="K37" i="3"/>
  <c r="Y37" i="3" s="1"/>
  <c r="K36" i="3"/>
  <c r="Y36" i="3" s="1"/>
  <c r="K35" i="3"/>
  <c r="Y35" i="3" s="1"/>
  <c r="K34" i="3"/>
  <c r="Y34" i="3" s="1"/>
  <c r="K33" i="3"/>
  <c r="Y33" i="3" s="1"/>
  <c r="K32" i="3"/>
  <c r="Y32" i="3" s="1"/>
  <c r="K31" i="3"/>
  <c r="Y31" i="3" s="1"/>
  <c r="K30" i="3"/>
  <c r="Y30" i="3" s="1"/>
  <c r="K29" i="3"/>
  <c r="Y29" i="3" s="1"/>
  <c r="K28" i="3"/>
  <c r="Y28" i="3" s="1"/>
  <c r="K27" i="3"/>
  <c r="Y27" i="3" s="1"/>
  <c r="K26" i="3"/>
  <c r="Y26" i="3" s="1"/>
  <c r="K81" i="3"/>
  <c r="Y81" i="3" s="1"/>
  <c r="M43" i="3"/>
  <c r="J78" i="3"/>
  <c r="J76" i="3"/>
  <c r="J75" i="3"/>
  <c r="J74" i="3"/>
  <c r="J72" i="3"/>
  <c r="J71" i="3"/>
  <c r="J70" i="3"/>
  <c r="J69" i="3"/>
  <c r="J68" i="3"/>
  <c r="J67" i="3"/>
  <c r="J66" i="3"/>
  <c r="J65" i="3"/>
  <c r="J64" i="3"/>
  <c r="J63" i="3"/>
  <c r="J62" i="3"/>
  <c r="J61" i="3"/>
  <c r="J60" i="3"/>
  <c r="K59" i="3"/>
  <c r="Y59" i="3" s="1"/>
  <c r="J58" i="3"/>
  <c r="J57" i="3"/>
  <c r="J56" i="3"/>
  <c r="J55" i="3"/>
  <c r="J54" i="3"/>
  <c r="J53" i="3"/>
  <c r="J52" i="3"/>
  <c r="J51" i="3"/>
  <c r="J50" i="3"/>
  <c r="J49" i="3"/>
  <c r="J48" i="3"/>
  <c r="J47" i="3"/>
  <c r="J46" i="3"/>
  <c r="J45" i="3"/>
  <c r="I84" i="3"/>
  <c r="H84" i="3"/>
  <c r="J11" i="3"/>
  <c r="J16" i="3" s="1"/>
  <c r="I11" i="3"/>
  <c r="H11" i="3"/>
  <c r="K14" i="3"/>
  <c r="K13" i="3"/>
  <c r="J79" i="3"/>
  <c r="Y79" i="3" s="1"/>
  <c r="K24" i="3"/>
  <c r="Y24" i="3" s="1"/>
  <c r="K23" i="3"/>
  <c r="Y23" i="3" s="1"/>
  <c r="K21" i="3"/>
  <c r="Y21" i="3" s="1"/>
  <c r="K40" i="3"/>
  <c r="Y40" i="3" s="1"/>
  <c r="K39" i="3"/>
  <c r="Y39" i="3" s="1"/>
  <c r="K42" i="3"/>
  <c r="Y42" i="3" s="1"/>
  <c r="K41" i="3"/>
  <c r="Y41" i="3" s="1"/>
  <c r="K82" i="3"/>
  <c r="Y82" i="3" s="1"/>
  <c r="K20" i="3"/>
  <c r="Y20" i="3" s="1"/>
  <c r="K38" i="3"/>
  <c r="Y38" i="3" s="1"/>
  <c r="K44" i="3"/>
  <c r="Y44" i="3" s="1"/>
  <c r="K80" i="3"/>
  <c r="Y80" i="3" s="1"/>
  <c r="K77" i="3"/>
  <c r="Y77" i="3" s="1"/>
  <c r="K5" i="3"/>
  <c r="K25" i="3"/>
  <c r="Y25" i="3" s="1"/>
  <c r="K9" i="3"/>
  <c r="K8" i="3"/>
  <c r="K10" i="3"/>
  <c r="K7" i="3"/>
  <c r="K6" i="3"/>
  <c r="K19" i="3"/>
  <c r="Y19" i="3" s="1"/>
  <c r="K18" i="3"/>
  <c r="K22" i="3"/>
  <c r="Y22" i="3" s="1"/>
  <c r="K4" i="3"/>
  <c r="F6" i="1"/>
  <c r="D6" i="1"/>
  <c r="L6" i="1" s="1"/>
  <c r="I5" i="1"/>
  <c r="D5" i="1"/>
  <c r="L5" i="1" s="1"/>
  <c r="M13" i="3" l="1"/>
  <c r="Y13" i="3"/>
  <c r="M14" i="3"/>
  <c r="Y14" i="3"/>
  <c r="M37" i="3"/>
  <c r="M29" i="3"/>
  <c r="M18" i="3"/>
  <c r="Y18" i="3"/>
  <c r="M10" i="3"/>
  <c r="Y10" i="3"/>
  <c r="M5" i="3"/>
  <c r="Y5" i="3"/>
  <c r="M38" i="3"/>
  <c r="M42" i="3"/>
  <c r="M23" i="3"/>
  <c r="K47" i="3"/>
  <c r="Y47" i="3" s="1"/>
  <c r="K51" i="3"/>
  <c r="M51" i="3" s="1"/>
  <c r="K55" i="3"/>
  <c r="Y55" i="3" s="1"/>
  <c r="K63" i="3"/>
  <c r="M63" i="3" s="1"/>
  <c r="K67" i="3"/>
  <c r="Y67" i="3" s="1"/>
  <c r="K71" i="3"/>
  <c r="Y71" i="3" s="1"/>
  <c r="K76" i="3"/>
  <c r="M27" i="3"/>
  <c r="M31" i="3"/>
  <c r="M35" i="3"/>
  <c r="M19" i="3"/>
  <c r="M8" i="3"/>
  <c r="Y8" i="3"/>
  <c r="M77" i="3"/>
  <c r="M20" i="3"/>
  <c r="M39" i="3"/>
  <c r="M24" i="3"/>
  <c r="K48" i="3"/>
  <c r="M48" i="3" s="1"/>
  <c r="K52" i="3"/>
  <c r="Y52" i="3" s="1"/>
  <c r="K56" i="3"/>
  <c r="Y56" i="3" s="1"/>
  <c r="K60" i="3"/>
  <c r="M60" i="3" s="1"/>
  <c r="K64" i="3"/>
  <c r="Y64" i="3" s="1"/>
  <c r="K68" i="3"/>
  <c r="M68" i="3" s="1"/>
  <c r="K72" i="3"/>
  <c r="Y72" i="3" s="1"/>
  <c r="K78" i="3"/>
  <c r="M78" i="3" s="1"/>
  <c r="M28" i="3"/>
  <c r="M32" i="3"/>
  <c r="M36" i="3"/>
  <c r="M4" i="3"/>
  <c r="Y4" i="3"/>
  <c r="M6" i="3"/>
  <c r="Y6" i="3"/>
  <c r="M9" i="3"/>
  <c r="Y9" i="3"/>
  <c r="M80" i="3"/>
  <c r="M82" i="3"/>
  <c r="M40" i="3"/>
  <c r="M79" i="3"/>
  <c r="K45" i="3"/>
  <c r="Y45" i="3" s="1"/>
  <c r="K49" i="3"/>
  <c r="Y49" i="3" s="1"/>
  <c r="K53" i="3"/>
  <c r="M53" i="3" s="1"/>
  <c r="K57" i="3"/>
  <c r="Y57" i="3" s="1"/>
  <c r="K61" i="3"/>
  <c r="Y61" i="3" s="1"/>
  <c r="K65" i="3"/>
  <c r="M65" i="3" s="1"/>
  <c r="K69" i="3"/>
  <c r="M69" i="3" s="1"/>
  <c r="K74" i="3"/>
  <c r="M81" i="3"/>
  <c r="M7" i="3"/>
  <c r="Y7" i="3"/>
  <c r="M25" i="3"/>
  <c r="M44" i="3"/>
  <c r="M41" i="3"/>
  <c r="M21" i="3"/>
  <c r="K46" i="3"/>
  <c r="Y46" i="3" s="1"/>
  <c r="K50" i="3"/>
  <c r="Y50" i="3" s="1"/>
  <c r="K54" i="3"/>
  <c r="Y54" i="3" s="1"/>
  <c r="K58" i="3"/>
  <c r="M58" i="3" s="1"/>
  <c r="K62" i="3"/>
  <c r="Y62" i="3" s="1"/>
  <c r="K66" i="3"/>
  <c r="Y66" i="3" s="1"/>
  <c r="K70" i="3"/>
  <c r="Y70" i="3" s="1"/>
  <c r="K75" i="3"/>
  <c r="M33" i="3"/>
  <c r="M26" i="3"/>
  <c r="M30" i="3"/>
  <c r="M34" i="3"/>
  <c r="M22" i="3"/>
  <c r="P5" i="4"/>
  <c r="C51" i="1"/>
  <c r="J23" i="1"/>
  <c r="M72" i="3"/>
  <c r="H86" i="3"/>
  <c r="J84" i="3"/>
  <c r="J86" i="3" s="1"/>
  <c r="M59" i="3"/>
  <c r="J94" i="3"/>
  <c r="M40" i="1"/>
  <c r="E5" i="1"/>
  <c r="E6" i="1"/>
  <c r="I11" i="1"/>
  <c r="M11" i="1"/>
  <c r="K12" i="1"/>
  <c r="O12" i="1"/>
  <c r="P9" i="1"/>
  <c r="G14" i="1"/>
  <c r="K14" i="1"/>
  <c r="O14" i="1"/>
  <c r="P17" i="1"/>
  <c r="N18" i="1"/>
  <c r="P18" i="1" s="1"/>
  <c r="I21" i="1"/>
  <c r="P21" i="1" s="1"/>
  <c r="M21" i="1"/>
  <c r="N27" i="1"/>
  <c r="L28" i="1"/>
  <c r="F11" i="1"/>
  <c r="J11" i="1"/>
  <c r="N11" i="1"/>
  <c r="F13" i="1"/>
  <c r="P13" i="1" s="1"/>
  <c r="J13" i="1"/>
  <c r="N13" i="1"/>
  <c r="H14" i="1"/>
  <c r="L14" i="1"/>
  <c r="K15" i="1"/>
  <c r="L16" i="1"/>
  <c r="J21" i="1"/>
  <c r="N21" i="1"/>
  <c r="K23" i="1"/>
  <c r="P23" i="1" s="1"/>
  <c r="L24" i="1"/>
  <c r="K27" i="1"/>
  <c r="O27" i="1"/>
  <c r="I28" i="1"/>
  <c r="M28" i="1"/>
  <c r="L30" i="1"/>
  <c r="I31" i="1"/>
  <c r="N31" i="1"/>
  <c r="M43" i="1"/>
  <c r="M5" i="1"/>
  <c r="I6" i="1"/>
  <c r="N10" i="1"/>
  <c r="P10" i="1" s="1"/>
  <c r="G11" i="1"/>
  <c r="K11" i="1"/>
  <c r="O11" i="1"/>
  <c r="K13" i="1"/>
  <c r="O13" i="1"/>
  <c r="I14" i="1"/>
  <c r="M14" i="1"/>
  <c r="K21" i="1"/>
  <c r="O21" i="1"/>
  <c r="L27" i="1"/>
  <c r="P27" i="1" s="1"/>
  <c r="J28" i="1"/>
  <c r="N28" i="1"/>
  <c r="M6" i="1"/>
  <c r="H11" i="1"/>
  <c r="P11" i="1" s="1"/>
  <c r="L11" i="1"/>
  <c r="N12" i="1"/>
  <c r="P12" i="1" s="1"/>
  <c r="P15" i="1"/>
  <c r="N23" i="1"/>
  <c r="J24" i="1"/>
  <c r="P24" i="1" s="1"/>
  <c r="G28" i="1"/>
  <c r="P28" i="1" s="1"/>
  <c r="K28" i="1"/>
  <c r="L31" i="1"/>
  <c r="L40" i="1"/>
  <c r="I43" i="1"/>
  <c r="N44" i="1"/>
  <c r="K44" i="1"/>
  <c r="P44" i="1" s="1"/>
  <c r="O44" i="1"/>
  <c r="L44" i="1"/>
  <c r="J43" i="1"/>
  <c r="N43" i="1"/>
  <c r="K43" i="1"/>
  <c r="N40" i="1"/>
  <c r="P40" i="1" s="1"/>
  <c r="K31" i="1"/>
  <c r="P31" i="1" s="1"/>
  <c r="M36" i="1"/>
  <c r="P36" i="1" s="1"/>
  <c r="N36" i="1"/>
  <c r="M35" i="1"/>
  <c r="N35" i="1"/>
  <c r="P35" i="1" s="1"/>
  <c r="E34" i="1"/>
  <c r="I34" i="1"/>
  <c r="M34" i="1"/>
  <c r="H34" i="1"/>
  <c r="F34" i="1"/>
  <c r="J34" i="1"/>
  <c r="N34" i="1"/>
  <c r="L34" i="1"/>
  <c r="G34" i="1"/>
  <c r="K34" i="1"/>
  <c r="E33" i="1"/>
  <c r="I33" i="1"/>
  <c r="M33" i="1"/>
  <c r="L33" i="1"/>
  <c r="F33" i="1"/>
  <c r="J33" i="1"/>
  <c r="N33" i="1"/>
  <c r="H33" i="1"/>
  <c r="G33" i="1"/>
  <c r="K33" i="1"/>
  <c r="H32" i="1"/>
  <c r="L32" i="1"/>
  <c r="E32" i="1"/>
  <c r="I32" i="1"/>
  <c r="M32" i="1"/>
  <c r="F32" i="1"/>
  <c r="J32" i="1"/>
  <c r="N32" i="1"/>
  <c r="G32" i="1"/>
  <c r="K32" i="1"/>
  <c r="M30" i="1"/>
  <c r="J30" i="1"/>
  <c r="P30" i="1" s="1"/>
  <c r="N30" i="1"/>
  <c r="K30" i="1"/>
  <c r="H37" i="1"/>
  <c r="L37" i="1"/>
  <c r="H38" i="1"/>
  <c r="L38" i="1"/>
  <c r="H39" i="1"/>
  <c r="E37" i="1"/>
  <c r="I37" i="1"/>
  <c r="M37" i="1"/>
  <c r="E38" i="1"/>
  <c r="I38" i="1"/>
  <c r="M38" i="1"/>
  <c r="E39" i="1"/>
  <c r="I39" i="1"/>
  <c r="M39" i="1"/>
  <c r="L39" i="1"/>
  <c r="F37" i="1"/>
  <c r="J37" i="1"/>
  <c r="N37" i="1"/>
  <c r="F38" i="1"/>
  <c r="J38" i="1"/>
  <c r="N38" i="1"/>
  <c r="F39" i="1"/>
  <c r="J39" i="1"/>
  <c r="N39" i="1"/>
  <c r="G37" i="1"/>
  <c r="K37" i="1"/>
  <c r="G38" i="1"/>
  <c r="K38" i="1"/>
  <c r="G39" i="1"/>
  <c r="K39" i="1"/>
  <c r="H46" i="1"/>
  <c r="E46" i="1"/>
  <c r="I46" i="1"/>
  <c r="M46" i="1"/>
  <c r="L46" i="1"/>
  <c r="F46" i="1"/>
  <c r="J46" i="1"/>
  <c r="N46" i="1"/>
  <c r="G46" i="1"/>
  <c r="K46" i="1"/>
  <c r="H45" i="1"/>
  <c r="E45" i="1"/>
  <c r="M45" i="1"/>
  <c r="F45" i="1"/>
  <c r="J45" i="1"/>
  <c r="N45" i="1"/>
  <c r="L45" i="1"/>
  <c r="I45" i="1"/>
  <c r="G45" i="1"/>
  <c r="K45" i="1"/>
  <c r="L41" i="1"/>
  <c r="L42" i="1"/>
  <c r="M41" i="1"/>
  <c r="M42" i="1"/>
  <c r="P42" i="1" s="1"/>
  <c r="J41" i="1"/>
  <c r="N41" i="1"/>
  <c r="J42" i="1"/>
  <c r="N42" i="1"/>
  <c r="I41" i="1"/>
  <c r="I42" i="1"/>
  <c r="K41" i="1"/>
  <c r="K42" i="1"/>
  <c r="I26" i="1"/>
  <c r="M26" i="1"/>
  <c r="N26" i="1"/>
  <c r="L26" i="1"/>
  <c r="J26" i="1"/>
  <c r="K26" i="1"/>
  <c r="O25" i="1"/>
  <c r="L25" i="1"/>
  <c r="P25" i="1" s="1"/>
  <c r="M19" i="1"/>
  <c r="P19" i="1" s="1"/>
  <c r="N19" i="1"/>
  <c r="P16" i="1"/>
  <c r="F5" i="1"/>
  <c r="P5" i="1" s="1"/>
  <c r="J5" i="1"/>
  <c r="N5" i="1"/>
  <c r="J6" i="1"/>
  <c r="N6" i="1"/>
  <c r="G5" i="1"/>
  <c r="K5" i="1"/>
  <c r="O5" i="1"/>
  <c r="G6" i="1"/>
  <c r="P6" i="1" s="1"/>
  <c r="K6" i="1"/>
  <c r="O6" i="1"/>
  <c r="H5" i="1"/>
  <c r="H6" i="1"/>
  <c r="I86" i="3"/>
  <c r="K11" i="3"/>
  <c r="K16" i="3" s="1"/>
  <c r="H16" i="3"/>
  <c r="H88" i="3" s="1"/>
  <c r="I16" i="3"/>
  <c r="I88" i="3" s="1"/>
  <c r="V94" i="3" l="1"/>
  <c r="V84" i="3"/>
  <c r="T84" i="3"/>
  <c r="T94" i="3"/>
  <c r="R94" i="3"/>
  <c r="R84" i="3"/>
  <c r="P94" i="3"/>
  <c r="P84" i="3"/>
  <c r="M47" i="3"/>
  <c r="M64" i="3"/>
  <c r="P37" i="1"/>
  <c r="M70" i="3"/>
  <c r="M56" i="3"/>
  <c r="M54" i="3"/>
  <c r="Y48" i="3"/>
  <c r="M61" i="3"/>
  <c r="M46" i="3"/>
  <c r="Y65" i="3"/>
  <c r="M75" i="3"/>
  <c r="Y58" i="3"/>
  <c r="Y63" i="3"/>
  <c r="M67" i="3"/>
  <c r="M76" i="3"/>
  <c r="Y60" i="3"/>
  <c r="Y53" i="3"/>
  <c r="M74" i="3"/>
  <c r="Y78" i="3"/>
  <c r="Y69" i="3"/>
  <c r="M55" i="3"/>
  <c r="M71" i="3"/>
  <c r="M66" i="3"/>
  <c r="K94" i="3"/>
  <c r="L94" i="3" s="1"/>
  <c r="Y51" i="3"/>
  <c r="M45" i="3"/>
  <c r="M62" i="3"/>
  <c r="Y68" i="3"/>
  <c r="K84" i="3"/>
  <c r="K88" i="3" s="1"/>
  <c r="M49" i="3"/>
  <c r="M57" i="3"/>
  <c r="M50" i="3"/>
  <c r="M52" i="3"/>
  <c r="P29" i="1"/>
  <c r="J88" i="3"/>
  <c r="P14" i="1"/>
  <c r="P41" i="1"/>
  <c r="P38" i="1"/>
  <c r="P43" i="1"/>
  <c r="P39" i="1"/>
  <c r="P46" i="1"/>
  <c r="P45" i="1"/>
  <c r="P26" i="1"/>
  <c r="P32" i="1"/>
  <c r="P33" i="1"/>
  <c r="P34" i="1"/>
  <c r="S84" i="3" l="1"/>
  <c r="S94" i="3"/>
  <c r="P88" i="3"/>
  <c r="P86" i="3"/>
  <c r="W94" i="3"/>
  <c r="W84" i="3"/>
  <c r="T88" i="3"/>
  <c r="T86" i="3"/>
  <c r="Q94" i="3"/>
  <c r="Q84" i="3"/>
  <c r="R88" i="3"/>
  <c r="R86" i="3"/>
  <c r="V88" i="3"/>
  <c r="V86" i="3"/>
  <c r="U84" i="3"/>
  <c r="U94" i="3"/>
  <c r="X76" i="3"/>
  <c r="Y76" i="3" s="1"/>
  <c r="X75" i="3"/>
  <c r="Y75" i="3" s="1"/>
  <c r="K86" i="3"/>
  <c r="J91" i="3" s="1"/>
  <c r="J92" i="3" s="1"/>
  <c r="X74" i="3"/>
  <c r="Y74" i="3" s="1"/>
  <c r="K95" i="3"/>
  <c r="C7" i="1" s="1"/>
  <c r="D7" i="1" s="1"/>
  <c r="U88" i="3" l="1"/>
  <c r="U86" i="3"/>
  <c r="U95" i="3" s="1"/>
  <c r="C7" i="6" s="1"/>
  <c r="Q88" i="3"/>
  <c r="Q86" i="3"/>
  <c r="Q95" i="3" s="1"/>
  <c r="W88" i="3"/>
  <c r="W86" i="3"/>
  <c r="W95" i="3" s="1"/>
  <c r="S88" i="3"/>
  <c r="S86" i="3"/>
  <c r="S95" i="3" s="1"/>
  <c r="K97" i="3"/>
  <c r="C47" i="1"/>
  <c r="O7" i="1"/>
  <c r="O47" i="1" s="1"/>
  <c r="M7" i="1"/>
  <c r="M47" i="1" s="1"/>
  <c r="L7" i="1"/>
  <c r="L47" i="1" s="1"/>
  <c r="H7" i="1"/>
  <c r="H47" i="1" s="1"/>
  <c r="F7" i="1"/>
  <c r="F47" i="1" s="1"/>
  <c r="G7" i="1"/>
  <c r="G47" i="1" s="1"/>
  <c r="J7" i="1"/>
  <c r="J47" i="1" s="1"/>
  <c r="D47" i="1"/>
  <c r="E7" i="1"/>
  <c r="K7" i="1"/>
  <c r="K47" i="1" s="1"/>
  <c r="I7" i="1"/>
  <c r="I47" i="1" s="1"/>
  <c r="N7" i="1"/>
  <c r="N47" i="1" s="1"/>
  <c r="D7" i="7" l="1"/>
  <c r="C47" i="7"/>
  <c r="C52" i="7" s="1"/>
  <c r="C47" i="6"/>
  <c r="C52" i="6" s="1"/>
  <c r="D7" i="6"/>
  <c r="C7" i="4"/>
  <c r="C47" i="4" s="1"/>
  <c r="C52" i="4" s="1"/>
  <c r="N49" i="1"/>
  <c r="H49" i="1"/>
  <c r="D49" i="1"/>
  <c r="M49" i="1"/>
  <c r="K49" i="1"/>
  <c r="G49" i="1"/>
  <c r="F49" i="1"/>
  <c r="O49" i="1"/>
  <c r="I49" i="1"/>
  <c r="J49" i="1"/>
  <c r="L49" i="1"/>
  <c r="P7" i="1"/>
  <c r="E47" i="1"/>
  <c r="E49" i="1" s="1"/>
  <c r="O7" i="7" l="1"/>
  <c r="O47" i="7" s="1"/>
  <c r="O49" i="7" s="1"/>
  <c r="M7" i="7"/>
  <c r="M47" i="7" s="1"/>
  <c r="M49" i="7" s="1"/>
  <c r="J7" i="7"/>
  <c r="J47" i="7" s="1"/>
  <c r="J49" i="7" s="1"/>
  <c r="H7" i="7"/>
  <c r="H47" i="7" s="1"/>
  <c r="H49" i="7" s="1"/>
  <c r="G7" i="7"/>
  <c r="G47" i="7" s="1"/>
  <c r="G49" i="7" s="1"/>
  <c r="F7" i="7"/>
  <c r="F47" i="7" s="1"/>
  <c r="F49" i="7" s="1"/>
  <c r="L7" i="7"/>
  <c r="L47" i="7" s="1"/>
  <c r="L49" i="7" s="1"/>
  <c r="N7" i="7"/>
  <c r="N47" i="7" s="1"/>
  <c r="N49" i="7" s="1"/>
  <c r="K7" i="7"/>
  <c r="K47" i="7" s="1"/>
  <c r="K49" i="7" s="1"/>
  <c r="E7" i="7"/>
  <c r="I7" i="7"/>
  <c r="I47" i="7" s="1"/>
  <c r="I49" i="7" s="1"/>
  <c r="D47" i="7"/>
  <c r="D49" i="7" s="1"/>
  <c r="D7" i="4"/>
  <c r="G7" i="4" s="1"/>
  <c r="G47" i="4" s="1"/>
  <c r="G49" i="4" s="1"/>
  <c r="G7" i="6"/>
  <c r="G47" i="6" s="1"/>
  <c r="G49" i="6" s="1"/>
  <c r="O7" i="6"/>
  <c r="O47" i="6" s="1"/>
  <c r="O49" i="6" s="1"/>
  <c r="I7" i="6"/>
  <c r="I47" i="6" s="1"/>
  <c r="I49" i="6" s="1"/>
  <c r="E7" i="6"/>
  <c r="N7" i="6"/>
  <c r="N47" i="6" s="1"/>
  <c r="N49" i="6" s="1"/>
  <c r="M7" i="6"/>
  <c r="M47" i="6" s="1"/>
  <c r="M49" i="6" s="1"/>
  <c r="K7" i="6"/>
  <c r="K47" i="6" s="1"/>
  <c r="K49" i="6" s="1"/>
  <c r="J7" i="6"/>
  <c r="J47" i="6" s="1"/>
  <c r="J49" i="6" s="1"/>
  <c r="L7" i="6"/>
  <c r="L47" i="6" s="1"/>
  <c r="L49" i="6" s="1"/>
  <c r="D47" i="6"/>
  <c r="D49" i="6" s="1"/>
  <c r="F7" i="6"/>
  <c r="F47" i="6" s="1"/>
  <c r="F49" i="6" s="1"/>
  <c r="H7" i="6"/>
  <c r="H47" i="6" s="1"/>
  <c r="H49" i="6" s="1"/>
  <c r="L7" i="4"/>
  <c r="L47" i="4" s="1"/>
  <c r="L49" i="4" s="1"/>
  <c r="D7" i="5"/>
  <c r="C47" i="5"/>
  <c r="C52" i="5" s="1"/>
  <c r="M7" i="4"/>
  <c r="M47" i="4" s="1"/>
  <c r="M49" i="4" s="1"/>
  <c r="E7" i="4"/>
  <c r="E47" i="4" s="1"/>
  <c r="E49" i="4" s="1"/>
  <c r="C52" i="1"/>
  <c r="K7" i="4" l="1"/>
  <c r="K47" i="4" s="1"/>
  <c r="K49" i="4" s="1"/>
  <c r="D47" i="4"/>
  <c r="D49" i="4" s="1"/>
  <c r="N7" i="4"/>
  <c r="N47" i="4" s="1"/>
  <c r="N49" i="4" s="1"/>
  <c r="J7" i="4"/>
  <c r="J47" i="4" s="1"/>
  <c r="J49" i="4" s="1"/>
  <c r="H7" i="4"/>
  <c r="H47" i="4" s="1"/>
  <c r="H49" i="4" s="1"/>
  <c r="E47" i="7"/>
  <c r="E49" i="7" s="1"/>
  <c r="P7" i="7"/>
  <c r="E47" i="6"/>
  <c r="E49" i="6" s="1"/>
  <c r="P7" i="6"/>
  <c r="F7" i="4"/>
  <c r="F47" i="4" s="1"/>
  <c r="F49" i="4" s="1"/>
  <c r="O7" i="4"/>
  <c r="O47" i="4" s="1"/>
  <c r="O49" i="4" s="1"/>
  <c r="I7" i="4"/>
  <c r="I47" i="4" s="1"/>
  <c r="I49" i="4" s="1"/>
  <c r="K7" i="5"/>
  <c r="K47" i="5" s="1"/>
  <c r="K49" i="5" s="1"/>
  <c r="O7" i="5"/>
  <c r="O47" i="5" s="1"/>
  <c r="O49" i="5" s="1"/>
  <c r="N7" i="5"/>
  <c r="N47" i="5" s="1"/>
  <c r="N49" i="5" s="1"/>
  <c r="M7" i="5"/>
  <c r="M47" i="5" s="1"/>
  <c r="M49" i="5" s="1"/>
  <c r="L7" i="5"/>
  <c r="L47" i="5" s="1"/>
  <c r="L49" i="5" s="1"/>
  <c r="J7" i="5"/>
  <c r="J47" i="5" s="1"/>
  <c r="J49" i="5" s="1"/>
  <c r="I7" i="5"/>
  <c r="I47" i="5" s="1"/>
  <c r="I49" i="5" s="1"/>
  <c r="H7" i="5"/>
  <c r="H47" i="5" s="1"/>
  <c r="H49" i="5" s="1"/>
  <c r="F7" i="5"/>
  <c r="F47" i="5" s="1"/>
  <c r="F49" i="5" s="1"/>
  <c r="E7" i="5"/>
  <c r="G7" i="5"/>
  <c r="G47" i="5" s="1"/>
  <c r="G49" i="5" s="1"/>
  <c r="D47" i="5"/>
  <c r="D49" i="5" s="1"/>
  <c r="P7" i="4" l="1"/>
  <c r="P7" i="5"/>
  <c r="E47" i="5"/>
  <c r="E49" i="5" s="1"/>
</calcChain>
</file>

<file path=xl/sharedStrings.xml><?xml version="1.0" encoding="utf-8"?>
<sst xmlns="http://schemas.openxmlformats.org/spreadsheetml/2006/main" count="822" uniqueCount="237">
  <si>
    <t>Operation and Maintenance Expense</t>
  </si>
  <si>
    <t>January</t>
  </si>
  <si>
    <t>February</t>
  </si>
  <si>
    <t>March</t>
  </si>
  <si>
    <t>April</t>
  </si>
  <si>
    <t>May</t>
  </si>
  <si>
    <t>June</t>
  </si>
  <si>
    <t>July</t>
  </si>
  <si>
    <t>August</t>
  </si>
  <si>
    <t>September</t>
  </si>
  <si>
    <t>October</t>
  </si>
  <si>
    <t>November</t>
  </si>
  <si>
    <t>December</t>
  </si>
  <si>
    <t>Trended Payroll</t>
  </si>
  <si>
    <t>Trended Non-Payroll</t>
  </si>
  <si>
    <t>Payroll Other</t>
  </si>
  <si>
    <t>Non-Payroll Other</t>
  </si>
  <si>
    <t>Over and Under Adjustments</t>
  </si>
  <si>
    <t>Account #</t>
  </si>
  <si>
    <t>Item</t>
  </si>
  <si>
    <t>Reason</t>
  </si>
  <si>
    <t>Witness</t>
  </si>
  <si>
    <t>Natural Gas %</t>
  </si>
  <si>
    <t>Mike Galtman</t>
  </si>
  <si>
    <t>Rent</t>
  </si>
  <si>
    <t>90**</t>
  </si>
  <si>
    <t xml:space="preserve">Conservation </t>
  </si>
  <si>
    <t>Direct projection which was eliminated in the calculation of the base rate related NOI.</t>
  </si>
  <si>
    <t>Storm Reserve</t>
  </si>
  <si>
    <t xml:space="preserve">Increase of storm damage accrual from $6,000 to $10,000. </t>
  </si>
  <si>
    <t>Mike Cassel</t>
  </si>
  <si>
    <t>Property Insurance</t>
  </si>
  <si>
    <t xml:space="preserve">Direct projection based on estimates from insurance brokers. </t>
  </si>
  <si>
    <t>Noah Russell</t>
  </si>
  <si>
    <t>Primary Casualty Insurance</t>
  </si>
  <si>
    <t>Self Insurance Reserve</t>
  </si>
  <si>
    <t xml:space="preserve">Direct projection based on 7 year average of claims history.  </t>
  </si>
  <si>
    <t>Rate Case Expense</t>
  </si>
  <si>
    <t>Natural gas rate case amortization expense. See C-13 for the rate case expense details. Amortization of 5 years.</t>
  </si>
  <si>
    <t xml:space="preserve">Direct projection based on actual leases. </t>
  </si>
  <si>
    <t>Total direct in 2022 and 2023</t>
  </si>
  <si>
    <t>Amount included in 2021 actual</t>
  </si>
  <si>
    <t>Remove Conservation</t>
  </si>
  <si>
    <t>Increase in above accounts</t>
  </si>
  <si>
    <t>Sub-aqueous Inspection</t>
  </si>
  <si>
    <t>Pipeline inspection required every 5 years not done in 2021. The estimated cost is $45,062.</t>
  </si>
  <si>
    <t>Jason Bennett</t>
  </si>
  <si>
    <t>Transmission pipeline integrity verification required every 7 years not done in 2021. The estimated cost is $135,222.</t>
  </si>
  <si>
    <t>Bad Debt Expense</t>
  </si>
  <si>
    <t>Incremental bad debt expense based on a 5-year average.</t>
  </si>
  <si>
    <t>Mandatory Advertising</t>
  </si>
  <si>
    <t>Increased costs for mandatory safety messaging, public awareness and continuous website improvement.</t>
  </si>
  <si>
    <t>Kira Lake</t>
  </si>
  <si>
    <t>Additional facility costs</t>
  </si>
  <si>
    <t>Increase in incremental supplies related to a post COVID-19 environment.</t>
  </si>
  <si>
    <t>Vik Gadgil</t>
  </si>
  <si>
    <t xml:space="preserve">Software </t>
  </si>
  <si>
    <t>Increase for incremental software upgrade costs for various Company systems such as payroll, windows operating system, and GIS mapping system.</t>
  </si>
  <si>
    <t>Software and Maintenance</t>
  </si>
  <si>
    <t>Increase in incremental software maintenance costs for various Company systems such as payroll, windows operating system and GIS mapping system.</t>
  </si>
  <si>
    <t>New satellite scans</t>
  </si>
  <si>
    <t>Consulting costs for new satellite scans for leak detection. See testimony of Jason Bennett.</t>
  </si>
  <si>
    <t>Union Contract Negotiations</t>
  </si>
  <si>
    <t>Credit Rating Service</t>
  </si>
  <si>
    <t>Annual fee for the Company to obtain and maintain a credit rating.</t>
  </si>
  <si>
    <t>Outside Services for UiPath Support</t>
  </si>
  <si>
    <t>Incremental support and maintenance costs for the business processes automation project that will be used in Finance and Customer Care departments.</t>
  </si>
  <si>
    <t>Payroll consulting services</t>
  </si>
  <si>
    <t>Incremental support and maintenance costs related to the Company's Human Resources Information system ongoing upgrades and enhancements.</t>
  </si>
  <si>
    <t>BIS consulting services</t>
  </si>
  <si>
    <t>Increase in outside services for IT helpdesk and end user support relating to new technology and remote work arrangements.</t>
  </si>
  <si>
    <t>CIS Billing System Outside Services</t>
  </si>
  <si>
    <t>Incremental billing system support and maintenance cost for contractor to work on existing billing system.</t>
  </si>
  <si>
    <t>Consulting Services for Regulatory Strategy</t>
  </si>
  <si>
    <t>Incremental consulting costs due to increasing complexities and ongoing special projects including alternative energy.</t>
  </si>
  <si>
    <t>Outside Services for service excellence reboot</t>
  </si>
  <si>
    <t>Consulting services to revalidate and align our service standards to customer wants and needs.</t>
  </si>
  <si>
    <t>Kelley Parmer</t>
  </si>
  <si>
    <t>Outside Services for change management consulting</t>
  </si>
  <si>
    <t>Incremental consulting costs for the contact center platform which will provide operational flexibility through ease of updates to our call flow options and messaging for inbound contacts. See testimony of K. Parmer.</t>
  </si>
  <si>
    <t>S&amp;P Global Rating</t>
  </si>
  <si>
    <t>Standard &amp; Poor's (S&amp;P) fees for the assignment and surveillance of the credit rating on debt instruments.</t>
  </si>
  <si>
    <t>Pension</t>
  </si>
  <si>
    <t xml:space="preserve">Additional pension expense based on actuarial estimate. </t>
  </si>
  <si>
    <t>New Board of Directors</t>
  </si>
  <si>
    <t>Incremental additional Board of Director costs for additional oversight.</t>
  </si>
  <si>
    <t>Recruiting Engagement and Development</t>
  </si>
  <si>
    <t xml:space="preserve">Additional costs related to employee assessments and succession planning. </t>
  </si>
  <si>
    <t>Cyber Security - FireEye IDS replacement</t>
  </si>
  <si>
    <t>Maintenance fees for upgrades required due to increased cyber threats which will alert the Company if a threat actors are trying to access the Company's environment.</t>
  </si>
  <si>
    <t>Cyber Security - Palo Alto Firewall Implementation</t>
  </si>
  <si>
    <t xml:space="preserve">Incremental maintenance fees for resilience with the VPN and improved security and intrusion prevention. </t>
  </si>
  <si>
    <t>Cyber Security - Physical Camera and Badge Systems off network</t>
  </si>
  <si>
    <t xml:space="preserve">Additional network operating, support and maintenance costs of devices maintained by outside contractors with annual maintenance fees.
</t>
  </si>
  <si>
    <t>Cyber Security  - Replace KACE security system</t>
  </si>
  <si>
    <t>Annual cost of software as a service (SaaS) which will replace the BIS ticketing system.</t>
  </si>
  <si>
    <t>920/926</t>
  </si>
  <si>
    <t>Cyber  Security Administrator</t>
  </si>
  <si>
    <t>New position in 2023 to manage cyber security in the company and to address the ever changing cyber security threat.</t>
  </si>
  <si>
    <t>Key stakeholder Education outreach</t>
  </si>
  <si>
    <t>Incremental cost to support the natural gas industry and associated legislation.</t>
  </si>
  <si>
    <t>870/926</t>
  </si>
  <si>
    <t>Engineer position vacancy</t>
  </si>
  <si>
    <t>Vacant May - December 2021 expected to be filled in September 2022.</t>
  </si>
  <si>
    <t>878/926</t>
  </si>
  <si>
    <t>Safety Compliance &amp; Training Coordinator vacancy</t>
  </si>
  <si>
    <t>Vacant September - December 2021 expected to be filled in September 2022.</t>
  </si>
  <si>
    <t>Gas Utility Worker vacancy</t>
  </si>
  <si>
    <t>Vacant July - December 2021 filled in December 2021.</t>
  </si>
  <si>
    <t>Business Developer Manager vacancy</t>
  </si>
  <si>
    <t>Vacant August - December 2021 expected to be filled in June 2022.</t>
  </si>
  <si>
    <t>Inside Sales Rep vacancy</t>
  </si>
  <si>
    <t>Vacant August - December 2021 filled in December 2021.</t>
  </si>
  <si>
    <t>902/926</t>
  </si>
  <si>
    <t>Engineering Clerk vacancy</t>
  </si>
  <si>
    <t>Vacant from April - December 2021 filled in December 2021.</t>
  </si>
  <si>
    <t>874/926</t>
  </si>
  <si>
    <t>Distribution Tech I vacancy</t>
  </si>
  <si>
    <t>Vacant June - December 2021 filled in March 2022.</t>
  </si>
  <si>
    <t>Measurement Tech. II</t>
  </si>
  <si>
    <t>New position to maintain operational and safety compliance standards with the recent addition of transmission lines, gate stations and other gas facilities. This position is expected to be filled in May 2022.</t>
  </si>
  <si>
    <t>New position to maintain operational and safety compliance standards with the recent addition of transmission lines, gate stations and other gas facilities. This position is expected to be filled in July 2022.</t>
  </si>
  <si>
    <t>New position to maintain operational and safety compliance standards with the recent addition of transmission lines, gate stations and other gas facilities. This position is expected to be filled in August 2022.</t>
  </si>
  <si>
    <t>Reg &amp; Govt Affairs Mgr</t>
  </si>
  <si>
    <t>New position to be filled in August 2022.  See testimony of Mike Cassel.</t>
  </si>
  <si>
    <t>Distribution Tech II</t>
  </si>
  <si>
    <t>New position to support customer growth through operational and safety duties including gas line repair, cathodic protection, compliance maintenance. This position is expected to be filled in April 2023.</t>
  </si>
  <si>
    <t>Gas Utility Worker</t>
  </si>
  <si>
    <t>New position to support customer growth through operational and safety duties including setting meters, meter maintenance and responding to gas leak calls. This position was filled in April 2022.</t>
  </si>
  <si>
    <t>Meter Reader/Collector</t>
  </si>
  <si>
    <t>New position to maintain operational compliance regarding meter reading given customer growth expected This position is expected to be filled in April 2023</t>
  </si>
  <si>
    <t>Tax Accountant vacancy</t>
  </si>
  <si>
    <t>Vacant from March to December 2021 expected to be filled in May 2022.  See Testimony of M. Galtman.</t>
  </si>
  <si>
    <t>925/926</t>
  </si>
  <si>
    <t>Corporate Governance vacancy</t>
  </si>
  <si>
    <t xml:space="preserve">Vacant in 2021 expected to be filled in April 2022. </t>
  </si>
  <si>
    <t>Director, BIS Service vacancy</t>
  </si>
  <si>
    <t>Vacant from February to December 2021 expected to be filled in July 2022</t>
  </si>
  <si>
    <t>Safety Director vacancy</t>
  </si>
  <si>
    <t>Vacant from March to December 2021 expected to be filled in April 2022.</t>
  </si>
  <si>
    <t>Payroll Specialist</t>
  </si>
  <si>
    <t>New position to improve payroll process and support future growth expected to be filled in June 2022</t>
  </si>
  <si>
    <t>HR and Payroll System Analyst</t>
  </si>
  <si>
    <t>New position filled in February 2022.  See testimony of M. Galtman.</t>
  </si>
  <si>
    <t>Financial System Admin</t>
  </si>
  <si>
    <t>New position. The financial systems analyst will support the allocations process and assist with analysis in order to enable the manager of financial systems to focus on the rate case, strategic analysis and upcoming system replacements. Expected to be filled in April 2022.</t>
  </si>
  <si>
    <t>903/926</t>
  </si>
  <si>
    <t>Five (5) Customer Service Representatives</t>
  </si>
  <si>
    <t>New CSR positions required to continue to meet customer expectations  and allow for expansion of contact channels. Three (3) CSR position filled in March 2022. One CSR expected to be filled in April 2022 and the other CSR expected to be filled in May 2022.</t>
  </si>
  <si>
    <t>Director, Energy Supply</t>
  </si>
  <si>
    <t xml:space="preserve">New position to manage the natural gas procurement and capacity assets of the utility to more fully utilized our unused capacity assets. This position was filled in March 2022. </t>
  </si>
  <si>
    <t>Bill Hancock</t>
  </si>
  <si>
    <t>Manager, Marketing &amp; Communications</t>
  </si>
  <si>
    <t>These three positions were formerly from another business unit but are now part of Corporate and allocated to Florida natural gas.  Additional FTE's in natural gas were needed to increase our natural gas advocacy, social media, website developments, customer care communication, community events, safety communication, digital communications and public awareness. These positions started in January 2022.</t>
  </si>
  <si>
    <t>Creative Services Supervisor</t>
  </si>
  <si>
    <t>Graphic Design Specialist</t>
  </si>
  <si>
    <t>Manager, Regulatory Affairs Distribution</t>
  </si>
  <si>
    <t>Business Transformation Analyst</t>
  </si>
  <si>
    <t>New position to support business transformation initiatives that automate and standardize processes. This position is expected to be filled in August 2022.</t>
  </si>
  <si>
    <t>Vacancy Rate</t>
  </si>
  <si>
    <t>Estimate of 3% of payroll based on estimated expectations</t>
  </si>
  <si>
    <t>Damage Prevention Expansion Manager</t>
  </si>
  <si>
    <t>New position to develop and maintain state-wide damage prevention plan and to manage damage prevention coordinators. The Damage Prevention Department was created in 2022.</t>
  </si>
  <si>
    <t>Damage Prevention Expansion Coordinator</t>
  </si>
  <si>
    <t>New position to promote damage prevention to employees and third parties through ongoing training, guidance, communication and support. Existing employee from another business unit.</t>
  </si>
  <si>
    <t>New position to promote damage prevention to employees and third parties through ongoing training, guidance, communication and support. This position is expected to filled in July 2022.</t>
  </si>
  <si>
    <t>Damage Prevention Program Materials &amp; Communication</t>
  </si>
  <si>
    <t>Damage prevention department created in 2022. This is additional communication, training, guidance and support with excavators, the affected public, and emergency responders.</t>
  </si>
  <si>
    <t>HR Re-organization</t>
  </si>
  <si>
    <r>
      <t>Four additional HR positions as part of enterprise wide focus on training and development, succession planning, talent attraction and recruiting. The following new positions are: 
(a) Recruiter - to focus on sourcing candidates, building partnerships with local high schools and colleges to attract talent. This position was filled in</t>
    </r>
    <r>
      <rPr>
        <sz val="12"/>
        <color indexed="10"/>
        <rFont val="Arial"/>
        <family val="2"/>
      </rPr>
      <t xml:space="preserve"> </t>
    </r>
    <r>
      <rPr>
        <sz val="12"/>
        <rFont val="Arial"/>
        <family val="2"/>
      </rPr>
      <t>April 2022.</t>
    </r>
    <r>
      <rPr>
        <sz val="12"/>
        <color indexed="8"/>
        <rFont val="Arial"/>
        <family val="2"/>
      </rPr>
      <t xml:space="preserve">
(b) Talent &amp; Recruiting Coordinator - to assist in coordination of training, keeping records for compliance and being an administrator for the Learning Management System that we are purchasing in 2022. This position was filled in </t>
    </r>
    <r>
      <rPr>
        <sz val="12"/>
        <rFont val="Arial"/>
        <family val="2"/>
      </rPr>
      <t>April 2022</t>
    </r>
    <r>
      <rPr>
        <sz val="12"/>
        <color indexed="10"/>
        <rFont val="Arial"/>
        <family val="2"/>
      </rPr>
      <t xml:space="preserve">. </t>
    </r>
    <r>
      <rPr>
        <sz val="12"/>
        <color indexed="8"/>
        <rFont val="Arial"/>
        <family val="2"/>
      </rPr>
      <t xml:space="preserve">
(c ) Workforce Development Manager - to allow the Company to have a greater emphasis on Leadership Development and training employees enterprise wide. This role will also focus on Succession Planning and will be instrumental in creating development plans for Successors. This position is expected to filled in</t>
    </r>
    <r>
      <rPr>
        <sz val="12"/>
        <color indexed="10"/>
        <rFont val="Arial"/>
        <family val="2"/>
      </rPr>
      <t xml:space="preserve"> </t>
    </r>
    <r>
      <rPr>
        <sz val="12"/>
        <rFont val="Arial"/>
        <family val="2"/>
      </rPr>
      <t>March 2022.</t>
    </r>
    <r>
      <rPr>
        <sz val="12"/>
        <color indexed="10"/>
        <rFont val="Arial"/>
        <family val="2"/>
      </rPr>
      <t xml:space="preserve"> </t>
    </r>
    <r>
      <rPr>
        <sz val="12"/>
        <color indexed="8"/>
        <rFont val="Arial"/>
        <family val="2"/>
      </rPr>
      <t xml:space="preserve">
(d) AVP of EDI &amp; Engagement - to focus on the Company's Equity, Diversity and Inclusion initiatives. The Company has expanded our EDI efforts in the last two years and created Employee Resource Groups and an EDI Council.  This AVP role will oversee these efforts and focus on other employee engagement initiatives such as our revised Mission, Vision and Values, all Culture related initiatives, Change Management, Wellness and Engagement Surveys. This position is expected to be filled in </t>
    </r>
    <r>
      <rPr>
        <sz val="12"/>
        <rFont val="Arial"/>
        <family val="2"/>
      </rPr>
      <t>June 2022</t>
    </r>
    <r>
      <rPr>
        <sz val="12"/>
        <color indexed="10"/>
        <rFont val="Arial"/>
        <family val="2"/>
      </rPr>
      <t>.</t>
    </r>
  </si>
  <si>
    <t>Promotions outside of normal merits</t>
  </si>
  <si>
    <t>Increases in salary due to promotion or merit increases outside of standard merit increases of the following officer positions in January 2022:
a. SVP Pipeline Transm &amp; Reg Gas/Elec Dist to Senior VP and COO
b. SVP Regulatory and External Affairs
c. AVP of Corporate Governance to VP of Corporate Governance
d. Chief Accounting Officer to SVP and Chief Accounting Officer
e. VP of Regulatory &amp; Governmental Affairs to VP of Regulatory &amp; Governmental Affairs
f. Asst. General Counsel to AVP &amp; Associate General Counsel</t>
  </si>
  <si>
    <t>ESG Printing and Misc Admin</t>
  </si>
  <si>
    <t>The Company issued its first Environmental, Social, and Governance (ESG) report in 2022.  There are annual printing and other consulting costs related to the report.</t>
  </si>
  <si>
    <t>ESG Consultant</t>
  </si>
  <si>
    <t>Incremental ESG cost expected to be mandated in the future. This is the cost of the ESG consultant for the emissions calculation.</t>
  </si>
  <si>
    <t>ESG Director</t>
  </si>
  <si>
    <t>Newly created position in 2022 for ESG initiatives to benefit investors and customers. Future expectations if it become mandatory by the SEC.</t>
  </si>
  <si>
    <t>TOTAL</t>
  </si>
  <si>
    <t>SUM OF PAYROLL AND NON-PAYROLL OTHER ADJ PER G2-19d of 31</t>
  </si>
  <si>
    <t>NET INCREASE FOR ADJUSTMENTS</t>
  </si>
  <si>
    <t>1j</t>
  </si>
  <si>
    <t>1k</t>
  </si>
  <si>
    <t>1n</t>
  </si>
  <si>
    <t>1e</t>
  </si>
  <si>
    <t>1p</t>
  </si>
  <si>
    <t>1s</t>
  </si>
  <si>
    <t>1r</t>
  </si>
  <si>
    <t>1t</t>
  </si>
  <si>
    <t>1o</t>
  </si>
  <si>
    <t>1v</t>
  </si>
  <si>
    <t>1w</t>
  </si>
  <si>
    <t>1x</t>
  </si>
  <si>
    <t>1q</t>
  </si>
  <si>
    <t>1z</t>
  </si>
  <si>
    <t>1za</t>
  </si>
  <si>
    <t>1f</t>
  </si>
  <si>
    <t>1f tab E</t>
  </si>
  <si>
    <t>1f tab H</t>
  </si>
  <si>
    <t>Before Normalization</t>
  </si>
  <si>
    <t>WP Ref</t>
  </si>
  <si>
    <t>2022 Payroll</t>
  </si>
  <si>
    <t>2022 Non-Payroll</t>
  </si>
  <si>
    <t>1h</t>
  </si>
  <si>
    <t>Non-Payroll Other (net of vacant/new positions)</t>
  </si>
  <si>
    <t>May 2022</t>
  </si>
  <si>
    <t>April 2022</t>
  </si>
  <si>
    <t>September 2022</t>
  </si>
  <si>
    <t>December 2021</t>
  </si>
  <si>
    <t>June 2022</t>
  </si>
  <si>
    <t>March 2022</t>
  </si>
  <si>
    <t>July 2022</t>
  </si>
  <si>
    <t>August 2022</t>
  </si>
  <si>
    <t>April 2023</t>
  </si>
  <si>
    <t>February 2022</t>
  </si>
  <si>
    <t>January 2022</t>
  </si>
  <si>
    <t>Recruiter (HR Reorg)</t>
  </si>
  <si>
    <t>HR Coordinator (HR Reorg)</t>
  </si>
  <si>
    <t>Workforce Development Manager (HR Reorg)</t>
  </si>
  <si>
    <t>AVP, EDI (HR Reorg)</t>
  </si>
  <si>
    <t>Contractor costs for negotiations that occur every 3 years beginning July 2022 with an estimated cost of $250,000.</t>
  </si>
  <si>
    <t>FN Payroll</t>
  </si>
  <si>
    <t>FN Non-Payroll</t>
  </si>
  <si>
    <t>CF Payroll</t>
  </si>
  <si>
    <t>CF Non-Payroll</t>
  </si>
  <si>
    <t>FI Payroll</t>
  </si>
  <si>
    <t>FI Non-Payroll</t>
  </si>
  <si>
    <t>FT Payroll</t>
  </si>
  <si>
    <t>FT Non-Payroll</t>
  </si>
  <si>
    <t>Total</t>
  </si>
  <si>
    <t>Difference</t>
  </si>
  <si>
    <t>1y</t>
  </si>
  <si>
    <t>2022 Breakdown per Month - FN</t>
  </si>
  <si>
    <t>2022 Breakdown per Month - CF</t>
  </si>
  <si>
    <t>2022 Breakdown per Month - FI</t>
  </si>
  <si>
    <t>2022 Breakdown per Month - Consolidated</t>
  </si>
  <si>
    <t>2022 Breakdown per Month - 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</si>
</sst>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409]#,##0"/>
    <numFmt numFmtId="166" formatCode="0;[Red]0"/>
    <numFmt numFmtId="167" formatCode="_(&quot;$&quot;* #,##0_);_(&quot;$&quot;* \(#,##0\);_(&quot;$&quot;* &quot;-&quot;??_);_(@_)"/>
    <numFmt numFmtId="168" formatCode="0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sz val="12"/>
      <name val="Arial"/>
      <family val="2"/>
    </font>
    <font>
      <sz val="10"/>
      <name val="Arial"/>
      <family val="2"/>
    </font>
    <font>
      <sz val="10"/>
      <name val="Courier"/>
    </font>
    <font>
      <b/>
      <sz val="12"/>
      <name val="Arial"/>
      <family val="2"/>
    </font>
    <font>
      <b/>
      <sz val="12"/>
      <color theme="1"/>
      <name val="Arial"/>
      <family val="2"/>
    </font>
    <font>
      <sz val="12"/>
      <color theme="1"/>
      <name val="Arial"/>
      <family val="2"/>
    </font>
    <font>
      <sz val="12"/>
      <color indexed="10"/>
      <name val="Arial"/>
      <family val="2"/>
    </font>
    <font>
      <sz val="12"/>
      <color indexed="8"/>
      <name val="Arial"/>
      <family val="2"/>
    </font>
    <font>
      <b/>
      <sz val="12"/>
      <color rgb="FFFF0000"/>
      <name val="Arial"/>
      <family val="2"/>
    </font>
    <font>
      <sz val="12"/>
      <color rgb="FFFF0000"/>
      <name val="Arial"/>
      <family val="2"/>
    </font>
    <font>
      <b/>
      <sz val="11"/>
      <color rgb="FF0070C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s>
  <cellStyleXfs count="20">
    <xf numFmtId="0" fontId="0" fillId="0" borderId="0"/>
    <xf numFmtId="43" fontId="1" fillId="0" borderId="0" applyFont="0" applyFill="0" applyBorder="0" applyAlignment="0" applyProtection="0"/>
    <xf numFmtId="0" fontId="3"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6" fillId="0" borderId="0"/>
    <xf numFmtId="0" fontId="5" fillId="0" borderId="0"/>
    <xf numFmtId="43"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5" fillId="0" borderId="0"/>
    <xf numFmtId="0" fontId="4" fillId="0" borderId="0"/>
    <xf numFmtId="37" fontId="6" fillId="0" borderId="0"/>
    <xf numFmtId="0" fontId="1" fillId="0" borderId="0"/>
    <xf numFmtId="5" fontId="6" fillId="0" borderId="0"/>
    <xf numFmtId="168" fontId="6" fillId="0" borderId="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cellStyleXfs>
  <cellXfs count="149">
    <xf numFmtId="0" fontId="0" fillId="0" borderId="0" xfId="0"/>
    <xf numFmtId="164" fontId="0" fillId="0" borderId="0" xfId="1" applyNumberFormat="1" applyFont="1"/>
    <xf numFmtId="41" fontId="4" fillId="0" borderId="0" xfId="2" applyNumberFormat="1" applyFont="1" applyFill="1"/>
    <xf numFmtId="0" fontId="9" fillId="0" borderId="0" xfId="0" applyFont="1"/>
    <xf numFmtId="167" fontId="9" fillId="0" borderId="0" xfId="0" applyNumberFormat="1" applyFont="1"/>
    <xf numFmtId="164" fontId="9" fillId="0" borderId="0" xfId="0" applyNumberFormat="1" applyFont="1"/>
    <xf numFmtId="0" fontId="4" fillId="0" borderId="0" xfId="2" applyFont="1"/>
    <xf numFmtId="0" fontId="4" fillId="0" borderId="0" xfId="2" applyFont="1" applyAlignment="1">
      <alignment horizontal="left"/>
    </xf>
    <xf numFmtId="165" fontId="4" fillId="0" borderId="0" xfId="2" applyNumberFormat="1" applyFont="1" applyBorder="1" applyAlignment="1"/>
    <xf numFmtId="165" fontId="4" fillId="0" borderId="0" xfId="2" applyNumberFormat="1" applyFont="1" applyBorder="1"/>
    <xf numFmtId="165" fontId="4" fillId="0" borderId="0" xfId="2" applyNumberFormat="1" applyFont="1" applyBorder="1" applyAlignment="1">
      <alignment horizontal="left"/>
    </xf>
    <xf numFmtId="165" fontId="4" fillId="0" borderId="0" xfId="2" applyNumberFormat="1" applyFont="1" applyBorder="1" applyAlignment="1">
      <alignment horizontal="center"/>
    </xf>
    <xf numFmtId="164" fontId="4" fillId="0" borderId="0" xfId="3" applyNumberFormat="1" applyFont="1"/>
    <xf numFmtId="164" fontId="4" fillId="0" borderId="0" xfId="3" applyNumberFormat="1" applyFont="1" applyFill="1"/>
    <xf numFmtId="0" fontId="4" fillId="0" borderId="0" xfId="2" applyFont="1" applyFill="1"/>
    <xf numFmtId="164" fontId="4" fillId="0" borderId="0" xfId="2" applyNumberFormat="1" applyFont="1" applyFill="1"/>
    <xf numFmtId="167" fontId="4" fillId="0" borderId="0" xfId="2" applyNumberFormat="1" applyFont="1" applyFill="1"/>
    <xf numFmtId="0" fontId="4" fillId="0" borderId="0" xfId="7" applyFont="1" applyFill="1"/>
    <xf numFmtId="0" fontId="7" fillId="0" borderId="1" xfId="7" applyFont="1" applyBorder="1" applyAlignment="1">
      <alignment horizontal="center"/>
    </xf>
    <xf numFmtId="166" fontId="8" fillId="0" borderId="1" xfId="7" applyNumberFormat="1" applyFont="1" applyBorder="1" applyAlignment="1">
      <alignment horizontal="center" wrapText="1"/>
    </xf>
    <xf numFmtId="41" fontId="9" fillId="0" borderId="0" xfId="7" applyNumberFormat="1" applyFont="1" applyFill="1"/>
    <xf numFmtId="164" fontId="9" fillId="0" borderId="0" xfId="8" applyNumberFormat="1" applyFont="1" applyFill="1" applyBorder="1"/>
    <xf numFmtId="167" fontId="9" fillId="0" borderId="0" xfId="4" applyNumberFormat="1" applyFont="1" applyFill="1"/>
    <xf numFmtId="165" fontId="7" fillId="0" borderId="0" xfId="2" applyNumberFormat="1" applyFont="1" applyBorder="1" applyAlignment="1">
      <alignment horizontal="center"/>
    </xf>
    <xf numFmtId="165" fontId="7" fillId="0" borderId="1" xfId="2" applyNumberFormat="1" applyFont="1" applyBorder="1" applyAlignment="1">
      <alignment horizontal="center"/>
    </xf>
    <xf numFmtId="9" fontId="4" fillId="0" borderId="0" xfId="2" applyNumberFormat="1" applyFont="1" applyAlignment="1">
      <alignment horizontal="center"/>
    </xf>
    <xf numFmtId="0" fontId="4" fillId="0" borderId="0" xfId="7" applyFont="1" applyFill="1" applyAlignment="1">
      <alignment horizontal="center"/>
    </xf>
    <xf numFmtId="0" fontId="9" fillId="0" borderId="0" xfId="7" applyFont="1" applyFill="1" applyAlignment="1">
      <alignment horizontal="center"/>
    </xf>
    <xf numFmtId="164" fontId="4" fillId="0" borderId="0" xfId="8" applyNumberFormat="1" applyFont="1" applyFill="1"/>
    <xf numFmtId="0" fontId="4" fillId="0" borderId="0" xfId="7" applyFont="1" applyBorder="1" applyAlignment="1">
      <alignment horizontal="center" wrapText="1"/>
    </xf>
    <xf numFmtId="0" fontId="7" fillId="0" borderId="0" xfId="7" applyFont="1" applyBorder="1" applyAlignment="1">
      <alignment horizontal="center"/>
    </xf>
    <xf numFmtId="166" fontId="8" fillId="0" borderId="0" xfId="7" applyNumberFormat="1" applyFont="1" applyBorder="1" applyAlignment="1">
      <alignment horizontal="center" wrapText="1"/>
    </xf>
    <xf numFmtId="0" fontId="7" fillId="0" borderId="1" xfId="7" applyFont="1" applyBorder="1" applyAlignment="1">
      <alignment horizontal="center" wrapText="1"/>
    </xf>
    <xf numFmtId="0" fontId="9" fillId="0" borderId="0" xfId="7" applyFont="1" applyFill="1" applyAlignment="1">
      <alignment horizontal="center" vertical="top"/>
    </xf>
    <xf numFmtId="0" fontId="4" fillId="0" borderId="0" xfId="7" applyFont="1" applyFill="1" applyAlignment="1">
      <alignment vertical="top"/>
    </xf>
    <xf numFmtId="164" fontId="9" fillId="0" borderId="0" xfId="3" applyNumberFormat="1" applyFont="1" applyFill="1" applyAlignment="1">
      <alignment vertical="top"/>
    </xf>
    <xf numFmtId="164" fontId="4" fillId="0" borderId="0" xfId="3" applyNumberFormat="1" applyFont="1" applyFill="1" applyAlignment="1">
      <alignment vertical="top"/>
    </xf>
    <xf numFmtId="0" fontId="4" fillId="0" borderId="0" xfId="7" applyFont="1" applyFill="1" applyAlignment="1">
      <alignment horizontal="left" vertical="top" wrapText="1"/>
    </xf>
    <xf numFmtId="0" fontId="4" fillId="0" borderId="0" xfId="7" applyFont="1" applyFill="1" applyAlignment="1">
      <alignment horizontal="center" vertical="top"/>
    </xf>
    <xf numFmtId="9" fontId="4" fillId="0" borderId="0" xfId="5" applyFont="1" applyFill="1" applyAlignment="1">
      <alignment horizontal="center" vertical="top"/>
    </xf>
    <xf numFmtId="0" fontId="4" fillId="0" borderId="0" xfId="2" applyFont="1" applyFill="1" applyAlignment="1">
      <alignment vertical="top"/>
    </xf>
    <xf numFmtId="164" fontId="4" fillId="0" borderId="0" xfId="8" applyNumberFormat="1" applyFont="1" applyFill="1" applyAlignment="1">
      <alignment vertical="top"/>
    </xf>
    <xf numFmtId="164" fontId="4" fillId="0" borderId="0" xfId="3" applyNumberFormat="1" applyFont="1" applyFill="1" applyAlignment="1">
      <alignment horizontal="left" vertical="top"/>
    </xf>
    <xf numFmtId="0" fontId="4" fillId="0" borderId="0" xfId="2" applyFont="1" applyFill="1" applyAlignment="1">
      <alignment horizontal="left" vertical="top" wrapText="1"/>
    </xf>
    <xf numFmtId="164" fontId="9" fillId="0" borderId="0" xfId="3" applyNumberFormat="1" applyFont="1" applyFill="1" applyAlignment="1">
      <alignment horizontal="left" vertical="top"/>
    </xf>
    <xf numFmtId="164" fontId="4" fillId="0" borderId="0" xfId="8" applyNumberFormat="1" applyFont="1" applyFill="1" applyAlignment="1">
      <alignment horizontal="left" vertical="top"/>
    </xf>
    <xf numFmtId="9" fontId="4" fillId="0" borderId="0" xfId="2" applyNumberFormat="1" applyFont="1" applyAlignment="1">
      <alignment horizontal="center" vertical="top"/>
    </xf>
    <xf numFmtId="164" fontId="4" fillId="0" borderId="0" xfId="3" applyNumberFormat="1" applyFont="1" applyAlignment="1">
      <alignment vertical="top"/>
    </xf>
    <xf numFmtId="0" fontId="4" fillId="0" borderId="0" xfId="2" applyFont="1" applyAlignment="1">
      <alignment vertical="top"/>
    </xf>
    <xf numFmtId="167" fontId="9" fillId="0" borderId="0" xfId="4" applyNumberFormat="1" applyFont="1" applyFill="1" applyAlignment="1">
      <alignment vertical="top"/>
    </xf>
    <xf numFmtId="164" fontId="9" fillId="0" borderId="0" xfId="3" applyNumberFormat="1" applyFont="1" applyFill="1" applyBorder="1" applyAlignment="1">
      <alignment vertical="top"/>
    </xf>
    <xf numFmtId="164" fontId="9" fillId="0" borderId="0" xfId="8" applyNumberFormat="1" applyFont="1" applyFill="1" applyBorder="1" applyAlignment="1">
      <alignment vertical="top"/>
    </xf>
    <xf numFmtId="0" fontId="4" fillId="0" borderId="0" xfId="7" applyFont="1" applyFill="1" applyAlignment="1">
      <alignment vertical="top" wrapText="1"/>
    </xf>
    <xf numFmtId="167" fontId="9" fillId="0" borderId="3" xfId="4" applyNumberFormat="1" applyFont="1" applyFill="1" applyBorder="1"/>
    <xf numFmtId="167" fontId="9" fillId="0" borderId="0" xfId="4" applyNumberFormat="1" applyFont="1" applyFill="1" applyBorder="1"/>
    <xf numFmtId="164" fontId="7" fillId="0" borderId="3" xfId="2" applyNumberFormat="1" applyFont="1" applyBorder="1"/>
    <xf numFmtId="167" fontId="7" fillId="0" borderId="0" xfId="4" applyNumberFormat="1" applyFont="1" applyBorder="1"/>
    <xf numFmtId="167" fontId="8" fillId="0" borderId="2" xfId="4" applyNumberFormat="1" applyFont="1" applyFill="1" applyBorder="1"/>
    <xf numFmtId="0" fontId="7" fillId="0" borderId="0" xfId="2" applyFont="1" applyAlignment="1">
      <alignment horizontal="left"/>
    </xf>
    <xf numFmtId="164" fontId="7" fillId="0" borderId="0" xfId="2" applyNumberFormat="1" applyFont="1" applyBorder="1"/>
    <xf numFmtId="41" fontId="9" fillId="0" borderId="0" xfId="7" applyNumberFormat="1" applyFont="1" applyFill="1" applyAlignment="1">
      <alignment vertical="top"/>
    </xf>
    <xf numFmtId="0" fontId="4" fillId="0" borderId="0" xfId="7" applyFont="1" applyFill="1" applyAlignment="1">
      <alignment horizontal="center" vertical="top" wrapText="1"/>
    </xf>
    <xf numFmtId="0" fontId="4" fillId="0" borderId="0" xfId="2" applyFont="1" applyAlignment="1">
      <alignment horizontal="left" vertical="top"/>
    </xf>
    <xf numFmtId="0" fontId="9" fillId="0" borderId="0" xfId="7" applyFont="1" applyFill="1" applyAlignment="1">
      <alignment vertical="top" wrapText="1"/>
    </xf>
    <xf numFmtId="0" fontId="4" fillId="0" borderId="0" xfId="2" applyFont="1" applyFill="1" applyAlignment="1">
      <alignment vertical="top" wrapText="1"/>
    </xf>
    <xf numFmtId="9" fontId="4" fillId="0" borderId="0" xfId="2" applyNumberFormat="1" applyFont="1" applyFill="1" applyAlignment="1">
      <alignment horizontal="center" vertical="top"/>
    </xf>
    <xf numFmtId="0" fontId="9" fillId="0" borderId="0" xfId="7" applyFont="1" applyFill="1" applyAlignment="1">
      <alignment vertical="top"/>
    </xf>
    <xf numFmtId="164" fontId="4" fillId="0" borderId="0" xfId="3" applyNumberFormat="1" applyFont="1" applyFill="1" applyBorder="1" applyAlignment="1">
      <alignment vertical="top"/>
    </xf>
    <xf numFmtId="9" fontId="4" fillId="0" borderId="0" xfId="5" applyFont="1" applyAlignment="1">
      <alignment horizontal="center" vertical="top"/>
    </xf>
    <xf numFmtId="0" fontId="4" fillId="0" borderId="0" xfId="2" applyFont="1" applyFill="1" applyAlignment="1">
      <alignment horizontal="center" vertical="top"/>
    </xf>
    <xf numFmtId="43" fontId="4" fillId="0" borderId="0" xfId="2" applyNumberFormat="1" applyFont="1" applyFill="1"/>
    <xf numFmtId="164" fontId="4" fillId="0" borderId="0" xfId="2" applyNumberFormat="1" applyFont="1" applyFill="1" applyAlignment="1">
      <alignment vertical="top"/>
    </xf>
    <xf numFmtId="0" fontId="4" fillId="0" borderId="0" xfId="2" applyFont="1" applyFill="1" applyAlignment="1">
      <alignment horizontal="left" vertical="top"/>
    </xf>
    <xf numFmtId="0" fontId="12" fillId="0" borderId="0" xfId="0" applyFont="1" applyAlignment="1">
      <alignment horizontal="center"/>
    </xf>
    <xf numFmtId="0" fontId="12" fillId="0" borderId="0" xfId="2" applyFont="1" applyFill="1" applyAlignment="1">
      <alignment horizontal="center"/>
    </xf>
    <xf numFmtId="0" fontId="12" fillId="0" borderId="0" xfId="2" applyFont="1" applyFill="1" applyAlignment="1">
      <alignment horizontal="center" vertical="top"/>
    </xf>
    <xf numFmtId="0" fontId="12" fillId="0" borderId="0" xfId="0" applyFont="1" applyAlignment="1">
      <alignment horizontal="center" vertical="top"/>
    </xf>
    <xf numFmtId="164" fontId="9" fillId="0" borderId="0" xfId="9" applyNumberFormat="1" applyFont="1" applyFill="1" applyAlignment="1">
      <alignment vertical="top"/>
    </xf>
    <xf numFmtId="0" fontId="4" fillId="0" borderId="0" xfId="7" applyFont="1" applyFill="1" applyAlignment="1">
      <alignment vertical="top"/>
    </xf>
    <xf numFmtId="164" fontId="9" fillId="0" borderId="0" xfId="9" applyNumberFormat="1" applyFont="1" applyFill="1" applyAlignment="1">
      <alignment vertical="top"/>
    </xf>
    <xf numFmtId="0" fontId="4" fillId="0" borderId="0" xfId="2" applyFont="1" applyAlignment="1">
      <alignment horizontal="center"/>
    </xf>
    <xf numFmtId="164" fontId="4" fillId="0" borderId="0" xfId="9" applyNumberFormat="1" applyFont="1" applyFill="1" applyAlignment="1">
      <alignment vertical="top"/>
    </xf>
    <xf numFmtId="167" fontId="8" fillId="0" borderId="2" xfId="4" applyNumberFormat="1" applyFont="1" applyFill="1" applyBorder="1"/>
    <xf numFmtId="167" fontId="9" fillId="0" borderId="3" xfId="4" applyNumberFormat="1" applyFont="1" applyFill="1" applyBorder="1"/>
    <xf numFmtId="164" fontId="9" fillId="0" borderId="0" xfId="9" applyNumberFormat="1" applyFont="1" applyFill="1" applyAlignment="1">
      <alignment horizontal="left" vertical="top"/>
    </xf>
    <xf numFmtId="43" fontId="4" fillId="0" borderId="0" xfId="2" applyNumberFormat="1" applyFont="1" applyFill="1" applyAlignment="1">
      <alignment vertical="top"/>
    </xf>
    <xf numFmtId="167" fontId="7" fillId="0" borderId="0" xfId="4" applyNumberFormat="1" applyFont="1" applyBorder="1"/>
    <xf numFmtId="164" fontId="7" fillId="0" borderId="3" xfId="2" applyNumberFormat="1" applyFont="1" applyBorder="1"/>
    <xf numFmtId="0" fontId="9" fillId="2" borderId="0" xfId="7" applyFont="1" applyFill="1" applyAlignment="1">
      <alignment horizontal="center" vertical="top"/>
    </xf>
    <xf numFmtId="0" fontId="4" fillId="2" borderId="0" xfId="7" applyFont="1" applyFill="1" applyAlignment="1">
      <alignment vertical="top"/>
    </xf>
    <xf numFmtId="164" fontId="9" fillId="2" borderId="0" xfId="3" applyNumberFormat="1" applyFont="1" applyFill="1" applyAlignment="1">
      <alignment vertical="top"/>
    </xf>
    <xf numFmtId="0" fontId="4" fillId="2" borderId="0" xfId="7" applyFont="1" applyFill="1" applyAlignment="1">
      <alignment horizontal="center" vertical="top"/>
    </xf>
    <xf numFmtId="9" fontId="4" fillId="2" borderId="0" xfId="2" applyNumberFormat="1" applyFont="1" applyFill="1" applyAlignment="1">
      <alignment horizontal="center" vertical="top"/>
    </xf>
    <xf numFmtId="41" fontId="9" fillId="2" borderId="0" xfId="7" applyNumberFormat="1" applyFont="1" applyFill="1"/>
    <xf numFmtId="164" fontId="4" fillId="2" borderId="0" xfId="2" applyNumberFormat="1" applyFont="1" applyFill="1"/>
    <xf numFmtId="0" fontId="4" fillId="2" borderId="0" xfId="7" applyFont="1" applyFill="1" applyAlignment="1">
      <alignment horizontal="left" vertical="top" wrapText="1"/>
    </xf>
    <xf numFmtId="0" fontId="4" fillId="2" borderId="0" xfId="7" applyFont="1" applyFill="1" applyAlignment="1">
      <alignment vertical="top" wrapText="1"/>
    </xf>
    <xf numFmtId="9" fontId="4" fillId="2" borderId="0" xfId="5" applyFont="1" applyFill="1" applyAlignment="1">
      <alignment horizontal="center" vertical="top"/>
    </xf>
    <xf numFmtId="0" fontId="4" fillId="2" borderId="0" xfId="7" applyFont="1" applyFill="1" applyAlignment="1">
      <alignment horizontal="center" vertical="top" wrapText="1"/>
    </xf>
    <xf numFmtId="0" fontId="4" fillId="2" borderId="0" xfId="2" applyFont="1" applyFill="1" applyAlignment="1">
      <alignment horizontal="center" vertical="top"/>
    </xf>
    <xf numFmtId="164" fontId="4" fillId="2" borderId="0" xfId="3" applyNumberFormat="1" applyFont="1" applyFill="1" applyAlignment="1">
      <alignment vertical="top"/>
    </xf>
    <xf numFmtId="0" fontId="4" fillId="2" borderId="0" xfId="2" applyFont="1" applyFill="1" applyAlignment="1">
      <alignment vertical="top"/>
    </xf>
    <xf numFmtId="42" fontId="4" fillId="2" borderId="0" xfId="2" applyNumberFormat="1" applyFont="1" applyFill="1"/>
    <xf numFmtId="164" fontId="4" fillId="2" borderId="0" xfId="1" applyNumberFormat="1" applyFont="1" applyFill="1"/>
    <xf numFmtId="0" fontId="4" fillId="2" borderId="0" xfId="7" applyFont="1" applyFill="1" applyAlignment="1">
      <alignment horizontal="left" vertical="top"/>
    </xf>
    <xf numFmtId="164" fontId="9" fillId="2" borderId="0" xfId="3" applyNumberFormat="1" applyFont="1" applyFill="1" applyAlignment="1">
      <alignment horizontal="left" vertical="top"/>
    </xf>
    <xf numFmtId="0" fontId="9" fillId="2" borderId="0" xfId="7" applyFont="1" applyFill="1" applyAlignment="1">
      <alignment vertical="top" wrapText="1"/>
    </xf>
    <xf numFmtId="41" fontId="9" fillId="2" borderId="0" xfId="7" applyNumberFormat="1" applyFont="1" applyFill="1" applyAlignment="1">
      <alignment vertical="top"/>
    </xf>
    <xf numFmtId="164" fontId="4" fillId="2" borderId="0" xfId="2" applyNumberFormat="1" applyFont="1" applyFill="1" applyAlignment="1">
      <alignment vertical="top"/>
    </xf>
    <xf numFmtId="0" fontId="4" fillId="2" borderId="0" xfId="2" applyFont="1" applyFill="1" applyAlignment="1">
      <alignment horizontal="left" vertical="top"/>
    </xf>
    <xf numFmtId="164" fontId="9" fillId="2" borderId="1" xfId="3" applyNumberFormat="1" applyFont="1" applyFill="1" applyBorder="1" applyAlignment="1">
      <alignment vertical="top"/>
    </xf>
    <xf numFmtId="0" fontId="4" fillId="2" borderId="0" xfId="2" applyFont="1" applyFill="1" applyAlignment="1">
      <alignment vertical="top" wrapText="1"/>
    </xf>
    <xf numFmtId="164" fontId="9" fillId="2" borderId="1" xfId="8" applyNumberFormat="1" applyFont="1" applyFill="1" applyBorder="1"/>
    <xf numFmtId="164" fontId="4" fillId="2" borderId="1" xfId="2" applyNumberFormat="1" applyFont="1" applyFill="1" applyBorder="1"/>
    <xf numFmtId="41" fontId="9" fillId="0" borderId="0" xfId="0" applyNumberFormat="1" applyFont="1"/>
    <xf numFmtId="0" fontId="0" fillId="0" borderId="0" xfId="0" quotePrefix="1"/>
    <xf numFmtId="164" fontId="2" fillId="0" borderId="3" xfId="1" applyNumberFormat="1" applyFont="1" applyBorder="1"/>
    <xf numFmtId="0" fontId="2" fillId="0" borderId="0" xfId="0" applyFont="1" applyAlignment="1">
      <alignment horizontal="center"/>
    </xf>
    <xf numFmtId="0" fontId="0" fillId="0" borderId="0" xfId="0"/>
    <xf numFmtId="164" fontId="0" fillId="0" borderId="0" xfId="1" applyNumberFormat="1" applyFont="1"/>
    <xf numFmtId="43" fontId="0" fillId="0" borderId="0" xfId="1" applyNumberFormat="1" applyFont="1"/>
    <xf numFmtId="164" fontId="0" fillId="0" borderId="0" xfId="0" applyNumberFormat="1"/>
    <xf numFmtId="10" fontId="0" fillId="0" borderId="0" xfId="19" applyNumberFormat="1" applyFont="1"/>
    <xf numFmtId="0" fontId="3" fillId="0" borderId="0" xfId="7" applyFont="1" applyFill="1" applyAlignment="1">
      <alignment vertical="top" wrapText="1"/>
    </xf>
    <xf numFmtId="17" fontId="0" fillId="0" borderId="0" xfId="0" quotePrefix="1" applyNumberFormat="1"/>
    <xf numFmtId="43" fontId="2" fillId="0" borderId="3" xfId="1" applyNumberFormat="1" applyFont="1" applyBorder="1"/>
    <xf numFmtId="164" fontId="13" fillId="2" borderId="0" xfId="3" applyNumberFormat="1" applyFont="1" applyFill="1" applyAlignment="1">
      <alignment vertical="top"/>
    </xf>
    <xf numFmtId="0" fontId="4" fillId="2" borderId="0" xfId="7" applyFont="1" applyFill="1" applyAlignment="1">
      <alignment horizontal="left" vertical="center" wrapText="1"/>
    </xf>
    <xf numFmtId="0" fontId="9" fillId="0" borderId="0" xfId="0" applyFont="1" applyAlignment="1">
      <alignment horizontal="center" wrapText="1"/>
    </xf>
    <xf numFmtId="164" fontId="9" fillId="0" borderId="0" xfId="1" applyNumberFormat="1" applyFont="1"/>
    <xf numFmtId="164" fontId="4" fillId="0" borderId="0" xfId="1" applyNumberFormat="1" applyFont="1" applyFill="1"/>
    <xf numFmtId="164" fontId="4" fillId="0" borderId="0" xfId="1" applyNumberFormat="1" applyFont="1" applyFill="1" applyAlignment="1">
      <alignment vertical="top"/>
    </xf>
    <xf numFmtId="164" fontId="4" fillId="0" borderId="0" xfId="1" applyNumberFormat="1" applyFont="1" applyFill="1" applyAlignment="1">
      <alignment horizontal="left" vertical="top"/>
    </xf>
    <xf numFmtId="0" fontId="9" fillId="3" borderId="0" xfId="0" applyFont="1" applyFill="1"/>
    <xf numFmtId="0" fontId="9" fillId="3" borderId="0" xfId="0" applyFont="1" applyFill="1" applyAlignment="1">
      <alignment horizontal="center" wrapText="1"/>
    </xf>
    <xf numFmtId="164" fontId="9" fillId="3" borderId="0" xfId="1" applyNumberFormat="1" applyFont="1" applyFill="1"/>
    <xf numFmtId="164" fontId="4" fillId="3" borderId="0" xfId="1" applyNumberFormat="1" applyFont="1" applyFill="1"/>
    <xf numFmtId="164" fontId="4" fillId="3" borderId="0" xfId="1" applyNumberFormat="1" applyFont="1" applyFill="1" applyAlignment="1">
      <alignment vertical="top"/>
    </xf>
    <xf numFmtId="164" fontId="4" fillId="3" borderId="0" xfId="1" applyNumberFormat="1" applyFont="1" applyFill="1" applyAlignment="1">
      <alignment horizontal="left" vertical="top"/>
    </xf>
    <xf numFmtId="0" fontId="4" fillId="3" borderId="0" xfId="2" applyFont="1" applyFill="1"/>
    <xf numFmtId="167" fontId="9" fillId="0" borderId="0" xfId="0" applyNumberFormat="1" applyFont="1" applyAlignment="1">
      <alignment vertical="top"/>
    </xf>
    <xf numFmtId="164" fontId="9" fillId="0" borderId="0" xfId="1" applyNumberFormat="1" applyFont="1" applyAlignment="1">
      <alignment vertical="top"/>
    </xf>
    <xf numFmtId="164" fontId="9" fillId="3" borderId="0" xfId="1" applyNumberFormat="1" applyFont="1" applyFill="1" applyAlignment="1">
      <alignment vertical="top"/>
    </xf>
    <xf numFmtId="0" fontId="9" fillId="0" borderId="0" xfId="0" applyFont="1" applyAlignment="1">
      <alignment vertical="top"/>
    </xf>
    <xf numFmtId="164" fontId="9" fillId="0" borderId="0" xfId="0" applyNumberFormat="1" applyFont="1" applyAlignment="1">
      <alignment vertical="top"/>
    </xf>
    <xf numFmtId="164" fontId="9" fillId="3" borderId="0" xfId="0" applyNumberFormat="1" applyFont="1" applyFill="1"/>
    <xf numFmtId="164" fontId="0" fillId="0" borderId="0" xfId="0" applyNumberFormat="1" applyFill="1"/>
    <xf numFmtId="164" fontId="4" fillId="0" borderId="0" xfId="8" applyNumberFormat="1" applyFont="1" applyFill="1" applyBorder="1" applyAlignment="1">
      <alignment vertical="top"/>
    </xf>
    <xf numFmtId="0" fontId="14" fillId="0" borderId="0" xfId="0" applyFont="1"/>
  </cellXfs>
  <cellStyles count="20">
    <cellStyle name="Comma" xfId="1" builtinId="3"/>
    <cellStyle name="Comma 10" xfId="9"/>
    <cellStyle name="Comma 15" xfId="8"/>
    <cellStyle name="Comma 2" xfId="3"/>
    <cellStyle name="Currency 2" xfId="4"/>
    <cellStyle name="Currency 9" xfId="10"/>
    <cellStyle name="Normal" xfId="0" builtinId="0"/>
    <cellStyle name="Normal 10 2" xfId="11"/>
    <cellStyle name="Normal 13" xfId="7"/>
    <cellStyle name="Normal 2" xfId="6"/>
    <cellStyle name="Normal 2 5" xfId="12"/>
    <cellStyle name="Normal 3" xfId="2"/>
    <cellStyle name="Normal 3 2" xfId="13"/>
    <cellStyle name="Normal 35" xfId="14"/>
    <cellStyle name="Normal 4" xfId="15"/>
    <cellStyle name="Normal 5" xfId="16"/>
    <cellStyle name="Percent" xfId="19" builtinId="5"/>
    <cellStyle name="Percent 14" xfId="17"/>
    <cellStyle name="Percent 2" xfId="5"/>
    <cellStyle name="Percent 2 2"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externalLink" Target="externalLinks/externalLink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xml" Id="imanage.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partments%20&amp;%20Divisions/Florida%20Regulatory/Rate%20Proceedings/2022%20Natural%20Gas/MFR's/G-2%20Schedules%20Proforma%20NO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G2-1"/>
      <sheetName val="G2-1 FN"/>
      <sheetName val="G2-1 CF"/>
      <sheetName val="G2-1 FI"/>
      <sheetName val="G2-1 FT"/>
      <sheetName val="G2-2"/>
      <sheetName val="G2-2 FN"/>
      <sheetName val="G2-2 CF"/>
      <sheetName val="G2-2 FI"/>
      <sheetName val="G2-2 FT"/>
      <sheetName val="G2-3"/>
      <sheetName val="G2-3 FN"/>
      <sheetName val="G2-3 CF"/>
      <sheetName val="G2-3 FI"/>
      <sheetName val="G2-3 FT"/>
      <sheetName val="G2-4"/>
      <sheetName val="G2-4 FN"/>
      <sheetName val="G2-4 CF"/>
      <sheetName val="G2-4 FI"/>
      <sheetName val="G2-4 FT"/>
      <sheetName val="G2-5"/>
      <sheetName val="G2-5 FN"/>
      <sheetName val="G2-5 CF"/>
      <sheetName val="G2-5 FI"/>
      <sheetName val="G2-5 FT"/>
      <sheetName val="G2-6"/>
      <sheetName val="Weather Normalization"/>
      <sheetName val="G2-6 FN"/>
      <sheetName val="G2-6 CF"/>
      <sheetName val="G2-6 FI"/>
      <sheetName val="G2-6 FT"/>
      <sheetName val="G2-7"/>
      <sheetName val="G2-7 FN"/>
      <sheetName val="G2-7 CF"/>
      <sheetName val="G2-7 FI"/>
      <sheetName val="G2-7 FT"/>
      <sheetName val="G2-8 to 11 FN (Old Rate)"/>
      <sheetName val="G2-8 to 11 FN Rate By Div"/>
      <sheetName val="G2-8 to 11 FN Proposed Rate"/>
      <sheetName val="G2-8 to 11 CF (Old Rate)"/>
      <sheetName val="G2-8 to 11 CF Rate by Div"/>
      <sheetName val="G2-8 to 11 CF Proposed Rate"/>
      <sheetName val="G2-8 to 11 FI (Old Rate)"/>
      <sheetName val="G2-8 to 11 FI Rate by Div"/>
      <sheetName val="G2-8 to 11 FI Proposed Rate"/>
      <sheetName val="G2-8 to 11 FT (Old Rate)"/>
      <sheetName val="G2-8 to 11 FT Rate by Div"/>
      <sheetName val="G2-8 to 11 FT Proposed Rate"/>
      <sheetName val="G2-12"/>
      <sheetName val="G2-12 FN"/>
      <sheetName val="G2-12 CF"/>
      <sheetName val="G2-12 FI"/>
      <sheetName val="G2-12 FT"/>
      <sheetName val="G2-13"/>
      <sheetName val="G2-13 FN"/>
      <sheetName val="G2-13 CF"/>
      <sheetName val="G2-13 FI"/>
      <sheetName val="G2-13 FT"/>
      <sheetName val="G2-14"/>
      <sheetName val="G2-14 FN"/>
      <sheetName val="G2-14 CF"/>
      <sheetName val="G2-14 FI"/>
      <sheetName val="G2-14 FT"/>
      <sheetName val="G2-15"/>
      <sheetName val="G2-15 FN"/>
      <sheetName val="G2-15 CF"/>
      <sheetName val="G2-15 FI"/>
      <sheetName val="G2-15 FT"/>
      <sheetName val="G2-16"/>
      <sheetName val="G2-16 FN"/>
      <sheetName val="G2-16 CF"/>
      <sheetName val="G2-16 FI"/>
      <sheetName val="G2-16 FT"/>
      <sheetName val="G2-17"/>
      <sheetName val="G2-17 FN"/>
      <sheetName val="G2-17 CF"/>
      <sheetName val="G2-17 FI"/>
      <sheetName val="G2-17 FT"/>
      <sheetName val="G2-18"/>
      <sheetName val="G2-18 FN"/>
      <sheetName val="G2-18 CF"/>
      <sheetName val="G2-18 FI"/>
      <sheetName val="G2-18 FT"/>
      <sheetName val="G2-19"/>
      <sheetName val="G2-19 FN"/>
      <sheetName val="G2-19 CF"/>
      <sheetName val="G2-19 FI"/>
      <sheetName val="G2-19 FT"/>
      <sheetName val="G2-19a-d Supplement"/>
      <sheetName val="G2-19e Proj Basis Factors"/>
      <sheetName val="G2-19f Over and Under Adj"/>
      <sheetName val="G2-12 to 19 Supplement FN"/>
      <sheetName val="G2-12 to 19 Supplement CF"/>
      <sheetName val="G2-12 to 19 Supplement FI"/>
      <sheetName val="Pages 12 to 19 Supplement FT"/>
      <sheetName val="G2-20"/>
      <sheetName val="G2-20 FN"/>
      <sheetName val="G2-20 CF"/>
      <sheetName val="G2-20 FI"/>
      <sheetName val="G2-20 FT"/>
      <sheetName val="G2-21"/>
      <sheetName val="G2-21 FN"/>
      <sheetName val="G2-21 CF"/>
      <sheetName val="G2-21 FI"/>
      <sheetName val="G2-21 FT"/>
      <sheetName val="G2-22 FC Common"/>
      <sheetName val="G2-22 Corp"/>
      <sheetName val="G2-23"/>
      <sheetName val="G2-23 FN"/>
      <sheetName val="G2-23 CF"/>
      <sheetName val="G2-23 FI"/>
      <sheetName val="G2-23 FT"/>
      <sheetName val="G2-24"/>
      <sheetName val="G2-24 FN"/>
      <sheetName val="G2-24 CF"/>
      <sheetName val="G2-24 FI"/>
      <sheetName val="G2-24 FT"/>
      <sheetName val="G2-25 FC Common"/>
      <sheetName val="G2-25 Corp"/>
      <sheetName val="G2-26"/>
      <sheetName val="G2-26 FN"/>
      <sheetName val="G2-26 CF"/>
      <sheetName val="G2-26 FI"/>
      <sheetName val="G2-26 FT"/>
      <sheetName val="G2-27"/>
      <sheetName val="G2-27 FN"/>
      <sheetName val="G2-27 CF"/>
      <sheetName val="G2-27 FI"/>
      <sheetName val="G2-27 FT"/>
      <sheetName val="G2-28"/>
      <sheetName val="G2-28 FN"/>
      <sheetName val="G2-28 CF"/>
      <sheetName val="G2-28 FI"/>
      <sheetName val="G2-28 FT"/>
      <sheetName val="G2-29"/>
      <sheetName val="G2-29 FN"/>
      <sheetName val="G2-29 CF"/>
      <sheetName val="G2-29 FI"/>
      <sheetName val="G2-29 FT"/>
      <sheetName val="G2-30"/>
      <sheetName val="G2-30 FN"/>
      <sheetName val="G2-30 CF"/>
      <sheetName val="G2-30 FI"/>
      <sheetName val="G2-30 FT"/>
      <sheetName val="G2-31"/>
      <sheetName val="G2-31 FN"/>
      <sheetName val="G2-31 CF"/>
      <sheetName val="G2-31 FI"/>
      <sheetName val="G2-31 F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ow r="118">
          <cell r="Y118">
            <v>43905622.848503999</v>
          </cell>
        </row>
      </sheetData>
      <sheetData sheetId="90"/>
      <sheetData sheetId="91"/>
      <sheetData sheetId="92">
        <row r="102">
          <cell r="P102">
            <v>11602790.001077</v>
          </cell>
          <cell r="V102">
            <v>12669262.474762999</v>
          </cell>
          <cell r="Y102">
            <v>30726942.475840002</v>
          </cell>
        </row>
      </sheetData>
      <sheetData sheetId="93">
        <row r="102">
          <cell r="P102">
            <v>4686264.7935749982</v>
          </cell>
          <cell r="V102">
            <v>5547914.5534690013</v>
          </cell>
          <cell r="Y102">
            <v>12806052.347044002</v>
          </cell>
        </row>
      </sheetData>
      <sheetData sheetId="94">
        <row r="102">
          <cell r="P102">
            <v>87688.931234999996</v>
          </cell>
          <cell r="V102">
            <v>66268.740649999992</v>
          </cell>
          <cell r="Y102">
            <v>183232.67188499996</v>
          </cell>
        </row>
      </sheetData>
      <sheetData sheetId="95">
        <row r="102">
          <cell r="P102">
            <v>54763.241295999993</v>
          </cell>
          <cell r="V102">
            <v>113342.055297</v>
          </cell>
          <cell r="Y102">
            <v>190480.29659300001</v>
          </cell>
        </row>
      </sheetData>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tabSelected="1" zoomScale="80" zoomScaleNormal="80" workbookViewId="0">
      <pane xSplit="3" ySplit="4" topLeftCell="D23" activePane="bottomRight" state="frozen"/>
      <selection pane="topRight" activeCell="D1" sqref="D1"/>
      <selection pane="bottomLeft" activeCell="A5" sqref="A5"/>
      <selection pane="bottomRight" activeCell="F53" sqref="F53"/>
    </sheetView>
  </sheetViews>
  <sheetFormatPr defaultRowHeight="15" x14ac:dyDescent="0.25"/>
  <cols>
    <col min="1" max="1" width="48.28515625" customWidth="1"/>
    <col min="2" max="2" width="16.85546875" customWidth="1"/>
    <col min="3" max="3" width="19.140625" customWidth="1"/>
    <col min="4" max="15" width="16.140625" customWidth="1"/>
    <col min="16" max="16" width="13.140625" customWidth="1"/>
  </cols>
  <sheetData>
    <row r="1" spans="1:16" x14ac:dyDescent="0.25">
      <c r="A1" s="148" t="s">
        <v>0</v>
      </c>
    </row>
    <row r="2" spans="1:16" x14ac:dyDescent="0.25">
      <c r="A2" s="148" t="s">
        <v>235</v>
      </c>
    </row>
    <row r="4" spans="1:16" x14ac:dyDescent="0.25">
      <c r="D4" s="117" t="s">
        <v>1</v>
      </c>
      <c r="E4" s="117" t="s">
        <v>2</v>
      </c>
      <c r="F4" s="117" t="s">
        <v>3</v>
      </c>
      <c r="G4" s="117" t="s">
        <v>4</v>
      </c>
      <c r="H4" s="117" t="s">
        <v>5</v>
      </c>
      <c r="I4" s="117" t="s">
        <v>6</v>
      </c>
      <c r="J4" s="117" t="s">
        <v>7</v>
      </c>
      <c r="K4" s="117" t="s">
        <v>8</v>
      </c>
      <c r="L4" s="117" t="s">
        <v>9</v>
      </c>
      <c r="M4" s="117" t="s">
        <v>10</v>
      </c>
      <c r="N4" s="117" t="s">
        <v>11</v>
      </c>
      <c r="O4" s="117" t="s">
        <v>12</v>
      </c>
    </row>
    <row r="5" spans="1:16" x14ac:dyDescent="0.25">
      <c r="A5" t="s">
        <v>13</v>
      </c>
      <c r="C5" s="1">
        <v>16428684</v>
      </c>
      <c r="D5" s="119">
        <f>C5/12</f>
        <v>1369057</v>
      </c>
      <c r="E5" s="119">
        <f>$D5</f>
        <v>1369057</v>
      </c>
      <c r="F5" s="119">
        <f t="shared" ref="F5:O5" si="0">$D5</f>
        <v>1369057</v>
      </c>
      <c r="G5" s="119">
        <f t="shared" si="0"/>
        <v>1369057</v>
      </c>
      <c r="H5" s="119">
        <f t="shared" si="0"/>
        <v>1369057</v>
      </c>
      <c r="I5" s="119">
        <f t="shared" si="0"/>
        <v>1369057</v>
      </c>
      <c r="J5" s="119">
        <f t="shared" si="0"/>
        <v>1369057</v>
      </c>
      <c r="K5" s="119">
        <f t="shared" si="0"/>
        <v>1369057</v>
      </c>
      <c r="L5" s="119">
        <f t="shared" si="0"/>
        <v>1369057</v>
      </c>
      <c r="M5" s="119">
        <f t="shared" si="0"/>
        <v>1369057</v>
      </c>
      <c r="N5" s="119">
        <f t="shared" si="0"/>
        <v>1369057</v>
      </c>
      <c r="O5" s="119">
        <f t="shared" si="0"/>
        <v>1369057</v>
      </c>
      <c r="P5" s="119">
        <f>C5-SUM(D5:O5)</f>
        <v>0</v>
      </c>
    </row>
    <row r="6" spans="1:16" x14ac:dyDescent="0.25">
      <c r="A6" t="s">
        <v>14</v>
      </c>
      <c r="C6" s="1">
        <v>18398526</v>
      </c>
      <c r="D6" s="119">
        <f>C6/12</f>
        <v>1533210.5</v>
      </c>
      <c r="E6" s="119">
        <f>$D$6</f>
        <v>1533210.5</v>
      </c>
      <c r="F6" s="119">
        <f t="shared" ref="F6:O6" si="1">$D$6</f>
        <v>1533210.5</v>
      </c>
      <c r="G6" s="119">
        <f t="shared" si="1"/>
        <v>1533210.5</v>
      </c>
      <c r="H6" s="119">
        <f t="shared" si="1"/>
        <v>1533210.5</v>
      </c>
      <c r="I6" s="119">
        <f t="shared" si="1"/>
        <v>1533210.5</v>
      </c>
      <c r="J6" s="119">
        <f t="shared" si="1"/>
        <v>1533210.5</v>
      </c>
      <c r="K6" s="119">
        <f t="shared" si="1"/>
        <v>1533210.5</v>
      </c>
      <c r="L6" s="119">
        <f t="shared" si="1"/>
        <v>1533210.5</v>
      </c>
      <c r="M6" s="119">
        <f t="shared" si="1"/>
        <v>1533210.5</v>
      </c>
      <c r="N6" s="119">
        <f t="shared" si="1"/>
        <v>1533210.5</v>
      </c>
      <c r="O6" s="119">
        <f t="shared" si="1"/>
        <v>1533210.5</v>
      </c>
      <c r="P6" s="119">
        <f t="shared" ref="P6:P46" si="2">C6-SUM(D6:O6)</f>
        <v>0</v>
      </c>
    </row>
    <row r="7" spans="1:16" x14ac:dyDescent="0.25">
      <c r="A7" t="s">
        <v>204</v>
      </c>
      <c r="C7" s="1">
        <f>'Over and Under Adj'!K95</f>
        <v>8712266.3800000008</v>
      </c>
      <c r="D7" s="119">
        <f>C7/12</f>
        <v>726022.19833333336</v>
      </c>
      <c r="E7" s="119">
        <f>$D7</f>
        <v>726022.19833333336</v>
      </c>
      <c r="F7" s="119">
        <f t="shared" ref="F7:O7" si="3">$D7</f>
        <v>726022.19833333336</v>
      </c>
      <c r="G7" s="119">
        <f t="shared" si="3"/>
        <v>726022.19833333336</v>
      </c>
      <c r="H7" s="119">
        <f t="shared" si="3"/>
        <v>726022.19833333336</v>
      </c>
      <c r="I7" s="119">
        <f t="shared" si="3"/>
        <v>726022.19833333336</v>
      </c>
      <c r="J7" s="119">
        <f t="shared" si="3"/>
        <v>726022.19833333336</v>
      </c>
      <c r="K7" s="119">
        <f t="shared" si="3"/>
        <v>726022.19833333336</v>
      </c>
      <c r="L7" s="119">
        <f t="shared" si="3"/>
        <v>726022.19833333336</v>
      </c>
      <c r="M7" s="119">
        <f t="shared" si="3"/>
        <v>726022.19833333336</v>
      </c>
      <c r="N7" s="119">
        <f t="shared" si="3"/>
        <v>726022.19833333336</v>
      </c>
      <c r="O7" s="119">
        <f t="shared" si="3"/>
        <v>726022.19833333336</v>
      </c>
      <c r="P7" s="119">
        <f t="shared" si="2"/>
        <v>0</v>
      </c>
    </row>
    <row r="8" spans="1:16" s="118" customFormat="1" x14ac:dyDescent="0.25">
      <c r="A8" s="118" t="s">
        <v>62</v>
      </c>
      <c r="B8" s="124" t="s">
        <v>211</v>
      </c>
      <c r="C8" s="119">
        <v>8479</v>
      </c>
      <c r="D8" s="119"/>
      <c r="E8" s="119"/>
      <c r="F8" s="119"/>
      <c r="G8" s="119"/>
      <c r="H8" s="119"/>
      <c r="I8" s="119"/>
      <c r="J8" s="120">
        <f>C8/6</f>
        <v>1413.1666666666667</v>
      </c>
      <c r="K8" s="119">
        <f>$J8</f>
        <v>1413.1666666666667</v>
      </c>
      <c r="L8" s="119">
        <f>$J8</f>
        <v>1413.1666666666667</v>
      </c>
      <c r="M8" s="119">
        <f t="shared" ref="M8:O8" si="4">$J8</f>
        <v>1413.1666666666667</v>
      </c>
      <c r="N8" s="119">
        <f t="shared" si="4"/>
        <v>1413.1666666666667</v>
      </c>
      <c r="O8" s="119">
        <f t="shared" si="4"/>
        <v>1413.1666666666667</v>
      </c>
      <c r="P8" s="119">
        <f t="shared" si="2"/>
        <v>0</v>
      </c>
    </row>
    <row r="9" spans="1:16" x14ac:dyDescent="0.25">
      <c r="A9" t="s">
        <v>102</v>
      </c>
      <c r="B9" s="115" t="s">
        <v>207</v>
      </c>
      <c r="C9" s="1">
        <v>886</v>
      </c>
      <c r="D9" s="119"/>
      <c r="E9" s="119"/>
      <c r="F9" s="119"/>
      <c r="G9" s="119"/>
      <c r="H9" s="119"/>
      <c r="I9" s="119"/>
      <c r="J9" s="119"/>
      <c r="K9" s="119"/>
      <c r="L9" s="119"/>
      <c r="M9" s="119">
        <f>C9/3</f>
        <v>295.33333333333331</v>
      </c>
      <c r="N9" s="119">
        <f>$M9</f>
        <v>295.33333333333331</v>
      </c>
      <c r="O9" s="119">
        <f>$M9</f>
        <v>295.33333333333331</v>
      </c>
      <c r="P9" s="119">
        <f t="shared" si="2"/>
        <v>0</v>
      </c>
    </row>
    <row r="10" spans="1:16" x14ac:dyDescent="0.25">
      <c r="A10" t="s">
        <v>105</v>
      </c>
      <c r="B10" s="115" t="s">
        <v>207</v>
      </c>
      <c r="C10" s="1">
        <v>1787</v>
      </c>
      <c r="D10" s="119"/>
      <c r="E10" s="119"/>
      <c r="F10" s="119"/>
      <c r="G10" s="119"/>
      <c r="H10" s="119"/>
      <c r="I10" s="119"/>
      <c r="J10" s="119"/>
      <c r="K10" s="119"/>
      <c r="L10" s="119"/>
      <c r="M10" s="119">
        <f>C10/3</f>
        <v>595.66666666666663</v>
      </c>
      <c r="N10" s="119">
        <f>$M10</f>
        <v>595.66666666666663</v>
      </c>
      <c r="O10" s="119">
        <f>$M10</f>
        <v>595.66666666666663</v>
      </c>
      <c r="P10" s="119">
        <f t="shared" si="2"/>
        <v>0</v>
      </c>
    </row>
    <row r="11" spans="1:16" x14ac:dyDescent="0.25">
      <c r="A11" t="s">
        <v>107</v>
      </c>
      <c r="B11" s="115" t="s">
        <v>208</v>
      </c>
      <c r="C11" s="1">
        <v>6618.1279999999997</v>
      </c>
      <c r="D11" s="119">
        <f>C11/12</f>
        <v>551.51066666666668</v>
      </c>
      <c r="E11" s="119">
        <f>$D11</f>
        <v>551.51066666666668</v>
      </c>
      <c r="F11" s="119">
        <f t="shared" ref="F11:O11" si="5">$D11</f>
        <v>551.51066666666668</v>
      </c>
      <c r="G11" s="119">
        <f t="shared" si="5"/>
        <v>551.51066666666668</v>
      </c>
      <c r="H11" s="119">
        <f t="shared" si="5"/>
        <v>551.51066666666668</v>
      </c>
      <c r="I11" s="119">
        <f t="shared" si="5"/>
        <v>551.51066666666668</v>
      </c>
      <c r="J11" s="119">
        <f t="shared" si="5"/>
        <v>551.51066666666668</v>
      </c>
      <c r="K11" s="119">
        <f t="shared" si="5"/>
        <v>551.51066666666668</v>
      </c>
      <c r="L11" s="119">
        <f t="shared" si="5"/>
        <v>551.51066666666668</v>
      </c>
      <c r="M11" s="119">
        <f t="shared" si="5"/>
        <v>551.51066666666668</v>
      </c>
      <c r="N11" s="119">
        <f t="shared" si="5"/>
        <v>551.51066666666668</v>
      </c>
      <c r="O11" s="119">
        <f t="shared" si="5"/>
        <v>551.51066666666668</v>
      </c>
      <c r="P11" s="119">
        <f t="shared" si="2"/>
        <v>0</v>
      </c>
    </row>
    <row r="12" spans="1:16" x14ac:dyDescent="0.25">
      <c r="A12" t="s">
        <v>109</v>
      </c>
      <c r="B12" s="115" t="s">
        <v>209</v>
      </c>
      <c r="C12" s="1">
        <v>27907</v>
      </c>
      <c r="D12" s="119"/>
      <c r="E12" s="119"/>
      <c r="F12" s="119"/>
      <c r="G12" s="119"/>
      <c r="H12" s="119"/>
      <c r="I12" s="119"/>
      <c r="J12" s="119">
        <f>C12/6</f>
        <v>4651.166666666667</v>
      </c>
      <c r="K12" s="119">
        <f>$J12</f>
        <v>4651.166666666667</v>
      </c>
      <c r="L12" s="119">
        <f t="shared" ref="L12:O12" si="6">$J12</f>
        <v>4651.166666666667</v>
      </c>
      <c r="M12" s="119">
        <f t="shared" si="6"/>
        <v>4651.166666666667</v>
      </c>
      <c r="N12" s="119">
        <f t="shared" si="6"/>
        <v>4651.166666666667</v>
      </c>
      <c r="O12" s="119">
        <f t="shared" si="6"/>
        <v>4651.166666666667</v>
      </c>
      <c r="P12" s="119">
        <f t="shared" si="2"/>
        <v>0</v>
      </c>
    </row>
    <row r="13" spans="1:16" x14ac:dyDescent="0.25">
      <c r="A13" t="s">
        <v>111</v>
      </c>
      <c r="B13" s="115" t="s">
        <v>208</v>
      </c>
      <c r="C13" s="1">
        <v>40899</v>
      </c>
      <c r="D13" s="119">
        <f t="shared" ref="D13:D14" si="7">C13/12</f>
        <v>3408.25</v>
      </c>
      <c r="E13" s="119">
        <f t="shared" ref="E13:O14" si="8">$D13</f>
        <v>3408.25</v>
      </c>
      <c r="F13" s="119">
        <f t="shared" si="8"/>
        <v>3408.25</v>
      </c>
      <c r="G13" s="119">
        <f t="shared" si="8"/>
        <v>3408.25</v>
      </c>
      <c r="H13" s="119">
        <f t="shared" si="8"/>
        <v>3408.25</v>
      </c>
      <c r="I13" s="119">
        <f t="shared" si="8"/>
        <v>3408.25</v>
      </c>
      <c r="J13" s="119">
        <f t="shared" si="8"/>
        <v>3408.25</v>
      </c>
      <c r="K13" s="119">
        <f t="shared" si="8"/>
        <v>3408.25</v>
      </c>
      <c r="L13" s="119">
        <f t="shared" si="8"/>
        <v>3408.25</v>
      </c>
      <c r="M13" s="119">
        <f t="shared" si="8"/>
        <v>3408.25</v>
      </c>
      <c r="N13" s="119">
        <f t="shared" si="8"/>
        <v>3408.25</v>
      </c>
      <c r="O13" s="119">
        <f t="shared" si="8"/>
        <v>3408.25</v>
      </c>
      <c r="P13" s="119">
        <f t="shared" si="2"/>
        <v>0</v>
      </c>
    </row>
    <row r="14" spans="1:16" x14ac:dyDescent="0.25">
      <c r="A14" t="s">
        <v>114</v>
      </c>
      <c r="B14" s="115" t="s">
        <v>208</v>
      </c>
      <c r="C14" s="1">
        <v>26118</v>
      </c>
      <c r="D14" s="119">
        <f t="shared" si="7"/>
        <v>2176.5</v>
      </c>
      <c r="E14" s="119">
        <f t="shared" si="8"/>
        <v>2176.5</v>
      </c>
      <c r="F14" s="119">
        <f t="shared" si="8"/>
        <v>2176.5</v>
      </c>
      <c r="G14" s="119">
        <f t="shared" si="8"/>
        <v>2176.5</v>
      </c>
      <c r="H14" s="119">
        <f t="shared" si="8"/>
        <v>2176.5</v>
      </c>
      <c r="I14" s="119">
        <f t="shared" si="8"/>
        <v>2176.5</v>
      </c>
      <c r="J14" s="119">
        <f t="shared" si="8"/>
        <v>2176.5</v>
      </c>
      <c r="K14" s="119">
        <f t="shared" si="8"/>
        <v>2176.5</v>
      </c>
      <c r="L14" s="119">
        <f t="shared" si="8"/>
        <v>2176.5</v>
      </c>
      <c r="M14" s="119">
        <f t="shared" si="8"/>
        <v>2176.5</v>
      </c>
      <c r="N14" s="119">
        <f t="shared" si="8"/>
        <v>2176.5</v>
      </c>
      <c r="O14" s="119">
        <f t="shared" si="8"/>
        <v>2176.5</v>
      </c>
      <c r="P14" s="119">
        <f t="shared" si="2"/>
        <v>0</v>
      </c>
    </row>
    <row r="15" spans="1:16" x14ac:dyDescent="0.25">
      <c r="A15" t="s">
        <v>117</v>
      </c>
      <c r="B15" s="115" t="s">
        <v>210</v>
      </c>
      <c r="C15" s="1">
        <v>36040</v>
      </c>
      <c r="D15" s="119"/>
      <c r="E15" s="119"/>
      <c r="F15" s="119"/>
      <c r="G15" s="120">
        <f>C15/9</f>
        <v>4004.4444444444443</v>
      </c>
      <c r="H15" s="119">
        <f>$G15</f>
        <v>4004.4444444444443</v>
      </c>
      <c r="I15" s="119">
        <f t="shared" ref="I15:O15" si="9">$G15</f>
        <v>4004.4444444444443</v>
      </c>
      <c r="J15" s="119">
        <f t="shared" si="9"/>
        <v>4004.4444444444443</v>
      </c>
      <c r="K15" s="119">
        <f t="shared" si="9"/>
        <v>4004.4444444444443</v>
      </c>
      <c r="L15" s="119">
        <f t="shared" si="9"/>
        <v>4004.4444444444443</v>
      </c>
      <c r="M15" s="119">
        <f t="shared" si="9"/>
        <v>4004.4444444444443</v>
      </c>
      <c r="N15" s="119">
        <f t="shared" si="9"/>
        <v>4004.4444444444443</v>
      </c>
      <c r="O15" s="119">
        <f t="shared" si="9"/>
        <v>4004.4444444444443</v>
      </c>
      <c r="P15" s="119">
        <f t="shared" si="2"/>
        <v>0</v>
      </c>
    </row>
    <row r="16" spans="1:16" x14ac:dyDescent="0.25">
      <c r="A16" t="s">
        <v>119</v>
      </c>
      <c r="B16" s="115" t="s">
        <v>205</v>
      </c>
      <c r="C16" s="1">
        <v>44882.850479999994</v>
      </c>
      <c r="D16" s="119"/>
      <c r="E16" s="119"/>
      <c r="F16" s="119"/>
      <c r="G16" s="119"/>
      <c r="H16" s="119"/>
      <c r="I16" s="119">
        <f>C16/7</f>
        <v>6411.8357828571416</v>
      </c>
      <c r="J16" s="119">
        <f>$I16</f>
        <v>6411.8357828571416</v>
      </c>
      <c r="K16" s="119">
        <f t="shared" ref="K16:O16" si="10">$I16</f>
        <v>6411.8357828571416</v>
      </c>
      <c r="L16" s="119">
        <f t="shared" si="10"/>
        <v>6411.8357828571416</v>
      </c>
      <c r="M16" s="119">
        <f t="shared" si="10"/>
        <v>6411.8357828571416</v>
      </c>
      <c r="N16" s="119">
        <f t="shared" si="10"/>
        <v>6411.8357828571416</v>
      </c>
      <c r="O16" s="119">
        <f t="shared" si="10"/>
        <v>6411.8357828571416</v>
      </c>
      <c r="P16" s="119">
        <f t="shared" si="2"/>
        <v>0</v>
      </c>
    </row>
    <row r="17" spans="1:16" x14ac:dyDescent="0.25">
      <c r="A17" t="s">
        <v>119</v>
      </c>
      <c r="B17" s="115" t="s">
        <v>211</v>
      </c>
      <c r="C17" s="1">
        <v>16109.152800000002</v>
      </c>
      <c r="D17" s="119"/>
      <c r="E17" s="119"/>
      <c r="F17" s="119"/>
      <c r="G17" s="119"/>
      <c r="H17" s="119"/>
      <c r="I17" s="119"/>
      <c r="J17" s="119"/>
      <c r="K17" s="120">
        <f>C17/5</f>
        <v>3221.8305600000003</v>
      </c>
      <c r="L17" s="119">
        <f>$K17</f>
        <v>3221.8305600000003</v>
      </c>
      <c r="M17" s="119">
        <f t="shared" ref="M17:O17" si="11">$K17</f>
        <v>3221.8305600000003</v>
      </c>
      <c r="N17" s="119">
        <f t="shared" si="11"/>
        <v>3221.8305600000003</v>
      </c>
      <c r="O17" s="119">
        <f t="shared" si="11"/>
        <v>3221.8305600000003</v>
      </c>
      <c r="P17" s="119">
        <f t="shared" si="2"/>
        <v>0</v>
      </c>
    </row>
    <row r="18" spans="1:16" x14ac:dyDescent="0.25">
      <c r="A18" t="s">
        <v>119</v>
      </c>
      <c r="B18" s="115" t="s">
        <v>212</v>
      </c>
      <c r="C18" s="1">
        <v>25775.505600000004</v>
      </c>
      <c r="D18" s="119"/>
      <c r="E18" s="119"/>
      <c r="F18" s="119"/>
      <c r="G18" s="119"/>
      <c r="H18" s="119"/>
      <c r="I18" s="119"/>
      <c r="J18" s="119"/>
      <c r="K18" s="119"/>
      <c r="L18" s="120">
        <f>C18/4</f>
        <v>6443.876400000001</v>
      </c>
      <c r="M18" s="119">
        <f>$L18</f>
        <v>6443.876400000001</v>
      </c>
      <c r="N18" s="119">
        <f t="shared" ref="N18:O19" si="12">$L18</f>
        <v>6443.876400000001</v>
      </c>
      <c r="O18" s="119">
        <f t="shared" si="12"/>
        <v>6443.876400000001</v>
      </c>
      <c r="P18" s="119">
        <f t="shared" si="2"/>
        <v>0</v>
      </c>
    </row>
    <row r="19" spans="1:16" x14ac:dyDescent="0.25">
      <c r="A19" t="s">
        <v>123</v>
      </c>
      <c r="B19" s="115" t="s">
        <v>212</v>
      </c>
      <c r="C19" s="1">
        <v>11932</v>
      </c>
      <c r="D19" s="119"/>
      <c r="E19" s="119"/>
      <c r="F19" s="119"/>
      <c r="G19" s="119"/>
      <c r="H19" s="119"/>
      <c r="I19" s="119"/>
      <c r="J19" s="119"/>
      <c r="K19" s="119"/>
      <c r="L19" s="120">
        <f>C19/4</f>
        <v>2983</v>
      </c>
      <c r="M19" s="119">
        <f>$L19</f>
        <v>2983</v>
      </c>
      <c r="N19" s="119">
        <f t="shared" si="12"/>
        <v>2983</v>
      </c>
      <c r="O19" s="119">
        <f t="shared" si="12"/>
        <v>2983</v>
      </c>
      <c r="P19" s="119">
        <f t="shared" si="2"/>
        <v>0</v>
      </c>
    </row>
    <row r="20" spans="1:16" x14ac:dyDescent="0.25">
      <c r="A20" t="s">
        <v>125</v>
      </c>
      <c r="B20" s="115" t="s">
        <v>213</v>
      </c>
      <c r="C20" s="1">
        <v>0</v>
      </c>
      <c r="D20" s="119">
        <v>0</v>
      </c>
      <c r="E20" s="119">
        <v>0</v>
      </c>
      <c r="F20" s="119">
        <v>0</v>
      </c>
      <c r="G20" s="119">
        <v>0</v>
      </c>
      <c r="H20" s="119">
        <v>0</v>
      </c>
      <c r="I20" s="119">
        <v>0</v>
      </c>
      <c r="J20" s="119">
        <v>0</v>
      </c>
      <c r="K20" s="119">
        <v>0</v>
      </c>
      <c r="L20" s="119">
        <v>0</v>
      </c>
      <c r="M20" s="119">
        <v>0</v>
      </c>
      <c r="N20" s="119">
        <v>0</v>
      </c>
      <c r="O20" s="119">
        <v>0</v>
      </c>
      <c r="P20" s="119">
        <f t="shared" si="2"/>
        <v>0</v>
      </c>
    </row>
    <row r="21" spans="1:16" x14ac:dyDescent="0.25">
      <c r="A21" t="s">
        <v>127</v>
      </c>
      <c r="B21" s="115" t="s">
        <v>206</v>
      </c>
      <c r="C21" s="1">
        <v>36346.080000000002</v>
      </c>
      <c r="D21" s="119"/>
      <c r="E21" s="119"/>
      <c r="F21" s="119"/>
      <c r="G21" s="119"/>
      <c r="H21" s="120">
        <f>C21/8</f>
        <v>4543.26</v>
      </c>
      <c r="I21" s="119">
        <f>$H21</f>
        <v>4543.26</v>
      </c>
      <c r="J21" s="119">
        <f t="shared" ref="J21:O21" si="13">$H21</f>
        <v>4543.26</v>
      </c>
      <c r="K21" s="119">
        <f t="shared" si="13"/>
        <v>4543.26</v>
      </c>
      <c r="L21" s="119">
        <f t="shared" si="13"/>
        <v>4543.26</v>
      </c>
      <c r="M21" s="119">
        <f t="shared" si="13"/>
        <v>4543.26</v>
      </c>
      <c r="N21" s="119">
        <f t="shared" si="13"/>
        <v>4543.26</v>
      </c>
      <c r="O21" s="119">
        <f t="shared" si="13"/>
        <v>4543.26</v>
      </c>
      <c r="P21" s="119">
        <f t="shared" si="2"/>
        <v>0</v>
      </c>
    </row>
    <row r="22" spans="1:16" x14ac:dyDescent="0.25">
      <c r="A22" t="s">
        <v>129</v>
      </c>
      <c r="B22" s="115" t="s">
        <v>213</v>
      </c>
      <c r="C22" s="1">
        <v>0</v>
      </c>
      <c r="D22" s="119">
        <v>0</v>
      </c>
      <c r="E22" s="119">
        <v>0</v>
      </c>
      <c r="F22" s="119">
        <v>0</v>
      </c>
      <c r="G22" s="119">
        <v>0</v>
      </c>
      <c r="H22" s="119">
        <v>0</v>
      </c>
      <c r="I22" s="119">
        <v>0</v>
      </c>
      <c r="J22" s="119">
        <v>0</v>
      </c>
      <c r="K22" s="119">
        <v>0</v>
      </c>
      <c r="L22" s="119">
        <v>0</v>
      </c>
      <c r="M22" s="119">
        <v>0</v>
      </c>
      <c r="N22" s="119">
        <v>0</v>
      </c>
      <c r="O22" s="119">
        <v>0</v>
      </c>
      <c r="P22" s="119">
        <f t="shared" si="2"/>
        <v>0</v>
      </c>
    </row>
    <row r="23" spans="1:16" x14ac:dyDescent="0.25">
      <c r="A23" t="s">
        <v>131</v>
      </c>
      <c r="B23" s="115" t="s">
        <v>205</v>
      </c>
      <c r="C23" s="1">
        <v>19900</v>
      </c>
      <c r="D23" s="119"/>
      <c r="E23" s="119"/>
      <c r="F23" s="119"/>
      <c r="G23" s="119"/>
      <c r="H23" s="119"/>
      <c r="I23" s="119">
        <f>C23/7</f>
        <v>2842.8571428571427</v>
      </c>
      <c r="J23" s="119">
        <f>$I23</f>
        <v>2842.8571428571427</v>
      </c>
      <c r="K23" s="119">
        <f t="shared" ref="K23:O23" si="14">$I23</f>
        <v>2842.8571428571427</v>
      </c>
      <c r="L23" s="119">
        <f t="shared" si="14"/>
        <v>2842.8571428571427</v>
      </c>
      <c r="M23" s="119">
        <f t="shared" si="14"/>
        <v>2842.8571428571427</v>
      </c>
      <c r="N23" s="119">
        <f t="shared" si="14"/>
        <v>2842.8571428571427</v>
      </c>
      <c r="O23" s="119">
        <f t="shared" si="14"/>
        <v>2842.8571428571427</v>
      </c>
      <c r="P23" s="119">
        <f t="shared" si="2"/>
        <v>0</v>
      </c>
    </row>
    <row r="24" spans="1:16" x14ac:dyDescent="0.25">
      <c r="A24" t="s">
        <v>134</v>
      </c>
      <c r="B24" s="115" t="s">
        <v>206</v>
      </c>
      <c r="C24" s="1">
        <v>14098.29708737864</v>
      </c>
      <c r="D24" s="119"/>
      <c r="E24" s="119"/>
      <c r="F24" s="119"/>
      <c r="G24" s="119"/>
      <c r="H24" s="120">
        <f>C24/8</f>
        <v>1762.28713592233</v>
      </c>
      <c r="I24" s="119">
        <f>$H24</f>
        <v>1762.28713592233</v>
      </c>
      <c r="J24" s="119">
        <f t="shared" ref="J24:O26" si="15">$H24</f>
        <v>1762.28713592233</v>
      </c>
      <c r="K24" s="119">
        <f t="shared" si="15"/>
        <v>1762.28713592233</v>
      </c>
      <c r="L24" s="119">
        <f t="shared" si="15"/>
        <v>1762.28713592233</v>
      </c>
      <c r="M24" s="119">
        <f t="shared" si="15"/>
        <v>1762.28713592233</v>
      </c>
      <c r="N24" s="119">
        <f t="shared" si="15"/>
        <v>1762.28713592233</v>
      </c>
      <c r="O24" s="119">
        <f t="shared" si="15"/>
        <v>1762.28713592233</v>
      </c>
      <c r="P24" s="119">
        <f t="shared" si="2"/>
        <v>0</v>
      </c>
    </row>
    <row r="25" spans="1:16" x14ac:dyDescent="0.25">
      <c r="A25" t="s">
        <v>136</v>
      </c>
      <c r="B25" s="115" t="s">
        <v>211</v>
      </c>
      <c r="C25" s="1">
        <v>25905</v>
      </c>
      <c r="D25" s="119"/>
      <c r="E25" s="119"/>
      <c r="F25" s="119"/>
      <c r="G25" s="119"/>
      <c r="H25" s="119"/>
      <c r="I25" s="119"/>
      <c r="J25" s="119"/>
      <c r="K25" s="120">
        <f>C25/5</f>
        <v>5181</v>
      </c>
      <c r="L25" s="119">
        <f>$K25</f>
        <v>5181</v>
      </c>
      <c r="M25" s="119">
        <f t="shared" ref="M25:O25" si="16">$K25</f>
        <v>5181</v>
      </c>
      <c r="N25" s="119">
        <f t="shared" si="16"/>
        <v>5181</v>
      </c>
      <c r="O25" s="119">
        <f t="shared" si="16"/>
        <v>5181</v>
      </c>
      <c r="P25" s="119">
        <f t="shared" si="2"/>
        <v>0</v>
      </c>
    </row>
    <row r="26" spans="1:16" x14ac:dyDescent="0.25">
      <c r="A26" t="s">
        <v>138</v>
      </c>
      <c r="B26" s="115" t="s">
        <v>206</v>
      </c>
      <c r="C26" s="1">
        <v>36894.320388349508</v>
      </c>
      <c r="D26" s="119"/>
      <c r="E26" s="119"/>
      <c r="F26" s="119"/>
      <c r="G26" s="119"/>
      <c r="H26" s="120">
        <f>C26/8</f>
        <v>4611.7900485436885</v>
      </c>
      <c r="I26" s="119">
        <f>$H26</f>
        <v>4611.7900485436885</v>
      </c>
      <c r="J26" s="119">
        <f t="shared" si="15"/>
        <v>4611.7900485436885</v>
      </c>
      <c r="K26" s="119">
        <f t="shared" si="15"/>
        <v>4611.7900485436885</v>
      </c>
      <c r="L26" s="119">
        <f t="shared" si="15"/>
        <v>4611.7900485436885</v>
      </c>
      <c r="M26" s="119">
        <f t="shared" si="15"/>
        <v>4611.7900485436885</v>
      </c>
      <c r="N26" s="119">
        <f t="shared" si="15"/>
        <v>4611.7900485436885</v>
      </c>
      <c r="O26" s="119">
        <f t="shared" si="15"/>
        <v>4611.7900485436885</v>
      </c>
      <c r="P26" s="119">
        <f t="shared" si="2"/>
        <v>0</v>
      </c>
    </row>
    <row r="27" spans="1:16" x14ac:dyDescent="0.25">
      <c r="A27" t="s">
        <v>140</v>
      </c>
      <c r="B27" s="115" t="s">
        <v>209</v>
      </c>
      <c r="C27" s="1">
        <v>7609.5320388349501</v>
      </c>
      <c r="D27" s="119"/>
      <c r="E27" s="119"/>
      <c r="F27" s="119"/>
      <c r="G27" s="119"/>
      <c r="H27" s="119"/>
      <c r="I27" s="119"/>
      <c r="J27" s="120">
        <f>C27/6</f>
        <v>1268.2553398058251</v>
      </c>
      <c r="K27" s="119">
        <f>$J27</f>
        <v>1268.2553398058251</v>
      </c>
      <c r="L27" s="119">
        <f t="shared" ref="L27:O27" si="17">$J27</f>
        <v>1268.2553398058251</v>
      </c>
      <c r="M27" s="119">
        <f t="shared" si="17"/>
        <v>1268.2553398058251</v>
      </c>
      <c r="N27" s="119">
        <f t="shared" si="17"/>
        <v>1268.2553398058251</v>
      </c>
      <c r="O27" s="119">
        <f t="shared" si="17"/>
        <v>1268.2553398058251</v>
      </c>
      <c r="P27" s="119">
        <f t="shared" si="2"/>
        <v>0</v>
      </c>
    </row>
    <row r="28" spans="1:16" x14ac:dyDescent="0.25">
      <c r="A28" t="s">
        <v>142</v>
      </c>
      <c r="B28" s="115" t="s">
        <v>214</v>
      </c>
      <c r="C28" s="1">
        <v>20203.768932038834</v>
      </c>
      <c r="D28" s="119"/>
      <c r="E28" s="119"/>
      <c r="F28" s="120">
        <f>C28/10</f>
        <v>2020.3768932038834</v>
      </c>
      <c r="G28" s="119">
        <f>$F28</f>
        <v>2020.3768932038834</v>
      </c>
      <c r="H28" s="119">
        <f t="shared" ref="H28:O28" si="18">$F28</f>
        <v>2020.3768932038834</v>
      </c>
      <c r="I28" s="119">
        <f t="shared" si="18"/>
        <v>2020.3768932038834</v>
      </c>
      <c r="J28" s="119">
        <f t="shared" si="18"/>
        <v>2020.3768932038834</v>
      </c>
      <c r="K28" s="119">
        <f t="shared" si="18"/>
        <v>2020.3768932038834</v>
      </c>
      <c r="L28" s="119">
        <f t="shared" si="18"/>
        <v>2020.3768932038834</v>
      </c>
      <c r="M28" s="119">
        <f t="shared" si="18"/>
        <v>2020.3768932038834</v>
      </c>
      <c r="N28" s="119">
        <f t="shared" si="18"/>
        <v>2020.3768932038834</v>
      </c>
      <c r="O28" s="119">
        <f t="shared" si="18"/>
        <v>2020.3768932038834</v>
      </c>
      <c r="P28" s="119">
        <f t="shared" si="2"/>
        <v>0</v>
      </c>
    </row>
    <row r="29" spans="1:16" x14ac:dyDescent="0.25">
      <c r="A29" t="s">
        <v>144</v>
      </c>
      <c r="B29" s="115" t="s">
        <v>206</v>
      </c>
      <c r="C29" s="1">
        <v>11182</v>
      </c>
      <c r="D29" s="119"/>
      <c r="E29" s="119"/>
      <c r="F29" s="119"/>
      <c r="G29" s="119"/>
      <c r="H29" s="120"/>
      <c r="I29" s="119"/>
      <c r="J29" s="120">
        <f>C29/6</f>
        <v>1863.6666666666667</v>
      </c>
      <c r="K29" s="119">
        <f>$J29</f>
        <v>1863.6666666666667</v>
      </c>
      <c r="L29" s="119">
        <f t="shared" ref="L29:O29" si="19">$J29</f>
        <v>1863.6666666666667</v>
      </c>
      <c r="M29" s="119">
        <f t="shared" si="19"/>
        <v>1863.6666666666667</v>
      </c>
      <c r="N29" s="119">
        <f t="shared" si="19"/>
        <v>1863.6666666666667</v>
      </c>
      <c r="O29" s="119">
        <f t="shared" si="19"/>
        <v>1863.6666666666667</v>
      </c>
      <c r="P29" s="119">
        <f t="shared" si="2"/>
        <v>0</v>
      </c>
    </row>
    <row r="30" spans="1:16" x14ac:dyDescent="0.25">
      <c r="A30" t="s">
        <v>147</v>
      </c>
      <c r="B30" s="115" t="s">
        <v>205</v>
      </c>
      <c r="C30" s="1">
        <v>106619.77475728156</v>
      </c>
      <c r="D30" s="119"/>
      <c r="E30" s="119"/>
      <c r="F30" s="119"/>
      <c r="G30" s="119"/>
      <c r="H30" s="119"/>
      <c r="I30" s="119">
        <f>C30/7</f>
        <v>15231.396393897365</v>
      </c>
      <c r="J30" s="119">
        <f>$I30</f>
        <v>15231.396393897365</v>
      </c>
      <c r="K30" s="119">
        <f t="shared" ref="K30:O30" si="20">$I30</f>
        <v>15231.396393897365</v>
      </c>
      <c r="L30" s="119">
        <f t="shared" si="20"/>
        <v>15231.396393897365</v>
      </c>
      <c r="M30" s="119">
        <f t="shared" si="20"/>
        <v>15231.396393897365</v>
      </c>
      <c r="N30" s="119">
        <f t="shared" si="20"/>
        <v>15231.396393897365</v>
      </c>
      <c r="O30" s="119">
        <f t="shared" si="20"/>
        <v>15231.396393897365</v>
      </c>
      <c r="P30" s="119">
        <f t="shared" si="2"/>
        <v>0</v>
      </c>
    </row>
    <row r="31" spans="1:16" x14ac:dyDescent="0.25">
      <c r="A31" t="s">
        <v>149</v>
      </c>
      <c r="B31" s="115" t="s">
        <v>210</v>
      </c>
      <c r="C31" s="1">
        <v>67394.790291262136</v>
      </c>
      <c r="D31" s="119"/>
      <c r="E31" s="119"/>
      <c r="F31" s="119"/>
      <c r="G31" s="120">
        <f>C31/9</f>
        <v>7488.3100323624594</v>
      </c>
      <c r="H31" s="119">
        <f>$G31</f>
        <v>7488.3100323624594</v>
      </c>
      <c r="I31" s="119">
        <f t="shared" ref="I31:O31" si="21">$G31</f>
        <v>7488.3100323624594</v>
      </c>
      <c r="J31" s="119">
        <f t="shared" si="21"/>
        <v>7488.3100323624594</v>
      </c>
      <c r="K31" s="119">
        <f t="shared" si="21"/>
        <v>7488.3100323624594</v>
      </c>
      <c r="L31" s="119">
        <f t="shared" si="21"/>
        <v>7488.3100323624594</v>
      </c>
      <c r="M31" s="119">
        <f t="shared" si="21"/>
        <v>7488.3100323624594</v>
      </c>
      <c r="N31" s="119">
        <f t="shared" si="21"/>
        <v>7488.3100323624594</v>
      </c>
      <c r="O31" s="119">
        <f t="shared" si="21"/>
        <v>7488.3100323624594</v>
      </c>
      <c r="P31" s="119">
        <f t="shared" si="2"/>
        <v>0</v>
      </c>
    </row>
    <row r="32" spans="1:16" ht="15" customHeight="1" x14ac:dyDescent="0.25">
      <c r="A32" t="s">
        <v>152</v>
      </c>
      <c r="B32" s="115" t="s">
        <v>215</v>
      </c>
      <c r="C32" s="1">
        <v>35828.88349514563</v>
      </c>
      <c r="D32" s="119">
        <f t="shared" ref="D32:D34" si="22">C32/12</f>
        <v>2985.740291262136</v>
      </c>
      <c r="E32" s="119">
        <f t="shared" ref="E32:O34" si="23">$D32</f>
        <v>2985.740291262136</v>
      </c>
      <c r="F32" s="119">
        <f t="shared" si="23"/>
        <v>2985.740291262136</v>
      </c>
      <c r="G32" s="119">
        <f t="shared" si="23"/>
        <v>2985.740291262136</v>
      </c>
      <c r="H32" s="119">
        <f t="shared" si="23"/>
        <v>2985.740291262136</v>
      </c>
      <c r="I32" s="119">
        <f t="shared" si="23"/>
        <v>2985.740291262136</v>
      </c>
      <c r="J32" s="119">
        <f t="shared" si="23"/>
        <v>2985.740291262136</v>
      </c>
      <c r="K32" s="119">
        <f t="shared" si="23"/>
        <v>2985.740291262136</v>
      </c>
      <c r="L32" s="119">
        <f t="shared" si="23"/>
        <v>2985.740291262136</v>
      </c>
      <c r="M32" s="119">
        <f t="shared" si="23"/>
        <v>2985.740291262136</v>
      </c>
      <c r="N32" s="119">
        <f t="shared" si="23"/>
        <v>2985.740291262136</v>
      </c>
      <c r="O32" s="119">
        <f t="shared" si="23"/>
        <v>2985.740291262136</v>
      </c>
      <c r="P32" s="119">
        <f t="shared" si="2"/>
        <v>0</v>
      </c>
    </row>
    <row r="33" spans="1:16" x14ac:dyDescent="0.25">
      <c r="A33" t="s">
        <v>154</v>
      </c>
      <c r="B33" s="115" t="s">
        <v>215</v>
      </c>
      <c r="C33" s="1">
        <v>30818.613592233014</v>
      </c>
      <c r="D33" s="119">
        <f t="shared" si="22"/>
        <v>2568.2177993527512</v>
      </c>
      <c r="E33" s="119">
        <f t="shared" si="23"/>
        <v>2568.2177993527512</v>
      </c>
      <c r="F33" s="119">
        <f t="shared" si="23"/>
        <v>2568.2177993527512</v>
      </c>
      <c r="G33" s="119">
        <f t="shared" si="23"/>
        <v>2568.2177993527512</v>
      </c>
      <c r="H33" s="119">
        <f t="shared" si="23"/>
        <v>2568.2177993527512</v>
      </c>
      <c r="I33" s="119">
        <f t="shared" si="23"/>
        <v>2568.2177993527512</v>
      </c>
      <c r="J33" s="119">
        <f t="shared" si="23"/>
        <v>2568.2177993527512</v>
      </c>
      <c r="K33" s="119">
        <f t="shared" si="23"/>
        <v>2568.2177993527512</v>
      </c>
      <c r="L33" s="119">
        <f t="shared" si="23"/>
        <v>2568.2177993527512</v>
      </c>
      <c r="M33" s="119">
        <f t="shared" si="23"/>
        <v>2568.2177993527512</v>
      </c>
      <c r="N33" s="119">
        <f t="shared" si="23"/>
        <v>2568.2177993527512</v>
      </c>
      <c r="O33" s="119">
        <f t="shared" si="23"/>
        <v>2568.2177993527512</v>
      </c>
      <c r="P33" s="119">
        <f t="shared" si="2"/>
        <v>0</v>
      </c>
    </row>
    <row r="34" spans="1:16" x14ac:dyDescent="0.25">
      <c r="A34" t="s">
        <v>155</v>
      </c>
      <c r="B34" s="115" t="s">
        <v>215</v>
      </c>
      <c r="C34" s="1">
        <v>21124.978640776699</v>
      </c>
      <c r="D34" s="119">
        <f t="shared" si="22"/>
        <v>1760.4148867313916</v>
      </c>
      <c r="E34" s="119">
        <f t="shared" si="23"/>
        <v>1760.4148867313916</v>
      </c>
      <c r="F34" s="119">
        <f t="shared" si="23"/>
        <v>1760.4148867313916</v>
      </c>
      <c r="G34" s="119">
        <f t="shared" si="23"/>
        <v>1760.4148867313916</v>
      </c>
      <c r="H34" s="119">
        <f t="shared" si="23"/>
        <v>1760.4148867313916</v>
      </c>
      <c r="I34" s="119">
        <f t="shared" si="23"/>
        <v>1760.4148867313916</v>
      </c>
      <c r="J34" s="119">
        <f t="shared" si="23"/>
        <v>1760.4148867313916</v>
      </c>
      <c r="K34" s="119">
        <f t="shared" si="23"/>
        <v>1760.4148867313916</v>
      </c>
      <c r="L34" s="119">
        <f t="shared" si="23"/>
        <v>1760.4148867313916</v>
      </c>
      <c r="M34" s="119">
        <f t="shared" si="23"/>
        <v>1760.4148867313916</v>
      </c>
      <c r="N34" s="119">
        <f t="shared" si="23"/>
        <v>1760.4148867313916</v>
      </c>
      <c r="O34" s="119">
        <f t="shared" si="23"/>
        <v>1760.4148867313916</v>
      </c>
      <c r="P34" s="119">
        <f t="shared" si="2"/>
        <v>0</v>
      </c>
    </row>
    <row r="35" spans="1:16" x14ac:dyDescent="0.25">
      <c r="A35" t="s">
        <v>156</v>
      </c>
      <c r="B35" s="115" t="s">
        <v>212</v>
      </c>
      <c r="C35" s="1">
        <v>14072.137864077675</v>
      </c>
      <c r="D35" s="119"/>
      <c r="E35" s="119"/>
      <c r="F35" s="119"/>
      <c r="G35" s="119"/>
      <c r="H35" s="119"/>
      <c r="I35" s="119"/>
      <c r="J35" s="119"/>
      <c r="K35" s="119"/>
      <c r="L35" s="120">
        <f>C35/4</f>
        <v>3518.0344660194187</v>
      </c>
      <c r="M35" s="119">
        <f>$L35</f>
        <v>3518.0344660194187</v>
      </c>
      <c r="N35" s="119">
        <f t="shared" ref="N35:O36" si="24">$L35</f>
        <v>3518.0344660194187</v>
      </c>
      <c r="O35" s="119">
        <f t="shared" si="24"/>
        <v>3518.0344660194187</v>
      </c>
      <c r="P35" s="119">
        <f t="shared" si="2"/>
        <v>0</v>
      </c>
    </row>
    <row r="36" spans="1:16" x14ac:dyDescent="0.25">
      <c r="A36" t="s">
        <v>157</v>
      </c>
      <c r="B36" s="115" t="s">
        <v>212</v>
      </c>
      <c r="C36" s="1">
        <v>10031.077669902912</v>
      </c>
      <c r="D36" s="119"/>
      <c r="E36" s="119"/>
      <c r="F36" s="119"/>
      <c r="G36" s="119"/>
      <c r="H36" s="119"/>
      <c r="I36" s="119"/>
      <c r="J36" s="119"/>
      <c r="K36" s="119"/>
      <c r="L36" s="120">
        <f>C36/4</f>
        <v>2507.769417475728</v>
      </c>
      <c r="M36" s="119">
        <f>$L36</f>
        <v>2507.769417475728</v>
      </c>
      <c r="N36" s="119">
        <f t="shared" si="24"/>
        <v>2507.769417475728</v>
      </c>
      <c r="O36" s="119">
        <f t="shared" si="24"/>
        <v>2507.769417475728</v>
      </c>
      <c r="P36" s="119">
        <f t="shared" si="2"/>
        <v>0</v>
      </c>
    </row>
    <row r="37" spans="1:16" x14ac:dyDescent="0.25">
      <c r="A37" t="s">
        <v>159</v>
      </c>
      <c r="B37" s="115" t="s">
        <v>215</v>
      </c>
      <c r="C37" s="1">
        <v>-703707</v>
      </c>
      <c r="D37" s="119">
        <f t="shared" ref="D37:D39" si="25">C37/12</f>
        <v>-58642.25</v>
      </c>
      <c r="E37" s="119">
        <f t="shared" ref="E37:O39" si="26">$D37</f>
        <v>-58642.25</v>
      </c>
      <c r="F37" s="119">
        <f t="shared" si="26"/>
        <v>-58642.25</v>
      </c>
      <c r="G37" s="119">
        <f t="shared" si="26"/>
        <v>-58642.25</v>
      </c>
      <c r="H37" s="119">
        <f t="shared" si="26"/>
        <v>-58642.25</v>
      </c>
      <c r="I37" s="119">
        <f t="shared" si="26"/>
        <v>-58642.25</v>
      </c>
      <c r="J37" s="119">
        <f t="shared" si="26"/>
        <v>-58642.25</v>
      </c>
      <c r="K37" s="119">
        <f t="shared" si="26"/>
        <v>-58642.25</v>
      </c>
      <c r="L37" s="119">
        <f t="shared" si="26"/>
        <v>-58642.25</v>
      </c>
      <c r="M37" s="119">
        <f t="shared" si="26"/>
        <v>-58642.25</v>
      </c>
      <c r="N37" s="119">
        <f t="shared" si="26"/>
        <v>-58642.25</v>
      </c>
      <c r="O37" s="119">
        <f t="shared" si="26"/>
        <v>-58642.25</v>
      </c>
      <c r="P37" s="119">
        <f t="shared" si="2"/>
        <v>0</v>
      </c>
    </row>
    <row r="38" spans="1:16" x14ac:dyDescent="0.25">
      <c r="A38" t="s">
        <v>161</v>
      </c>
      <c r="B38" s="115" t="s">
        <v>215</v>
      </c>
      <c r="C38" s="1">
        <v>67715</v>
      </c>
      <c r="D38" s="119">
        <f t="shared" si="25"/>
        <v>5642.916666666667</v>
      </c>
      <c r="E38" s="119">
        <f t="shared" si="26"/>
        <v>5642.916666666667</v>
      </c>
      <c r="F38" s="119">
        <f t="shared" si="26"/>
        <v>5642.916666666667</v>
      </c>
      <c r="G38" s="119">
        <f t="shared" si="26"/>
        <v>5642.916666666667</v>
      </c>
      <c r="H38" s="119">
        <f t="shared" si="26"/>
        <v>5642.916666666667</v>
      </c>
      <c r="I38" s="119">
        <f t="shared" si="26"/>
        <v>5642.916666666667</v>
      </c>
      <c r="J38" s="119">
        <f t="shared" si="26"/>
        <v>5642.916666666667</v>
      </c>
      <c r="K38" s="119">
        <f t="shared" si="26"/>
        <v>5642.916666666667</v>
      </c>
      <c r="L38" s="119">
        <f t="shared" si="26"/>
        <v>5642.916666666667</v>
      </c>
      <c r="M38" s="119">
        <f t="shared" si="26"/>
        <v>5642.916666666667</v>
      </c>
      <c r="N38" s="119">
        <f t="shared" si="26"/>
        <v>5642.916666666667</v>
      </c>
      <c r="O38" s="119">
        <f t="shared" si="26"/>
        <v>5642.916666666667</v>
      </c>
      <c r="P38" s="119">
        <f t="shared" si="2"/>
        <v>0</v>
      </c>
    </row>
    <row r="39" spans="1:16" x14ac:dyDescent="0.25">
      <c r="A39" t="s">
        <v>163</v>
      </c>
      <c r="B39" s="115" t="s">
        <v>215</v>
      </c>
      <c r="C39" s="1">
        <v>70050</v>
      </c>
      <c r="D39" s="119">
        <f t="shared" si="25"/>
        <v>5837.5</v>
      </c>
      <c r="E39" s="119">
        <f t="shared" si="26"/>
        <v>5837.5</v>
      </c>
      <c r="F39" s="119">
        <f t="shared" si="26"/>
        <v>5837.5</v>
      </c>
      <c r="G39" s="119">
        <f t="shared" si="26"/>
        <v>5837.5</v>
      </c>
      <c r="H39" s="119">
        <f t="shared" si="26"/>
        <v>5837.5</v>
      </c>
      <c r="I39" s="119">
        <f t="shared" si="26"/>
        <v>5837.5</v>
      </c>
      <c r="J39" s="119">
        <f t="shared" si="26"/>
        <v>5837.5</v>
      </c>
      <c r="K39" s="119">
        <f t="shared" si="26"/>
        <v>5837.5</v>
      </c>
      <c r="L39" s="119">
        <f t="shared" si="26"/>
        <v>5837.5</v>
      </c>
      <c r="M39" s="119">
        <f t="shared" si="26"/>
        <v>5837.5</v>
      </c>
      <c r="N39" s="119">
        <f t="shared" si="26"/>
        <v>5837.5</v>
      </c>
      <c r="O39" s="119">
        <f t="shared" si="26"/>
        <v>5837.5</v>
      </c>
      <c r="P39" s="119">
        <f t="shared" si="2"/>
        <v>0</v>
      </c>
    </row>
    <row r="40" spans="1:16" x14ac:dyDescent="0.25">
      <c r="A40" t="s">
        <v>163</v>
      </c>
      <c r="B40" s="115" t="s">
        <v>211</v>
      </c>
      <c r="C40" s="1">
        <v>46700</v>
      </c>
      <c r="D40" s="119"/>
      <c r="E40" s="119"/>
      <c r="F40" s="119"/>
      <c r="G40" s="119"/>
      <c r="H40" s="119"/>
      <c r="I40" s="119"/>
      <c r="J40" s="119"/>
      <c r="K40" s="120">
        <f>C40/5</f>
        <v>9340</v>
      </c>
      <c r="L40" s="119">
        <f>$K40</f>
        <v>9340</v>
      </c>
      <c r="M40" s="119">
        <f t="shared" ref="M40:O40" si="27">$K40</f>
        <v>9340</v>
      </c>
      <c r="N40" s="119">
        <f t="shared" si="27"/>
        <v>9340</v>
      </c>
      <c r="O40" s="119">
        <f t="shared" si="27"/>
        <v>9340</v>
      </c>
      <c r="P40" s="119">
        <f t="shared" si="2"/>
        <v>0</v>
      </c>
    </row>
    <row r="41" spans="1:16" x14ac:dyDescent="0.25">
      <c r="A41" s="118" t="s">
        <v>216</v>
      </c>
      <c r="B41" s="115" t="s">
        <v>206</v>
      </c>
      <c r="C41" s="121">
        <v>15909.696</v>
      </c>
      <c r="D41" s="119"/>
      <c r="E41" s="119"/>
      <c r="F41" s="119"/>
      <c r="G41" s="119"/>
      <c r="H41" s="120">
        <f t="shared" ref="H41:H42" si="28">C41/8</f>
        <v>1988.712</v>
      </c>
      <c r="I41" s="119">
        <f t="shared" ref="I41:O42" si="29">$H41</f>
        <v>1988.712</v>
      </c>
      <c r="J41" s="119">
        <f t="shared" si="29"/>
        <v>1988.712</v>
      </c>
      <c r="K41" s="119">
        <f t="shared" si="29"/>
        <v>1988.712</v>
      </c>
      <c r="L41" s="119">
        <f t="shared" si="29"/>
        <v>1988.712</v>
      </c>
      <c r="M41" s="119">
        <f t="shared" si="29"/>
        <v>1988.712</v>
      </c>
      <c r="N41" s="119">
        <f t="shared" si="29"/>
        <v>1988.712</v>
      </c>
      <c r="O41" s="119">
        <f t="shared" si="29"/>
        <v>1988.712</v>
      </c>
      <c r="P41" s="119">
        <f t="shared" si="2"/>
        <v>0</v>
      </c>
    </row>
    <row r="42" spans="1:16" x14ac:dyDescent="0.25">
      <c r="A42" s="118" t="s">
        <v>217</v>
      </c>
      <c r="B42" s="115" t="s">
        <v>206</v>
      </c>
      <c r="C42" s="121">
        <v>9369.0432000000001</v>
      </c>
      <c r="D42" s="119"/>
      <c r="E42" s="119"/>
      <c r="F42" s="119"/>
      <c r="G42" s="119"/>
      <c r="H42" s="120">
        <f t="shared" si="28"/>
        <v>1171.1304</v>
      </c>
      <c r="I42" s="119">
        <f t="shared" si="29"/>
        <v>1171.1304</v>
      </c>
      <c r="J42" s="119">
        <f t="shared" si="29"/>
        <v>1171.1304</v>
      </c>
      <c r="K42" s="119">
        <f t="shared" si="29"/>
        <v>1171.1304</v>
      </c>
      <c r="L42" s="119">
        <f t="shared" si="29"/>
        <v>1171.1304</v>
      </c>
      <c r="M42" s="119">
        <f t="shared" si="29"/>
        <v>1171.1304</v>
      </c>
      <c r="N42" s="119">
        <f t="shared" si="29"/>
        <v>1171.1304</v>
      </c>
      <c r="O42" s="119">
        <f t="shared" si="29"/>
        <v>1171.1304</v>
      </c>
      <c r="P42" s="119">
        <f t="shared" si="2"/>
        <v>0</v>
      </c>
    </row>
    <row r="43" spans="1:16" x14ac:dyDescent="0.25">
      <c r="A43" s="118" t="s">
        <v>218</v>
      </c>
      <c r="B43" s="115" t="s">
        <v>210</v>
      </c>
      <c r="C43" s="121">
        <v>23091.155999999999</v>
      </c>
      <c r="D43" s="119"/>
      <c r="E43" s="119"/>
      <c r="F43" s="119"/>
      <c r="G43" s="120">
        <f>C43/9</f>
        <v>2565.6839999999997</v>
      </c>
      <c r="H43" s="119">
        <f>$G43</f>
        <v>2565.6839999999997</v>
      </c>
      <c r="I43" s="119">
        <f t="shared" ref="I43:O43" si="30">$G43</f>
        <v>2565.6839999999997</v>
      </c>
      <c r="J43" s="119">
        <f t="shared" si="30"/>
        <v>2565.6839999999997</v>
      </c>
      <c r="K43" s="119">
        <f t="shared" si="30"/>
        <v>2565.6839999999997</v>
      </c>
      <c r="L43" s="119">
        <f t="shared" si="30"/>
        <v>2565.6839999999997</v>
      </c>
      <c r="M43" s="119">
        <f t="shared" si="30"/>
        <v>2565.6839999999997</v>
      </c>
      <c r="N43" s="119">
        <f t="shared" si="30"/>
        <v>2565.6839999999997</v>
      </c>
      <c r="O43" s="119">
        <f t="shared" si="30"/>
        <v>2565.6839999999997</v>
      </c>
      <c r="P43" s="119">
        <f t="shared" si="2"/>
        <v>0</v>
      </c>
    </row>
    <row r="44" spans="1:16" x14ac:dyDescent="0.25">
      <c r="A44" s="118" t="s">
        <v>219</v>
      </c>
      <c r="B44" s="115" t="s">
        <v>209</v>
      </c>
      <c r="C44" s="121">
        <v>39990.917359223298</v>
      </c>
      <c r="D44" s="119"/>
      <c r="E44" s="119"/>
      <c r="F44" s="119"/>
      <c r="G44" s="119"/>
      <c r="H44" s="119"/>
      <c r="I44" s="119"/>
      <c r="J44" s="120">
        <f>C44/6</f>
        <v>6665.1528932038827</v>
      </c>
      <c r="K44" s="119">
        <f>$J44</f>
        <v>6665.1528932038827</v>
      </c>
      <c r="L44" s="119">
        <f t="shared" ref="L44:O44" si="31">$J44</f>
        <v>6665.1528932038827</v>
      </c>
      <c r="M44" s="119">
        <f t="shared" si="31"/>
        <v>6665.1528932038827</v>
      </c>
      <c r="N44" s="119">
        <f t="shared" si="31"/>
        <v>6665.1528932038827</v>
      </c>
      <c r="O44" s="119">
        <f t="shared" si="31"/>
        <v>6665.1528932038827</v>
      </c>
      <c r="P44" s="119">
        <f t="shared" si="2"/>
        <v>0</v>
      </c>
    </row>
    <row r="45" spans="1:16" x14ac:dyDescent="0.25">
      <c r="A45" t="s">
        <v>176</v>
      </c>
      <c r="B45" s="115" t="s">
        <v>215</v>
      </c>
      <c r="C45" s="1">
        <v>53457</v>
      </c>
      <c r="D45" s="119">
        <f>C45/12</f>
        <v>4454.75</v>
      </c>
      <c r="E45" s="119">
        <f>$D45</f>
        <v>4454.75</v>
      </c>
      <c r="F45" s="119">
        <f t="shared" ref="F45:O46" si="32">$D45</f>
        <v>4454.75</v>
      </c>
      <c r="G45" s="119">
        <f t="shared" si="32"/>
        <v>4454.75</v>
      </c>
      <c r="H45" s="119">
        <f t="shared" si="32"/>
        <v>4454.75</v>
      </c>
      <c r="I45" s="119">
        <f t="shared" si="32"/>
        <v>4454.75</v>
      </c>
      <c r="J45" s="119">
        <f t="shared" si="32"/>
        <v>4454.75</v>
      </c>
      <c r="K45" s="119">
        <f t="shared" si="32"/>
        <v>4454.75</v>
      </c>
      <c r="L45" s="119">
        <f t="shared" si="32"/>
        <v>4454.75</v>
      </c>
      <c r="M45" s="119">
        <f t="shared" si="32"/>
        <v>4454.75</v>
      </c>
      <c r="N45" s="119">
        <f t="shared" si="32"/>
        <v>4454.75</v>
      </c>
      <c r="O45" s="119">
        <f t="shared" si="32"/>
        <v>4454.75</v>
      </c>
      <c r="P45" s="119">
        <f t="shared" si="2"/>
        <v>0</v>
      </c>
    </row>
    <row r="46" spans="1:16" x14ac:dyDescent="0.25">
      <c r="A46" s="78" t="s">
        <v>170</v>
      </c>
      <c r="B46" s="115" t="s">
        <v>215</v>
      </c>
      <c r="C46" s="1">
        <f>38104.854368932+3</f>
        <v>38107.854368931999</v>
      </c>
      <c r="D46" s="119">
        <f>C46/12</f>
        <v>3175.6545307443334</v>
      </c>
      <c r="E46" s="119">
        <f>$D46</f>
        <v>3175.6545307443334</v>
      </c>
      <c r="F46" s="119">
        <f t="shared" si="32"/>
        <v>3175.6545307443334</v>
      </c>
      <c r="G46" s="119">
        <f t="shared" si="32"/>
        <v>3175.6545307443334</v>
      </c>
      <c r="H46" s="119">
        <f t="shared" si="32"/>
        <v>3175.6545307443334</v>
      </c>
      <c r="I46" s="119">
        <f t="shared" si="32"/>
        <v>3175.6545307443334</v>
      </c>
      <c r="J46" s="119">
        <f t="shared" si="32"/>
        <v>3175.6545307443334</v>
      </c>
      <c r="K46" s="119">
        <f t="shared" si="32"/>
        <v>3175.6545307443334</v>
      </c>
      <c r="L46" s="119">
        <f t="shared" si="32"/>
        <v>3175.6545307443334</v>
      </c>
      <c r="M46" s="119">
        <f t="shared" si="32"/>
        <v>3175.6545307443334</v>
      </c>
      <c r="N46" s="119">
        <f t="shared" si="32"/>
        <v>3175.6545307443334</v>
      </c>
      <c r="O46" s="119">
        <f t="shared" si="32"/>
        <v>3175.6545307443334</v>
      </c>
      <c r="P46" s="119">
        <f t="shared" si="2"/>
        <v>0</v>
      </c>
    </row>
    <row r="47" spans="1:16" ht="15.75" thickBot="1" x14ac:dyDescent="0.3">
      <c r="C47" s="116">
        <f>SUM(C5:C46)</f>
        <v>43905622.93856544</v>
      </c>
      <c r="D47" s="125">
        <f>SUM(D5:D46)</f>
        <v>3602208.903174757</v>
      </c>
      <c r="E47" s="125">
        <f t="shared" ref="E47:O47" si="33">SUM(E5:E46)</f>
        <v>3602208.903174757</v>
      </c>
      <c r="F47" s="125">
        <f t="shared" si="33"/>
        <v>3604229.2800679607</v>
      </c>
      <c r="G47" s="125">
        <f t="shared" si="33"/>
        <v>3618287.7185447677</v>
      </c>
      <c r="H47" s="125">
        <f t="shared" si="33"/>
        <v>3632364.8981292336</v>
      </c>
      <c r="I47" s="125">
        <f t="shared" si="33"/>
        <v>3656850.9874488455</v>
      </c>
      <c r="J47" s="125">
        <f t="shared" si="33"/>
        <v>3672712.3956818548</v>
      </c>
      <c r="K47" s="125">
        <f t="shared" si="33"/>
        <v>3690455.226241855</v>
      </c>
      <c r="L47" s="125">
        <f t="shared" si="33"/>
        <v>3705907.9065253502</v>
      </c>
      <c r="M47" s="125">
        <f t="shared" si="33"/>
        <v>3706798.9065253502</v>
      </c>
      <c r="N47" s="125">
        <f t="shared" si="33"/>
        <v>3706798.9065253502</v>
      </c>
      <c r="O47" s="125">
        <f t="shared" si="33"/>
        <v>3706798.9065253502</v>
      </c>
      <c r="P47" s="119"/>
    </row>
    <row r="48" spans="1:16" x14ac:dyDescent="0.25">
      <c r="C48" s="1"/>
      <c r="D48" s="119"/>
      <c r="E48" s="119"/>
      <c r="F48" s="119"/>
      <c r="G48" s="119"/>
      <c r="H48" s="119"/>
      <c r="I48" s="119"/>
      <c r="J48" s="119"/>
      <c r="K48" s="119"/>
      <c r="L48" s="119"/>
      <c r="M48" s="119"/>
      <c r="N48" s="119"/>
      <c r="O48" s="119"/>
      <c r="P48" s="119"/>
    </row>
    <row r="49" spans="1:16" x14ac:dyDescent="0.25">
      <c r="C49" s="1"/>
      <c r="D49" s="122">
        <f>D47/$C$47</f>
        <v>8.204436384412804E-2</v>
      </c>
      <c r="E49" s="122">
        <f t="shared" ref="E49:O49" si="34">E47/$C$47</f>
        <v>8.204436384412804E-2</v>
      </c>
      <c r="F49" s="122">
        <f t="shared" si="34"/>
        <v>8.20903802028079E-2</v>
      </c>
      <c r="G49" s="122">
        <f t="shared" si="34"/>
        <v>8.2410576968868554E-2</v>
      </c>
      <c r="H49" s="122">
        <f t="shared" si="34"/>
        <v>8.2731200584758552E-2</v>
      </c>
      <c r="I49" s="122">
        <f t="shared" si="34"/>
        <v>8.3288898840261583E-2</v>
      </c>
      <c r="J49" s="122">
        <f t="shared" si="34"/>
        <v>8.3650160272657231E-2</v>
      </c>
      <c r="K49" s="122">
        <f t="shared" si="34"/>
        <v>8.4054273217024897E-2</v>
      </c>
      <c r="L49" s="122">
        <f t="shared" si="34"/>
        <v>8.4406225410144156E-2</v>
      </c>
      <c r="M49" s="122">
        <f t="shared" si="34"/>
        <v>8.4426518938406955E-2</v>
      </c>
      <c r="N49" s="122">
        <f t="shared" si="34"/>
        <v>8.4426518938406955E-2</v>
      </c>
      <c r="O49" s="122">
        <f t="shared" si="34"/>
        <v>8.4426518938406955E-2</v>
      </c>
      <c r="P49" s="119"/>
    </row>
    <row r="50" spans="1:16" x14ac:dyDescent="0.25">
      <c r="C50" s="1"/>
      <c r="D50" s="119"/>
      <c r="E50" s="119"/>
      <c r="F50" s="119"/>
      <c r="G50" s="119"/>
      <c r="H50" s="119"/>
      <c r="I50" s="119"/>
      <c r="J50" s="119"/>
      <c r="K50" s="119"/>
      <c r="L50" s="119"/>
      <c r="M50" s="119"/>
      <c r="N50" s="119"/>
      <c r="O50" s="119"/>
      <c r="P50" s="119"/>
    </row>
    <row r="51" spans="1:16" x14ac:dyDescent="0.25">
      <c r="C51" s="1">
        <f>'[1]G2-19a-d Supplement'!$Y$118</f>
        <v>43905622.848503999</v>
      </c>
      <c r="D51" s="119"/>
      <c r="E51" s="119"/>
      <c r="F51" s="119"/>
      <c r="G51" s="119"/>
      <c r="H51" s="119"/>
      <c r="I51" s="119"/>
      <c r="J51" s="119"/>
      <c r="K51" s="119"/>
      <c r="L51" s="119"/>
      <c r="M51" s="119"/>
      <c r="N51" s="119"/>
      <c r="O51" s="119"/>
      <c r="P51" s="119"/>
    </row>
    <row r="52" spans="1:16" x14ac:dyDescent="0.25">
      <c r="C52" s="1">
        <f>C47-C51</f>
        <v>9.006144106388092E-2</v>
      </c>
      <c r="D52" s="119"/>
      <c r="E52" s="119"/>
      <c r="F52" s="119"/>
      <c r="G52" s="119"/>
      <c r="H52" s="119"/>
      <c r="I52" s="119"/>
      <c r="J52" s="119"/>
      <c r="K52" s="119"/>
      <c r="L52" s="119"/>
      <c r="M52" s="119"/>
      <c r="N52" s="119"/>
      <c r="O52" s="119"/>
      <c r="P52" s="119"/>
    </row>
    <row r="53" spans="1:16" x14ac:dyDescent="0.25">
      <c r="C53" s="1"/>
      <c r="D53" s="119"/>
      <c r="E53" s="119"/>
      <c r="F53" s="119"/>
      <c r="G53" s="119"/>
      <c r="H53" s="119"/>
      <c r="I53" s="119"/>
      <c r="J53" s="119"/>
      <c r="K53" s="119"/>
      <c r="L53" s="119"/>
      <c r="M53" s="119"/>
      <c r="N53" s="119"/>
      <c r="O53" s="119"/>
      <c r="P53" s="119"/>
    </row>
    <row r="54" spans="1:16" x14ac:dyDescent="0.25">
      <c r="C54" s="1"/>
      <c r="D54" s="119"/>
      <c r="E54" s="119"/>
      <c r="F54" s="119"/>
      <c r="G54" s="119"/>
      <c r="H54" s="119"/>
      <c r="I54" s="119"/>
      <c r="J54" s="119"/>
      <c r="K54" s="119"/>
      <c r="L54" s="119"/>
      <c r="M54" s="119"/>
      <c r="N54" s="119"/>
      <c r="O54" s="119"/>
      <c r="P54" s="119"/>
    </row>
    <row r="55" spans="1:16" x14ac:dyDescent="0.25">
      <c r="C55" s="1"/>
      <c r="D55" s="119"/>
      <c r="E55" s="119"/>
      <c r="F55" s="119"/>
      <c r="G55" s="119"/>
      <c r="H55" s="119"/>
      <c r="I55" s="119"/>
      <c r="J55" s="119"/>
      <c r="K55" s="119"/>
      <c r="L55" s="119"/>
      <c r="M55" s="119"/>
      <c r="N55" s="119"/>
      <c r="O55" s="119"/>
      <c r="P55" s="119"/>
    </row>
    <row r="56" spans="1:16" x14ac:dyDescent="0.25">
      <c r="C56" s="1"/>
      <c r="D56" s="1"/>
      <c r="E56" s="1"/>
      <c r="F56" s="1"/>
      <c r="G56" s="1"/>
      <c r="H56" s="1"/>
      <c r="I56" s="1"/>
      <c r="J56" s="1"/>
      <c r="K56" s="1"/>
      <c r="L56" s="1"/>
      <c r="M56" s="1"/>
      <c r="N56" s="1"/>
      <c r="O56" s="1"/>
      <c r="P56" s="1"/>
    </row>
    <row r="57" spans="1:16" x14ac:dyDescent="0.25">
      <c r="C57" s="1"/>
      <c r="D57" s="1"/>
      <c r="E57" s="1"/>
      <c r="F57" s="1"/>
      <c r="G57" s="1"/>
      <c r="H57" s="1"/>
      <c r="I57" s="1"/>
      <c r="J57" s="1"/>
      <c r="K57" s="1"/>
      <c r="L57" s="1"/>
      <c r="M57" s="1"/>
      <c r="N57" s="1"/>
      <c r="O57" s="1"/>
      <c r="P57" s="1"/>
    </row>
    <row r="58" spans="1:16" x14ac:dyDescent="0.25">
      <c r="C58" s="1"/>
      <c r="D58" s="1"/>
      <c r="E58" s="1"/>
      <c r="F58" s="1"/>
      <c r="G58" s="1"/>
      <c r="H58" s="1"/>
      <c r="I58" s="1"/>
      <c r="J58" s="1"/>
      <c r="K58" s="1"/>
      <c r="L58" s="1"/>
      <c r="M58" s="1"/>
      <c r="N58" s="1"/>
      <c r="O58" s="1"/>
      <c r="P58" s="1"/>
    </row>
    <row r="59" spans="1:16" x14ac:dyDescent="0.25">
      <c r="A59" t="s">
        <v>15</v>
      </c>
      <c r="C59" s="1">
        <v>573792</v>
      </c>
      <c r="D59" s="1"/>
      <c r="E59" s="1"/>
      <c r="F59" s="1"/>
      <c r="G59" s="1"/>
      <c r="H59" s="1"/>
      <c r="I59" s="1"/>
      <c r="J59" s="1"/>
      <c r="K59" s="1"/>
      <c r="L59" s="1"/>
      <c r="M59" s="1"/>
      <c r="N59" s="1"/>
      <c r="O59" s="1"/>
      <c r="P59" s="1"/>
    </row>
    <row r="60" spans="1:16" x14ac:dyDescent="0.25">
      <c r="A60" t="s">
        <v>16</v>
      </c>
      <c r="C60" s="1">
        <v>9174632</v>
      </c>
      <c r="D60" s="1"/>
      <c r="E60" s="1"/>
      <c r="F60" s="1"/>
      <c r="G60" s="1"/>
      <c r="H60" s="1"/>
      <c r="I60" s="1"/>
      <c r="J60" s="1"/>
      <c r="K60" s="1"/>
      <c r="L60" s="1"/>
      <c r="M60" s="1"/>
      <c r="N60" s="1"/>
      <c r="O60" s="1"/>
      <c r="P60" s="1"/>
    </row>
    <row r="61" spans="1:16" x14ac:dyDescent="0.25">
      <c r="C61" s="1"/>
      <c r="D61" s="1"/>
      <c r="E61" s="1"/>
      <c r="F61" s="1"/>
      <c r="G61" s="1"/>
      <c r="H61" s="1"/>
      <c r="I61" s="1"/>
      <c r="J61" s="1"/>
      <c r="K61" s="1"/>
      <c r="L61" s="1"/>
      <c r="M61" s="1"/>
      <c r="N61" s="1"/>
      <c r="O61" s="1"/>
      <c r="P61" s="1"/>
    </row>
    <row r="62" spans="1:16" x14ac:dyDescent="0.25">
      <c r="C62" s="1"/>
      <c r="D62" s="1"/>
      <c r="E62" s="1"/>
      <c r="F62" s="1"/>
      <c r="G62" s="1"/>
      <c r="H62" s="1"/>
      <c r="I62" s="1"/>
      <c r="J62" s="1"/>
      <c r="K62" s="1"/>
      <c r="L62" s="1"/>
      <c r="M62" s="1"/>
      <c r="N62" s="1"/>
      <c r="O62" s="1"/>
      <c r="P62" s="1"/>
    </row>
    <row r="63" spans="1:16" x14ac:dyDescent="0.25">
      <c r="C63" s="1"/>
      <c r="D63" s="1"/>
      <c r="E63" s="1"/>
      <c r="F63" s="1"/>
      <c r="G63" s="1"/>
      <c r="H63" s="1"/>
      <c r="I63" s="1"/>
      <c r="J63" s="1"/>
      <c r="K63" s="1"/>
      <c r="L63" s="1"/>
      <c r="M63" s="1"/>
      <c r="N63" s="1"/>
      <c r="O63" s="1"/>
      <c r="P63" s="1"/>
    </row>
    <row r="64" spans="1:16" x14ac:dyDescent="0.25">
      <c r="C64" s="1"/>
      <c r="D64" s="1"/>
      <c r="E64" s="1"/>
      <c r="F64" s="1"/>
      <c r="G64" s="1"/>
      <c r="H64" s="1"/>
      <c r="I64" s="1"/>
      <c r="J64" s="1"/>
      <c r="K64" s="1"/>
      <c r="L64" s="1"/>
      <c r="M64" s="1"/>
      <c r="N64" s="1"/>
      <c r="O64" s="1"/>
      <c r="P64" s="1"/>
    </row>
    <row r="65" spans="3:16" x14ac:dyDescent="0.25">
      <c r="C65" s="1"/>
      <c r="D65" s="1"/>
      <c r="E65" s="1"/>
      <c r="F65" s="1"/>
      <c r="G65" s="1"/>
      <c r="H65" s="1"/>
      <c r="I65" s="1"/>
      <c r="J65" s="1"/>
      <c r="K65" s="1"/>
      <c r="L65" s="1"/>
      <c r="M65" s="1"/>
      <c r="N65" s="1"/>
      <c r="O65" s="1"/>
      <c r="P65" s="1"/>
    </row>
    <row r="66" spans="3:16" x14ac:dyDescent="0.25">
      <c r="C66" s="1"/>
      <c r="D66" s="1"/>
      <c r="E66" s="1"/>
      <c r="F66" s="1"/>
      <c r="G66" s="1"/>
      <c r="H66" s="1"/>
      <c r="I66" s="1"/>
      <c r="J66" s="1"/>
      <c r="K66" s="1"/>
      <c r="L66" s="1"/>
      <c r="M66" s="1"/>
      <c r="N66" s="1"/>
      <c r="O66" s="1"/>
      <c r="P66" s="1"/>
    </row>
    <row r="67" spans="3:16" x14ac:dyDescent="0.25">
      <c r="C67" s="1"/>
      <c r="D67" s="1"/>
      <c r="E67" s="1"/>
      <c r="F67" s="1"/>
      <c r="G67" s="1"/>
      <c r="H67" s="1"/>
      <c r="I67" s="1"/>
      <c r="J67" s="1"/>
      <c r="K67" s="1"/>
      <c r="L67" s="1"/>
      <c r="M67" s="1"/>
      <c r="N67" s="1"/>
      <c r="O67" s="1"/>
      <c r="P67" s="1"/>
    </row>
    <row r="68" spans="3:16" x14ac:dyDescent="0.25">
      <c r="C68" s="1"/>
      <c r="D68" s="1"/>
      <c r="E68" s="1"/>
      <c r="F68" s="1"/>
      <c r="G68" s="1"/>
      <c r="H68" s="1"/>
      <c r="I68" s="1"/>
      <c r="J68" s="1"/>
      <c r="K68" s="1"/>
      <c r="L68" s="1"/>
      <c r="M68" s="1"/>
      <c r="N68" s="1"/>
      <c r="O68" s="1"/>
      <c r="P68" s="1"/>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zoomScale="80" zoomScaleNormal="80" workbookViewId="0">
      <pane xSplit="3" ySplit="4" topLeftCell="D26" activePane="bottomRight" state="frozen"/>
      <selection pane="topRight" activeCell="D1" sqref="D1"/>
      <selection pane="bottomLeft" activeCell="A5" sqref="A5"/>
      <selection pane="bottomRight" activeCell="D47" sqref="D47:O47"/>
    </sheetView>
  </sheetViews>
  <sheetFormatPr defaultRowHeight="15" x14ac:dyDescent="0.25"/>
  <cols>
    <col min="1" max="1" width="48.28515625" style="118" customWidth="1"/>
    <col min="2" max="2" width="16.85546875" style="118" customWidth="1"/>
    <col min="3" max="3" width="19.140625" style="118" customWidth="1"/>
    <col min="4" max="15" width="16.140625" style="118" customWidth="1"/>
    <col min="16" max="16" width="13.140625" style="118" customWidth="1"/>
    <col min="17" max="16384" width="9.140625" style="118"/>
  </cols>
  <sheetData>
    <row r="1" spans="1:16" x14ac:dyDescent="0.25">
      <c r="A1" s="148" t="s">
        <v>0</v>
      </c>
    </row>
    <row r="2" spans="1:16" x14ac:dyDescent="0.25">
      <c r="A2" s="148" t="s">
        <v>232</v>
      </c>
    </row>
    <row r="4" spans="1:16" x14ac:dyDescent="0.25">
      <c r="D4" s="117" t="s">
        <v>1</v>
      </c>
      <c r="E4" s="117" t="s">
        <v>2</v>
      </c>
      <c r="F4" s="117" t="s">
        <v>3</v>
      </c>
      <c r="G4" s="117" t="s">
        <v>4</v>
      </c>
      <c r="H4" s="117" t="s">
        <v>5</v>
      </c>
      <c r="I4" s="117" t="s">
        <v>6</v>
      </c>
      <c r="J4" s="117" t="s">
        <v>7</v>
      </c>
      <c r="K4" s="117" t="s">
        <v>8</v>
      </c>
      <c r="L4" s="117" t="s">
        <v>9</v>
      </c>
      <c r="M4" s="117" t="s">
        <v>10</v>
      </c>
      <c r="N4" s="117" t="s">
        <v>11</v>
      </c>
      <c r="O4" s="117" t="s">
        <v>12</v>
      </c>
    </row>
    <row r="5" spans="1:16" x14ac:dyDescent="0.25">
      <c r="A5" s="118" t="s">
        <v>13</v>
      </c>
      <c r="C5" s="119">
        <f>'[1]G2-12 to 19 Supplement FN'!$P$102</f>
        <v>11602790.001077</v>
      </c>
      <c r="D5" s="119">
        <f>C5/12</f>
        <v>966899.16675641667</v>
      </c>
      <c r="E5" s="119">
        <f>$D5</f>
        <v>966899.16675641667</v>
      </c>
      <c r="F5" s="119">
        <f t="shared" ref="F5:O5" si="0">$D5</f>
        <v>966899.16675641667</v>
      </c>
      <c r="G5" s="119">
        <f t="shared" si="0"/>
        <v>966899.16675641667</v>
      </c>
      <c r="H5" s="119">
        <f t="shared" si="0"/>
        <v>966899.16675641667</v>
      </c>
      <c r="I5" s="119">
        <f t="shared" si="0"/>
        <v>966899.16675641667</v>
      </c>
      <c r="J5" s="119">
        <f t="shared" si="0"/>
        <v>966899.16675641667</v>
      </c>
      <c r="K5" s="119">
        <f t="shared" si="0"/>
        <v>966899.16675641667</v>
      </c>
      <c r="L5" s="119">
        <f t="shared" si="0"/>
        <v>966899.16675641667</v>
      </c>
      <c r="M5" s="119">
        <f t="shared" si="0"/>
        <v>966899.16675641667</v>
      </c>
      <c r="N5" s="119">
        <f t="shared" si="0"/>
        <v>966899.16675641667</v>
      </c>
      <c r="O5" s="119">
        <f t="shared" si="0"/>
        <v>966899.16675641667</v>
      </c>
      <c r="P5" s="119">
        <f>C5-SUM(D5:O5)</f>
        <v>0</v>
      </c>
    </row>
    <row r="6" spans="1:16" x14ac:dyDescent="0.25">
      <c r="A6" s="118" t="s">
        <v>14</v>
      </c>
      <c r="C6" s="119">
        <f>'[1]G2-12 to 19 Supplement FN'!$V$102</f>
        <v>12669262.474762999</v>
      </c>
      <c r="D6" s="119">
        <f>C6/12</f>
        <v>1055771.8728969165</v>
      </c>
      <c r="E6" s="119">
        <f>$D$6</f>
        <v>1055771.8728969165</v>
      </c>
      <c r="F6" s="119">
        <f t="shared" ref="F6:O6" si="1">$D$6</f>
        <v>1055771.8728969165</v>
      </c>
      <c r="G6" s="119">
        <f t="shared" si="1"/>
        <v>1055771.8728969165</v>
      </c>
      <c r="H6" s="119">
        <f t="shared" si="1"/>
        <v>1055771.8728969165</v>
      </c>
      <c r="I6" s="119">
        <f t="shared" si="1"/>
        <v>1055771.8728969165</v>
      </c>
      <c r="J6" s="119">
        <f t="shared" si="1"/>
        <v>1055771.8728969165</v>
      </c>
      <c r="K6" s="119">
        <f t="shared" si="1"/>
        <v>1055771.8728969165</v>
      </c>
      <c r="L6" s="119">
        <f t="shared" si="1"/>
        <v>1055771.8728969165</v>
      </c>
      <c r="M6" s="119">
        <f t="shared" si="1"/>
        <v>1055771.8728969165</v>
      </c>
      <c r="N6" s="119">
        <f t="shared" si="1"/>
        <v>1055771.8728969165</v>
      </c>
      <c r="O6" s="119">
        <f t="shared" si="1"/>
        <v>1055771.8728969165</v>
      </c>
      <c r="P6" s="119">
        <f t="shared" ref="P6:P46" si="2">C6-SUM(D6:O6)</f>
        <v>0</v>
      </c>
    </row>
    <row r="7" spans="1:16" x14ac:dyDescent="0.25">
      <c r="A7" s="118" t="s">
        <v>204</v>
      </c>
      <c r="C7" s="119">
        <f>'Over and Under Adj'!Q95</f>
        <v>6187960</v>
      </c>
      <c r="D7" s="119">
        <f>C7/12</f>
        <v>515663.33333333331</v>
      </c>
      <c r="E7" s="119">
        <f>$D7</f>
        <v>515663.33333333331</v>
      </c>
      <c r="F7" s="119">
        <f t="shared" ref="F7:O7" si="3">$D7</f>
        <v>515663.33333333331</v>
      </c>
      <c r="G7" s="119">
        <f t="shared" si="3"/>
        <v>515663.33333333331</v>
      </c>
      <c r="H7" s="119">
        <f t="shared" si="3"/>
        <v>515663.33333333331</v>
      </c>
      <c r="I7" s="119">
        <f t="shared" si="3"/>
        <v>515663.33333333331</v>
      </c>
      <c r="J7" s="119">
        <f t="shared" si="3"/>
        <v>515663.33333333331</v>
      </c>
      <c r="K7" s="119">
        <f t="shared" si="3"/>
        <v>515663.33333333331</v>
      </c>
      <c r="L7" s="119">
        <f t="shared" si="3"/>
        <v>515663.33333333331</v>
      </c>
      <c r="M7" s="119">
        <f t="shared" si="3"/>
        <v>515663.33333333331</v>
      </c>
      <c r="N7" s="119">
        <f t="shared" si="3"/>
        <v>515663.33333333331</v>
      </c>
      <c r="O7" s="119">
        <f t="shared" si="3"/>
        <v>515663.33333333331</v>
      </c>
      <c r="P7" s="119">
        <f t="shared" si="2"/>
        <v>0</v>
      </c>
    </row>
    <row r="8" spans="1:16" x14ac:dyDescent="0.25">
      <c r="A8" s="118" t="s">
        <v>62</v>
      </c>
      <c r="B8" s="124" t="s">
        <v>211</v>
      </c>
      <c r="C8" s="119">
        <v>5975</v>
      </c>
      <c r="D8" s="119"/>
      <c r="E8" s="119"/>
      <c r="F8" s="119"/>
      <c r="G8" s="119"/>
      <c r="H8" s="119"/>
      <c r="I8" s="119"/>
      <c r="J8" s="120">
        <f>C8/6</f>
        <v>995.83333333333337</v>
      </c>
      <c r="K8" s="119">
        <f>$J8</f>
        <v>995.83333333333337</v>
      </c>
      <c r="L8" s="119">
        <f>$J8</f>
        <v>995.83333333333337</v>
      </c>
      <c r="M8" s="119">
        <f t="shared" ref="M8:O8" si="4">$J8</f>
        <v>995.83333333333337</v>
      </c>
      <c r="N8" s="119">
        <f t="shared" si="4"/>
        <v>995.83333333333337</v>
      </c>
      <c r="O8" s="119">
        <f t="shared" si="4"/>
        <v>995.83333333333337</v>
      </c>
      <c r="P8" s="119">
        <f t="shared" si="2"/>
        <v>0</v>
      </c>
    </row>
    <row r="9" spans="1:16" x14ac:dyDescent="0.25">
      <c r="A9" s="118" t="s">
        <v>102</v>
      </c>
      <c r="B9" s="115" t="s">
        <v>207</v>
      </c>
      <c r="C9" s="119">
        <v>0</v>
      </c>
      <c r="D9" s="119"/>
      <c r="E9" s="119"/>
      <c r="F9" s="119"/>
      <c r="G9" s="119"/>
      <c r="H9" s="119"/>
      <c r="I9" s="119"/>
      <c r="J9" s="119"/>
      <c r="K9" s="119"/>
      <c r="L9" s="119"/>
      <c r="M9" s="119">
        <f>C9/3</f>
        <v>0</v>
      </c>
      <c r="N9" s="119">
        <f>$M9</f>
        <v>0</v>
      </c>
      <c r="O9" s="119">
        <f>$M9</f>
        <v>0</v>
      </c>
      <c r="P9" s="119">
        <f t="shared" si="2"/>
        <v>0</v>
      </c>
    </row>
    <row r="10" spans="1:16" x14ac:dyDescent="0.25">
      <c r="A10" s="118" t="s">
        <v>105</v>
      </c>
      <c r="B10" s="115" t="s">
        <v>207</v>
      </c>
      <c r="C10" s="119">
        <f>1310+477</f>
        <v>1787</v>
      </c>
      <c r="D10" s="119"/>
      <c r="E10" s="119"/>
      <c r="F10" s="119"/>
      <c r="G10" s="119"/>
      <c r="H10" s="119"/>
      <c r="I10" s="119"/>
      <c r="J10" s="119"/>
      <c r="K10" s="119"/>
      <c r="L10" s="119"/>
      <c r="M10" s="119">
        <f>C10/3</f>
        <v>595.66666666666663</v>
      </c>
      <c r="N10" s="119">
        <f>$M10</f>
        <v>595.66666666666663</v>
      </c>
      <c r="O10" s="119">
        <f>$M10</f>
        <v>595.66666666666663</v>
      </c>
      <c r="P10" s="119">
        <f t="shared" si="2"/>
        <v>0</v>
      </c>
    </row>
    <row r="11" spans="1:16" x14ac:dyDescent="0.25">
      <c r="A11" s="118" t="s">
        <v>107</v>
      </c>
      <c r="B11" s="115" t="s">
        <v>208</v>
      </c>
      <c r="C11" s="119">
        <f>4852+1766</f>
        <v>6618</v>
      </c>
      <c r="D11" s="119">
        <f>C11/12</f>
        <v>551.5</v>
      </c>
      <c r="E11" s="119">
        <f>$D11</f>
        <v>551.5</v>
      </c>
      <c r="F11" s="119">
        <f t="shared" ref="F11:O11" si="5">$D11</f>
        <v>551.5</v>
      </c>
      <c r="G11" s="119">
        <f t="shared" si="5"/>
        <v>551.5</v>
      </c>
      <c r="H11" s="119">
        <f t="shared" si="5"/>
        <v>551.5</v>
      </c>
      <c r="I11" s="119">
        <f t="shared" si="5"/>
        <v>551.5</v>
      </c>
      <c r="J11" s="119">
        <f t="shared" si="5"/>
        <v>551.5</v>
      </c>
      <c r="K11" s="119">
        <f t="shared" si="5"/>
        <v>551.5</v>
      </c>
      <c r="L11" s="119">
        <f t="shared" si="5"/>
        <v>551.5</v>
      </c>
      <c r="M11" s="119">
        <f t="shared" si="5"/>
        <v>551.5</v>
      </c>
      <c r="N11" s="119">
        <f t="shared" si="5"/>
        <v>551.5</v>
      </c>
      <c r="O11" s="119">
        <f t="shared" si="5"/>
        <v>551.5</v>
      </c>
      <c r="P11" s="119">
        <f t="shared" si="2"/>
        <v>0</v>
      </c>
    </row>
    <row r="12" spans="1:16" x14ac:dyDescent="0.25">
      <c r="A12" s="118" t="s">
        <v>109</v>
      </c>
      <c r="B12" s="115" t="s">
        <v>209</v>
      </c>
      <c r="C12" s="119">
        <f>17859+6501</f>
        <v>24360</v>
      </c>
      <c r="D12" s="119"/>
      <c r="E12" s="119"/>
      <c r="F12" s="119"/>
      <c r="G12" s="119"/>
      <c r="H12" s="119"/>
      <c r="I12" s="119"/>
      <c r="J12" s="119">
        <f>C12/6</f>
        <v>4060</v>
      </c>
      <c r="K12" s="119">
        <f>$J12</f>
        <v>4060</v>
      </c>
      <c r="L12" s="119">
        <f t="shared" ref="L12:O12" si="6">$J12</f>
        <v>4060</v>
      </c>
      <c r="M12" s="119">
        <f t="shared" si="6"/>
        <v>4060</v>
      </c>
      <c r="N12" s="119">
        <f t="shared" si="6"/>
        <v>4060</v>
      </c>
      <c r="O12" s="119">
        <f t="shared" si="6"/>
        <v>4060</v>
      </c>
      <c r="P12" s="119">
        <f t="shared" si="2"/>
        <v>0</v>
      </c>
    </row>
    <row r="13" spans="1:16" x14ac:dyDescent="0.25">
      <c r="A13" s="118" t="s">
        <v>111</v>
      </c>
      <c r="B13" s="115" t="s">
        <v>208</v>
      </c>
      <c r="C13" s="119">
        <f>26173+9527</f>
        <v>35700</v>
      </c>
      <c r="D13" s="119">
        <f t="shared" ref="D13:D14" si="7">C13/12</f>
        <v>2975</v>
      </c>
      <c r="E13" s="119">
        <f t="shared" ref="E13:O14" si="8">$D13</f>
        <v>2975</v>
      </c>
      <c r="F13" s="119">
        <f t="shared" si="8"/>
        <v>2975</v>
      </c>
      <c r="G13" s="119">
        <f t="shared" si="8"/>
        <v>2975</v>
      </c>
      <c r="H13" s="119">
        <f t="shared" si="8"/>
        <v>2975</v>
      </c>
      <c r="I13" s="119">
        <f t="shared" si="8"/>
        <v>2975</v>
      </c>
      <c r="J13" s="119">
        <f t="shared" si="8"/>
        <v>2975</v>
      </c>
      <c r="K13" s="119">
        <f t="shared" si="8"/>
        <v>2975</v>
      </c>
      <c r="L13" s="119">
        <f t="shared" si="8"/>
        <v>2975</v>
      </c>
      <c r="M13" s="119">
        <f t="shared" si="8"/>
        <v>2975</v>
      </c>
      <c r="N13" s="119">
        <f t="shared" si="8"/>
        <v>2975</v>
      </c>
      <c r="O13" s="119">
        <f t="shared" si="8"/>
        <v>2975</v>
      </c>
      <c r="P13" s="119">
        <f t="shared" si="2"/>
        <v>0</v>
      </c>
    </row>
    <row r="14" spans="1:16" x14ac:dyDescent="0.25">
      <c r="A14" s="118" t="s">
        <v>114</v>
      </c>
      <c r="B14" s="115" t="s">
        <v>208</v>
      </c>
      <c r="C14" s="119">
        <v>0</v>
      </c>
      <c r="D14" s="119">
        <f t="shared" si="7"/>
        <v>0</v>
      </c>
      <c r="E14" s="119">
        <f t="shared" si="8"/>
        <v>0</v>
      </c>
      <c r="F14" s="119">
        <f t="shared" si="8"/>
        <v>0</v>
      </c>
      <c r="G14" s="119">
        <f t="shared" si="8"/>
        <v>0</v>
      </c>
      <c r="H14" s="119">
        <f t="shared" si="8"/>
        <v>0</v>
      </c>
      <c r="I14" s="119">
        <f t="shared" si="8"/>
        <v>0</v>
      </c>
      <c r="J14" s="119">
        <f t="shared" si="8"/>
        <v>0</v>
      </c>
      <c r="K14" s="119">
        <f t="shared" si="8"/>
        <v>0</v>
      </c>
      <c r="L14" s="119">
        <f t="shared" si="8"/>
        <v>0</v>
      </c>
      <c r="M14" s="119">
        <f t="shared" si="8"/>
        <v>0</v>
      </c>
      <c r="N14" s="119">
        <f t="shared" si="8"/>
        <v>0</v>
      </c>
      <c r="O14" s="119">
        <f t="shared" si="8"/>
        <v>0</v>
      </c>
      <c r="P14" s="119">
        <f t="shared" si="2"/>
        <v>0</v>
      </c>
    </row>
    <row r="15" spans="1:16" x14ac:dyDescent="0.25">
      <c r="A15" s="118" t="s">
        <v>117</v>
      </c>
      <c r="B15" s="115" t="s">
        <v>210</v>
      </c>
      <c r="C15" s="119">
        <f>26422+9618</f>
        <v>36040</v>
      </c>
      <c r="D15" s="119"/>
      <c r="E15" s="119"/>
      <c r="F15" s="119"/>
      <c r="G15" s="120">
        <f>C15/9</f>
        <v>4004.4444444444443</v>
      </c>
      <c r="H15" s="119">
        <f>$G15</f>
        <v>4004.4444444444443</v>
      </c>
      <c r="I15" s="119">
        <f t="shared" ref="I15:O15" si="9">$G15</f>
        <v>4004.4444444444443</v>
      </c>
      <c r="J15" s="119">
        <f t="shared" si="9"/>
        <v>4004.4444444444443</v>
      </c>
      <c r="K15" s="119">
        <f t="shared" si="9"/>
        <v>4004.4444444444443</v>
      </c>
      <c r="L15" s="119">
        <f t="shared" si="9"/>
        <v>4004.4444444444443</v>
      </c>
      <c r="M15" s="119">
        <f t="shared" si="9"/>
        <v>4004.4444444444443</v>
      </c>
      <c r="N15" s="119">
        <f t="shared" si="9"/>
        <v>4004.4444444444443</v>
      </c>
      <c r="O15" s="119">
        <f t="shared" si="9"/>
        <v>4004.4444444444443</v>
      </c>
      <c r="P15" s="119">
        <f t="shared" si="2"/>
        <v>0</v>
      </c>
    </row>
    <row r="16" spans="1:16" x14ac:dyDescent="0.25">
      <c r="A16" s="118" t="s">
        <v>119</v>
      </c>
      <c r="B16" s="115" t="s">
        <v>205</v>
      </c>
      <c r="C16" s="119">
        <f>15609+5682</f>
        <v>21291</v>
      </c>
      <c r="D16" s="119"/>
      <c r="E16" s="119"/>
      <c r="F16" s="119"/>
      <c r="G16" s="119"/>
      <c r="H16" s="119"/>
      <c r="I16" s="119">
        <f>C16/7</f>
        <v>3041.5714285714284</v>
      </c>
      <c r="J16" s="119">
        <f>$I16</f>
        <v>3041.5714285714284</v>
      </c>
      <c r="K16" s="119">
        <f t="shared" ref="K16:O16" si="10">$I16</f>
        <v>3041.5714285714284</v>
      </c>
      <c r="L16" s="119">
        <f t="shared" si="10"/>
        <v>3041.5714285714284</v>
      </c>
      <c r="M16" s="119">
        <f t="shared" si="10"/>
        <v>3041.5714285714284</v>
      </c>
      <c r="N16" s="119">
        <f t="shared" si="10"/>
        <v>3041.5714285714284</v>
      </c>
      <c r="O16" s="119">
        <f t="shared" si="10"/>
        <v>3041.5714285714284</v>
      </c>
      <c r="P16" s="119">
        <f t="shared" si="2"/>
        <v>0</v>
      </c>
    </row>
    <row r="17" spans="1:16" x14ac:dyDescent="0.25">
      <c r="A17" s="118" t="s">
        <v>119</v>
      </c>
      <c r="B17" s="115" t="s">
        <v>211</v>
      </c>
      <c r="C17" s="119">
        <f>5603+2039</f>
        <v>7642</v>
      </c>
      <c r="D17" s="119"/>
      <c r="E17" s="119"/>
      <c r="F17" s="119"/>
      <c r="G17" s="119"/>
      <c r="H17" s="119"/>
      <c r="I17" s="119"/>
      <c r="J17" s="119"/>
      <c r="K17" s="120">
        <f>C17/5</f>
        <v>1528.4</v>
      </c>
      <c r="L17" s="119">
        <f>$K17</f>
        <v>1528.4</v>
      </c>
      <c r="M17" s="119">
        <f t="shared" ref="M17:O17" si="11">$K17</f>
        <v>1528.4</v>
      </c>
      <c r="N17" s="119">
        <f t="shared" si="11"/>
        <v>1528.4</v>
      </c>
      <c r="O17" s="119">
        <f t="shared" si="11"/>
        <v>1528.4</v>
      </c>
      <c r="P17" s="119">
        <f t="shared" si="2"/>
        <v>0</v>
      </c>
    </row>
    <row r="18" spans="1:16" x14ac:dyDescent="0.25">
      <c r="A18" s="118" t="s">
        <v>119</v>
      </c>
      <c r="B18" s="115" t="s">
        <v>212</v>
      </c>
      <c r="C18" s="119">
        <f>8964+3263</f>
        <v>12227</v>
      </c>
      <c r="D18" s="119"/>
      <c r="E18" s="119"/>
      <c r="F18" s="119"/>
      <c r="G18" s="119"/>
      <c r="H18" s="119"/>
      <c r="I18" s="119"/>
      <c r="J18" s="119"/>
      <c r="K18" s="119"/>
      <c r="L18" s="120">
        <f>C18/4</f>
        <v>3056.75</v>
      </c>
      <c r="M18" s="119">
        <f>$L18</f>
        <v>3056.75</v>
      </c>
      <c r="N18" s="119">
        <f t="shared" ref="N18:O19" si="12">$L18</f>
        <v>3056.75</v>
      </c>
      <c r="O18" s="119">
        <f t="shared" si="12"/>
        <v>3056.75</v>
      </c>
      <c r="P18" s="119">
        <f t="shared" si="2"/>
        <v>0</v>
      </c>
    </row>
    <row r="19" spans="1:16" x14ac:dyDescent="0.25">
      <c r="A19" s="118" t="s">
        <v>123</v>
      </c>
      <c r="B19" s="115" t="s">
        <v>212</v>
      </c>
      <c r="C19" s="119">
        <f>4948+1801</f>
        <v>6749</v>
      </c>
      <c r="D19" s="119"/>
      <c r="E19" s="119"/>
      <c r="F19" s="119"/>
      <c r="G19" s="119"/>
      <c r="H19" s="119"/>
      <c r="I19" s="119"/>
      <c r="J19" s="119"/>
      <c r="K19" s="119"/>
      <c r="L19" s="120">
        <f>C19/4</f>
        <v>1687.25</v>
      </c>
      <c r="M19" s="119">
        <f>$L19</f>
        <v>1687.25</v>
      </c>
      <c r="N19" s="119">
        <f t="shared" si="12"/>
        <v>1687.25</v>
      </c>
      <c r="O19" s="119">
        <f t="shared" si="12"/>
        <v>1687.25</v>
      </c>
      <c r="P19" s="119">
        <f t="shared" si="2"/>
        <v>0</v>
      </c>
    </row>
    <row r="20" spans="1:16" x14ac:dyDescent="0.25">
      <c r="A20" s="118" t="s">
        <v>125</v>
      </c>
      <c r="B20" s="115" t="s">
        <v>213</v>
      </c>
      <c r="C20" s="119">
        <v>0</v>
      </c>
      <c r="D20" s="119">
        <v>0</v>
      </c>
      <c r="E20" s="119">
        <v>0</v>
      </c>
      <c r="F20" s="119">
        <v>0</v>
      </c>
      <c r="G20" s="119">
        <v>0</v>
      </c>
      <c r="H20" s="119">
        <v>0</v>
      </c>
      <c r="I20" s="119">
        <v>0</v>
      </c>
      <c r="J20" s="119">
        <v>0</v>
      </c>
      <c r="K20" s="119">
        <v>0</v>
      </c>
      <c r="L20" s="119">
        <v>0</v>
      </c>
      <c r="M20" s="119">
        <v>0</v>
      </c>
      <c r="N20" s="119">
        <v>0</v>
      </c>
      <c r="O20" s="119">
        <v>0</v>
      </c>
      <c r="P20" s="119">
        <f t="shared" si="2"/>
        <v>0</v>
      </c>
    </row>
    <row r="21" spans="1:16" x14ac:dyDescent="0.25">
      <c r="A21" s="118" t="s">
        <v>127</v>
      </c>
      <c r="B21" s="115" t="s">
        <v>206</v>
      </c>
      <c r="C21" s="119">
        <f>26647+9699</f>
        <v>36346</v>
      </c>
      <c r="D21" s="119"/>
      <c r="E21" s="119"/>
      <c r="F21" s="119"/>
      <c r="G21" s="119"/>
      <c r="H21" s="120">
        <f>C21/8</f>
        <v>4543.25</v>
      </c>
      <c r="I21" s="119">
        <f>$H21</f>
        <v>4543.25</v>
      </c>
      <c r="J21" s="119">
        <f t="shared" ref="J21:O21" si="13">$H21</f>
        <v>4543.25</v>
      </c>
      <c r="K21" s="119">
        <f t="shared" si="13"/>
        <v>4543.25</v>
      </c>
      <c r="L21" s="119">
        <f t="shared" si="13"/>
        <v>4543.25</v>
      </c>
      <c r="M21" s="119">
        <f t="shared" si="13"/>
        <v>4543.25</v>
      </c>
      <c r="N21" s="119">
        <f t="shared" si="13"/>
        <v>4543.25</v>
      </c>
      <c r="O21" s="119">
        <f t="shared" si="13"/>
        <v>4543.25</v>
      </c>
      <c r="P21" s="119">
        <f t="shared" si="2"/>
        <v>0</v>
      </c>
    </row>
    <row r="22" spans="1:16" x14ac:dyDescent="0.25">
      <c r="A22" s="118" t="s">
        <v>129</v>
      </c>
      <c r="B22" s="115" t="s">
        <v>213</v>
      </c>
      <c r="C22" s="119">
        <v>0</v>
      </c>
      <c r="D22" s="119">
        <v>0</v>
      </c>
      <c r="E22" s="119">
        <v>0</v>
      </c>
      <c r="F22" s="119">
        <v>0</v>
      </c>
      <c r="G22" s="119">
        <v>0</v>
      </c>
      <c r="H22" s="119">
        <v>0</v>
      </c>
      <c r="I22" s="119">
        <v>0</v>
      </c>
      <c r="J22" s="119">
        <v>0</v>
      </c>
      <c r="K22" s="119">
        <v>0</v>
      </c>
      <c r="L22" s="119">
        <v>0</v>
      </c>
      <c r="M22" s="119">
        <v>0</v>
      </c>
      <c r="N22" s="119">
        <v>0</v>
      </c>
      <c r="O22" s="119">
        <v>0</v>
      </c>
      <c r="P22" s="119">
        <f t="shared" si="2"/>
        <v>0</v>
      </c>
    </row>
    <row r="23" spans="1:16" x14ac:dyDescent="0.25">
      <c r="A23" s="118" t="s">
        <v>131</v>
      </c>
      <c r="B23" s="115" t="s">
        <v>205</v>
      </c>
      <c r="C23" s="119">
        <f>10250+3731</f>
        <v>13981</v>
      </c>
      <c r="D23" s="119"/>
      <c r="E23" s="119"/>
      <c r="F23" s="119"/>
      <c r="G23" s="119"/>
      <c r="H23" s="119"/>
      <c r="I23" s="119">
        <f>C23/7</f>
        <v>1997.2857142857142</v>
      </c>
      <c r="J23" s="119">
        <f>$I23</f>
        <v>1997.2857142857142</v>
      </c>
      <c r="K23" s="119">
        <f t="shared" ref="K23:O23" si="14">$I23</f>
        <v>1997.2857142857142</v>
      </c>
      <c r="L23" s="119">
        <f t="shared" si="14"/>
        <v>1997.2857142857142</v>
      </c>
      <c r="M23" s="119">
        <f t="shared" si="14"/>
        <v>1997.2857142857142</v>
      </c>
      <c r="N23" s="119">
        <f t="shared" si="14"/>
        <v>1997.2857142857142</v>
      </c>
      <c r="O23" s="119">
        <f t="shared" si="14"/>
        <v>1997.2857142857142</v>
      </c>
      <c r="P23" s="119">
        <f t="shared" si="2"/>
        <v>0</v>
      </c>
    </row>
    <row r="24" spans="1:16" x14ac:dyDescent="0.25">
      <c r="A24" s="118" t="s">
        <v>134</v>
      </c>
      <c r="B24" s="115" t="s">
        <v>206</v>
      </c>
      <c r="C24" s="119">
        <f>8435+3070</f>
        <v>11505</v>
      </c>
      <c r="D24" s="119"/>
      <c r="E24" s="119"/>
      <c r="F24" s="119"/>
      <c r="G24" s="119"/>
      <c r="H24" s="120">
        <f>C24/8</f>
        <v>1438.125</v>
      </c>
      <c r="I24" s="119">
        <f>$H24</f>
        <v>1438.125</v>
      </c>
      <c r="J24" s="119">
        <f t="shared" ref="J24:O26" si="15">$H24</f>
        <v>1438.125</v>
      </c>
      <c r="K24" s="119">
        <f t="shared" si="15"/>
        <v>1438.125</v>
      </c>
      <c r="L24" s="119">
        <f t="shared" si="15"/>
        <v>1438.125</v>
      </c>
      <c r="M24" s="119">
        <f t="shared" si="15"/>
        <v>1438.125</v>
      </c>
      <c r="N24" s="119">
        <f t="shared" si="15"/>
        <v>1438.125</v>
      </c>
      <c r="O24" s="119">
        <f t="shared" si="15"/>
        <v>1438.125</v>
      </c>
      <c r="P24" s="119">
        <f t="shared" si="2"/>
        <v>0</v>
      </c>
    </row>
    <row r="25" spans="1:16" x14ac:dyDescent="0.25">
      <c r="A25" s="118" t="s">
        <v>136</v>
      </c>
      <c r="B25" s="115" t="s">
        <v>211</v>
      </c>
      <c r="C25" s="119">
        <f>13232+4816</f>
        <v>18048</v>
      </c>
      <c r="D25" s="119"/>
      <c r="E25" s="119"/>
      <c r="F25" s="119"/>
      <c r="G25" s="119"/>
      <c r="H25" s="119"/>
      <c r="I25" s="119"/>
      <c r="J25" s="119"/>
      <c r="K25" s="120">
        <f>C25/5</f>
        <v>3609.6</v>
      </c>
      <c r="L25" s="119">
        <f>$K25</f>
        <v>3609.6</v>
      </c>
      <c r="M25" s="119">
        <f t="shared" ref="M25:O25" si="16">$K25</f>
        <v>3609.6</v>
      </c>
      <c r="N25" s="119">
        <f t="shared" si="16"/>
        <v>3609.6</v>
      </c>
      <c r="O25" s="119">
        <f t="shared" si="16"/>
        <v>3609.6</v>
      </c>
      <c r="P25" s="119">
        <f t="shared" si="2"/>
        <v>0</v>
      </c>
    </row>
    <row r="26" spans="1:16" x14ac:dyDescent="0.25">
      <c r="A26" s="118" t="s">
        <v>138</v>
      </c>
      <c r="B26" s="115" t="s">
        <v>206</v>
      </c>
      <c r="C26" s="119">
        <f>19035+6928</f>
        <v>25963</v>
      </c>
      <c r="D26" s="119"/>
      <c r="E26" s="119"/>
      <c r="F26" s="119"/>
      <c r="G26" s="119"/>
      <c r="H26" s="120">
        <f>C26/8</f>
        <v>3245.375</v>
      </c>
      <c r="I26" s="119">
        <f>$H26</f>
        <v>3245.375</v>
      </c>
      <c r="J26" s="119">
        <f t="shared" si="15"/>
        <v>3245.375</v>
      </c>
      <c r="K26" s="119">
        <f t="shared" si="15"/>
        <v>3245.375</v>
      </c>
      <c r="L26" s="119">
        <f t="shared" si="15"/>
        <v>3245.375</v>
      </c>
      <c r="M26" s="119">
        <f t="shared" si="15"/>
        <v>3245.375</v>
      </c>
      <c r="N26" s="119">
        <f t="shared" si="15"/>
        <v>3245.375</v>
      </c>
      <c r="O26" s="119">
        <f t="shared" si="15"/>
        <v>3245.375</v>
      </c>
      <c r="P26" s="119">
        <f t="shared" si="2"/>
        <v>0</v>
      </c>
    </row>
    <row r="27" spans="1:16" x14ac:dyDescent="0.25">
      <c r="A27" s="118" t="s">
        <v>140</v>
      </c>
      <c r="B27" s="115" t="s">
        <v>209</v>
      </c>
      <c r="C27" s="119">
        <f>3934+1432</f>
        <v>5366</v>
      </c>
      <c r="D27" s="119"/>
      <c r="E27" s="119"/>
      <c r="F27" s="119"/>
      <c r="G27" s="119"/>
      <c r="H27" s="119"/>
      <c r="I27" s="119"/>
      <c r="J27" s="120">
        <f>C27/6</f>
        <v>894.33333333333337</v>
      </c>
      <c r="K27" s="119">
        <f>$J27</f>
        <v>894.33333333333337</v>
      </c>
      <c r="L27" s="119">
        <f t="shared" ref="L27:O27" si="17">$J27</f>
        <v>894.33333333333337</v>
      </c>
      <c r="M27" s="119">
        <f t="shared" si="17"/>
        <v>894.33333333333337</v>
      </c>
      <c r="N27" s="119">
        <f t="shared" si="17"/>
        <v>894.33333333333337</v>
      </c>
      <c r="O27" s="119">
        <f t="shared" si="17"/>
        <v>894.33333333333337</v>
      </c>
      <c r="P27" s="119">
        <f t="shared" si="2"/>
        <v>0</v>
      </c>
    </row>
    <row r="28" spans="1:16" x14ac:dyDescent="0.25">
      <c r="A28" s="118" t="s">
        <v>142</v>
      </c>
      <c r="B28" s="115" t="s">
        <v>214</v>
      </c>
      <c r="C28" s="119">
        <f>9931+3615</f>
        <v>13546</v>
      </c>
      <c r="D28" s="119"/>
      <c r="E28" s="119"/>
      <c r="F28" s="120">
        <f>C28/10</f>
        <v>1354.6</v>
      </c>
      <c r="G28" s="119">
        <f>$F28</f>
        <v>1354.6</v>
      </c>
      <c r="H28" s="119">
        <f t="shared" ref="H28:O28" si="18">$F28</f>
        <v>1354.6</v>
      </c>
      <c r="I28" s="119">
        <f t="shared" si="18"/>
        <v>1354.6</v>
      </c>
      <c r="J28" s="119">
        <f t="shared" si="18"/>
        <v>1354.6</v>
      </c>
      <c r="K28" s="119">
        <f t="shared" si="18"/>
        <v>1354.6</v>
      </c>
      <c r="L28" s="119">
        <f t="shared" si="18"/>
        <v>1354.6</v>
      </c>
      <c r="M28" s="119">
        <f t="shared" si="18"/>
        <v>1354.6</v>
      </c>
      <c r="N28" s="119">
        <f t="shared" si="18"/>
        <v>1354.6</v>
      </c>
      <c r="O28" s="119">
        <f t="shared" si="18"/>
        <v>1354.6</v>
      </c>
      <c r="P28" s="119">
        <f t="shared" si="2"/>
        <v>0</v>
      </c>
    </row>
    <row r="29" spans="1:16" x14ac:dyDescent="0.25">
      <c r="A29" s="118" t="s">
        <v>144</v>
      </c>
      <c r="B29" s="115" t="s">
        <v>206</v>
      </c>
      <c r="C29" s="119">
        <f>5759+2096</f>
        <v>7855</v>
      </c>
      <c r="D29" s="119"/>
      <c r="E29" s="119"/>
      <c r="F29" s="119"/>
      <c r="G29" s="119"/>
      <c r="H29" s="120"/>
      <c r="I29" s="119"/>
      <c r="J29" s="120">
        <f>C29/6</f>
        <v>1309.1666666666667</v>
      </c>
      <c r="K29" s="119">
        <f>$J29</f>
        <v>1309.1666666666667</v>
      </c>
      <c r="L29" s="119">
        <f t="shared" ref="L29:O29" si="19">$J29</f>
        <v>1309.1666666666667</v>
      </c>
      <c r="M29" s="119">
        <f t="shared" si="19"/>
        <v>1309.1666666666667</v>
      </c>
      <c r="N29" s="119">
        <f t="shared" si="19"/>
        <v>1309.1666666666667</v>
      </c>
      <c r="O29" s="119">
        <f t="shared" si="19"/>
        <v>1309.1666666666667</v>
      </c>
      <c r="P29" s="119">
        <f t="shared" si="2"/>
        <v>0</v>
      </c>
    </row>
    <row r="30" spans="1:16" x14ac:dyDescent="0.25">
      <c r="A30" s="118" t="s">
        <v>147</v>
      </c>
      <c r="B30" s="115" t="s">
        <v>205</v>
      </c>
      <c r="C30" s="119">
        <f>55438+20179</f>
        <v>75617</v>
      </c>
      <c r="D30" s="119"/>
      <c r="E30" s="119"/>
      <c r="F30" s="119"/>
      <c r="G30" s="119"/>
      <c r="H30" s="119"/>
      <c r="I30" s="119">
        <f>C30/7</f>
        <v>10802.428571428571</v>
      </c>
      <c r="J30" s="119">
        <f>$I30</f>
        <v>10802.428571428571</v>
      </c>
      <c r="K30" s="119">
        <f t="shared" ref="K30:O30" si="20">$I30</f>
        <v>10802.428571428571</v>
      </c>
      <c r="L30" s="119">
        <f t="shared" si="20"/>
        <v>10802.428571428571</v>
      </c>
      <c r="M30" s="119">
        <f t="shared" si="20"/>
        <v>10802.428571428571</v>
      </c>
      <c r="N30" s="119">
        <f t="shared" si="20"/>
        <v>10802.428571428571</v>
      </c>
      <c r="O30" s="119">
        <f t="shared" si="20"/>
        <v>10802.428571428571</v>
      </c>
      <c r="P30" s="119">
        <f t="shared" si="2"/>
        <v>0</v>
      </c>
    </row>
    <row r="31" spans="1:16" x14ac:dyDescent="0.25">
      <c r="A31" s="118" t="s">
        <v>149</v>
      </c>
      <c r="B31" s="115" t="s">
        <v>210</v>
      </c>
      <c r="C31" s="119">
        <f>34425+12531</f>
        <v>46956</v>
      </c>
      <c r="D31" s="119"/>
      <c r="E31" s="119"/>
      <c r="F31" s="119"/>
      <c r="G31" s="120">
        <f>C31/9</f>
        <v>5217.333333333333</v>
      </c>
      <c r="H31" s="119">
        <f>$G31</f>
        <v>5217.333333333333</v>
      </c>
      <c r="I31" s="119">
        <f t="shared" ref="I31:O31" si="21">$G31</f>
        <v>5217.333333333333</v>
      </c>
      <c r="J31" s="119">
        <f t="shared" si="21"/>
        <v>5217.333333333333</v>
      </c>
      <c r="K31" s="119">
        <f t="shared" si="21"/>
        <v>5217.333333333333</v>
      </c>
      <c r="L31" s="119">
        <f t="shared" si="21"/>
        <v>5217.333333333333</v>
      </c>
      <c r="M31" s="119">
        <f t="shared" si="21"/>
        <v>5217.333333333333</v>
      </c>
      <c r="N31" s="119">
        <f t="shared" si="21"/>
        <v>5217.333333333333</v>
      </c>
      <c r="O31" s="119">
        <f t="shared" si="21"/>
        <v>5217.333333333333</v>
      </c>
      <c r="P31" s="119">
        <f t="shared" si="2"/>
        <v>0</v>
      </c>
    </row>
    <row r="32" spans="1:16" ht="15" customHeight="1" x14ac:dyDescent="0.25">
      <c r="A32" s="118" t="s">
        <v>152</v>
      </c>
      <c r="B32" s="115" t="s">
        <v>215</v>
      </c>
      <c r="C32" s="119">
        <f>22556+8210</f>
        <v>30766</v>
      </c>
      <c r="D32" s="119">
        <f t="shared" ref="D32:D34" si="22">C32/12</f>
        <v>2563.8333333333335</v>
      </c>
      <c r="E32" s="119">
        <f t="shared" ref="E32:O34" si="23">$D32</f>
        <v>2563.8333333333335</v>
      </c>
      <c r="F32" s="119">
        <f t="shared" si="23"/>
        <v>2563.8333333333335</v>
      </c>
      <c r="G32" s="119">
        <f t="shared" si="23"/>
        <v>2563.8333333333335</v>
      </c>
      <c r="H32" s="119">
        <f t="shared" si="23"/>
        <v>2563.8333333333335</v>
      </c>
      <c r="I32" s="119">
        <f t="shared" si="23"/>
        <v>2563.8333333333335</v>
      </c>
      <c r="J32" s="119">
        <f t="shared" si="23"/>
        <v>2563.8333333333335</v>
      </c>
      <c r="K32" s="119">
        <f t="shared" si="23"/>
        <v>2563.8333333333335</v>
      </c>
      <c r="L32" s="119">
        <f t="shared" si="23"/>
        <v>2563.8333333333335</v>
      </c>
      <c r="M32" s="119">
        <f t="shared" si="23"/>
        <v>2563.8333333333335</v>
      </c>
      <c r="N32" s="119">
        <f t="shared" si="23"/>
        <v>2563.8333333333335</v>
      </c>
      <c r="O32" s="119">
        <f t="shared" si="23"/>
        <v>2563.8333333333335</v>
      </c>
      <c r="P32" s="119">
        <f t="shared" si="2"/>
        <v>0</v>
      </c>
    </row>
    <row r="33" spans="1:16" x14ac:dyDescent="0.25">
      <c r="A33" s="118" t="s">
        <v>154</v>
      </c>
      <c r="B33" s="115" t="s">
        <v>215</v>
      </c>
      <c r="C33" s="119">
        <f>19005+6918</f>
        <v>25923</v>
      </c>
      <c r="D33" s="119">
        <f t="shared" si="22"/>
        <v>2160.25</v>
      </c>
      <c r="E33" s="119">
        <f t="shared" si="23"/>
        <v>2160.25</v>
      </c>
      <c r="F33" s="119">
        <f t="shared" si="23"/>
        <v>2160.25</v>
      </c>
      <c r="G33" s="119">
        <f t="shared" si="23"/>
        <v>2160.25</v>
      </c>
      <c r="H33" s="119">
        <f t="shared" si="23"/>
        <v>2160.25</v>
      </c>
      <c r="I33" s="119">
        <f t="shared" si="23"/>
        <v>2160.25</v>
      </c>
      <c r="J33" s="119">
        <f t="shared" si="23"/>
        <v>2160.25</v>
      </c>
      <c r="K33" s="119">
        <f t="shared" si="23"/>
        <v>2160.25</v>
      </c>
      <c r="L33" s="119">
        <f t="shared" si="23"/>
        <v>2160.25</v>
      </c>
      <c r="M33" s="119">
        <f t="shared" si="23"/>
        <v>2160.25</v>
      </c>
      <c r="N33" s="119">
        <f t="shared" si="23"/>
        <v>2160.25</v>
      </c>
      <c r="O33" s="119">
        <f t="shared" si="23"/>
        <v>2160.25</v>
      </c>
      <c r="P33" s="119">
        <f t="shared" si="2"/>
        <v>0</v>
      </c>
    </row>
    <row r="34" spans="1:16" x14ac:dyDescent="0.25">
      <c r="A34" s="118" t="s">
        <v>155</v>
      </c>
      <c r="B34" s="115" t="s">
        <v>215</v>
      </c>
      <c r="C34" s="119">
        <f>13027+4742</f>
        <v>17769</v>
      </c>
      <c r="D34" s="119">
        <f t="shared" si="22"/>
        <v>1480.75</v>
      </c>
      <c r="E34" s="119">
        <f t="shared" si="23"/>
        <v>1480.75</v>
      </c>
      <c r="F34" s="119">
        <f t="shared" si="23"/>
        <v>1480.75</v>
      </c>
      <c r="G34" s="119">
        <f t="shared" si="23"/>
        <v>1480.75</v>
      </c>
      <c r="H34" s="119">
        <f t="shared" si="23"/>
        <v>1480.75</v>
      </c>
      <c r="I34" s="119">
        <f t="shared" si="23"/>
        <v>1480.75</v>
      </c>
      <c r="J34" s="119">
        <f t="shared" si="23"/>
        <v>1480.75</v>
      </c>
      <c r="K34" s="119">
        <f t="shared" si="23"/>
        <v>1480.75</v>
      </c>
      <c r="L34" s="119">
        <f t="shared" si="23"/>
        <v>1480.75</v>
      </c>
      <c r="M34" s="119">
        <f t="shared" si="23"/>
        <v>1480.75</v>
      </c>
      <c r="N34" s="119">
        <f t="shared" si="23"/>
        <v>1480.75</v>
      </c>
      <c r="O34" s="119">
        <f t="shared" si="23"/>
        <v>1480.75</v>
      </c>
      <c r="P34" s="119">
        <f t="shared" si="2"/>
        <v>0</v>
      </c>
    </row>
    <row r="35" spans="1:16" x14ac:dyDescent="0.25">
      <c r="A35" s="118" t="s">
        <v>156</v>
      </c>
      <c r="B35" s="115" t="s">
        <v>212</v>
      </c>
      <c r="C35" s="119">
        <f>6101+2221</f>
        <v>8322</v>
      </c>
      <c r="D35" s="119"/>
      <c r="E35" s="119"/>
      <c r="F35" s="119"/>
      <c r="G35" s="119"/>
      <c r="H35" s="119"/>
      <c r="I35" s="119"/>
      <c r="J35" s="119"/>
      <c r="K35" s="119"/>
      <c r="L35" s="120">
        <f>C35/4</f>
        <v>2080.5</v>
      </c>
      <c r="M35" s="119">
        <f>$L35</f>
        <v>2080.5</v>
      </c>
      <c r="N35" s="119">
        <f t="shared" ref="N35:O36" si="24">$L35</f>
        <v>2080.5</v>
      </c>
      <c r="O35" s="119">
        <f t="shared" si="24"/>
        <v>2080.5</v>
      </c>
      <c r="P35" s="119">
        <f t="shared" si="2"/>
        <v>0</v>
      </c>
    </row>
    <row r="36" spans="1:16" x14ac:dyDescent="0.25">
      <c r="A36" s="118" t="s">
        <v>157</v>
      </c>
      <c r="B36" s="115" t="s">
        <v>212</v>
      </c>
      <c r="C36" s="119">
        <f>6186+2252</f>
        <v>8438</v>
      </c>
      <c r="D36" s="119"/>
      <c r="E36" s="119"/>
      <c r="F36" s="119"/>
      <c r="G36" s="119"/>
      <c r="H36" s="119"/>
      <c r="I36" s="119"/>
      <c r="J36" s="119"/>
      <c r="K36" s="119"/>
      <c r="L36" s="120">
        <f>C36/4</f>
        <v>2109.5</v>
      </c>
      <c r="M36" s="119">
        <f>$L36</f>
        <v>2109.5</v>
      </c>
      <c r="N36" s="119">
        <f t="shared" si="24"/>
        <v>2109.5</v>
      </c>
      <c r="O36" s="119">
        <f t="shared" si="24"/>
        <v>2109.5</v>
      </c>
      <c r="P36" s="119">
        <f t="shared" si="2"/>
        <v>0</v>
      </c>
    </row>
    <row r="37" spans="1:16" x14ac:dyDescent="0.25">
      <c r="A37" s="118" t="s">
        <v>159</v>
      </c>
      <c r="B37" s="115" t="s">
        <v>215</v>
      </c>
      <c r="C37" s="119">
        <f>-364481-132671</f>
        <v>-497152</v>
      </c>
      <c r="D37" s="119">
        <f t="shared" ref="D37:D39" si="25">C37/12</f>
        <v>-41429.333333333336</v>
      </c>
      <c r="E37" s="119">
        <f t="shared" ref="E37:O39" si="26">$D37</f>
        <v>-41429.333333333336</v>
      </c>
      <c r="F37" s="119">
        <f t="shared" si="26"/>
        <v>-41429.333333333336</v>
      </c>
      <c r="G37" s="119">
        <f t="shared" si="26"/>
        <v>-41429.333333333336</v>
      </c>
      <c r="H37" s="119">
        <f t="shared" si="26"/>
        <v>-41429.333333333336</v>
      </c>
      <c r="I37" s="119">
        <f t="shared" si="26"/>
        <v>-41429.333333333336</v>
      </c>
      <c r="J37" s="119">
        <f t="shared" si="26"/>
        <v>-41429.333333333336</v>
      </c>
      <c r="K37" s="119">
        <f t="shared" si="26"/>
        <v>-41429.333333333336</v>
      </c>
      <c r="L37" s="119">
        <f t="shared" si="26"/>
        <v>-41429.333333333336</v>
      </c>
      <c r="M37" s="119">
        <f t="shared" si="26"/>
        <v>-41429.333333333336</v>
      </c>
      <c r="N37" s="119">
        <f t="shared" si="26"/>
        <v>-41429.333333333336</v>
      </c>
      <c r="O37" s="119">
        <f t="shared" si="26"/>
        <v>-41429.333333333336</v>
      </c>
      <c r="P37" s="119">
        <f t="shared" si="2"/>
        <v>0</v>
      </c>
    </row>
    <row r="38" spans="1:16" x14ac:dyDescent="0.25">
      <c r="A38" s="118" t="s">
        <v>161</v>
      </c>
      <c r="B38" s="115" t="s">
        <v>215</v>
      </c>
      <c r="C38" s="119">
        <f>28849+18423</f>
        <v>47272</v>
      </c>
      <c r="D38" s="119">
        <f t="shared" si="25"/>
        <v>3939.3333333333335</v>
      </c>
      <c r="E38" s="119">
        <f t="shared" si="26"/>
        <v>3939.3333333333335</v>
      </c>
      <c r="F38" s="119">
        <f t="shared" si="26"/>
        <v>3939.3333333333335</v>
      </c>
      <c r="G38" s="119">
        <f t="shared" si="26"/>
        <v>3939.3333333333335</v>
      </c>
      <c r="H38" s="119">
        <f t="shared" si="26"/>
        <v>3939.3333333333335</v>
      </c>
      <c r="I38" s="119">
        <f t="shared" si="26"/>
        <v>3939.3333333333335</v>
      </c>
      <c r="J38" s="119">
        <f t="shared" si="26"/>
        <v>3939.3333333333335</v>
      </c>
      <c r="K38" s="119">
        <f t="shared" si="26"/>
        <v>3939.3333333333335</v>
      </c>
      <c r="L38" s="119">
        <f t="shared" si="26"/>
        <v>3939.3333333333335</v>
      </c>
      <c r="M38" s="119">
        <f t="shared" si="26"/>
        <v>3939.3333333333335</v>
      </c>
      <c r="N38" s="119">
        <f t="shared" si="26"/>
        <v>3939.3333333333335</v>
      </c>
      <c r="O38" s="119">
        <f t="shared" si="26"/>
        <v>3939.3333333333335</v>
      </c>
      <c r="P38" s="119">
        <f t="shared" si="2"/>
        <v>0</v>
      </c>
    </row>
    <row r="39" spans="1:16" x14ac:dyDescent="0.25">
      <c r="A39" s="118" t="s">
        <v>163</v>
      </c>
      <c r="B39" s="115" t="s">
        <v>215</v>
      </c>
      <c r="C39" s="119">
        <f>29843+19058</f>
        <v>48901</v>
      </c>
      <c r="D39" s="119">
        <f t="shared" si="25"/>
        <v>4075.0833333333335</v>
      </c>
      <c r="E39" s="119">
        <f t="shared" si="26"/>
        <v>4075.0833333333335</v>
      </c>
      <c r="F39" s="119">
        <f t="shared" si="26"/>
        <v>4075.0833333333335</v>
      </c>
      <c r="G39" s="119">
        <f t="shared" si="26"/>
        <v>4075.0833333333335</v>
      </c>
      <c r="H39" s="119">
        <f t="shared" si="26"/>
        <v>4075.0833333333335</v>
      </c>
      <c r="I39" s="119">
        <f t="shared" si="26"/>
        <v>4075.0833333333335</v>
      </c>
      <c r="J39" s="119">
        <f t="shared" si="26"/>
        <v>4075.0833333333335</v>
      </c>
      <c r="K39" s="119">
        <f t="shared" si="26"/>
        <v>4075.0833333333335</v>
      </c>
      <c r="L39" s="119">
        <f t="shared" si="26"/>
        <v>4075.0833333333335</v>
      </c>
      <c r="M39" s="119">
        <f t="shared" si="26"/>
        <v>4075.0833333333335</v>
      </c>
      <c r="N39" s="119">
        <f t="shared" si="26"/>
        <v>4075.0833333333335</v>
      </c>
      <c r="O39" s="119">
        <f t="shared" si="26"/>
        <v>4075.0833333333335</v>
      </c>
      <c r="P39" s="119">
        <f t="shared" si="2"/>
        <v>0</v>
      </c>
    </row>
    <row r="40" spans="1:16" x14ac:dyDescent="0.25">
      <c r="A40" s="118" t="s">
        <v>163</v>
      </c>
      <c r="B40" s="115" t="s">
        <v>211</v>
      </c>
      <c r="C40" s="119">
        <f>19896+12704</f>
        <v>32600</v>
      </c>
      <c r="D40" s="119"/>
      <c r="E40" s="119"/>
      <c r="F40" s="119"/>
      <c r="G40" s="119"/>
      <c r="H40" s="119"/>
      <c r="I40" s="119"/>
      <c r="J40" s="119"/>
      <c r="K40" s="120">
        <f>C40/5</f>
        <v>6520</v>
      </c>
      <c r="L40" s="119">
        <f>$K40</f>
        <v>6520</v>
      </c>
      <c r="M40" s="119">
        <f t="shared" ref="M40:O40" si="27">$K40</f>
        <v>6520</v>
      </c>
      <c r="N40" s="119">
        <f t="shared" si="27"/>
        <v>6520</v>
      </c>
      <c r="O40" s="119">
        <f t="shared" si="27"/>
        <v>6520</v>
      </c>
      <c r="P40" s="119">
        <f t="shared" si="2"/>
        <v>0</v>
      </c>
    </row>
    <row r="41" spans="1:16" x14ac:dyDescent="0.25">
      <c r="A41" s="118" t="s">
        <v>216</v>
      </c>
      <c r="B41" s="115" t="s">
        <v>206</v>
      </c>
      <c r="C41" s="146">
        <f>8208+2988</f>
        <v>11196</v>
      </c>
      <c r="D41" s="119"/>
      <c r="E41" s="119"/>
      <c r="F41" s="119"/>
      <c r="G41" s="119"/>
      <c r="H41" s="120">
        <f t="shared" ref="H41:H42" si="28">C41/8</f>
        <v>1399.5</v>
      </c>
      <c r="I41" s="119">
        <f t="shared" ref="I41:O42" si="29">$H41</f>
        <v>1399.5</v>
      </c>
      <c r="J41" s="119">
        <f t="shared" si="29"/>
        <v>1399.5</v>
      </c>
      <c r="K41" s="119">
        <f t="shared" si="29"/>
        <v>1399.5</v>
      </c>
      <c r="L41" s="119">
        <f t="shared" si="29"/>
        <v>1399.5</v>
      </c>
      <c r="M41" s="119">
        <f t="shared" si="29"/>
        <v>1399.5</v>
      </c>
      <c r="N41" s="119">
        <f t="shared" si="29"/>
        <v>1399.5</v>
      </c>
      <c r="O41" s="119">
        <f t="shared" si="29"/>
        <v>1399.5</v>
      </c>
      <c r="P41" s="119">
        <f t="shared" si="2"/>
        <v>0</v>
      </c>
    </row>
    <row r="42" spans="1:16" x14ac:dyDescent="0.25">
      <c r="A42" s="118" t="s">
        <v>217</v>
      </c>
      <c r="B42" s="115" t="s">
        <v>206</v>
      </c>
      <c r="C42" s="146">
        <f>4834+1759</f>
        <v>6593</v>
      </c>
      <c r="D42" s="119"/>
      <c r="E42" s="119"/>
      <c r="F42" s="119"/>
      <c r="G42" s="119"/>
      <c r="H42" s="120">
        <f t="shared" si="28"/>
        <v>824.125</v>
      </c>
      <c r="I42" s="119">
        <f t="shared" si="29"/>
        <v>824.125</v>
      </c>
      <c r="J42" s="119">
        <f t="shared" si="29"/>
        <v>824.125</v>
      </c>
      <c r="K42" s="119">
        <f t="shared" si="29"/>
        <v>824.125</v>
      </c>
      <c r="L42" s="119">
        <f t="shared" si="29"/>
        <v>824.125</v>
      </c>
      <c r="M42" s="119">
        <f t="shared" si="29"/>
        <v>824.125</v>
      </c>
      <c r="N42" s="119">
        <f t="shared" si="29"/>
        <v>824.125</v>
      </c>
      <c r="O42" s="119">
        <f t="shared" si="29"/>
        <v>824.125</v>
      </c>
      <c r="P42" s="119">
        <f t="shared" si="2"/>
        <v>0</v>
      </c>
    </row>
    <row r="43" spans="1:16" x14ac:dyDescent="0.25">
      <c r="A43" s="118" t="s">
        <v>218</v>
      </c>
      <c r="B43" s="115" t="s">
        <v>210</v>
      </c>
      <c r="C43" s="146">
        <f>11913+4336</f>
        <v>16249</v>
      </c>
      <c r="D43" s="119"/>
      <c r="E43" s="119"/>
      <c r="F43" s="119"/>
      <c r="G43" s="120">
        <f>C43/9</f>
        <v>1805.4444444444443</v>
      </c>
      <c r="H43" s="119">
        <f>$G43</f>
        <v>1805.4444444444443</v>
      </c>
      <c r="I43" s="119">
        <f t="shared" ref="I43:O43" si="30">$G43</f>
        <v>1805.4444444444443</v>
      </c>
      <c r="J43" s="119">
        <f t="shared" si="30"/>
        <v>1805.4444444444443</v>
      </c>
      <c r="K43" s="119">
        <f t="shared" si="30"/>
        <v>1805.4444444444443</v>
      </c>
      <c r="L43" s="119">
        <f t="shared" si="30"/>
        <v>1805.4444444444443</v>
      </c>
      <c r="M43" s="119">
        <f t="shared" si="30"/>
        <v>1805.4444444444443</v>
      </c>
      <c r="N43" s="119">
        <f t="shared" si="30"/>
        <v>1805.4444444444443</v>
      </c>
      <c r="O43" s="119">
        <f t="shared" si="30"/>
        <v>1805.4444444444443</v>
      </c>
      <c r="P43" s="119">
        <f t="shared" si="2"/>
        <v>0</v>
      </c>
    </row>
    <row r="44" spans="1:16" x14ac:dyDescent="0.25">
      <c r="A44" s="118" t="s">
        <v>219</v>
      </c>
      <c r="B44" s="115" t="s">
        <v>209</v>
      </c>
      <c r="C44" s="146">
        <f>20632+7510</f>
        <v>28142</v>
      </c>
      <c r="D44" s="119"/>
      <c r="E44" s="119"/>
      <c r="F44" s="119"/>
      <c r="G44" s="119"/>
      <c r="H44" s="119"/>
      <c r="I44" s="119"/>
      <c r="J44" s="120">
        <f>C44/6</f>
        <v>4690.333333333333</v>
      </c>
      <c r="K44" s="119">
        <f>$J44</f>
        <v>4690.333333333333</v>
      </c>
      <c r="L44" s="119">
        <f t="shared" ref="L44:O44" si="31">$J44</f>
        <v>4690.333333333333</v>
      </c>
      <c r="M44" s="119">
        <f t="shared" si="31"/>
        <v>4690.333333333333</v>
      </c>
      <c r="N44" s="119">
        <f t="shared" si="31"/>
        <v>4690.333333333333</v>
      </c>
      <c r="O44" s="119">
        <f t="shared" si="31"/>
        <v>4690.333333333333</v>
      </c>
      <c r="P44" s="119">
        <f t="shared" si="2"/>
        <v>0</v>
      </c>
    </row>
    <row r="45" spans="1:16" x14ac:dyDescent="0.25">
      <c r="A45" s="118" t="s">
        <v>176</v>
      </c>
      <c r="B45" s="115" t="s">
        <v>215</v>
      </c>
      <c r="C45" s="119">
        <f>31984+11642</f>
        <v>43626</v>
      </c>
      <c r="D45" s="119">
        <f>C45/12</f>
        <v>3635.5</v>
      </c>
      <c r="E45" s="119">
        <f>$D45</f>
        <v>3635.5</v>
      </c>
      <c r="F45" s="119">
        <f t="shared" ref="F45:O46" si="32">$D45</f>
        <v>3635.5</v>
      </c>
      <c r="G45" s="119">
        <f t="shared" si="32"/>
        <v>3635.5</v>
      </c>
      <c r="H45" s="119">
        <f t="shared" si="32"/>
        <v>3635.5</v>
      </c>
      <c r="I45" s="119">
        <f t="shared" si="32"/>
        <v>3635.5</v>
      </c>
      <c r="J45" s="119">
        <f t="shared" si="32"/>
        <v>3635.5</v>
      </c>
      <c r="K45" s="119">
        <f t="shared" si="32"/>
        <v>3635.5</v>
      </c>
      <c r="L45" s="119">
        <f t="shared" si="32"/>
        <v>3635.5</v>
      </c>
      <c r="M45" s="119">
        <f t="shared" si="32"/>
        <v>3635.5</v>
      </c>
      <c r="N45" s="119">
        <f t="shared" si="32"/>
        <v>3635.5</v>
      </c>
      <c r="O45" s="119">
        <f t="shared" si="32"/>
        <v>3635.5</v>
      </c>
      <c r="P45" s="119">
        <f t="shared" si="2"/>
        <v>0</v>
      </c>
    </row>
    <row r="46" spans="1:16" x14ac:dyDescent="0.25">
      <c r="A46" s="78" t="s">
        <v>170</v>
      </c>
      <c r="B46" s="115" t="s">
        <v>215</v>
      </c>
      <c r="C46" s="119">
        <v>24713</v>
      </c>
      <c r="D46" s="119">
        <f>C46/12</f>
        <v>2059.4166666666665</v>
      </c>
      <c r="E46" s="119">
        <f>$D46</f>
        <v>2059.4166666666665</v>
      </c>
      <c r="F46" s="119">
        <f t="shared" si="32"/>
        <v>2059.4166666666665</v>
      </c>
      <c r="G46" s="119">
        <f t="shared" si="32"/>
        <v>2059.4166666666665</v>
      </c>
      <c r="H46" s="119">
        <f t="shared" si="32"/>
        <v>2059.4166666666665</v>
      </c>
      <c r="I46" s="119">
        <f t="shared" si="32"/>
        <v>2059.4166666666665</v>
      </c>
      <c r="J46" s="119">
        <f t="shared" si="32"/>
        <v>2059.4166666666665</v>
      </c>
      <c r="K46" s="119">
        <f t="shared" si="32"/>
        <v>2059.4166666666665</v>
      </c>
      <c r="L46" s="119">
        <f t="shared" si="32"/>
        <v>2059.4166666666665</v>
      </c>
      <c r="M46" s="119">
        <f t="shared" si="32"/>
        <v>2059.4166666666665</v>
      </c>
      <c r="N46" s="119">
        <f t="shared" si="32"/>
        <v>2059.4166666666665</v>
      </c>
      <c r="O46" s="119">
        <f t="shared" si="32"/>
        <v>2059.4166666666665</v>
      </c>
      <c r="P46" s="119">
        <f t="shared" si="2"/>
        <v>0</v>
      </c>
    </row>
    <row r="47" spans="1:16" ht="15.75" thickBot="1" x14ac:dyDescent="0.3">
      <c r="C47" s="116">
        <f>SUM(C5:C46)</f>
        <v>30726942.475839999</v>
      </c>
      <c r="D47" s="125">
        <f>SUM(D5:D46)</f>
        <v>2520345.7063199999</v>
      </c>
      <c r="E47" s="125">
        <f t="shared" ref="E47:O47" si="33">SUM(E5:E46)</f>
        <v>2520345.7063199999</v>
      </c>
      <c r="F47" s="125">
        <f t="shared" si="33"/>
        <v>2521700.30632</v>
      </c>
      <c r="G47" s="125">
        <f t="shared" si="33"/>
        <v>2532727.5285422225</v>
      </c>
      <c r="H47" s="125">
        <f t="shared" si="33"/>
        <v>2544177.9035422225</v>
      </c>
      <c r="I47" s="125">
        <f t="shared" si="33"/>
        <v>2560019.1892565084</v>
      </c>
      <c r="J47" s="125">
        <f t="shared" si="33"/>
        <v>2571968.8559231753</v>
      </c>
      <c r="K47" s="125">
        <f t="shared" si="33"/>
        <v>2583626.8559231753</v>
      </c>
      <c r="L47" s="125">
        <f t="shared" si="33"/>
        <v>2592560.8559231753</v>
      </c>
      <c r="M47" s="125">
        <f t="shared" si="33"/>
        <v>2593156.5225898419</v>
      </c>
      <c r="N47" s="125">
        <f t="shared" si="33"/>
        <v>2593156.5225898419</v>
      </c>
      <c r="O47" s="125">
        <f t="shared" si="33"/>
        <v>2593156.5225898419</v>
      </c>
      <c r="P47" s="119"/>
    </row>
    <row r="48" spans="1:16" x14ac:dyDescent="0.25">
      <c r="C48" s="119"/>
      <c r="D48" s="119"/>
      <c r="E48" s="119"/>
      <c r="F48" s="119"/>
      <c r="G48" s="119"/>
      <c r="H48" s="119"/>
      <c r="I48" s="119"/>
      <c r="J48" s="119"/>
      <c r="K48" s="119"/>
      <c r="L48" s="119"/>
      <c r="M48" s="119"/>
      <c r="N48" s="119"/>
      <c r="O48" s="119"/>
      <c r="P48" s="119"/>
    </row>
    <row r="49" spans="3:16" x14ac:dyDescent="0.25">
      <c r="C49" s="119"/>
      <c r="D49" s="122">
        <f>D47/$C$47</f>
        <v>8.2023966696383774E-2</v>
      </c>
      <c r="E49" s="122">
        <f t="shared" ref="E49:O49" si="34">E47/$C$47</f>
        <v>8.2023966696383774E-2</v>
      </c>
      <c r="F49" s="122">
        <f t="shared" si="34"/>
        <v>8.2068051785587334E-2</v>
      </c>
      <c r="G49" s="122">
        <f t="shared" si="34"/>
        <v>8.2426929738735222E-2</v>
      </c>
      <c r="H49" s="122">
        <f t="shared" si="34"/>
        <v>8.2799579084142857E-2</v>
      </c>
      <c r="I49" s="122">
        <f t="shared" si="34"/>
        <v>8.3315129426541609E-2</v>
      </c>
      <c r="J49" s="122">
        <f t="shared" si="34"/>
        <v>8.3704028083674928E-2</v>
      </c>
      <c r="K49" s="122">
        <f t="shared" si="34"/>
        <v>8.4083434528333931E-2</v>
      </c>
      <c r="L49" s="122">
        <f t="shared" si="34"/>
        <v>8.4374189132604263E-2</v>
      </c>
      <c r="M49" s="122">
        <f t="shared" si="34"/>
        <v>8.4393574942537505E-2</v>
      </c>
      <c r="N49" s="122">
        <f t="shared" si="34"/>
        <v>8.4393574942537505E-2</v>
      </c>
      <c r="O49" s="122">
        <f t="shared" si="34"/>
        <v>8.4393574942537505E-2</v>
      </c>
      <c r="P49" s="119"/>
    </row>
    <row r="50" spans="3:16" x14ac:dyDescent="0.25">
      <c r="C50" s="119"/>
      <c r="D50" s="119"/>
      <c r="E50" s="119"/>
      <c r="F50" s="119"/>
      <c r="G50" s="119"/>
      <c r="H50" s="119"/>
      <c r="I50" s="119"/>
      <c r="J50" s="119"/>
      <c r="K50" s="119"/>
      <c r="L50" s="119"/>
      <c r="M50" s="119"/>
      <c r="N50" s="119"/>
      <c r="O50" s="119"/>
      <c r="P50" s="119"/>
    </row>
    <row r="51" spans="3:16" x14ac:dyDescent="0.25">
      <c r="C51" s="119">
        <f>'[1]G2-12 to 19 Supplement FN'!$Y$102</f>
        <v>30726942.475840002</v>
      </c>
      <c r="D51" s="119"/>
      <c r="E51" s="119"/>
      <c r="F51" s="119"/>
      <c r="G51" s="119"/>
      <c r="H51" s="119"/>
      <c r="I51" s="119"/>
      <c r="J51" s="119"/>
      <c r="K51" s="119"/>
      <c r="L51" s="119"/>
      <c r="M51" s="119"/>
      <c r="N51" s="119"/>
      <c r="O51" s="119"/>
      <c r="P51" s="119"/>
    </row>
    <row r="52" spans="3:16" x14ac:dyDescent="0.25">
      <c r="C52" s="119">
        <f>C47-C51</f>
        <v>0</v>
      </c>
      <c r="D52" s="119"/>
      <c r="E52" s="119"/>
      <c r="F52" s="119"/>
      <c r="G52" s="119"/>
      <c r="H52" s="119"/>
      <c r="I52" s="119"/>
      <c r="J52" s="119"/>
      <c r="K52" s="119"/>
      <c r="L52" s="119"/>
      <c r="M52" s="119"/>
      <c r="N52" s="119"/>
      <c r="O52" s="119"/>
      <c r="P52" s="119"/>
    </row>
    <row r="53" spans="3:16" x14ac:dyDescent="0.25">
      <c r="C53" s="119"/>
      <c r="D53" s="119"/>
      <c r="E53" s="119"/>
      <c r="F53" s="119"/>
      <c r="G53" s="119"/>
      <c r="H53" s="119"/>
      <c r="I53" s="119"/>
      <c r="J53" s="119"/>
      <c r="K53" s="119"/>
      <c r="L53" s="119"/>
      <c r="M53" s="119"/>
      <c r="N53" s="119"/>
      <c r="O53" s="119"/>
      <c r="P53" s="119"/>
    </row>
    <row r="54" spans="3:16" x14ac:dyDescent="0.25">
      <c r="C54" s="119"/>
      <c r="D54" s="119"/>
      <c r="E54" s="119"/>
      <c r="F54" s="119"/>
      <c r="G54" s="119"/>
      <c r="H54" s="119"/>
      <c r="I54" s="119"/>
      <c r="J54" s="119"/>
      <c r="K54" s="119"/>
      <c r="L54" s="119"/>
      <c r="M54" s="119"/>
      <c r="N54" s="119"/>
      <c r="O54" s="119"/>
      <c r="P54" s="119"/>
    </row>
    <row r="55" spans="3:16" x14ac:dyDescent="0.25">
      <c r="C55" s="119"/>
      <c r="D55" s="119"/>
      <c r="E55" s="119"/>
      <c r="F55" s="119"/>
      <c r="G55" s="119"/>
      <c r="H55" s="119"/>
      <c r="I55" s="119"/>
      <c r="J55" s="119"/>
      <c r="K55" s="119"/>
      <c r="L55" s="119"/>
      <c r="M55" s="119"/>
      <c r="N55" s="119"/>
      <c r="O55" s="119"/>
      <c r="P55" s="119"/>
    </row>
    <row r="56" spans="3:16" x14ac:dyDescent="0.25">
      <c r="C56" s="119"/>
      <c r="D56" s="119"/>
      <c r="E56" s="119"/>
      <c r="F56" s="119"/>
      <c r="G56" s="119"/>
      <c r="H56" s="119"/>
      <c r="I56" s="119"/>
      <c r="J56" s="119"/>
      <c r="K56" s="119"/>
      <c r="L56" s="119"/>
      <c r="M56" s="119"/>
      <c r="N56" s="119"/>
      <c r="O56" s="119"/>
      <c r="P56" s="119"/>
    </row>
    <row r="57" spans="3:16" x14ac:dyDescent="0.25">
      <c r="C57" s="119"/>
      <c r="D57" s="119"/>
      <c r="E57" s="119"/>
      <c r="F57" s="119"/>
      <c r="G57" s="119"/>
      <c r="H57" s="119"/>
      <c r="I57" s="119"/>
      <c r="J57" s="119"/>
      <c r="K57" s="119"/>
      <c r="L57" s="119"/>
      <c r="M57" s="119"/>
      <c r="N57" s="119"/>
      <c r="O57" s="119"/>
      <c r="P57" s="119"/>
    </row>
    <row r="58" spans="3:16" x14ac:dyDescent="0.25">
      <c r="C58" s="119"/>
      <c r="D58" s="119"/>
      <c r="E58" s="119"/>
      <c r="F58" s="119"/>
      <c r="G58" s="119"/>
      <c r="H58" s="119"/>
      <c r="I58" s="119"/>
      <c r="J58" s="119"/>
      <c r="K58" s="119"/>
      <c r="L58" s="119"/>
      <c r="M58" s="119"/>
      <c r="N58" s="119"/>
      <c r="O58" s="119"/>
      <c r="P58" s="119"/>
    </row>
    <row r="59" spans="3:16" x14ac:dyDescent="0.25">
      <c r="C59" s="119"/>
      <c r="D59" s="119"/>
      <c r="E59" s="119"/>
      <c r="F59" s="119"/>
      <c r="G59" s="119"/>
      <c r="H59" s="119"/>
      <c r="I59" s="119"/>
      <c r="J59" s="119"/>
      <c r="K59" s="119"/>
      <c r="L59" s="119"/>
      <c r="M59" s="119"/>
      <c r="N59" s="119"/>
      <c r="O59" s="119"/>
      <c r="P59" s="119"/>
    </row>
    <row r="60" spans="3:16" x14ac:dyDescent="0.25">
      <c r="C60" s="119"/>
      <c r="D60" s="119"/>
      <c r="E60" s="119"/>
      <c r="F60" s="119"/>
      <c r="G60" s="119"/>
      <c r="H60" s="119"/>
      <c r="I60" s="119"/>
      <c r="J60" s="119"/>
      <c r="K60" s="119"/>
      <c r="L60" s="119"/>
      <c r="M60" s="119"/>
      <c r="N60" s="119"/>
      <c r="O60" s="119"/>
      <c r="P60" s="119"/>
    </row>
    <row r="61" spans="3:16" x14ac:dyDescent="0.25">
      <c r="C61" s="119"/>
      <c r="D61" s="119"/>
      <c r="E61" s="119"/>
      <c r="F61" s="119"/>
      <c r="G61" s="119"/>
      <c r="H61" s="119"/>
      <c r="I61" s="119"/>
      <c r="J61" s="119"/>
      <c r="K61" s="119"/>
      <c r="L61" s="119"/>
      <c r="M61" s="119"/>
      <c r="N61" s="119"/>
      <c r="O61" s="119"/>
      <c r="P61" s="119"/>
    </row>
    <row r="62" spans="3:16" x14ac:dyDescent="0.25">
      <c r="C62" s="119"/>
      <c r="D62" s="119"/>
      <c r="E62" s="119"/>
      <c r="F62" s="119"/>
      <c r="G62" s="119"/>
      <c r="H62" s="119"/>
      <c r="I62" s="119"/>
      <c r="J62" s="119"/>
      <c r="K62" s="119"/>
      <c r="L62" s="119"/>
      <c r="M62" s="119"/>
      <c r="N62" s="119"/>
      <c r="O62" s="119"/>
      <c r="P62" s="119"/>
    </row>
    <row r="63" spans="3:16" x14ac:dyDescent="0.25">
      <c r="C63" s="119"/>
      <c r="D63" s="119"/>
      <c r="E63" s="119"/>
      <c r="F63" s="119"/>
      <c r="G63" s="119"/>
      <c r="H63" s="119"/>
      <c r="I63" s="119"/>
      <c r="J63" s="119"/>
      <c r="K63" s="119"/>
      <c r="L63" s="119"/>
      <c r="M63" s="119"/>
      <c r="N63" s="119"/>
      <c r="O63" s="119"/>
      <c r="P63" s="119"/>
    </row>
    <row r="64" spans="3:16" x14ac:dyDescent="0.25">
      <c r="C64" s="119"/>
      <c r="D64" s="119"/>
      <c r="E64" s="119"/>
      <c r="F64" s="119"/>
      <c r="G64" s="119"/>
      <c r="H64" s="119"/>
      <c r="I64" s="119"/>
      <c r="J64" s="119"/>
      <c r="K64" s="119"/>
      <c r="L64" s="119"/>
      <c r="M64" s="119"/>
      <c r="N64" s="119"/>
      <c r="O64" s="119"/>
      <c r="P64" s="119"/>
    </row>
    <row r="65" spans="3:16" x14ac:dyDescent="0.25">
      <c r="C65" s="119"/>
      <c r="D65" s="119"/>
      <c r="E65" s="119"/>
      <c r="F65" s="119"/>
      <c r="G65" s="119"/>
      <c r="H65" s="119"/>
      <c r="I65" s="119"/>
      <c r="J65" s="119"/>
      <c r="K65" s="119"/>
      <c r="L65" s="119"/>
      <c r="M65" s="119"/>
      <c r="N65" s="119"/>
      <c r="O65" s="119"/>
      <c r="P65" s="119"/>
    </row>
    <row r="66" spans="3:16" x14ac:dyDescent="0.25">
      <c r="C66" s="119"/>
      <c r="D66" s="119"/>
      <c r="E66" s="119"/>
      <c r="F66" s="119"/>
      <c r="G66" s="119"/>
      <c r="H66" s="119"/>
      <c r="I66" s="119"/>
      <c r="J66" s="119"/>
      <c r="K66" s="119"/>
      <c r="L66" s="119"/>
      <c r="M66" s="119"/>
      <c r="N66" s="119"/>
      <c r="O66" s="119"/>
      <c r="P66" s="119"/>
    </row>
    <row r="67" spans="3:16" x14ac:dyDescent="0.25">
      <c r="C67" s="119"/>
      <c r="D67" s="119"/>
      <c r="E67" s="119"/>
      <c r="F67" s="119"/>
      <c r="G67" s="119"/>
      <c r="H67" s="119"/>
      <c r="I67" s="119"/>
      <c r="J67" s="119"/>
      <c r="K67" s="119"/>
      <c r="L67" s="119"/>
      <c r="M67" s="119"/>
      <c r="N67" s="119"/>
      <c r="O67" s="119"/>
      <c r="P67" s="119"/>
    </row>
    <row r="68" spans="3:16" x14ac:dyDescent="0.25">
      <c r="C68" s="119"/>
      <c r="D68" s="119"/>
      <c r="E68" s="119"/>
      <c r="F68" s="119"/>
      <c r="G68" s="119"/>
      <c r="H68" s="119"/>
      <c r="I68" s="119"/>
      <c r="J68" s="119"/>
      <c r="K68" s="119"/>
      <c r="L68" s="119"/>
      <c r="M68" s="119"/>
      <c r="N68" s="119"/>
      <c r="O68" s="119"/>
      <c r="P68" s="119"/>
    </row>
  </sheetData>
  <pageMargins left="0.7" right="0.7" top="0.75" bottom="0.75" header="0.3" footer="0.3"/>
  <pageSetup orientation="portrait"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zoomScale="80" zoomScaleNormal="80" workbookViewId="0">
      <pane xSplit="3" ySplit="4" topLeftCell="D20" activePane="bottomRight" state="frozen"/>
      <selection pane="topRight" activeCell="D1" sqref="D1"/>
      <selection pane="bottomLeft" activeCell="A5" sqref="A5"/>
      <selection pane="bottomRight" activeCell="D47" sqref="D47:O47"/>
    </sheetView>
  </sheetViews>
  <sheetFormatPr defaultRowHeight="15" x14ac:dyDescent="0.25"/>
  <cols>
    <col min="1" max="1" width="48.28515625" style="118" customWidth="1"/>
    <col min="2" max="2" width="16.85546875" style="118" customWidth="1"/>
    <col min="3" max="3" width="19.140625" style="118" customWidth="1"/>
    <col min="4" max="15" width="16.140625" style="118" customWidth="1"/>
    <col min="16" max="16" width="13.140625" style="118" customWidth="1"/>
    <col min="17" max="16384" width="9.140625" style="118"/>
  </cols>
  <sheetData>
    <row r="1" spans="1:16" x14ac:dyDescent="0.25">
      <c r="A1" s="148" t="s">
        <v>0</v>
      </c>
    </row>
    <row r="2" spans="1:16" x14ac:dyDescent="0.25">
      <c r="A2" s="148" t="s">
        <v>233</v>
      </c>
    </row>
    <row r="4" spans="1:16" x14ac:dyDescent="0.25">
      <c r="D4" s="117" t="s">
        <v>1</v>
      </c>
      <c r="E4" s="117" t="s">
        <v>2</v>
      </c>
      <c r="F4" s="117" t="s">
        <v>3</v>
      </c>
      <c r="G4" s="117" t="s">
        <v>4</v>
      </c>
      <c r="H4" s="117" t="s">
        <v>5</v>
      </c>
      <c r="I4" s="117" t="s">
        <v>6</v>
      </c>
      <c r="J4" s="117" t="s">
        <v>7</v>
      </c>
      <c r="K4" s="117" t="s">
        <v>8</v>
      </c>
      <c r="L4" s="117" t="s">
        <v>9</v>
      </c>
      <c r="M4" s="117" t="s">
        <v>10</v>
      </c>
      <c r="N4" s="117" t="s">
        <v>11</v>
      </c>
      <c r="O4" s="117" t="s">
        <v>12</v>
      </c>
    </row>
    <row r="5" spans="1:16" x14ac:dyDescent="0.25">
      <c r="A5" s="118" t="s">
        <v>13</v>
      </c>
      <c r="C5" s="119">
        <f>'[1]G2-12 to 19 Supplement CF'!$P$102</f>
        <v>4686264.7935749982</v>
      </c>
      <c r="D5" s="119">
        <f>C5/12</f>
        <v>390522.06613124983</v>
      </c>
      <c r="E5" s="119">
        <f>$D5</f>
        <v>390522.06613124983</v>
      </c>
      <c r="F5" s="119">
        <f t="shared" ref="F5:O5" si="0">$D5</f>
        <v>390522.06613124983</v>
      </c>
      <c r="G5" s="119">
        <f t="shared" si="0"/>
        <v>390522.06613124983</v>
      </c>
      <c r="H5" s="119">
        <f t="shared" si="0"/>
        <v>390522.06613124983</v>
      </c>
      <c r="I5" s="119">
        <f t="shared" si="0"/>
        <v>390522.06613124983</v>
      </c>
      <c r="J5" s="119">
        <f t="shared" si="0"/>
        <v>390522.06613124983</v>
      </c>
      <c r="K5" s="119">
        <f t="shared" si="0"/>
        <v>390522.06613124983</v>
      </c>
      <c r="L5" s="119">
        <f t="shared" si="0"/>
        <v>390522.06613124983</v>
      </c>
      <c r="M5" s="119">
        <f t="shared" si="0"/>
        <v>390522.06613124983</v>
      </c>
      <c r="N5" s="119">
        <f t="shared" si="0"/>
        <v>390522.06613124983</v>
      </c>
      <c r="O5" s="119">
        <f t="shared" si="0"/>
        <v>390522.06613124983</v>
      </c>
      <c r="P5" s="119">
        <f>C5-SUM(D5:O5)</f>
        <v>0</v>
      </c>
    </row>
    <row r="6" spans="1:16" x14ac:dyDescent="0.25">
      <c r="A6" s="118" t="s">
        <v>14</v>
      </c>
      <c r="C6" s="119">
        <f>'[1]G2-12 to 19 Supplement CF'!$V$102</f>
        <v>5547914.5534690013</v>
      </c>
      <c r="D6" s="119">
        <f>C6/12</f>
        <v>462326.21278908342</v>
      </c>
      <c r="E6" s="119">
        <f>$D$6</f>
        <v>462326.21278908342</v>
      </c>
      <c r="F6" s="119">
        <f t="shared" ref="F6:O6" si="1">$D$6</f>
        <v>462326.21278908342</v>
      </c>
      <c r="G6" s="119">
        <f t="shared" si="1"/>
        <v>462326.21278908342</v>
      </c>
      <c r="H6" s="119">
        <f t="shared" si="1"/>
        <v>462326.21278908342</v>
      </c>
      <c r="I6" s="119">
        <f t="shared" si="1"/>
        <v>462326.21278908342</v>
      </c>
      <c r="J6" s="119">
        <f t="shared" si="1"/>
        <v>462326.21278908342</v>
      </c>
      <c r="K6" s="119">
        <f t="shared" si="1"/>
        <v>462326.21278908342</v>
      </c>
      <c r="L6" s="119">
        <f t="shared" si="1"/>
        <v>462326.21278908342</v>
      </c>
      <c r="M6" s="119">
        <f t="shared" si="1"/>
        <v>462326.21278908342</v>
      </c>
      <c r="N6" s="119">
        <f t="shared" si="1"/>
        <v>462326.21278908342</v>
      </c>
      <c r="O6" s="119">
        <f t="shared" si="1"/>
        <v>462326.21278908342</v>
      </c>
      <c r="P6" s="119">
        <f t="shared" ref="P6:P46" si="2">C6-SUM(D6:O6)</f>
        <v>0</v>
      </c>
    </row>
    <row r="7" spans="1:16" x14ac:dyDescent="0.25">
      <c r="A7" s="118" t="s">
        <v>204</v>
      </c>
      <c r="C7" s="119">
        <f>'Over and Under Adj'!S95+3</f>
        <v>2471548</v>
      </c>
      <c r="D7" s="119">
        <f>C7/12</f>
        <v>205962.33333333334</v>
      </c>
      <c r="E7" s="119">
        <f>$D7</f>
        <v>205962.33333333334</v>
      </c>
      <c r="F7" s="119">
        <f t="shared" ref="F7:O7" si="3">$D7</f>
        <v>205962.33333333334</v>
      </c>
      <c r="G7" s="119">
        <f t="shared" si="3"/>
        <v>205962.33333333334</v>
      </c>
      <c r="H7" s="119">
        <f t="shared" si="3"/>
        <v>205962.33333333334</v>
      </c>
      <c r="I7" s="119">
        <f t="shared" si="3"/>
        <v>205962.33333333334</v>
      </c>
      <c r="J7" s="119">
        <f t="shared" si="3"/>
        <v>205962.33333333334</v>
      </c>
      <c r="K7" s="119">
        <f t="shared" si="3"/>
        <v>205962.33333333334</v>
      </c>
      <c r="L7" s="119">
        <f t="shared" si="3"/>
        <v>205962.33333333334</v>
      </c>
      <c r="M7" s="119">
        <f t="shared" si="3"/>
        <v>205962.33333333334</v>
      </c>
      <c r="N7" s="119">
        <f t="shared" si="3"/>
        <v>205962.33333333334</v>
      </c>
      <c r="O7" s="119">
        <f t="shared" si="3"/>
        <v>205962.33333333334</v>
      </c>
      <c r="P7" s="119">
        <f t="shared" si="2"/>
        <v>0</v>
      </c>
    </row>
    <row r="8" spans="1:16" x14ac:dyDescent="0.25">
      <c r="A8" s="118" t="s">
        <v>62</v>
      </c>
      <c r="B8" s="124" t="s">
        <v>211</v>
      </c>
      <c r="C8" s="119">
        <v>2504</v>
      </c>
      <c r="D8" s="119"/>
      <c r="E8" s="119"/>
      <c r="F8" s="119"/>
      <c r="G8" s="119"/>
      <c r="H8" s="119"/>
      <c r="I8" s="119"/>
      <c r="J8" s="120">
        <f>C8/6</f>
        <v>417.33333333333331</v>
      </c>
      <c r="K8" s="119">
        <f>$J8</f>
        <v>417.33333333333331</v>
      </c>
      <c r="L8" s="119">
        <f>$J8</f>
        <v>417.33333333333331</v>
      </c>
      <c r="M8" s="119">
        <f t="shared" ref="M8:O8" si="4">$J8</f>
        <v>417.33333333333331</v>
      </c>
      <c r="N8" s="119">
        <f t="shared" si="4"/>
        <v>417.33333333333331</v>
      </c>
      <c r="O8" s="119">
        <f t="shared" si="4"/>
        <v>417.33333333333331</v>
      </c>
      <c r="P8" s="119">
        <f t="shared" si="2"/>
        <v>0</v>
      </c>
    </row>
    <row r="9" spans="1:16" x14ac:dyDescent="0.25">
      <c r="A9" s="118" t="s">
        <v>102</v>
      </c>
      <c r="B9" s="115" t="s">
        <v>207</v>
      </c>
      <c r="C9" s="119">
        <f>650+236</f>
        <v>886</v>
      </c>
      <c r="D9" s="119"/>
      <c r="E9" s="119"/>
      <c r="F9" s="119"/>
      <c r="G9" s="119"/>
      <c r="H9" s="119"/>
      <c r="I9" s="119"/>
      <c r="J9" s="119"/>
      <c r="K9" s="119"/>
      <c r="L9" s="119"/>
      <c r="M9" s="119">
        <f>C9/3</f>
        <v>295.33333333333331</v>
      </c>
      <c r="N9" s="119">
        <f>$M9</f>
        <v>295.33333333333331</v>
      </c>
      <c r="O9" s="119">
        <f>$M9</f>
        <v>295.33333333333331</v>
      </c>
      <c r="P9" s="119">
        <f t="shared" si="2"/>
        <v>0</v>
      </c>
    </row>
    <row r="10" spans="1:16" x14ac:dyDescent="0.25">
      <c r="A10" s="118" t="s">
        <v>105</v>
      </c>
      <c r="B10" s="115" t="s">
        <v>207</v>
      </c>
      <c r="C10" s="119">
        <v>0</v>
      </c>
      <c r="D10" s="119"/>
      <c r="E10" s="119"/>
      <c r="F10" s="119"/>
      <c r="G10" s="119"/>
      <c r="H10" s="119"/>
      <c r="I10" s="119"/>
      <c r="J10" s="119"/>
      <c r="K10" s="119"/>
      <c r="L10" s="119"/>
      <c r="M10" s="119">
        <f>C10/3</f>
        <v>0</v>
      </c>
      <c r="N10" s="119">
        <f>$M10</f>
        <v>0</v>
      </c>
      <c r="O10" s="119">
        <f>$M10</f>
        <v>0</v>
      </c>
      <c r="P10" s="119">
        <f t="shared" si="2"/>
        <v>0</v>
      </c>
    </row>
    <row r="11" spans="1:16" x14ac:dyDescent="0.25">
      <c r="A11" s="118" t="s">
        <v>107</v>
      </c>
      <c r="B11" s="115" t="s">
        <v>208</v>
      </c>
      <c r="C11" s="119">
        <v>0</v>
      </c>
      <c r="D11" s="119">
        <f>C11/12</f>
        <v>0</v>
      </c>
      <c r="E11" s="119">
        <f>$D11</f>
        <v>0</v>
      </c>
      <c r="F11" s="119">
        <f t="shared" ref="F11:O11" si="5">$D11</f>
        <v>0</v>
      </c>
      <c r="G11" s="119">
        <f t="shared" si="5"/>
        <v>0</v>
      </c>
      <c r="H11" s="119">
        <f t="shared" si="5"/>
        <v>0</v>
      </c>
      <c r="I11" s="119">
        <f t="shared" si="5"/>
        <v>0</v>
      </c>
      <c r="J11" s="119">
        <f t="shared" si="5"/>
        <v>0</v>
      </c>
      <c r="K11" s="119">
        <f t="shared" si="5"/>
        <v>0</v>
      </c>
      <c r="L11" s="119">
        <f t="shared" si="5"/>
        <v>0</v>
      </c>
      <c r="M11" s="119">
        <f t="shared" si="5"/>
        <v>0</v>
      </c>
      <c r="N11" s="119">
        <f t="shared" si="5"/>
        <v>0</v>
      </c>
      <c r="O11" s="119">
        <f t="shared" si="5"/>
        <v>0</v>
      </c>
      <c r="P11" s="119">
        <f t="shared" si="2"/>
        <v>0</v>
      </c>
    </row>
    <row r="12" spans="1:16" x14ac:dyDescent="0.25">
      <c r="A12" s="118" t="s">
        <v>109</v>
      </c>
      <c r="B12" s="115" t="s">
        <v>209</v>
      </c>
      <c r="C12" s="119">
        <f>2370+863</f>
        <v>3233</v>
      </c>
      <c r="D12" s="119"/>
      <c r="E12" s="119"/>
      <c r="F12" s="119"/>
      <c r="G12" s="119"/>
      <c r="H12" s="119"/>
      <c r="I12" s="119"/>
      <c r="J12" s="119">
        <f>C12/6</f>
        <v>538.83333333333337</v>
      </c>
      <c r="K12" s="119">
        <f>$J12</f>
        <v>538.83333333333337</v>
      </c>
      <c r="L12" s="119">
        <f t="shared" ref="L12:O12" si="6">$J12</f>
        <v>538.83333333333337</v>
      </c>
      <c r="M12" s="119">
        <f t="shared" si="6"/>
        <v>538.83333333333337</v>
      </c>
      <c r="N12" s="119">
        <f t="shared" si="6"/>
        <v>538.83333333333337</v>
      </c>
      <c r="O12" s="119">
        <f t="shared" si="6"/>
        <v>538.83333333333337</v>
      </c>
      <c r="P12" s="119">
        <f t="shared" si="2"/>
        <v>0</v>
      </c>
    </row>
    <row r="13" spans="1:16" x14ac:dyDescent="0.25">
      <c r="A13" s="118" t="s">
        <v>111</v>
      </c>
      <c r="B13" s="115" t="s">
        <v>208</v>
      </c>
      <c r="C13" s="119">
        <f>3474+1265</f>
        <v>4739</v>
      </c>
      <c r="D13" s="119">
        <f t="shared" ref="D13:D14" si="7">C13/12</f>
        <v>394.91666666666669</v>
      </c>
      <c r="E13" s="119">
        <f t="shared" ref="E13:O14" si="8">$D13</f>
        <v>394.91666666666669</v>
      </c>
      <c r="F13" s="119">
        <f t="shared" si="8"/>
        <v>394.91666666666669</v>
      </c>
      <c r="G13" s="119">
        <f t="shared" si="8"/>
        <v>394.91666666666669</v>
      </c>
      <c r="H13" s="119">
        <f t="shared" si="8"/>
        <v>394.91666666666669</v>
      </c>
      <c r="I13" s="119">
        <f t="shared" si="8"/>
        <v>394.91666666666669</v>
      </c>
      <c r="J13" s="119">
        <f t="shared" si="8"/>
        <v>394.91666666666669</v>
      </c>
      <c r="K13" s="119">
        <f t="shared" si="8"/>
        <v>394.91666666666669</v>
      </c>
      <c r="L13" s="119">
        <f t="shared" si="8"/>
        <v>394.91666666666669</v>
      </c>
      <c r="M13" s="119">
        <f t="shared" si="8"/>
        <v>394.91666666666669</v>
      </c>
      <c r="N13" s="119">
        <f t="shared" si="8"/>
        <v>394.91666666666669</v>
      </c>
      <c r="O13" s="119">
        <f t="shared" si="8"/>
        <v>394.91666666666669</v>
      </c>
      <c r="P13" s="119">
        <f t="shared" si="2"/>
        <v>0</v>
      </c>
    </row>
    <row r="14" spans="1:16" x14ac:dyDescent="0.25">
      <c r="A14" s="118" t="s">
        <v>114</v>
      </c>
      <c r="B14" s="115" t="s">
        <v>208</v>
      </c>
      <c r="C14" s="119">
        <f>18644+6786</f>
        <v>25430</v>
      </c>
      <c r="D14" s="119">
        <f t="shared" si="7"/>
        <v>2119.1666666666665</v>
      </c>
      <c r="E14" s="119">
        <f t="shared" si="8"/>
        <v>2119.1666666666665</v>
      </c>
      <c r="F14" s="119">
        <f t="shared" si="8"/>
        <v>2119.1666666666665</v>
      </c>
      <c r="G14" s="119">
        <f t="shared" si="8"/>
        <v>2119.1666666666665</v>
      </c>
      <c r="H14" s="119">
        <f t="shared" si="8"/>
        <v>2119.1666666666665</v>
      </c>
      <c r="I14" s="119">
        <f t="shared" si="8"/>
        <v>2119.1666666666665</v>
      </c>
      <c r="J14" s="119">
        <f t="shared" si="8"/>
        <v>2119.1666666666665</v>
      </c>
      <c r="K14" s="119">
        <f t="shared" si="8"/>
        <v>2119.1666666666665</v>
      </c>
      <c r="L14" s="119">
        <f t="shared" si="8"/>
        <v>2119.1666666666665</v>
      </c>
      <c r="M14" s="119">
        <f t="shared" si="8"/>
        <v>2119.1666666666665</v>
      </c>
      <c r="N14" s="119">
        <f t="shared" si="8"/>
        <v>2119.1666666666665</v>
      </c>
      <c r="O14" s="119">
        <f t="shared" si="8"/>
        <v>2119.1666666666665</v>
      </c>
      <c r="P14" s="119">
        <f t="shared" si="2"/>
        <v>0</v>
      </c>
    </row>
    <row r="15" spans="1:16" x14ac:dyDescent="0.25">
      <c r="A15" s="118" t="s">
        <v>117</v>
      </c>
      <c r="B15" s="115" t="s">
        <v>210</v>
      </c>
      <c r="C15" s="119">
        <v>0</v>
      </c>
      <c r="D15" s="119"/>
      <c r="E15" s="119"/>
      <c r="F15" s="119"/>
      <c r="G15" s="120">
        <f>C15/9</f>
        <v>0</v>
      </c>
      <c r="H15" s="119">
        <f>$G15</f>
        <v>0</v>
      </c>
      <c r="I15" s="119">
        <f t="shared" ref="I15:O15" si="9">$G15</f>
        <v>0</v>
      </c>
      <c r="J15" s="119">
        <f t="shared" si="9"/>
        <v>0</v>
      </c>
      <c r="K15" s="119">
        <f t="shared" si="9"/>
        <v>0</v>
      </c>
      <c r="L15" s="119">
        <f t="shared" si="9"/>
        <v>0</v>
      </c>
      <c r="M15" s="119">
        <f t="shared" si="9"/>
        <v>0</v>
      </c>
      <c r="N15" s="119">
        <f t="shared" si="9"/>
        <v>0</v>
      </c>
      <c r="O15" s="119">
        <f t="shared" si="9"/>
        <v>0</v>
      </c>
      <c r="P15" s="119">
        <f t="shared" si="2"/>
        <v>0</v>
      </c>
    </row>
    <row r="16" spans="1:16" x14ac:dyDescent="0.25">
      <c r="A16" s="118" t="s">
        <v>119</v>
      </c>
      <c r="B16" s="115" t="s">
        <v>205</v>
      </c>
      <c r="C16" s="119">
        <f>17296+6296</f>
        <v>23592</v>
      </c>
      <c r="D16" s="119"/>
      <c r="E16" s="119"/>
      <c r="F16" s="119"/>
      <c r="G16" s="119"/>
      <c r="H16" s="119"/>
      <c r="I16" s="119">
        <f>C16/7</f>
        <v>3370.2857142857142</v>
      </c>
      <c r="J16" s="119">
        <f>$I16</f>
        <v>3370.2857142857142</v>
      </c>
      <c r="K16" s="119">
        <f t="shared" ref="K16:O16" si="10">$I16</f>
        <v>3370.2857142857142</v>
      </c>
      <c r="L16" s="119">
        <f t="shared" si="10"/>
        <v>3370.2857142857142</v>
      </c>
      <c r="M16" s="119">
        <f t="shared" si="10"/>
        <v>3370.2857142857142</v>
      </c>
      <c r="N16" s="119">
        <f t="shared" si="10"/>
        <v>3370.2857142857142</v>
      </c>
      <c r="O16" s="119">
        <f t="shared" si="10"/>
        <v>3370.2857142857142</v>
      </c>
      <c r="P16" s="119">
        <f t="shared" si="2"/>
        <v>0</v>
      </c>
    </row>
    <row r="17" spans="1:16" x14ac:dyDescent="0.25">
      <c r="A17" s="118" t="s">
        <v>119</v>
      </c>
      <c r="B17" s="115" t="s">
        <v>211</v>
      </c>
      <c r="C17" s="119">
        <f>6207+2260</f>
        <v>8467</v>
      </c>
      <c r="D17" s="119"/>
      <c r="E17" s="119"/>
      <c r="F17" s="119"/>
      <c r="G17" s="119"/>
      <c r="H17" s="119"/>
      <c r="I17" s="119"/>
      <c r="J17" s="119"/>
      <c r="K17" s="120">
        <f>C17/5</f>
        <v>1693.4</v>
      </c>
      <c r="L17" s="119">
        <f>$K17</f>
        <v>1693.4</v>
      </c>
      <c r="M17" s="119">
        <f t="shared" ref="M17:O17" si="11">$K17</f>
        <v>1693.4</v>
      </c>
      <c r="N17" s="119">
        <f t="shared" si="11"/>
        <v>1693.4</v>
      </c>
      <c r="O17" s="119">
        <f t="shared" si="11"/>
        <v>1693.4</v>
      </c>
      <c r="P17" s="119">
        <f t="shared" si="2"/>
        <v>0</v>
      </c>
    </row>
    <row r="18" spans="1:16" x14ac:dyDescent="0.25">
      <c r="A18" s="118" t="s">
        <v>119</v>
      </c>
      <c r="B18" s="115" t="s">
        <v>212</v>
      </c>
      <c r="C18" s="119">
        <f>9933+3616</f>
        <v>13549</v>
      </c>
      <c r="D18" s="119"/>
      <c r="E18" s="119"/>
      <c r="F18" s="119"/>
      <c r="G18" s="119"/>
      <c r="H18" s="119"/>
      <c r="I18" s="119"/>
      <c r="J18" s="119"/>
      <c r="K18" s="119"/>
      <c r="L18" s="120">
        <f>C18/4</f>
        <v>3387.25</v>
      </c>
      <c r="M18" s="119">
        <f>$L18</f>
        <v>3387.25</v>
      </c>
      <c r="N18" s="119">
        <f t="shared" ref="N18:O19" si="12">$L18</f>
        <v>3387.25</v>
      </c>
      <c r="O18" s="119">
        <f t="shared" si="12"/>
        <v>3387.25</v>
      </c>
      <c r="P18" s="119">
        <f t="shared" si="2"/>
        <v>0</v>
      </c>
    </row>
    <row r="19" spans="1:16" x14ac:dyDescent="0.25">
      <c r="A19" s="118" t="s">
        <v>123</v>
      </c>
      <c r="B19" s="115" t="s">
        <v>212</v>
      </c>
      <c r="C19" s="119">
        <f>3800+1383</f>
        <v>5183</v>
      </c>
      <c r="D19" s="119"/>
      <c r="E19" s="119"/>
      <c r="F19" s="119"/>
      <c r="G19" s="119"/>
      <c r="H19" s="119"/>
      <c r="I19" s="119"/>
      <c r="J19" s="119"/>
      <c r="K19" s="119"/>
      <c r="L19" s="120">
        <f>C19/4</f>
        <v>1295.75</v>
      </c>
      <c r="M19" s="119">
        <f>$L19</f>
        <v>1295.75</v>
      </c>
      <c r="N19" s="119">
        <f t="shared" si="12"/>
        <v>1295.75</v>
      </c>
      <c r="O19" s="119">
        <f t="shared" si="12"/>
        <v>1295.75</v>
      </c>
      <c r="P19" s="119">
        <f t="shared" si="2"/>
        <v>0</v>
      </c>
    </row>
    <row r="20" spans="1:16" x14ac:dyDescent="0.25">
      <c r="A20" s="118" t="s">
        <v>125</v>
      </c>
      <c r="B20" s="115" t="s">
        <v>213</v>
      </c>
      <c r="C20" s="119">
        <v>0</v>
      </c>
      <c r="D20" s="119">
        <v>0</v>
      </c>
      <c r="E20" s="119">
        <v>0</v>
      </c>
      <c r="F20" s="119">
        <v>0</v>
      </c>
      <c r="G20" s="119">
        <v>0</v>
      </c>
      <c r="H20" s="119">
        <v>0</v>
      </c>
      <c r="I20" s="119">
        <v>0</v>
      </c>
      <c r="J20" s="119">
        <v>0</v>
      </c>
      <c r="K20" s="119">
        <v>0</v>
      </c>
      <c r="L20" s="119">
        <v>0</v>
      </c>
      <c r="M20" s="119">
        <v>0</v>
      </c>
      <c r="N20" s="119">
        <v>0</v>
      </c>
      <c r="O20" s="119">
        <v>0</v>
      </c>
      <c r="P20" s="119">
        <f t="shared" si="2"/>
        <v>0</v>
      </c>
    </row>
    <row r="21" spans="1:16" x14ac:dyDescent="0.25">
      <c r="A21" s="118" t="s">
        <v>127</v>
      </c>
      <c r="B21" s="115" t="s">
        <v>206</v>
      </c>
      <c r="C21" s="119">
        <v>0</v>
      </c>
      <c r="D21" s="119"/>
      <c r="E21" s="119"/>
      <c r="F21" s="119"/>
      <c r="G21" s="119"/>
      <c r="H21" s="120">
        <f>C21/8</f>
        <v>0</v>
      </c>
      <c r="I21" s="119">
        <f>$H21</f>
        <v>0</v>
      </c>
      <c r="J21" s="119">
        <f t="shared" ref="J21:O21" si="13">$H21</f>
        <v>0</v>
      </c>
      <c r="K21" s="119">
        <f t="shared" si="13"/>
        <v>0</v>
      </c>
      <c r="L21" s="119">
        <f t="shared" si="13"/>
        <v>0</v>
      </c>
      <c r="M21" s="119">
        <f t="shared" si="13"/>
        <v>0</v>
      </c>
      <c r="N21" s="119">
        <f t="shared" si="13"/>
        <v>0</v>
      </c>
      <c r="O21" s="119">
        <f t="shared" si="13"/>
        <v>0</v>
      </c>
      <c r="P21" s="119">
        <f t="shared" si="2"/>
        <v>0</v>
      </c>
    </row>
    <row r="22" spans="1:16" x14ac:dyDescent="0.25">
      <c r="A22" s="118" t="s">
        <v>129</v>
      </c>
      <c r="B22" s="115" t="s">
        <v>213</v>
      </c>
      <c r="C22" s="119">
        <v>0</v>
      </c>
      <c r="D22" s="119">
        <v>0</v>
      </c>
      <c r="E22" s="119">
        <v>0</v>
      </c>
      <c r="F22" s="119">
        <v>0</v>
      </c>
      <c r="G22" s="119">
        <v>0</v>
      </c>
      <c r="H22" s="119">
        <v>0</v>
      </c>
      <c r="I22" s="119">
        <v>0</v>
      </c>
      <c r="J22" s="119">
        <v>0</v>
      </c>
      <c r="K22" s="119">
        <v>0</v>
      </c>
      <c r="L22" s="119">
        <v>0</v>
      </c>
      <c r="M22" s="119">
        <v>0</v>
      </c>
      <c r="N22" s="119">
        <v>0</v>
      </c>
      <c r="O22" s="119">
        <v>0</v>
      </c>
      <c r="P22" s="119">
        <f t="shared" si="2"/>
        <v>0</v>
      </c>
    </row>
    <row r="23" spans="1:16" x14ac:dyDescent="0.25">
      <c r="A23" s="118" t="s">
        <v>131</v>
      </c>
      <c r="B23" s="115" t="s">
        <v>205</v>
      </c>
      <c r="C23" s="119">
        <f>4265+1552</f>
        <v>5817</v>
      </c>
      <c r="D23" s="119"/>
      <c r="E23" s="119"/>
      <c r="F23" s="119"/>
      <c r="G23" s="119"/>
      <c r="H23" s="119"/>
      <c r="I23" s="119">
        <f>C23/7</f>
        <v>831</v>
      </c>
      <c r="J23" s="119">
        <f>$I23</f>
        <v>831</v>
      </c>
      <c r="K23" s="119">
        <f t="shared" ref="K23:O23" si="14">$I23</f>
        <v>831</v>
      </c>
      <c r="L23" s="119">
        <f t="shared" si="14"/>
        <v>831</v>
      </c>
      <c r="M23" s="119">
        <f t="shared" si="14"/>
        <v>831</v>
      </c>
      <c r="N23" s="119">
        <f t="shared" si="14"/>
        <v>831</v>
      </c>
      <c r="O23" s="119">
        <f t="shared" si="14"/>
        <v>831</v>
      </c>
      <c r="P23" s="119">
        <f t="shared" si="2"/>
        <v>0</v>
      </c>
    </row>
    <row r="24" spans="1:16" x14ac:dyDescent="0.25">
      <c r="A24" s="118" t="s">
        <v>134</v>
      </c>
      <c r="B24" s="115" t="s">
        <v>206</v>
      </c>
      <c r="C24" s="119">
        <f>1901+692</f>
        <v>2593</v>
      </c>
      <c r="D24" s="119"/>
      <c r="E24" s="119"/>
      <c r="F24" s="119"/>
      <c r="G24" s="119"/>
      <c r="H24" s="120">
        <f>C24/8</f>
        <v>324.125</v>
      </c>
      <c r="I24" s="119">
        <f>$H24</f>
        <v>324.125</v>
      </c>
      <c r="J24" s="119">
        <f t="shared" ref="J24:O26" si="15">$H24</f>
        <v>324.125</v>
      </c>
      <c r="K24" s="119">
        <f t="shared" si="15"/>
        <v>324.125</v>
      </c>
      <c r="L24" s="119">
        <f t="shared" si="15"/>
        <v>324.125</v>
      </c>
      <c r="M24" s="119">
        <f t="shared" si="15"/>
        <v>324.125</v>
      </c>
      <c r="N24" s="119">
        <f t="shared" si="15"/>
        <v>324.125</v>
      </c>
      <c r="O24" s="119">
        <f t="shared" si="15"/>
        <v>324.125</v>
      </c>
      <c r="P24" s="119">
        <f t="shared" si="2"/>
        <v>0</v>
      </c>
    </row>
    <row r="25" spans="1:16" x14ac:dyDescent="0.25">
      <c r="A25" s="118" t="s">
        <v>136</v>
      </c>
      <c r="B25" s="115" t="s">
        <v>211</v>
      </c>
      <c r="C25" s="119">
        <f>5656+2059</f>
        <v>7715</v>
      </c>
      <c r="D25" s="119"/>
      <c r="E25" s="119"/>
      <c r="F25" s="119"/>
      <c r="G25" s="119"/>
      <c r="H25" s="119"/>
      <c r="I25" s="119"/>
      <c r="J25" s="119"/>
      <c r="K25" s="120">
        <f>C25/5</f>
        <v>1543</v>
      </c>
      <c r="L25" s="119">
        <f>$K25</f>
        <v>1543</v>
      </c>
      <c r="M25" s="119">
        <f t="shared" ref="M25:O25" si="16">$K25</f>
        <v>1543</v>
      </c>
      <c r="N25" s="119">
        <f t="shared" si="16"/>
        <v>1543</v>
      </c>
      <c r="O25" s="119">
        <f t="shared" si="16"/>
        <v>1543</v>
      </c>
      <c r="P25" s="119">
        <f t="shared" si="2"/>
        <v>0</v>
      </c>
    </row>
    <row r="26" spans="1:16" x14ac:dyDescent="0.25">
      <c r="A26" s="118" t="s">
        <v>138</v>
      </c>
      <c r="B26" s="115" t="s">
        <v>206</v>
      </c>
      <c r="C26" s="119">
        <f>7889+2872</f>
        <v>10761</v>
      </c>
      <c r="D26" s="119"/>
      <c r="E26" s="119"/>
      <c r="F26" s="119"/>
      <c r="G26" s="119"/>
      <c r="H26" s="120">
        <f>C26/8</f>
        <v>1345.125</v>
      </c>
      <c r="I26" s="119">
        <f>$H26</f>
        <v>1345.125</v>
      </c>
      <c r="J26" s="119">
        <f t="shared" si="15"/>
        <v>1345.125</v>
      </c>
      <c r="K26" s="119">
        <f t="shared" si="15"/>
        <v>1345.125</v>
      </c>
      <c r="L26" s="119">
        <f t="shared" si="15"/>
        <v>1345.125</v>
      </c>
      <c r="M26" s="119">
        <f t="shared" si="15"/>
        <v>1345.125</v>
      </c>
      <c r="N26" s="119">
        <f t="shared" si="15"/>
        <v>1345.125</v>
      </c>
      <c r="O26" s="119">
        <f t="shared" si="15"/>
        <v>1345.125</v>
      </c>
      <c r="P26" s="119">
        <f t="shared" si="2"/>
        <v>0</v>
      </c>
    </row>
    <row r="27" spans="1:16" x14ac:dyDescent="0.25">
      <c r="A27" s="118" t="s">
        <v>140</v>
      </c>
      <c r="B27" s="115" t="s">
        <v>209</v>
      </c>
      <c r="C27" s="119">
        <f>1612+587</f>
        <v>2199</v>
      </c>
      <c r="D27" s="119"/>
      <c r="E27" s="119"/>
      <c r="F27" s="119"/>
      <c r="G27" s="119"/>
      <c r="H27" s="119"/>
      <c r="I27" s="119"/>
      <c r="J27" s="120">
        <f>C27/6</f>
        <v>366.5</v>
      </c>
      <c r="K27" s="119">
        <f>$J27</f>
        <v>366.5</v>
      </c>
      <c r="L27" s="119">
        <f t="shared" ref="L27:O27" si="17">$J27</f>
        <v>366.5</v>
      </c>
      <c r="M27" s="119">
        <f t="shared" si="17"/>
        <v>366.5</v>
      </c>
      <c r="N27" s="119">
        <f t="shared" si="17"/>
        <v>366.5</v>
      </c>
      <c r="O27" s="119">
        <f t="shared" si="17"/>
        <v>366.5</v>
      </c>
      <c r="P27" s="119">
        <f t="shared" si="2"/>
        <v>0</v>
      </c>
    </row>
    <row r="28" spans="1:16" x14ac:dyDescent="0.25">
      <c r="A28" s="118" t="s">
        <v>142</v>
      </c>
      <c r="B28" s="115" t="s">
        <v>214</v>
      </c>
      <c r="C28" s="119">
        <f>4797+1746</f>
        <v>6543</v>
      </c>
      <c r="D28" s="119"/>
      <c r="E28" s="119"/>
      <c r="F28" s="120">
        <f>C28/10</f>
        <v>654.29999999999995</v>
      </c>
      <c r="G28" s="119">
        <f>$F28</f>
        <v>654.29999999999995</v>
      </c>
      <c r="H28" s="119">
        <f t="shared" ref="H28:O28" si="18">$F28</f>
        <v>654.29999999999995</v>
      </c>
      <c r="I28" s="119">
        <f t="shared" si="18"/>
        <v>654.29999999999995</v>
      </c>
      <c r="J28" s="119">
        <f t="shared" si="18"/>
        <v>654.29999999999995</v>
      </c>
      <c r="K28" s="119">
        <f t="shared" si="18"/>
        <v>654.29999999999995</v>
      </c>
      <c r="L28" s="119">
        <f t="shared" si="18"/>
        <v>654.29999999999995</v>
      </c>
      <c r="M28" s="119">
        <f t="shared" si="18"/>
        <v>654.29999999999995</v>
      </c>
      <c r="N28" s="119">
        <f t="shared" si="18"/>
        <v>654.29999999999995</v>
      </c>
      <c r="O28" s="119">
        <f t="shared" si="18"/>
        <v>654.29999999999995</v>
      </c>
      <c r="P28" s="119">
        <f t="shared" si="2"/>
        <v>0</v>
      </c>
    </row>
    <row r="29" spans="1:16" x14ac:dyDescent="0.25">
      <c r="A29" s="118" t="s">
        <v>144</v>
      </c>
      <c r="B29" s="115" t="s">
        <v>206</v>
      </c>
      <c r="C29" s="119">
        <f>2396+872</f>
        <v>3268</v>
      </c>
      <c r="D29" s="119"/>
      <c r="E29" s="119"/>
      <c r="F29" s="119"/>
      <c r="G29" s="119"/>
      <c r="H29" s="120"/>
      <c r="I29" s="119"/>
      <c r="J29" s="120">
        <f>C29/6</f>
        <v>544.66666666666663</v>
      </c>
      <c r="K29" s="119">
        <f>$J29</f>
        <v>544.66666666666663</v>
      </c>
      <c r="L29" s="119">
        <f t="shared" ref="L29:O29" si="19">$J29</f>
        <v>544.66666666666663</v>
      </c>
      <c r="M29" s="119">
        <f t="shared" si="19"/>
        <v>544.66666666666663</v>
      </c>
      <c r="N29" s="119">
        <f t="shared" si="19"/>
        <v>544.66666666666663</v>
      </c>
      <c r="O29" s="119">
        <f t="shared" si="19"/>
        <v>544.66666666666663</v>
      </c>
      <c r="P29" s="119">
        <f t="shared" si="2"/>
        <v>0</v>
      </c>
    </row>
    <row r="30" spans="1:16" x14ac:dyDescent="0.25">
      <c r="A30" s="118" t="s">
        <v>147</v>
      </c>
      <c r="B30" s="115" t="s">
        <v>205</v>
      </c>
      <c r="C30" s="119">
        <f>22397+8153</f>
        <v>30550</v>
      </c>
      <c r="D30" s="119"/>
      <c r="E30" s="119"/>
      <c r="F30" s="119"/>
      <c r="G30" s="119"/>
      <c r="H30" s="119"/>
      <c r="I30" s="119">
        <f>C30/7</f>
        <v>4364.2857142857147</v>
      </c>
      <c r="J30" s="119">
        <f>$I30</f>
        <v>4364.2857142857147</v>
      </c>
      <c r="K30" s="119">
        <f t="shared" ref="K30:O30" si="20">$I30</f>
        <v>4364.2857142857147</v>
      </c>
      <c r="L30" s="119">
        <f t="shared" si="20"/>
        <v>4364.2857142857147</v>
      </c>
      <c r="M30" s="119">
        <f t="shared" si="20"/>
        <v>4364.2857142857147</v>
      </c>
      <c r="N30" s="119">
        <f t="shared" si="20"/>
        <v>4364.2857142857147</v>
      </c>
      <c r="O30" s="119">
        <f t="shared" si="20"/>
        <v>4364.2857142857147</v>
      </c>
      <c r="P30" s="119">
        <f t="shared" si="2"/>
        <v>0</v>
      </c>
    </row>
    <row r="31" spans="1:16" x14ac:dyDescent="0.25">
      <c r="A31" s="118" t="s">
        <v>149</v>
      </c>
      <c r="B31" s="115" t="s">
        <v>210</v>
      </c>
      <c r="C31" s="119">
        <f>14715+5356</f>
        <v>20071</v>
      </c>
      <c r="D31" s="119"/>
      <c r="E31" s="119"/>
      <c r="F31" s="119"/>
      <c r="G31" s="120">
        <f>C31/9</f>
        <v>2230.1111111111113</v>
      </c>
      <c r="H31" s="119">
        <f>$G31</f>
        <v>2230.1111111111113</v>
      </c>
      <c r="I31" s="119">
        <f t="shared" ref="I31:O31" si="21">$G31</f>
        <v>2230.1111111111113</v>
      </c>
      <c r="J31" s="119">
        <f t="shared" si="21"/>
        <v>2230.1111111111113</v>
      </c>
      <c r="K31" s="119">
        <f t="shared" si="21"/>
        <v>2230.1111111111113</v>
      </c>
      <c r="L31" s="119">
        <f t="shared" si="21"/>
        <v>2230.1111111111113</v>
      </c>
      <c r="M31" s="119">
        <f t="shared" si="21"/>
        <v>2230.1111111111113</v>
      </c>
      <c r="N31" s="119">
        <f t="shared" si="21"/>
        <v>2230.1111111111113</v>
      </c>
      <c r="O31" s="119">
        <f t="shared" si="21"/>
        <v>2230.1111111111113</v>
      </c>
      <c r="P31" s="119">
        <f t="shared" si="2"/>
        <v>0</v>
      </c>
    </row>
    <row r="32" spans="1:16" ht="15" customHeight="1" x14ac:dyDescent="0.25">
      <c r="A32" s="118" t="s">
        <v>152</v>
      </c>
      <c r="B32" s="115" t="s">
        <v>215</v>
      </c>
      <c r="C32" s="119">
        <f>3617+1316</f>
        <v>4933</v>
      </c>
      <c r="D32" s="119">
        <f t="shared" ref="D32:D34" si="22">C32/12</f>
        <v>411.08333333333331</v>
      </c>
      <c r="E32" s="119">
        <f t="shared" ref="E32:O34" si="23">$D32</f>
        <v>411.08333333333331</v>
      </c>
      <c r="F32" s="119">
        <f t="shared" si="23"/>
        <v>411.08333333333331</v>
      </c>
      <c r="G32" s="119">
        <f t="shared" si="23"/>
        <v>411.08333333333331</v>
      </c>
      <c r="H32" s="119">
        <f t="shared" si="23"/>
        <v>411.08333333333331</v>
      </c>
      <c r="I32" s="119">
        <f t="shared" si="23"/>
        <v>411.08333333333331</v>
      </c>
      <c r="J32" s="119">
        <f t="shared" si="23"/>
        <v>411.08333333333331</v>
      </c>
      <c r="K32" s="119">
        <f t="shared" si="23"/>
        <v>411.08333333333331</v>
      </c>
      <c r="L32" s="119">
        <f t="shared" si="23"/>
        <v>411.08333333333331</v>
      </c>
      <c r="M32" s="119">
        <f t="shared" si="23"/>
        <v>411.08333333333331</v>
      </c>
      <c r="N32" s="119">
        <f t="shared" si="23"/>
        <v>411.08333333333331</v>
      </c>
      <c r="O32" s="119">
        <f t="shared" si="23"/>
        <v>411.08333333333331</v>
      </c>
      <c r="P32" s="119">
        <f t="shared" si="2"/>
        <v>0</v>
      </c>
    </row>
    <row r="33" spans="1:16" x14ac:dyDescent="0.25">
      <c r="A33" s="118" t="s">
        <v>154</v>
      </c>
      <c r="B33" s="115" t="s">
        <v>215</v>
      </c>
      <c r="C33" s="119">
        <f>3519+1281</f>
        <v>4800</v>
      </c>
      <c r="D33" s="119">
        <f t="shared" si="22"/>
        <v>400</v>
      </c>
      <c r="E33" s="119">
        <f t="shared" si="23"/>
        <v>400</v>
      </c>
      <c r="F33" s="119">
        <f t="shared" si="23"/>
        <v>400</v>
      </c>
      <c r="G33" s="119">
        <f t="shared" si="23"/>
        <v>400</v>
      </c>
      <c r="H33" s="119">
        <f t="shared" si="23"/>
        <v>400</v>
      </c>
      <c r="I33" s="119">
        <f t="shared" si="23"/>
        <v>400</v>
      </c>
      <c r="J33" s="119">
        <f t="shared" si="23"/>
        <v>400</v>
      </c>
      <c r="K33" s="119">
        <f t="shared" si="23"/>
        <v>400</v>
      </c>
      <c r="L33" s="119">
        <f t="shared" si="23"/>
        <v>400</v>
      </c>
      <c r="M33" s="119">
        <f t="shared" si="23"/>
        <v>400</v>
      </c>
      <c r="N33" s="119">
        <f t="shared" si="23"/>
        <v>400</v>
      </c>
      <c r="O33" s="119">
        <f t="shared" si="23"/>
        <v>400</v>
      </c>
      <c r="P33" s="119">
        <f t="shared" si="2"/>
        <v>0</v>
      </c>
    </row>
    <row r="34" spans="1:16" x14ac:dyDescent="0.25">
      <c r="A34" s="118" t="s">
        <v>155</v>
      </c>
      <c r="B34" s="115" t="s">
        <v>215</v>
      </c>
      <c r="C34" s="119">
        <f>2412+878</f>
        <v>3290</v>
      </c>
      <c r="D34" s="119">
        <f t="shared" si="22"/>
        <v>274.16666666666669</v>
      </c>
      <c r="E34" s="119">
        <f t="shared" si="23"/>
        <v>274.16666666666669</v>
      </c>
      <c r="F34" s="119">
        <f t="shared" si="23"/>
        <v>274.16666666666669</v>
      </c>
      <c r="G34" s="119">
        <f t="shared" si="23"/>
        <v>274.16666666666669</v>
      </c>
      <c r="H34" s="119">
        <f t="shared" si="23"/>
        <v>274.16666666666669</v>
      </c>
      <c r="I34" s="119">
        <f t="shared" si="23"/>
        <v>274.16666666666669</v>
      </c>
      <c r="J34" s="119">
        <f t="shared" si="23"/>
        <v>274.16666666666669</v>
      </c>
      <c r="K34" s="119">
        <f t="shared" si="23"/>
        <v>274.16666666666669</v>
      </c>
      <c r="L34" s="119">
        <f t="shared" si="23"/>
        <v>274.16666666666669</v>
      </c>
      <c r="M34" s="119">
        <f t="shared" si="23"/>
        <v>274.16666666666669</v>
      </c>
      <c r="N34" s="119">
        <f t="shared" si="23"/>
        <v>274.16666666666669</v>
      </c>
      <c r="O34" s="119">
        <f t="shared" si="23"/>
        <v>274.16666666666669</v>
      </c>
      <c r="P34" s="119">
        <f t="shared" si="2"/>
        <v>0</v>
      </c>
    </row>
    <row r="35" spans="1:16" x14ac:dyDescent="0.25">
      <c r="A35" s="118" t="s">
        <v>156</v>
      </c>
      <c r="B35" s="115" t="s">
        <v>212</v>
      </c>
      <c r="C35" s="119">
        <f>4215+1535</f>
        <v>5750</v>
      </c>
      <c r="D35" s="119"/>
      <c r="E35" s="119"/>
      <c r="F35" s="119"/>
      <c r="G35" s="119"/>
      <c r="H35" s="119"/>
      <c r="I35" s="119"/>
      <c r="J35" s="119"/>
      <c r="K35" s="119"/>
      <c r="L35" s="120">
        <f>C35/4</f>
        <v>1437.5</v>
      </c>
      <c r="M35" s="119">
        <f>$L35</f>
        <v>1437.5</v>
      </c>
      <c r="N35" s="119">
        <f t="shared" ref="N35:O36" si="24">$L35</f>
        <v>1437.5</v>
      </c>
      <c r="O35" s="119">
        <f t="shared" si="24"/>
        <v>1437.5</v>
      </c>
      <c r="P35" s="119">
        <f t="shared" si="2"/>
        <v>0</v>
      </c>
    </row>
    <row r="36" spans="1:16" x14ac:dyDescent="0.25">
      <c r="A36" s="118" t="s">
        <v>157</v>
      </c>
      <c r="B36" s="115" t="s">
        <v>212</v>
      </c>
      <c r="C36" s="119">
        <f>1146+417</f>
        <v>1563</v>
      </c>
      <c r="D36" s="119"/>
      <c r="E36" s="119"/>
      <c r="F36" s="119"/>
      <c r="G36" s="119"/>
      <c r="H36" s="119"/>
      <c r="I36" s="119"/>
      <c r="J36" s="119"/>
      <c r="K36" s="119"/>
      <c r="L36" s="120">
        <f>C36/4</f>
        <v>390.75</v>
      </c>
      <c r="M36" s="119">
        <f>$L36</f>
        <v>390.75</v>
      </c>
      <c r="N36" s="119">
        <f t="shared" si="24"/>
        <v>390.75</v>
      </c>
      <c r="O36" s="119">
        <f t="shared" si="24"/>
        <v>390.75</v>
      </c>
      <c r="P36" s="119">
        <f t="shared" si="2"/>
        <v>0</v>
      </c>
    </row>
    <row r="37" spans="1:16" x14ac:dyDescent="0.25">
      <c r="A37" s="118" t="s">
        <v>159</v>
      </c>
      <c r="B37" s="115" t="s">
        <v>215</v>
      </c>
      <c r="C37" s="119">
        <f>-147057-53529</f>
        <v>-200586</v>
      </c>
      <c r="D37" s="119">
        <f t="shared" ref="D37:D39" si="25">C37/12</f>
        <v>-16715.5</v>
      </c>
      <c r="E37" s="119">
        <f t="shared" ref="E37:O39" si="26">$D37</f>
        <v>-16715.5</v>
      </c>
      <c r="F37" s="119">
        <f t="shared" si="26"/>
        <v>-16715.5</v>
      </c>
      <c r="G37" s="119">
        <f t="shared" si="26"/>
        <v>-16715.5</v>
      </c>
      <c r="H37" s="119">
        <f t="shared" si="26"/>
        <v>-16715.5</v>
      </c>
      <c r="I37" s="119">
        <f t="shared" si="26"/>
        <v>-16715.5</v>
      </c>
      <c r="J37" s="119">
        <f t="shared" si="26"/>
        <v>-16715.5</v>
      </c>
      <c r="K37" s="119">
        <f t="shared" si="26"/>
        <v>-16715.5</v>
      </c>
      <c r="L37" s="119">
        <f t="shared" si="26"/>
        <v>-16715.5</v>
      </c>
      <c r="M37" s="119">
        <f t="shared" si="26"/>
        <v>-16715.5</v>
      </c>
      <c r="N37" s="119">
        <f t="shared" si="26"/>
        <v>-16715.5</v>
      </c>
      <c r="O37" s="119">
        <f t="shared" si="26"/>
        <v>-16715.5</v>
      </c>
      <c r="P37" s="119">
        <f t="shared" si="2"/>
        <v>0</v>
      </c>
    </row>
    <row r="38" spans="1:16" x14ac:dyDescent="0.25">
      <c r="A38" s="118" t="s">
        <v>161</v>
      </c>
      <c r="B38" s="115" t="s">
        <v>215</v>
      </c>
      <c r="C38" s="119">
        <f>12213+7799</f>
        <v>20012</v>
      </c>
      <c r="D38" s="119">
        <f t="shared" si="25"/>
        <v>1667.6666666666667</v>
      </c>
      <c r="E38" s="119">
        <f t="shared" si="26"/>
        <v>1667.6666666666667</v>
      </c>
      <c r="F38" s="119">
        <f t="shared" si="26"/>
        <v>1667.6666666666667</v>
      </c>
      <c r="G38" s="119">
        <f t="shared" si="26"/>
        <v>1667.6666666666667</v>
      </c>
      <c r="H38" s="119">
        <f t="shared" si="26"/>
        <v>1667.6666666666667</v>
      </c>
      <c r="I38" s="119">
        <f t="shared" si="26"/>
        <v>1667.6666666666667</v>
      </c>
      <c r="J38" s="119">
        <f t="shared" si="26"/>
        <v>1667.6666666666667</v>
      </c>
      <c r="K38" s="119">
        <f t="shared" si="26"/>
        <v>1667.6666666666667</v>
      </c>
      <c r="L38" s="119">
        <f t="shared" si="26"/>
        <v>1667.6666666666667</v>
      </c>
      <c r="M38" s="119">
        <f t="shared" si="26"/>
        <v>1667.6666666666667</v>
      </c>
      <c r="N38" s="119">
        <f t="shared" si="26"/>
        <v>1667.6666666666667</v>
      </c>
      <c r="O38" s="119">
        <f t="shared" si="26"/>
        <v>1667.6666666666667</v>
      </c>
      <c r="P38" s="119">
        <f t="shared" si="2"/>
        <v>0</v>
      </c>
    </row>
    <row r="39" spans="1:16" x14ac:dyDescent="0.25">
      <c r="A39" s="118" t="s">
        <v>163</v>
      </c>
      <c r="B39" s="115" t="s">
        <v>215</v>
      </c>
      <c r="C39" s="119">
        <f>12634+8068</f>
        <v>20702</v>
      </c>
      <c r="D39" s="119">
        <f t="shared" si="25"/>
        <v>1725.1666666666667</v>
      </c>
      <c r="E39" s="119">
        <f t="shared" si="26"/>
        <v>1725.1666666666667</v>
      </c>
      <c r="F39" s="119">
        <f t="shared" si="26"/>
        <v>1725.1666666666667</v>
      </c>
      <c r="G39" s="119">
        <f t="shared" si="26"/>
        <v>1725.1666666666667</v>
      </c>
      <c r="H39" s="119">
        <f t="shared" si="26"/>
        <v>1725.1666666666667</v>
      </c>
      <c r="I39" s="119">
        <f t="shared" si="26"/>
        <v>1725.1666666666667</v>
      </c>
      <c r="J39" s="119">
        <f t="shared" si="26"/>
        <v>1725.1666666666667</v>
      </c>
      <c r="K39" s="119">
        <f t="shared" si="26"/>
        <v>1725.1666666666667</v>
      </c>
      <c r="L39" s="119">
        <f t="shared" si="26"/>
        <v>1725.1666666666667</v>
      </c>
      <c r="M39" s="119">
        <f t="shared" si="26"/>
        <v>1725.1666666666667</v>
      </c>
      <c r="N39" s="119">
        <f t="shared" si="26"/>
        <v>1725.1666666666667</v>
      </c>
      <c r="O39" s="119">
        <f t="shared" si="26"/>
        <v>1725.1666666666667</v>
      </c>
      <c r="P39" s="119">
        <f t="shared" si="2"/>
        <v>0</v>
      </c>
    </row>
    <row r="40" spans="1:16" x14ac:dyDescent="0.25">
      <c r="A40" s="118" t="s">
        <v>163</v>
      </c>
      <c r="B40" s="115" t="s">
        <v>211</v>
      </c>
      <c r="C40" s="119">
        <f>8423+5379</f>
        <v>13802</v>
      </c>
      <c r="D40" s="119"/>
      <c r="E40" s="119"/>
      <c r="F40" s="119"/>
      <c r="G40" s="119"/>
      <c r="H40" s="119"/>
      <c r="I40" s="119"/>
      <c r="J40" s="119"/>
      <c r="K40" s="120">
        <f>C40/5</f>
        <v>2760.4</v>
      </c>
      <c r="L40" s="119">
        <f>$K40</f>
        <v>2760.4</v>
      </c>
      <c r="M40" s="119">
        <f t="shared" ref="M40:O40" si="27">$K40</f>
        <v>2760.4</v>
      </c>
      <c r="N40" s="119">
        <f t="shared" si="27"/>
        <v>2760.4</v>
      </c>
      <c r="O40" s="119">
        <f t="shared" si="27"/>
        <v>2760.4</v>
      </c>
      <c r="P40" s="119">
        <f t="shared" si="2"/>
        <v>0</v>
      </c>
    </row>
    <row r="41" spans="1:16" x14ac:dyDescent="0.25">
      <c r="A41" s="118" t="s">
        <v>216</v>
      </c>
      <c r="B41" s="115" t="s">
        <v>206</v>
      </c>
      <c r="C41" s="146">
        <f>3402+1238</f>
        <v>4640</v>
      </c>
      <c r="D41" s="119"/>
      <c r="E41" s="119"/>
      <c r="F41" s="119"/>
      <c r="G41" s="119"/>
      <c r="H41" s="120">
        <f t="shared" ref="H41:H42" si="28">C41/8</f>
        <v>580</v>
      </c>
      <c r="I41" s="119">
        <f t="shared" ref="I41:O42" si="29">$H41</f>
        <v>580</v>
      </c>
      <c r="J41" s="119">
        <f t="shared" si="29"/>
        <v>580</v>
      </c>
      <c r="K41" s="119">
        <f t="shared" si="29"/>
        <v>580</v>
      </c>
      <c r="L41" s="119">
        <f t="shared" si="29"/>
        <v>580</v>
      </c>
      <c r="M41" s="119">
        <f t="shared" si="29"/>
        <v>580</v>
      </c>
      <c r="N41" s="119">
        <f t="shared" si="29"/>
        <v>580</v>
      </c>
      <c r="O41" s="119">
        <f t="shared" si="29"/>
        <v>580</v>
      </c>
      <c r="P41" s="119">
        <f t="shared" si="2"/>
        <v>0</v>
      </c>
    </row>
    <row r="42" spans="1:16" x14ac:dyDescent="0.25">
      <c r="A42" s="118" t="s">
        <v>217</v>
      </c>
      <c r="B42" s="115" t="s">
        <v>206</v>
      </c>
      <c r="C42" s="146">
        <f>2003+729</f>
        <v>2732</v>
      </c>
      <c r="D42" s="119"/>
      <c r="E42" s="119"/>
      <c r="F42" s="119"/>
      <c r="G42" s="119"/>
      <c r="H42" s="120">
        <f t="shared" si="28"/>
        <v>341.5</v>
      </c>
      <c r="I42" s="119">
        <f t="shared" si="29"/>
        <v>341.5</v>
      </c>
      <c r="J42" s="119">
        <f t="shared" si="29"/>
        <v>341.5</v>
      </c>
      <c r="K42" s="119">
        <f t="shared" si="29"/>
        <v>341.5</v>
      </c>
      <c r="L42" s="119">
        <f t="shared" si="29"/>
        <v>341.5</v>
      </c>
      <c r="M42" s="119">
        <f t="shared" si="29"/>
        <v>341.5</v>
      </c>
      <c r="N42" s="119">
        <f t="shared" si="29"/>
        <v>341.5</v>
      </c>
      <c r="O42" s="119">
        <f t="shared" si="29"/>
        <v>341.5</v>
      </c>
      <c r="P42" s="119">
        <f t="shared" si="2"/>
        <v>0</v>
      </c>
    </row>
    <row r="43" spans="1:16" x14ac:dyDescent="0.25">
      <c r="A43" s="118" t="s">
        <v>218</v>
      </c>
      <c r="B43" s="115" t="s">
        <v>210</v>
      </c>
      <c r="C43" s="146">
        <f>4938+1797</f>
        <v>6735</v>
      </c>
      <c r="D43" s="119"/>
      <c r="E43" s="119"/>
      <c r="F43" s="119"/>
      <c r="G43" s="120">
        <f>C43/9</f>
        <v>748.33333333333337</v>
      </c>
      <c r="H43" s="119">
        <f>$G43</f>
        <v>748.33333333333337</v>
      </c>
      <c r="I43" s="119">
        <f t="shared" ref="I43:O43" si="30">$G43</f>
        <v>748.33333333333337</v>
      </c>
      <c r="J43" s="119">
        <f t="shared" si="30"/>
        <v>748.33333333333337</v>
      </c>
      <c r="K43" s="119">
        <f t="shared" si="30"/>
        <v>748.33333333333337</v>
      </c>
      <c r="L43" s="119">
        <f t="shared" si="30"/>
        <v>748.33333333333337</v>
      </c>
      <c r="M43" s="119">
        <f t="shared" si="30"/>
        <v>748.33333333333337</v>
      </c>
      <c r="N43" s="119">
        <f t="shared" si="30"/>
        <v>748.33333333333337</v>
      </c>
      <c r="O43" s="119">
        <f t="shared" si="30"/>
        <v>748.33333333333337</v>
      </c>
      <c r="P43" s="119">
        <f t="shared" si="2"/>
        <v>0</v>
      </c>
    </row>
    <row r="44" spans="1:16" x14ac:dyDescent="0.25">
      <c r="A44" s="118" t="s">
        <v>219</v>
      </c>
      <c r="B44" s="115" t="s">
        <v>209</v>
      </c>
      <c r="C44" s="146">
        <f>8551+3113</f>
        <v>11664</v>
      </c>
      <c r="D44" s="119"/>
      <c r="E44" s="119"/>
      <c r="F44" s="119"/>
      <c r="G44" s="119"/>
      <c r="H44" s="119"/>
      <c r="I44" s="119"/>
      <c r="J44" s="120">
        <f>C44/6</f>
        <v>1944</v>
      </c>
      <c r="K44" s="119">
        <f>$J44</f>
        <v>1944</v>
      </c>
      <c r="L44" s="119">
        <f t="shared" ref="L44:O44" si="31">$J44</f>
        <v>1944</v>
      </c>
      <c r="M44" s="119">
        <f t="shared" si="31"/>
        <v>1944</v>
      </c>
      <c r="N44" s="119">
        <f t="shared" si="31"/>
        <v>1944</v>
      </c>
      <c r="O44" s="119">
        <f t="shared" si="31"/>
        <v>1944</v>
      </c>
      <c r="P44" s="119">
        <f t="shared" si="2"/>
        <v>0</v>
      </c>
    </row>
    <row r="45" spans="1:16" x14ac:dyDescent="0.25">
      <c r="A45" s="118" t="s">
        <v>176</v>
      </c>
      <c r="B45" s="115" t="s">
        <v>215</v>
      </c>
      <c r="C45" s="119">
        <f>7208+2623</f>
        <v>9831</v>
      </c>
      <c r="D45" s="119">
        <f>C45/12</f>
        <v>819.25</v>
      </c>
      <c r="E45" s="119">
        <f>$D45</f>
        <v>819.25</v>
      </c>
      <c r="F45" s="119">
        <f t="shared" ref="F45:O46" si="32">$D45</f>
        <v>819.25</v>
      </c>
      <c r="G45" s="119">
        <f t="shared" si="32"/>
        <v>819.25</v>
      </c>
      <c r="H45" s="119">
        <f t="shared" si="32"/>
        <v>819.25</v>
      </c>
      <c r="I45" s="119">
        <f t="shared" si="32"/>
        <v>819.25</v>
      </c>
      <c r="J45" s="119">
        <f t="shared" si="32"/>
        <v>819.25</v>
      </c>
      <c r="K45" s="119">
        <f t="shared" si="32"/>
        <v>819.25</v>
      </c>
      <c r="L45" s="119">
        <f t="shared" si="32"/>
        <v>819.25</v>
      </c>
      <c r="M45" s="119">
        <f t="shared" si="32"/>
        <v>819.25</v>
      </c>
      <c r="N45" s="119">
        <f t="shared" si="32"/>
        <v>819.25</v>
      </c>
      <c r="O45" s="119">
        <f t="shared" si="32"/>
        <v>819.25</v>
      </c>
      <c r="P45" s="119">
        <f t="shared" si="2"/>
        <v>0</v>
      </c>
    </row>
    <row r="46" spans="1:16" x14ac:dyDescent="0.25">
      <c r="A46" s="78" t="s">
        <v>170</v>
      </c>
      <c r="B46" s="115" t="s">
        <v>215</v>
      </c>
      <c r="C46" s="119">
        <f>13357</f>
        <v>13357</v>
      </c>
      <c r="D46" s="119">
        <f>C46/12</f>
        <v>1113.0833333333333</v>
      </c>
      <c r="E46" s="119">
        <f>$D46</f>
        <v>1113.0833333333333</v>
      </c>
      <c r="F46" s="119">
        <f t="shared" si="32"/>
        <v>1113.0833333333333</v>
      </c>
      <c r="G46" s="119">
        <f t="shared" si="32"/>
        <v>1113.0833333333333</v>
      </c>
      <c r="H46" s="119">
        <f t="shared" si="32"/>
        <v>1113.0833333333333</v>
      </c>
      <c r="I46" s="119">
        <f t="shared" si="32"/>
        <v>1113.0833333333333</v>
      </c>
      <c r="J46" s="119">
        <f t="shared" si="32"/>
        <v>1113.0833333333333</v>
      </c>
      <c r="K46" s="119">
        <f t="shared" si="32"/>
        <v>1113.0833333333333</v>
      </c>
      <c r="L46" s="119">
        <f t="shared" si="32"/>
        <v>1113.0833333333333</v>
      </c>
      <c r="M46" s="119">
        <f t="shared" si="32"/>
        <v>1113.0833333333333</v>
      </c>
      <c r="N46" s="119">
        <f t="shared" si="32"/>
        <v>1113.0833333333333</v>
      </c>
      <c r="O46" s="119">
        <f t="shared" si="32"/>
        <v>1113.0833333333333</v>
      </c>
      <c r="P46" s="119">
        <f t="shared" si="2"/>
        <v>0</v>
      </c>
    </row>
    <row r="47" spans="1:16" ht="15.75" thickBot="1" x14ac:dyDescent="0.3">
      <c r="C47" s="116">
        <f>SUM(C5:C46)</f>
        <v>12806052.347043999</v>
      </c>
      <c r="D47" s="125">
        <f>SUM(D5:D46)</f>
        <v>1051019.6122536666</v>
      </c>
      <c r="E47" s="125">
        <f t="shared" ref="E47:O47" si="33">SUM(E5:E46)</f>
        <v>1051019.6122536666</v>
      </c>
      <c r="F47" s="125">
        <f t="shared" si="33"/>
        <v>1051673.9122536667</v>
      </c>
      <c r="G47" s="125">
        <f t="shared" si="33"/>
        <v>1054652.3566981112</v>
      </c>
      <c r="H47" s="125">
        <f t="shared" si="33"/>
        <v>1057243.1066981112</v>
      </c>
      <c r="I47" s="125">
        <f t="shared" si="33"/>
        <v>1065808.6781266825</v>
      </c>
      <c r="J47" s="125">
        <f t="shared" si="33"/>
        <v>1069620.0114600158</v>
      </c>
      <c r="K47" s="125">
        <f t="shared" si="33"/>
        <v>1075616.8114600156</v>
      </c>
      <c r="L47" s="125">
        <f t="shared" si="33"/>
        <v>1082128.0614600156</v>
      </c>
      <c r="M47" s="125">
        <f t="shared" si="33"/>
        <v>1082423.3947933489</v>
      </c>
      <c r="N47" s="125">
        <f t="shared" si="33"/>
        <v>1082423.3947933489</v>
      </c>
      <c r="O47" s="125">
        <f t="shared" si="33"/>
        <v>1082423.3947933489</v>
      </c>
      <c r="P47" s="119"/>
    </row>
    <row r="48" spans="1:16" x14ac:dyDescent="0.25">
      <c r="C48" s="119"/>
      <c r="D48" s="119"/>
      <c r="E48" s="119"/>
      <c r="F48" s="119"/>
      <c r="G48" s="119"/>
      <c r="H48" s="119"/>
      <c r="I48" s="119"/>
      <c r="J48" s="119"/>
      <c r="K48" s="119"/>
      <c r="L48" s="119"/>
      <c r="M48" s="119"/>
      <c r="N48" s="119"/>
      <c r="O48" s="119"/>
      <c r="P48" s="119"/>
    </row>
    <row r="49" spans="3:16" x14ac:dyDescent="0.25">
      <c r="C49" s="119"/>
      <c r="D49" s="122">
        <f>D47/$C$47</f>
        <v>8.2072100267204656E-2</v>
      </c>
      <c r="E49" s="122">
        <f t="shared" ref="E49:O49" si="34">E47/$C$47</f>
        <v>8.2072100267204656E-2</v>
      </c>
      <c r="F49" s="122">
        <f t="shared" si="34"/>
        <v>8.2123193295896763E-2</v>
      </c>
      <c r="G49" s="122">
        <f t="shared" si="34"/>
        <v>8.2355774294609607E-2</v>
      </c>
      <c r="H49" s="122">
        <f t="shared" si="34"/>
        <v>8.2558080979744944E-2</v>
      </c>
      <c r="I49" s="122">
        <f t="shared" si="34"/>
        <v>8.3226949979843048E-2</v>
      </c>
      <c r="J49" s="122">
        <f t="shared" si="34"/>
        <v>8.3524569670130583E-2</v>
      </c>
      <c r="K49" s="122">
        <f t="shared" si="34"/>
        <v>8.3992848249468427E-2</v>
      </c>
      <c r="L49" s="122">
        <f t="shared" si="34"/>
        <v>8.4501299239948952E-2</v>
      </c>
      <c r="M49" s="122">
        <f t="shared" si="34"/>
        <v>8.4524361251982774E-2</v>
      </c>
      <c r="N49" s="122">
        <f t="shared" si="34"/>
        <v>8.4524361251982774E-2</v>
      </c>
      <c r="O49" s="122">
        <f t="shared" si="34"/>
        <v>8.4524361251982774E-2</v>
      </c>
      <c r="P49" s="119"/>
    </row>
    <row r="50" spans="3:16" x14ac:dyDescent="0.25">
      <c r="C50" s="119"/>
      <c r="D50" s="119"/>
      <c r="E50" s="119"/>
      <c r="F50" s="119"/>
      <c r="G50" s="119"/>
      <c r="H50" s="119"/>
      <c r="I50" s="119"/>
      <c r="J50" s="119"/>
      <c r="K50" s="119"/>
      <c r="L50" s="119"/>
      <c r="M50" s="119"/>
      <c r="N50" s="119"/>
      <c r="O50" s="119"/>
      <c r="P50" s="119"/>
    </row>
    <row r="51" spans="3:16" x14ac:dyDescent="0.25">
      <c r="C51" s="119">
        <f>'[1]G2-12 to 19 Supplement CF'!$Y$102</f>
        <v>12806052.347044002</v>
      </c>
      <c r="D51" s="119"/>
      <c r="E51" s="119"/>
      <c r="F51" s="119"/>
      <c r="G51" s="119"/>
      <c r="H51" s="119"/>
      <c r="I51" s="119"/>
      <c r="J51" s="119"/>
      <c r="K51" s="119"/>
      <c r="L51" s="119"/>
      <c r="M51" s="119"/>
      <c r="N51" s="119"/>
      <c r="O51" s="119"/>
      <c r="P51" s="119"/>
    </row>
    <row r="52" spans="3:16" x14ac:dyDescent="0.25">
      <c r="C52" s="119">
        <f>C47-C51</f>
        <v>0</v>
      </c>
      <c r="D52" s="119"/>
      <c r="E52" s="119"/>
      <c r="F52" s="119"/>
      <c r="G52" s="119"/>
      <c r="H52" s="119"/>
      <c r="I52" s="119"/>
      <c r="J52" s="119"/>
      <c r="K52" s="119"/>
      <c r="L52" s="119"/>
      <c r="M52" s="119"/>
      <c r="N52" s="119"/>
      <c r="O52" s="119"/>
      <c r="P52" s="119"/>
    </row>
    <row r="53" spans="3:16" x14ac:dyDescent="0.25">
      <c r="C53" s="119"/>
      <c r="D53" s="119"/>
      <c r="E53" s="119"/>
      <c r="F53" s="119"/>
      <c r="G53" s="119"/>
      <c r="H53" s="119"/>
      <c r="I53" s="119"/>
      <c r="J53" s="119"/>
      <c r="K53" s="119"/>
      <c r="L53" s="119"/>
      <c r="M53" s="119"/>
      <c r="N53" s="119"/>
      <c r="O53" s="119"/>
      <c r="P53" s="119"/>
    </row>
    <row r="54" spans="3:16" x14ac:dyDescent="0.25">
      <c r="C54" s="119"/>
      <c r="D54" s="119"/>
      <c r="E54" s="119"/>
      <c r="F54" s="119"/>
      <c r="G54" s="119"/>
      <c r="H54" s="119"/>
      <c r="I54" s="119"/>
      <c r="J54" s="119"/>
      <c r="K54" s="119"/>
      <c r="L54" s="119"/>
      <c r="M54" s="119"/>
      <c r="N54" s="119"/>
      <c r="O54" s="119"/>
      <c r="P54" s="119"/>
    </row>
    <row r="55" spans="3:16" x14ac:dyDescent="0.25">
      <c r="C55" s="119"/>
      <c r="D55" s="119"/>
      <c r="E55" s="119"/>
      <c r="F55" s="119"/>
      <c r="G55" s="119"/>
      <c r="H55" s="119"/>
      <c r="I55" s="119"/>
      <c r="J55" s="119"/>
      <c r="K55" s="119"/>
      <c r="L55" s="119"/>
      <c r="M55" s="119"/>
      <c r="N55" s="119"/>
      <c r="O55" s="119"/>
      <c r="P55" s="119"/>
    </row>
    <row r="56" spans="3:16" x14ac:dyDescent="0.25">
      <c r="C56" s="119"/>
      <c r="D56" s="119"/>
      <c r="E56" s="119"/>
      <c r="F56" s="119"/>
      <c r="G56" s="119"/>
      <c r="H56" s="119"/>
      <c r="I56" s="119"/>
      <c r="J56" s="119"/>
      <c r="K56" s="119"/>
      <c r="L56" s="119"/>
      <c r="M56" s="119"/>
      <c r="N56" s="119"/>
      <c r="O56" s="119"/>
      <c r="P56" s="119"/>
    </row>
    <row r="57" spans="3:16" x14ac:dyDescent="0.25">
      <c r="C57" s="119"/>
      <c r="D57" s="119"/>
      <c r="E57" s="119"/>
      <c r="F57" s="119"/>
      <c r="G57" s="119"/>
      <c r="H57" s="119"/>
      <c r="I57" s="119"/>
      <c r="J57" s="119"/>
      <c r="K57" s="119"/>
      <c r="L57" s="119"/>
      <c r="M57" s="119"/>
      <c r="N57" s="119"/>
      <c r="O57" s="119"/>
      <c r="P57" s="119"/>
    </row>
    <row r="58" spans="3:16" x14ac:dyDescent="0.25">
      <c r="C58" s="119"/>
      <c r="D58" s="119"/>
      <c r="E58" s="119"/>
      <c r="F58" s="119"/>
      <c r="G58" s="119"/>
      <c r="H58" s="119"/>
      <c r="I58" s="119"/>
      <c r="J58" s="119"/>
      <c r="K58" s="119"/>
      <c r="L58" s="119"/>
      <c r="M58" s="119"/>
      <c r="N58" s="119"/>
      <c r="O58" s="119"/>
      <c r="P58" s="119"/>
    </row>
    <row r="59" spans="3:16" x14ac:dyDescent="0.25">
      <c r="C59" s="119"/>
      <c r="D59" s="119"/>
      <c r="E59" s="119"/>
      <c r="F59" s="119"/>
      <c r="G59" s="119"/>
      <c r="H59" s="119"/>
      <c r="I59" s="119"/>
      <c r="J59" s="119"/>
      <c r="K59" s="119"/>
      <c r="L59" s="119"/>
      <c r="M59" s="119"/>
      <c r="N59" s="119"/>
      <c r="O59" s="119"/>
      <c r="P59" s="119"/>
    </row>
    <row r="60" spans="3:16" x14ac:dyDescent="0.25">
      <c r="C60" s="119"/>
      <c r="D60" s="119"/>
      <c r="E60" s="119"/>
      <c r="F60" s="119"/>
      <c r="G60" s="119"/>
      <c r="H60" s="119"/>
      <c r="I60" s="119"/>
      <c r="J60" s="119"/>
      <c r="K60" s="119"/>
      <c r="L60" s="119"/>
      <c r="M60" s="119"/>
      <c r="N60" s="119"/>
      <c r="O60" s="119"/>
      <c r="P60" s="119"/>
    </row>
    <row r="61" spans="3:16" x14ac:dyDescent="0.25">
      <c r="C61" s="119"/>
      <c r="D61" s="119"/>
      <c r="E61" s="119"/>
      <c r="F61" s="119"/>
      <c r="G61" s="119"/>
      <c r="H61" s="119"/>
      <c r="I61" s="119"/>
      <c r="J61" s="119"/>
      <c r="K61" s="119"/>
      <c r="L61" s="119"/>
      <c r="M61" s="119"/>
      <c r="N61" s="119"/>
      <c r="O61" s="119"/>
      <c r="P61" s="119"/>
    </row>
    <row r="62" spans="3:16" x14ac:dyDescent="0.25">
      <c r="C62" s="119"/>
      <c r="D62" s="119"/>
      <c r="E62" s="119"/>
      <c r="F62" s="119"/>
      <c r="G62" s="119"/>
      <c r="H62" s="119"/>
      <c r="I62" s="119"/>
      <c r="J62" s="119"/>
      <c r="K62" s="119"/>
      <c r="L62" s="119"/>
      <c r="M62" s="119"/>
      <c r="N62" s="119"/>
      <c r="O62" s="119"/>
      <c r="P62" s="119"/>
    </row>
    <row r="63" spans="3:16" x14ac:dyDescent="0.25">
      <c r="C63" s="119"/>
      <c r="D63" s="119"/>
      <c r="E63" s="119"/>
      <c r="F63" s="119"/>
      <c r="G63" s="119"/>
      <c r="H63" s="119"/>
      <c r="I63" s="119"/>
      <c r="J63" s="119"/>
      <c r="K63" s="119"/>
      <c r="L63" s="119"/>
      <c r="M63" s="119"/>
      <c r="N63" s="119"/>
      <c r="O63" s="119"/>
      <c r="P63" s="119"/>
    </row>
    <row r="64" spans="3:16" x14ac:dyDescent="0.25">
      <c r="C64" s="119"/>
      <c r="D64" s="119"/>
      <c r="E64" s="119"/>
      <c r="F64" s="119"/>
      <c r="G64" s="119"/>
      <c r="H64" s="119"/>
      <c r="I64" s="119"/>
      <c r="J64" s="119"/>
      <c r="K64" s="119"/>
      <c r="L64" s="119"/>
      <c r="M64" s="119"/>
      <c r="N64" s="119"/>
      <c r="O64" s="119"/>
      <c r="P64" s="119"/>
    </row>
    <row r="65" spans="3:16" x14ac:dyDescent="0.25">
      <c r="C65" s="119"/>
      <c r="D65" s="119"/>
      <c r="E65" s="119"/>
      <c r="F65" s="119"/>
      <c r="G65" s="119"/>
      <c r="H65" s="119"/>
      <c r="I65" s="119"/>
      <c r="J65" s="119"/>
      <c r="K65" s="119"/>
      <c r="L65" s="119"/>
      <c r="M65" s="119"/>
      <c r="N65" s="119"/>
      <c r="O65" s="119"/>
      <c r="P65" s="119"/>
    </row>
    <row r="66" spans="3:16" x14ac:dyDescent="0.25">
      <c r="C66" s="119"/>
      <c r="D66" s="119"/>
      <c r="E66" s="119"/>
      <c r="F66" s="119"/>
      <c r="G66" s="119"/>
      <c r="H66" s="119"/>
      <c r="I66" s="119"/>
      <c r="J66" s="119"/>
      <c r="K66" s="119"/>
      <c r="L66" s="119"/>
      <c r="M66" s="119"/>
      <c r="N66" s="119"/>
      <c r="O66" s="119"/>
      <c r="P66" s="119"/>
    </row>
    <row r="67" spans="3:16" x14ac:dyDescent="0.25">
      <c r="C67" s="119"/>
      <c r="D67" s="119"/>
      <c r="E67" s="119"/>
      <c r="F67" s="119"/>
      <c r="G67" s="119"/>
      <c r="H67" s="119"/>
      <c r="I67" s="119"/>
      <c r="J67" s="119"/>
      <c r="K67" s="119"/>
      <c r="L67" s="119"/>
      <c r="M67" s="119"/>
      <c r="N67" s="119"/>
      <c r="O67" s="119"/>
      <c r="P67" s="119"/>
    </row>
    <row r="68" spans="3:16" x14ac:dyDescent="0.25">
      <c r="C68" s="119"/>
      <c r="D68" s="119"/>
      <c r="E68" s="119"/>
      <c r="F68" s="119"/>
      <c r="G68" s="119"/>
      <c r="H68" s="119"/>
      <c r="I68" s="119"/>
      <c r="J68" s="119"/>
      <c r="K68" s="119"/>
      <c r="L68" s="119"/>
      <c r="M68" s="119"/>
      <c r="N68" s="119"/>
      <c r="O68" s="119"/>
      <c r="P68" s="119"/>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zoomScale="80" zoomScaleNormal="80" workbookViewId="0">
      <pane xSplit="3" ySplit="4" topLeftCell="D14" activePane="bottomRight" state="frozen"/>
      <selection pane="topRight" activeCell="D1" sqref="D1"/>
      <selection pane="bottomLeft" activeCell="A5" sqref="A5"/>
      <selection pane="bottomRight" activeCell="D47" sqref="D47:O47"/>
    </sheetView>
  </sheetViews>
  <sheetFormatPr defaultRowHeight="15" x14ac:dyDescent="0.25"/>
  <cols>
    <col min="1" max="1" width="48.28515625" style="118" customWidth="1"/>
    <col min="2" max="2" width="16.85546875" style="118" customWidth="1"/>
    <col min="3" max="3" width="19.140625" style="118" customWidth="1"/>
    <col min="4" max="15" width="16.140625" style="118" customWidth="1"/>
    <col min="16" max="16" width="13.140625" style="118" customWidth="1"/>
    <col min="17" max="16384" width="9.140625" style="118"/>
  </cols>
  <sheetData>
    <row r="1" spans="1:16" x14ac:dyDescent="0.25">
      <c r="A1" s="148" t="s">
        <v>0</v>
      </c>
    </row>
    <row r="2" spans="1:16" x14ac:dyDescent="0.25">
      <c r="A2" s="148" t="s">
        <v>234</v>
      </c>
    </row>
    <row r="4" spans="1:16" x14ac:dyDescent="0.25">
      <c r="D4" s="117" t="s">
        <v>1</v>
      </c>
      <c r="E4" s="117" t="s">
        <v>2</v>
      </c>
      <c r="F4" s="117" t="s">
        <v>3</v>
      </c>
      <c r="G4" s="117" t="s">
        <v>4</v>
      </c>
      <c r="H4" s="117" t="s">
        <v>5</v>
      </c>
      <c r="I4" s="117" t="s">
        <v>6</v>
      </c>
      <c r="J4" s="117" t="s">
        <v>7</v>
      </c>
      <c r="K4" s="117" t="s">
        <v>8</v>
      </c>
      <c r="L4" s="117" t="s">
        <v>9</v>
      </c>
      <c r="M4" s="117" t="s">
        <v>10</v>
      </c>
      <c r="N4" s="117" t="s">
        <v>11</v>
      </c>
      <c r="O4" s="117" t="s">
        <v>12</v>
      </c>
    </row>
    <row r="5" spans="1:16" x14ac:dyDescent="0.25">
      <c r="A5" s="118" t="s">
        <v>13</v>
      </c>
      <c r="C5" s="119">
        <f>'[1]G2-12 to 19 Supplement FI'!$P$102</f>
        <v>87688.931234999996</v>
      </c>
      <c r="D5" s="119">
        <f>C5/12</f>
        <v>7307.4109362499994</v>
      </c>
      <c r="E5" s="119">
        <f>$D5</f>
        <v>7307.4109362499994</v>
      </c>
      <c r="F5" s="119">
        <f t="shared" ref="F5:O5" si="0">$D5</f>
        <v>7307.4109362499994</v>
      </c>
      <c r="G5" s="119">
        <f t="shared" si="0"/>
        <v>7307.4109362499994</v>
      </c>
      <c r="H5" s="119">
        <f t="shared" si="0"/>
        <v>7307.4109362499994</v>
      </c>
      <c r="I5" s="119">
        <f t="shared" si="0"/>
        <v>7307.4109362499994</v>
      </c>
      <c r="J5" s="119">
        <f t="shared" si="0"/>
        <v>7307.4109362499994</v>
      </c>
      <c r="K5" s="119">
        <f t="shared" si="0"/>
        <v>7307.4109362499994</v>
      </c>
      <c r="L5" s="119">
        <f t="shared" si="0"/>
        <v>7307.4109362499994</v>
      </c>
      <c r="M5" s="119">
        <f t="shared" si="0"/>
        <v>7307.4109362499994</v>
      </c>
      <c r="N5" s="119">
        <f t="shared" si="0"/>
        <v>7307.4109362499994</v>
      </c>
      <c r="O5" s="119">
        <f t="shared" si="0"/>
        <v>7307.4109362499994</v>
      </c>
      <c r="P5" s="119">
        <f>C5-SUM(D5:O5)</f>
        <v>0</v>
      </c>
    </row>
    <row r="6" spans="1:16" x14ac:dyDescent="0.25">
      <c r="A6" s="118" t="s">
        <v>14</v>
      </c>
      <c r="C6" s="119">
        <f>'[1]G2-12 to 19 Supplement FI'!$V$102</f>
        <v>66268.740649999992</v>
      </c>
      <c r="D6" s="119">
        <f>C6/12</f>
        <v>5522.3950541666663</v>
      </c>
      <c r="E6" s="119">
        <f>$D$6</f>
        <v>5522.3950541666663</v>
      </c>
      <c r="F6" s="119">
        <f t="shared" ref="F6:O6" si="1">$D$6</f>
        <v>5522.3950541666663</v>
      </c>
      <c r="G6" s="119">
        <f t="shared" si="1"/>
        <v>5522.3950541666663</v>
      </c>
      <c r="H6" s="119">
        <f t="shared" si="1"/>
        <v>5522.3950541666663</v>
      </c>
      <c r="I6" s="119">
        <f t="shared" si="1"/>
        <v>5522.3950541666663</v>
      </c>
      <c r="J6" s="119">
        <f t="shared" si="1"/>
        <v>5522.3950541666663</v>
      </c>
      <c r="K6" s="119">
        <f t="shared" si="1"/>
        <v>5522.3950541666663</v>
      </c>
      <c r="L6" s="119">
        <f t="shared" si="1"/>
        <v>5522.3950541666663</v>
      </c>
      <c r="M6" s="119">
        <f t="shared" si="1"/>
        <v>5522.3950541666663</v>
      </c>
      <c r="N6" s="119">
        <f t="shared" si="1"/>
        <v>5522.3950541666663</v>
      </c>
      <c r="O6" s="119">
        <f t="shared" si="1"/>
        <v>5522.3950541666663</v>
      </c>
      <c r="P6" s="119">
        <f t="shared" ref="P6:P46" si="2">C6-SUM(D6:O6)</f>
        <v>0</v>
      </c>
    </row>
    <row r="7" spans="1:16" x14ac:dyDescent="0.25">
      <c r="A7" s="118" t="s">
        <v>204</v>
      </c>
      <c r="C7" s="119">
        <f>'Over and Under Adj'!U95</f>
        <v>29521</v>
      </c>
      <c r="D7" s="119">
        <f>C7/12</f>
        <v>2460.0833333333335</v>
      </c>
      <c r="E7" s="119">
        <f>$D7</f>
        <v>2460.0833333333335</v>
      </c>
      <c r="F7" s="119">
        <f t="shared" ref="F7:O7" si="3">$D7</f>
        <v>2460.0833333333335</v>
      </c>
      <c r="G7" s="119">
        <f t="shared" si="3"/>
        <v>2460.0833333333335</v>
      </c>
      <c r="H7" s="119">
        <f t="shared" si="3"/>
        <v>2460.0833333333335</v>
      </c>
      <c r="I7" s="119">
        <f t="shared" si="3"/>
        <v>2460.0833333333335</v>
      </c>
      <c r="J7" s="119">
        <f t="shared" si="3"/>
        <v>2460.0833333333335</v>
      </c>
      <c r="K7" s="119">
        <f t="shared" si="3"/>
        <v>2460.0833333333335</v>
      </c>
      <c r="L7" s="119">
        <f t="shared" si="3"/>
        <v>2460.0833333333335</v>
      </c>
      <c r="M7" s="119">
        <f t="shared" si="3"/>
        <v>2460.0833333333335</v>
      </c>
      <c r="N7" s="119">
        <f t="shared" si="3"/>
        <v>2460.0833333333335</v>
      </c>
      <c r="O7" s="119">
        <f t="shared" si="3"/>
        <v>2460.0833333333335</v>
      </c>
      <c r="P7" s="119">
        <f t="shared" si="2"/>
        <v>0</v>
      </c>
    </row>
    <row r="8" spans="1:16" x14ac:dyDescent="0.25">
      <c r="A8" s="118" t="s">
        <v>62</v>
      </c>
      <c r="B8" s="124" t="s">
        <v>211</v>
      </c>
      <c r="C8" s="119">
        <v>0</v>
      </c>
      <c r="D8" s="119"/>
      <c r="E8" s="119"/>
      <c r="F8" s="119"/>
      <c r="G8" s="119"/>
      <c r="H8" s="119"/>
      <c r="I8" s="119"/>
      <c r="J8" s="120">
        <f>C8/6</f>
        <v>0</v>
      </c>
      <c r="K8" s="119">
        <f>$J8</f>
        <v>0</v>
      </c>
      <c r="L8" s="119">
        <f>$J8</f>
        <v>0</v>
      </c>
      <c r="M8" s="119">
        <f t="shared" ref="M8:O8" si="4">$J8</f>
        <v>0</v>
      </c>
      <c r="N8" s="119">
        <f t="shared" si="4"/>
        <v>0</v>
      </c>
      <c r="O8" s="119">
        <f t="shared" si="4"/>
        <v>0</v>
      </c>
      <c r="P8" s="119">
        <f t="shared" si="2"/>
        <v>0</v>
      </c>
    </row>
    <row r="9" spans="1:16" x14ac:dyDescent="0.25">
      <c r="A9" s="118" t="s">
        <v>102</v>
      </c>
      <c r="B9" s="115" t="s">
        <v>207</v>
      </c>
      <c r="C9" s="119">
        <v>0</v>
      </c>
      <c r="D9" s="119"/>
      <c r="E9" s="119"/>
      <c r="F9" s="119"/>
      <c r="G9" s="119"/>
      <c r="H9" s="119"/>
      <c r="I9" s="119"/>
      <c r="J9" s="119"/>
      <c r="K9" s="119"/>
      <c r="L9" s="119"/>
      <c r="M9" s="119">
        <f>C9/3</f>
        <v>0</v>
      </c>
      <c r="N9" s="119">
        <f>$M9</f>
        <v>0</v>
      </c>
      <c r="O9" s="119">
        <f>$M9</f>
        <v>0</v>
      </c>
      <c r="P9" s="119">
        <f t="shared" si="2"/>
        <v>0</v>
      </c>
    </row>
    <row r="10" spans="1:16" x14ac:dyDescent="0.25">
      <c r="A10" s="118" t="s">
        <v>105</v>
      </c>
      <c r="B10" s="115" t="s">
        <v>207</v>
      </c>
      <c r="C10" s="119">
        <v>0</v>
      </c>
      <c r="D10" s="119"/>
      <c r="E10" s="119"/>
      <c r="F10" s="119"/>
      <c r="G10" s="119"/>
      <c r="H10" s="119"/>
      <c r="I10" s="119"/>
      <c r="J10" s="119"/>
      <c r="K10" s="119"/>
      <c r="L10" s="119"/>
      <c r="M10" s="119">
        <f>C10/3</f>
        <v>0</v>
      </c>
      <c r="N10" s="119">
        <f>$M10</f>
        <v>0</v>
      </c>
      <c r="O10" s="119">
        <f>$M10</f>
        <v>0</v>
      </c>
      <c r="P10" s="119">
        <f t="shared" si="2"/>
        <v>0</v>
      </c>
    </row>
    <row r="11" spans="1:16" x14ac:dyDescent="0.25">
      <c r="A11" s="118" t="s">
        <v>107</v>
      </c>
      <c r="B11" s="115" t="s">
        <v>208</v>
      </c>
      <c r="C11" s="119">
        <v>0</v>
      </c>
      <c r="D11" s="119">
        <f>C11/12</f>
        <v>0</v>
      </c>
      <c r="E11" s="119">
        <f>$D11</f>
        <v>0</v>
      </c>
      <c r="F11" s="119">
        <f t="shared" ref="F11:O11" si="5">$D11</f>
        <v>0</v>
      </c>
      <c r="G11" s="119">
        <f t="shared" si="5"/>
        <v>0</v>
      </c>
      <c r="H11" s="119">
        <f t="shared" si="5"/>
        <v>0</v>
      </c>
      <c r="I11" s="119">
        <f t="shared" si="5"/>
        <v>0</v>
      </c>
      <c r="J11" s="119">
        <f t="shared" si="5"/>
        <v>0</v>
      </c>
      <c r="K11" s="119">
        <f t="shared" si="5"/>
        <v>0</v>
      </c>
      <c r="L11" s="119">
        <f t="shared" si="5"/>
        <v>0</v>
      </c>
      <c r="M11" s="119">
        <f t="shared" si="5"/>
        <v>0</v>
      </c>
      <c r="N11" s="119">
        <f t="shared" si="5"/>
        <v>0</v>
      </c>
      <c r="O11" s="119">
        <f t="shared" si="5"/>
        <v>0</v>
      </c>
      <c r="P11" s="119">
        <f t="shared" si="2"/>
        <v>0</v>
      </c>
    </row>
    <row r="12" spans="1:16" x14ac:dyDescent="0.25">
      <c r="A12" s="118" t="s">
        <v>109</v>
      </c>
      <c r="B12" s="115" t="s">
        <v>209</v>
      </c>
      <c r="C12" s="119">
        <f>115+42</f>
        <v>157</v>
      </c>
      <c r="D12" s="119"/>
      <c r="E12" s="119"/>
      <c r="F12" s="119"/>
      <c r="G12" s="119"/>
      <c r="H12" s="119"/>
      <c r="I12" s="119"/>
      <c r="J12" s="119">
        <f>C12/6</f>
        <v>26.166666666666668</v>
      </c>
      <c r="K12" s="119">
        <f>$J12</f>
        <v>26.166666666666668</v>
      </c>
      <c r="L12" s="119">
        <f t="shared" ref="L12:O12" si="6">$J12</f>
        <v>26.166666666666668</v>
      </c>
      <c r="M12" s="119">
        <f t="shared" si="6"/>
        <v>26.166666666666668</v>
      </c>
      <c r="N12" s="119">
        <f t="shared" si="6"/>
        <v>26.166666666666668</v>
      </c>
      <c r="O12" s="119">
        <f t="shared" si="6"/>
        <v>26.166666666666668</v>
      </c>
      <c r="P12" s="119">
        <f t="shared" si="2"/>
        <v>0</v>
      </c>
    </row>
    <row r="13" spans="1:16" x14ac:dyDescent="0.25">
      <c r="A13" s="118" t="s">
        <v>111</v>
      </c>
      <c r="B13" s="115" t="s">
        <v>208</v>
      </c>
      <c r="C13" s="119">
        <f>169+61</f>
        <v>230</v>
      </c>
      <c r="D13" s="119">
        <f t="shared" ref="D13:D14" si="7">C13/12</f>
        <v>19.166666666666668</v>
      </c>
      <c r="E13" s="119">
        <f t="shared" ref="E13:O14" si="8">$D13</f>
        <v>19.166666666666668</v>
      </c>
      <c r="F13" s="119">
        <f t="shared" si="8"/>
        <v>19.166666666666668</v>
      </c>
      <c r="G13" s="119">
        <f t="shared" si="8"/>
        <v>19.166666666666668</v>
      </c>
      <c r="H13" s="119">
        <f t="shared" si="8"/>
        <v>19.166666666666668</v>
      </c>
      <c r="I13" s="119">
        <f t="shared" si="8"/>
        <v>19.166666666666668</v>
      </c>
      <c r="J13" s="119">
        <f t="shared" si="8"/>
        <v>19.166666666666668</v>
      </c>
      <c r="K13" s="119">
        <f t="shared" si="8"/>
        <v>19.166666666666668</v>
      </c>
      <c r="L13" s="119">
        <f t="shared" si="8"/>
        <v>19.166666666666668</v>
      </c>
      <c r="M13" s="119">
        <f t="shared" si="8"/>
        <v>19.166666666666668</v>
      </c>
      <c r="N13" s="119">
        <f t="shared" si="8"/>
        <v>19.166666666666668</v>
      </c>
      <c r="O13" s="119">
        <f t="shared" si="8"/>
        <v>19.166666666666668</v>
      </c>
      <c r="P13" s="119">
        <f t="shared" si="2"/>
        <v>0</v>
      </c>
    </row>
    <row r="14" spans="1:16" x14ac:dyDescent="0.25">
      <c r="A14" s="118" t="s">
        <v>114</v>
      </c>
      <c r="B14" s="115" t="s">
        <v>208</v>
      </c>
      <c r="C14" s="119">
        <f>504+184</f>
        <v>688</v>
      </c>
      <c r="D14" s="119">
        <f t="shared" si="7"/>
        <v>57.333333333333336</v>
      </c>
      <c r="E14" s="119">
        <f t="shared" si="8"/>
        <v>57.333333333333336</v>
      </c>
      <c r="F14" s="119">
        <f t="shared" si="8"/>
        <v>57.333333333333336</v>
      </c>
      <c r="G14" s="119">
        <f t="shared" si="8"/>
        <v>57.333333333333336</v>
      </c>
      <c r="H14" s="119">
        <f t="shared" si="8"/>
        <v>57.333333333333336</v>
      </c>
      <c r="I14" s="119">
        <f t="shared" si="8"/>
        <v>57.333333333333336</v>
      </c>
      <c r="J14" s="119">
        <f t="shared" si="8"/>
        <v>57.333333333333336</v>
      </c>
      <c r="K14" s="119">
        <f t="shared" si="8"/>
        <v>57.333333333333336</v>
      </c>
      <c r="L14" s="119">
        <f t="shared" si="8"/>
        <v>57.333333333333336</v>
      </c>
      <c r="M14" s="119">
        <f t="shared" si="8"/>
        <v>57.333333333333336</v>
      </c>
      <c r="N14" s="119">
        <f t="shared" si="8"/>
        <v>57.333333333333336</v>
      </c>
      <c r="O14" s="119">
        <f t="shared" si="8"/>
        <v>57.333333333333336</v>
      </c>
      <c r="P14" s="119">
        <f t="shared" si="2"/>
        <v>0</v>
      </c>
    </row>
    <row r="15" spans="1:16" x14ac:dyDescent="0.25">
      <c r="A15" s="118" t="s">
        <v>117</v>
      </c>
      <c r="B15" s="115" t="s">
        <v>210</v>
      </c>
      <c r="C15" s="119">
        <v>0</v>
      </c>
      <c r="D15" s="119"/>
      <c r="E15" s="119"/>
      <c r="F15" s="119"/>
      <c r="G15" s="120">
        <f>C15/9</f>
        <v>0</v>
      </c>
      <c r="H15" s="119">
        <f>$G15</f>
        <v>0</v>
      </c>
      <c r="I15" s="119">
        <f t="shared" ref="I15:O15" si="9">$G15</f>
        <v>0</v>
      </c>
      <c r="J15" s="119">
        <f t="shared" si="9"/>
        <v>0</v>
      </c>
      <c r="K15" s="119">
        <f t="shared" si="9"/>
        <v>0</v>
      </c>
      <c r="L15" s="119">
        <f t="shared" si="9"/>
        <v>0</v>
      </c>
      <c r="M15" s="119">
        <f t="shared" si="9"/>
        <v>0</v>
      </c>
      <c r="N15" s="119">
        <f t="shared" si="9"/>
        <v>0</v>
      </c>
      <c r="O15" s="119">
        <f t="shared" si="9"/>
        <v>0</v>
      </c>
      <c r="P15" s="119">
        <f t="shared" si="2"/>
        <v>0</v>
      </c>
    </row>
    <row r="16" spans="1:16" x14ac:dyDescent="0.25">
      <c r="A16" s="118" t="s">
        <v>119</v>
      </c>
      <c r="B16" s="115" t="s">
        <v>205</v>
      </c>
      <c r="C16" s="119">
        <v>0</v>
      </c>
      <c r="D16" s="119"/>
      <c r="E16" s="119"/>
      <c r="F16" s="119"/>
      <c r="G16" s="119"/>
      <c r="H16" s="119"/>
      <c r="I16" s="119">
        <f>C16/7</f>
        <v>0</v>
      </c>
      <c r="J16" s="119">
        <f>$I16</f>
        <v>0</v>
      </c>
      <c r="K16" s="119">
        <f t="shared" ref="K16:O16" si="10">$I16</f>
        <v>0</v>
      </c>
      <c r="L16" s="119">
        <f t="shared" si="10"/>
        <v>0</v>
      </c>
      <c r="M16" s="119">
        <f t="shared" si="10"/>
        <v>0</v>
      </c>
      <c r="N16" s="119">
        <f t="shared" si="10"/>
        <v>0</v>
      </c>
      <c r="O16" s="119">
        <f t="shared" si="10"/>
        <v>0</v>
      </c>
      <c r="P16" s="119">
        <f t="shared" si="2"/>
        <v>0</v>
      </c>
    </row>
    <row r="17" spans="1:16" x14ac:dyDescent="0.25">
      <c r="A17" s="118" t="s">
        <v>119</v>
      </c>
      <c r="B17" s="115" t="s">
        <v>211</v>
      </c>
      <c r="C17" s="119">
        <v>0</v>
      </c>
      <c r="D17" s="119"/>
      <c r="E17" s="119"/>
      <c r="F17" s="119"/>
      <c r="G17" s="119"/>
      <c r="H17" s="119"/>
      <c r="I17" s="119"/>
      <c r="J17" s="119"/>
      <c r="K17" s="120">
        <f>C17/5</f>
        <v>0</v>
      </c>
      <c r="L17" s="119">
        <f>$K17</f>
        <v>0</v>
      </c>
      <c r="M17" s="119">
        <f t="shared" ref="M17:O17" si="11">$K17</f>
        <v>0</v>
      </c>
      <c r="N17" s="119">
        <f t="shared" si="11"/>
        <v>0</v>
      </c>
      <c r="O17" s="119">
        <f t="shared" si="11"/>
        <v>0</v>
      </c>
      <c r="P17" s="119">
        <f t="shared" si="2"/>
        <v>0</v>
      </c>
    </row>
    <row r="18" spans="1:16" x14ac:dyDescent="0.25">
      <c r="A18" s="118" t="s">
        <v>119</v>
      </c>
      <c r="B18" s="115" t="s">
        <v>212</v>
      </c>
      <c r="C18" s="119">
        <v>0</v>
      </c>
      <c r="D18" s="119"/>
      <c r="E18" s="119"/>
      <c r="F18" s="119"/>
      <c r="G18" s="119"/>
      <c r="H18" s="119"/>
      <c r="I18" s="119"/>
      <c r="J18" s="119"/>
      <c r="K18" s="119"/>
      <c r="L18" s="120">
        <f>C18/4</f>
        <v>0</v>
      </c>
      <c r="M18" s="119">
        <f>$L18</f>
        <v>0</v>
      </c>
      <c r="N18" s="119">
        <f t="shared" ref="N18:O19" si="12">$L18</f>
        <v>0</v>
      </c>
      <c r="O18" s="119">
        <f t="shared" si="12"/>
        <v>0</v>
      </c>
      <c r="P18" s="119">
        <f t="shared" si="2"/>
        <v>0</v>
      </c>
    </row>
    <row r="19" spans="1:16" x14ac:dyDescent="0.25">
      <c r="A19" s="118" t="s">
        <v>123</v>
      </c>
      <c r="B19" s="115" t="s">
        <v>212</v>
      </c>
      <c r="C19" s="119">
        <v>0</v>
      </c>
      <c r="D19" s="119"/>
      <c r="E19" s="119"/>
      <c r="F19" s="119"/>
      <c r="G19" s="119"/>
      <c r="H19" s="119"/>
      <c r="I19" s="119"/>
      <c r="J19" s="119"/>
      <c r="K19" s="119"/>
      <c r="L19" s="120">
        <f>C19/4</f>
        <v>0</v>
      </c>
      <c r="M19" s="119">
        <f>$L19</f>
        <v>0</v>
      </c>
      <c r="N19" s="119">
        <f t="shared" si="12"/>
        <v>0</v>
      </c>
      <c r="O19" s="119">
        <f t="shared" si="12"/>
        <v>0</v>
      </c>
      <c r="P19" s="119">
        <f t="shared" si="2"/>
        <v>0</v>
      </c>
    </row>
    <row r="20" spans="1:16" x14ac:dyDescent="0.25">
      <c r="A20" s="118" t="s">
        <v>125</v>
      </c>
      <c r="B20" s="115" t="s">
        <v>213</v>
      </c>
      <c r="C20" s="119">
        <v>0</v>
      </c>
      <c r="D20" s="119">
        <v>0</v>
      </c>
      <c r="E20" s="119">
        <v>0</v>
      </c>
      <c r="F20" s="119">
        <v>0</v>
      </c>
      <c r="G20" s="119">
        <v>0</v>
      </c>
      <c r="H20" s="119">
        <v>0</v>
      </c>
      <c r="I20" s="119">
        <v>0</v>
      </c>
      <c r="J20" s="119">
        <v>0</v>
      </c>
      <c r="K20" s="119">
        <v>0</v>
      </c>
      <c r="L20" s="119">
        <v>0</v>
      </c>
      <c r="M20" s="119">
        <v>0</v>
      </c>
      <c r="N20" s="119">
        <v>0</v>
      </c>
      <c r="O20" s="119">
        <v>0</v>
      </c>
      <c r="P20" s="119">
        <f t="shared" si="2"/>
        <v>0</v>
      </c>
    </row>
    <row r="21" spans="1:16" x14ac:dyDescent="0.25">
      <c r="A21" s="118" t="s">
        <v>127</v>
      </c>
      <c r="B21" s="115" t="s">
        <v>206</v>
      </c>
      <c r="C21" s="119">
        <v>0</v>
      </c>
      <c r="D21" s="119"/>
      <c r="E21" s="119"/>
      <c r="F21" s="119"/>
      <c r="G21" s="119"/>
      <c r="H21" s="120">
        <f>C21/8</f>
        <v>0</v>
      </c>
      <c r="I21" s="119">
        <f>$H21</f>
        <v>0</v>
      </c>
      <c r="J21" s="119">
        <f t="shared" ref="J21:O21" si="13">$H21</f>
        <v>0</v>
      </c>
      <c r="K21" s="119">
        <f t="shared" si="13"/>
        <v>0</v>
      </c>
      <c r="L21" s="119">
        <f t="shared" si="13"/>
        <v>0</v>
      </c>
      <c r="M21" s="119">
        <f t="shared" si="13"/>
        <v>0</v>
      </c>
      <c r="N21" s="119">
        <f t="shared" si="13"/>
        <v>0</v>
      </c>
      <c r="O21" s="119">
        <f t="shared" si="13"/>
        <v>0</v>
      </c>
      <c r="P21" s="119">
        <f t="shared" si="2"/>
        <v>0</v>
      </c>
    </row>
    <row r="22" spans="1:16" x14ac:dyDescent="0.25">
      <c r="A22" s="118" t="s">
        <v>129</v>
      </c>
      <c r="B22" s="115" t="s">
        <v>213</v>
      </c>
      <c r="C22" s="119">
        <v>0</v>
      </c>
      <c r="D22" s="119">
        <v>0</v>
      </c>
      <c r="E22" s="119">
        <v>0</v>
      </c>
      <c r="F22" s="119">
        <v>0</v>
      </c>
      <c r="G22" s="119">
        <v>0</v>
      </c>
      <c r="H22" s="119">
        <v>0</v>
      </c>
      <c r="I22" s="119">
        <v>0</v>
      </c>
      <c r="J22" s="119">
        <v>0</v>
      </c>
      <c r="K22" s="119">
        <v>0</v>
      </c>
      <c r="L22" s="119">
        <v>0</v>
      </c>
      <c r="M22" s="119">
        <v>0</v>
      </c>
      <c r="N22" s="119">
        <v>0</v>
      </c>
      <c r="O22" s="119">
        <v>0</v>
      </c>
      <c r="P22" s="119">
        <f t="shared" si="2"/>
        <v>0</v>
      </c>
    </row>
    <row r="23" spans="1:16" x14ac:dyDescent="0.25">
      <c r="A23" s="118" t="s">
        <v>131</v>
      </c>
      <c r="B23" s="115" t="s">
        <v>205</v>
      </c>
      <c r="C23" s="119">
        <f>75+27</f>
        <v>102</v>
      </c>
      <c r="D23" s="119"/>
      <c r="E23" s="119"/>
      <c r="F23" s="119"/>
      <c r="G23" s="119"/>
      <c r="H23" s="119"/>
      <c r="I23" s="119">
        <f>C23/7</f>
        <v>14.571428571428571</v>
      </c>
      <c r="J23" s="119">
        <f>$I23</f>
        <v>14.571428571428571</v>
      </c>
      <c r="K23" s="119">
        <f t="shared" ref="K23:O23" si="14">$I23</f>
        <v>14.571428571428571</v>
      </c>
      <c r="L23" s="119">
        <f t="shared" si="14"/>
        <v>14.571428571428571</v>
      </c>
      <c r="M23" s="119">
        <f t="shared" si="14"/>
        <v>14.571428571428571</v>
      </c>
      <c r="N23" s="119">
        <f t="shared" si="14"/>
        <v>14.571428571428571</v>
      </c>
      <c r="O23" s="119">
        <f t="shared" si="14"/>
        <v>14.571428571428571</v>
      </c>
      <c r="P23" s="119">
        <f t="shared" si="2"/>
        <v>0</v>
      </c>
    </row>
    <row r="24" spans="1:16" x14ac:dyDescent="0.25">
      <c r="A24" s="118" t="s">
        <v>134</v>
      </c>
      <c r="B24" s="115" t="s">
        <v>206</v>
      </c>
      <c r="C24" s="119">
        <v>0</v>
      </c>
      <c r="D24" s="119"/>
      <c r="E24" s="119"/>
      <c r="F24" s="119"/>
      <c r="G24" s="119"/>
      <c r="H24" s="120">
        <f>C24/8</f>
        <v>0</v>
      </c>
      <c r="I24" s="119">
        <f>$H24</f>
        <v>0</v>
      </c>
      <c r="J24" s="119">
        <f t="shared" ref="J24:O26" si="15">$H24</f>
        <v>0</v>
      </c>
      <c r="K24" s="119">
        <f t="shared" si="15"/>
        <v>0</v>
      </c>
      <c r="L24" s="119">
        <f t="shared" si="15"/>
        <v>0</v>
      </c>
      <c r="M24" s="119">
        <f t="shared" si="15"/>
        <v>0</v>
      </c>
      <c r="N24" s="119">
        <f t="shared" si="15"/>
        <v>0</v>
      </c>
      <c r="O24" s="119">
        <f t="shared" si="15"/>
        <v>0</v>
      </c>
      <c r="P24" s="119">
        <f t="shared" si="2"/>
        <v>0</v>
      </c>
    </row>
    <row r="25" spans="1:16" x14ac:dyDescent="0.25">
      <c r="A25" s="118" t="s">
        <v>136</v>
      </c>
      <c r="B25" s="115" t="s">
        <v>211</v>
      </c>
      <c r="C25" s="119">
        <f>52+19</f>
        <v>71</v>
      </c>
      <c r="D25" s="119"/>
      <c r="E25" s="119"/>
      <c r="F25" s="119"/>
      <c r="G25" s="119"/>
      <c r="H25" s="119"/>
      <c r="I25" s="119"/>
      <c r="J25" s="119"/>
      <c r="K25" s="120">
        <f>C25/5</f>
        <v>14.2</v>
      </c>
      <c r="L25" s="119">
        <f>$K25</f>
        <v>14.2</v>
      </c>
      <c r="M25" s="119">
        <f t="shared" ref="M25:O25" si="16">$K25</f>
        <v>14.2</v>
      </c>
      <c r="N25" s="119">
        <f t="shared" si="16"/>
        <v>14.2</v>
      </c>
      <c r="O25" s="119">
        <f t="shared" si="16"/>
        <v>14.2</v>
      </c>
      <c r="P25" s="119">
        <f t="shared" si="2"/>
        <v>0</v>
      </c>
    </row>
    <row r="26" spans="1:16" x14ac:dyDescent="0.25">
      <c r="A26" s="118" t="s">
        <v>138</v>
      </c>
      <c r="B26" s="115" t="s">
        <v>206</v>
      </c>
      <c r="C26" s="119">
        <f>125+45</f>
        <v>170</v>
      </c>
      <c r="D26" s="119"/>
      <c r="E26" s="119"/>
      <c r="F26" s="119"/>
      <c r="G26" s="119"/>
      <c r="H26" s="120">
        <f>C26/8</f>
        <v>21.25</v>
      </c>
      <c r="I26" s="119">
        <f>$H26</f>
        <v>21.25</v>
      </c>
      <c r="J26" s="119">
        <f t="shared" si="15"/>
        <v>21.25</v>
      </c>
      <c r="K26" s="119">
        <f t="shared" si="15"/>
        <v>21.25</v>
      </c>
      <c r="L26" s="119">
        <f t="shared" si="15"/>
        <v>21.25</v>
      </c>
      <c r="M26" s="119">
        <f t="shared" si="15"/>
        <v>21.25</v>
      </c>
      <c r="N26" s="119">
        <f t="shared" si="15"/>
        <v>21.25</v>
      </c>
      <c r="O26" s="119">
        <f t="shared" si="15"/>
        <v>21.25</v>
      </c>
      <c r="P26" s="119">
        <f t="shared" si="2"/>
        <v>0</v>
      </c>
    </row>
    <row r="27" spans="1:16" x14ac:dyDescent="0.25">
      <c r="A27" s="118" t="s">
        <v>140</v>
      </c>
      <c r="B27" s="115" t="s">
        <v>209</v>
      </c>
      <c r="C27" s="119">
        <f>32+13</f>
        <v>45</v>
      </c>
      <c r="D27" s="119"/>
      <c r="E27" s="119"/>
      <c r="F27" s="119"/>
      <c r="G27" s="119"/>
      <c r="H27" s="119"/>
      <c r="I27" s="119"/>
      <c r="J27" s="120">
        <f>C27/6</f>
        <v>7.5</v>
      </c>
      <c r="K27" s="119">
        <f>$J27</f>
        <v>7.5</v>
      </c>
      <c r="L27" s="119">
        <f t="shared" ref="L27:O27" si="17">$J27</f>
        <v>7.5</v>
      </c>
      <c r="M27" s="119">
        <f t="shared" si="17"/>
        <v>7.5</v>
      </c>
      <c r="N27" s="119">
        <f t="shared" si="17"/>
        <v>7.5</v>
      </c>
      <c r="O27" s="119">
        <f t="shared" si="17"/>
        <v>7.5</v>
      </c>
      <c r="P27" s="119">
        <f t="shared" si="2"/>
        <v>0</v>
      </c>
    </row>
    <row r="28" spans="1:16" x14ac:dyDescent="0.25">
      <c r="A28" s="118" t="s">
        <v>142</v>
      </c>
      <c r="B28" s="115" t="s">
        <v>214</v>
      </c>
      <c r="C28" s="119">
        <f>84+31</f>
        <v>115</v>
      </c>
      <c r="D28" s="119"/>
      <c r="E28" s="119"/>
      <c r="F28" s="120">
        <f>C28/10</f>
        <v>11.5</v>
      </c>
      <c r="G28" s="119">
        <f>$F28</f>
        <v>11.5</v>
      </c>
      <c r="H28" s="119">
        <f t="shared" ref="H28:O28" si="18">$F28</f>
        <v>11.5</v>
      </c>
      <c r="I28" s="119">
        <f t="shared" si="18"/>
        <v>11.5</v>
      </c>
      <c r="J28" s="119">
        <f t="shared" si="18"/>
        <v>11.5</v>
      </c>
      <c r="K28" s="119">
        <f t="shared" si="18"/>
        <v>11.5</v>
      </c>
      <c r="L28" s="119">
        <f t="shared" si="18"/>
        <v>11.5</v>
      </c>
      <c r="M28" s="119">
        <f t="shared" si="18"/>
        <v>11.5</v>
      </c>
      <c r="N28" s="119">
        <f t="shared" si="18"/>
        <v>11.5</v>
      </c>
      <c r="O28" s="119">
        <f t="shared" si="18"/>
        <v>11.5</v>
      </c>
      <c r="P28" s="119">
        <f t="shared" si="2"/>
        <v>0</v>
      </c>
    </row>
    <row r="29" spans="1:16" x14ac:dyDescent="0.25">
      <c r="A29" s="118" t="s">
        <v>144</v>
      </c>
      <c r="B29" s="115" t="s">
        <v>206</v>
      </c>
      <c r="C29" s="119">
        <f>42+15</f>
        <v>57</v>
      </c>
      <c r="D29" s="119"/>
      <c r="E29" s="119"/>
      <c r="F29" s="119"/>
      <c r="G29" s="119"/>
      <c r="H29" s="120"/>
      <c r="I29" s="119"/>
      <c r="J29" s="120">
        <f>C29/6</f>
        <v>9.5</v>
      </c>
      <c r="K29" s="119">
        <f>$J29</f>
        <v>9.5</v>
      </c>
      <c r="L29" s="119">
        <f t="shared" ref="L29:O29" si="19">$J29</f>
        <v>9.5</v>
      </c>
      <c r="M29" s="119">
        <f t="shared" si="19"/>
        <v>9.5</v>
      </c>
      <c r="N29" s="119">
        <f t="shared" si="19"/>
        <v>9.5</v>
      </c>
      <c r="O29" s="119">
        <f t="shared" si="19"/>
        <v>9.5</v>
      </c>
      <c r="P29" s="119">
        <f t="shared" si="2"/>
        <v>0</v>
      </c>
    </row>
    <row r="30" spans="1:16" x14ac:dyDescent="0.25">
      <c r="A30" s="118" t="s">
        <v>147</v>
      </c>
      <c r="B30" s="115" t="s">
        <v>205</v>
      </c>
      <c r="C30" s="119">
        <f>110+41</f>
        <v>151</v>
      </c>
      <c r="D30" s="119"/>
      <c r="E30" s="119"/>
      <c r="F30" s="119"/>
      <c r="G30" s="119"/>
      <c r="H30" s="119"/>
      <c r="I30" s="119">
        <f>C30/7</f>
        <v>21.571428571428573</v>
      </c>
      <c r="J30" s="119">
        <f>$I30</f>
        <v>21.571428571428573</v>
      </c>
      <c r="K30" s="119">
        <f t="shared" ref="K30:O30" si="20">$I30</f>
        <v>21.571428571428573</v>
      </c>
      <c r="L30" s="119">
        <f t="shared" si="20"/>
        <v>21.571428571428573</v>
      </c>
      <c r="M30" s="119">
        <f t="shared" si="20"/>
        <v>21.571428571428573</v>
      </c>
      <c r="N30" s="119">
        <f t="shared" si="20"/>
        <v>21.571428571428573</v>
      </c>
      <c r="O30" s="119">
        <f t="shared" si="20"/>
        <v>21.571428571428573</v>
      </c>
      <c r="P30" s="119">
        <f t="shared" si="2"/>
        <v>0</v>
      </c>
    </row>
    <row r="31" spans="1:16" x14ac:dyDescent="0.25">
      <c r="A31" s="118" t="s">
        <v>149</v>
      </c>
      <c r="B31" s="115" t="s">
        <v>210</v>
      </c>
      <c r="C31" s="119">
        <f>135+49</f>
        <v>184</v>
      </c>
      <c r="D31" s="119"/>
      <c r="E31" s="119"/>
      <c r="F31" s="119"/>
      <c r="G31" s="120">
        <f>C31/9</f>
        <v>20.444444444444443</v>
      </c>
      <c r="H31" s="119">
        <f>$G31</f>
        <v>20.444444444444443</v>
      </c>
      <c r="I31" s="119">
        <f t="shared" ref="I31:O31" si="21">$G31</f>
        <v>20.444444444444443</v>
      </c>
      <c r="J31" s="119">
        <f t="shared" si="21"/>
        <v>20.444444444444443</v>
      </c>
      <c r="K31" s="119">
        <f t="shared" si="21"/>
        <v>20.444444444444443</v>
      </c>
      <c r="L31" s="119">
        <f t="shared" si="21"/>
        <v>20.444444444444443</v>
      </c>
      <c r="M31" s="119">
        <f t="shared" si="21"/>
        <v>20.444444444444443</v>
      </c>
      <c r="N31" s="119">
        <f t="shared" si="21"/>
        <v>20.444444444444443</v>
      </c>
      <c r="O31" s="119">
        <f t="shared" si="21"/>
        <v>20.444444444444443</v>
      </c>
      <c r="P31" s="119">
        <f t="shared" si="2"/>
        <v>0</v>
      </c>
    </row>
    <row r="32" spans="1:16" ht="15" customHeight="1" x14ac:dyDescent="0.25">
      <c r="A32" s="118" t="s">
        <v>152</v>
      </c>
      <c r="B32" s="115" t="s">
        <v>215</v>
      </c>
      <c r="C32" s="119">
        <f>95+35</f>
        <v>130</v>
      </c>
      <c r="D32" s="119">
        <f t="shared" ref="D32:D34" si="22">C32/12</f>
        <v>10.833333333333334</v>
      </c>
      <c r="E32" s="119">
        <f t="shared" ref="E32:O34" si="23">$D32</f>
        <v>10.833333333333334</v>
      </c>
      <c r="F32" s="119">
        <f t="shared" si="23"/>
        <v>10.833333333333334</v>
      </c>
      <c r="G32" s="119">
        <f t="shared" si="23"/>
        <v>10.833333333333334</v>
      </c>
      <c r="H32" s="119">
        <f t="shared" si="23"/>
        <v>10.833333333333334</v>
      </c>
      <c r="I32" s="119">
        <f t="shared" si="23"/>
        <v>10.833333333333334</v>
      </c>
      <c r="J32" s="119">
        <f t="shared" si="23"/>
        <v>10.833333333333334</v>
      </c>
      <c r="K32" s="119">
        <f t="shared" si="23"/>
        <v>10.833333333333334</v>
      </c>
      <c r="L32" s="119">
        <f t="shared" si="23"/>
        <v>10.833333333333334</v>
      </c>
      <c r="M32" s="119">
        <f t="shared" si="23"/>
        <v>10.833333333333334</v>
      </c>
      <c r="N32" s="119">
        <f t="shared" si="23"/>
        <v>10.833333333333334</v>
      </c>
      <c r="O32" s="119">
        <f t="shared" si="23"/>
        <v>10.833333333333334</v>
      </c>
      <c r="P32" s="119">
        <f t="shared" si="2"/>
        <v>0</v>
      </c>
    </row>
    <row r="33" spans="1:16" x14ac:dyDescent="0.25">
      <c r="A33" s="118" t="s">
        <v>154</v>
      </c>
      <c r="B33" s="115" t="s">
        <v>215</v>
      </c>
      <c r="C33" s="119">
        <f>70+26</f>
        <v>96</v>
      </c>
      <c r="D33" s="119">
        <f t="shared" si="22"/>
        <v>8</v>
      </c>
      <c r="E33" s="119">
        <f t="shared" si="23"/>
        <v>8</v>
      </c>
      <c r="F33" s="119">
        <f t="shared" si="23"/>
        <v>8</v>
      </c>
      <c r="G33" s="119">
        <f t="shared" si="23"/>
        <v>8</v>
      </c>
      <c r="H33" s="119">
        <f t="shared" si="23"/>
        <v>8</v>
      </c>
      <c r="I33" s="119">
        <f t="shared" si="23"/>
        <v>8</v>
      </c>
      <c r="J33" s="119">
        <f t="shared" si="23"/>
        <v>8</v>
      </c>
      <c r="K33" s="119">
        <f t="shared" si="23"/>
        <v>8</v>
      </c>
      <c r="L33" s="119">
        <f t="shared" si="23"/>
        <v>8</v>
      </c>
      <c r="M33" s="119">
        <f t="shared" si="23"/>
        <v>8</v>
      </c>
      <c r="N33" s="119">
        <f t="shared" si="23"/>
        <v>8</v>
      </c>
      <c r="O33" s="119">
        <f t="shared" si="23"/>
        <v>8</v>
      </c>
      <c r="P33" s="119">
        <f t="shared" si="2"/>
        <v>0</v>
      </c>
    </row>
    <row r="34" spans="1:16" x14ac:dyDescent="0.25">
      <c r="A34" s="118" t="s">
        <v>155</v>
      </c>
      <c r="B34" s="115" t="s">
        <v>215</v>
      </c>
      <c r="C34" s="119">
        <f>48+18</f>
        <v>66</v>
      </c>
      <c r="D34" s="119">
        <f t="shared" si="22"/>
        <v>5.5</v>
      </c>
      <c r="E34" s="119">
        <f t="shared" si="23"/>
        <v>5.5</v>
      </c>
      <c r="F34" s="119">
        <f t="shared" si="23"/>
        <v>5.5</v>
      </c>
      <c r="G34" s="119">
        <f t="shared" si="23"/>
        <v>5.5</v>
      </c>
      <c r="H34" s="119">
        <f t="shared" si="23"/>
        <v>5.5</v>
      </c>
      <c r="I34" s="119">
        <f t="shared" si="23"/>
        <v>5.5</v>
      </c>
      <c r="J34" s="119">
        <f t="shared" si="23"/>
        <v>5.5</v>
      </c>
      <c r="K34" s="119">
        <f t="shared" si="23"/>
        <v>5.5</v>
      </c>
      <c r="L34" s="119">
        <f t="shared" si="23"/>
        <v>5.5</v>
      </c>
      <c r="M34" s="119">
        <f t="shared" si="23"/>
        <v>5.5</v>
      </c>
      <c r="N34" s="119">
        <f t="shared" si="23"/>
        <v>5.5</v>
      </c>
      <c r="O34" s="119">
        <f t="shared" si="23"/>
        <v>5.5</v>
      </c>
      <c r="P34" s="119">
        <f t="shared" si="2"/>
        <v>0</v>
      </c>
    </row>
    <row r="35" spans="1:16" x14ac:dyDescent="0.25">
      <c r="A35" s="118" t="s">
        <v>156</v>
      </c>
      <c r="B35" s="115" t="s">
        <v>212</v>
      </c>
      <c r="C35" s="119">
        <v>0</v>
      </c>
      <c r="D35" s="119"/>
      <c r="E35" s="119"/>
      <c r="F35" s="119"/>
      <c r="G35" s="119"/>
      <c r="H35" s="119"/>
      <c r="I35" s="119"/>
      <c r="J35" s="119"/>
      <c r="K35" s="119"/>
      <c r="L35" s="120">
        <f>C35/4</f>
        <v>0</v>
      </c>
      <c r="M35" s="119">
        <f>$L35</f>
        <v>0</v>
      </c>
      <c r="N35" s="119">
        <f t="shared" ref="N35:O36" si="24">$L35</f>
        <v>0</v>
      </c>
      <c r="O35" s="119">
        <f t="shared" si="24"/>
        <v>0</v>
      </c>
      <c r="P35" s="119">
        <f t="shared" si="2"/>
        <v>0</v>
      </c>
    </row>
    <row r="36" spans="1:16" x14ac:dyDescent="0.25">
      <c r="A36" s="118" t="s">
        <v>157</v>
      </c>
      <c r="B36" s="115" t="s">
        <v>212</v>
      </c>
      <c r="C36" s="119">
        <f>23+7</f>
        <v>30</v>
      </c>
      <c r="D36" s="119"/>
      <c r="E36" s="119"/>
      <c r="F36" s="119"/>
      <c r="G36" s="119"/>
      <c r="H36" s="119"/>
      <c r="I36" s="119"/>
      <c r="J36" s="119"/>
      <c r="K36" s="119"/>
      <c r="L36" s="120">
        <f>C36/4</f>
        <v>7.5</v>
      </c>
      <c r="M36" s="119">
        <f>$L36</f>
        <v>7.5</v>
      </c>
      <c r="N36" s="119">
        <f t="shared" si="24"/>
        <v>7.5</v>
      </c>
      <c r="O36" s="119">
        <f t="shared" si="24"/>
        <v>7.5</v>
      </c>
      <c r="P36" s="119">
        <f t="shared" si="2"/>
        <v>0</v>
      </c>
    </row>
    <row r="37" spans="1:16" x14ac:dyDescent="0.25">
      <c r="A37" s="118" t="s">
        <v>159</v>
      </c>
      <c r="B37" s="115" t="s">
        <v>215</v>
      </c>
      <c r="C37" s="119">
        <f>-2704-984</f>
        <v>-3688</v>
      </c>
      <c r="D37" s="119">
        <f t="shared" ref="D37:D39" si="25">C37/12</f>
        <v>-307.33333333333331</v>
      </c>
      <c r="E37" s="119">
        <f t="shared" ref="E37:O39" si="26">$D37</f>
        <v>-307.33333333333331</v>
      </c>
      <c r="F37" s="119">
        <f t="shared" si="26"/>
        <v>-307.33333333333331</v>
      </c>
      <c r="G37" s="119">
        <f t="shared" si="26"/>
        <v>-307.33333333333331</v>
      </c>
      <c r="H37" s="119">
        <f t="shared" si="26"/>
        <v>-307.33333333333331</v>
      </c>
      <c r="I37" s="119">
        <f t="shared" si="26"/>
        <v>-307.33333333333331</v>
      </c>
      <c r="J37" s="119">
        <f t="shared" si="26"/>
        <v>-307.33333333333331</v>
      </c>
      <c r="K37" s="119">
        <f t="shared" si="26"/>
        <v>-307.33333333333331</v>
      </c>
      <c r="L37" s="119">
        <f t="shared" si="26"/>
        <v>-307.33333333333331</v>
      </c>
      <c r="M37" s="119">
        <f t="shared" si="26"/>
        <v>-307.33333333333331</v>
      </c>
      <c r="N37" s="119">
        <f t="shared" si="26"/>
        <v>-307.33333333333331</v>
      </c>
      <c r="O37" s="119">
        <f t="shared" si="26"/>
        <v>-307.33333333333331</v>
      </c>
      <c r="P37" s="119">
        <f t="shared" si="2"/>
        <v>0</v>
      </c>
    </row>
    <row r="38" spans="1:16" x14ac:dyDescent="0.25">
      <c r="A38" s="118" t="s">
        <v>161</v>
      </c>
      <c r="B38" s="115" t="s">
        <v>215</v>
      </c>
      <c r="C38" s="119">
        <f>158+101</f>
        <v>259</v>
      </c>
      <c r="D38" s="119">
        <f t="shared" si="25"/>
        <v>21.583333333333332</v>
      </c>
      <c r="E38" s="119">
        <f t="shared" si="26"/>
        <v>21.583333333333332</v>
      </c>
      <c r="F38" s="119">
        <f t="shared" si="26"/>
        <v>21.583333333333332</v>
      </c>
      <c r="G38" s="119">
        <f t="shared" si="26"/>
        <v>21.583333333333332</v>
      </c>
      <c r="H38" s="119">
        <f t="shared" si="26"/>
        <v>21.583333333333332</v>
      </c>
      <c r="I38" s="119">
        <f t="shared" si="26"/>
        <v>21.583333333333332</v>
      </c>
      <c r="J38" s="119">
        <f t="shared" si="26"/>
        <v>21.583333333333332</v>
      </c>
      <c r="K38" s="119">
        <f t="shared" si="26"/>
        <v>21.583333333333332</v>
      </c>
      <c r="L38" s="119">
        <f t="shared" si="26"/>
        <v>21.583333333333332</v>
      </c>
      <c r="M38" s="119">
        <f t="shared" si="26"/>
        <v>21.583333333333332</v>
      </c>
      <c r="N38" s="119">
        <f t="shared" si="26"/>
        <v>21.583333333333332</v>
      </c>
      <c r="O38" s="119">
        <f t="shared" si="26"/>
        <v>21.583333333333332</v>
      </c>
      <c r="P38" s="119">
        <f t="shared" si="2"/>
        <v>0</v>
      </c>
    </row>
    <row r="39" spans="1:16" x14ac:dyDescent="0.25">
      <c r="A39" s="118" t="s">
        <v>163</v>
      </c>
      <c r="B39" s="115" t="s">
        <v>215</v>
      </c>
      <c r="C39" s="119">
        <f>163+104</f>
        <v>267</v>
      </c>
      <c r="D39" s="119">
        <f t="shared" si="25"/>
        <v>22.25</v>
      </c>
      <c r="E39" s="119">
        <f t="shared" si="26"/>
        <v>22.25</v>
      </c>
      <c r="F39" s="119">
        <f t="shared" si="26"/>
        <v>22.25</v>
      </c>
      <c r="G39" s="119">
        <f t="shared" si="26"/>
        <v>22.25</v>
      </c>
      <c r="H39" s="119">
        <f t="shared" si="26"/>
        <v>22.25</v>
      </c>
      <c r="I39" s="119">
        <f t="shared" si="26"/>
        <v>22.25</v>
      </c>
      <c r="J39" s="119">
        <f t="shared" si="26"/>
        <v>22.25</v>
      </c>
      <c r="K39" s="119">
        <f t="shared" si="26"/>
        <v>22.25</v>
      </c>
      <c r="L39" s="119">
        <f t="shared" si="26"/>
        <v>22.25</v>
      </c>
      <c r="M39" s="119">
        <f t="shared" si="26"/>
        <v>22.25</v>
      </c>
      <c r="N39" s="119">
        <f t="shared" si="26"/>
        <v>22.25</v>
      </c>
      <c r="O39" s="119">
        <f t="shared" si="26"/>
        <v>22.25</v>
      </c>
      <c r="P39" s="119">
        <f t="shared" si="2"/>
        <v>0</v>
      </c>
    </row>
    <row r="40" spans="1:16" x14ac:dyDescent="0.25">
      <c r="A40" s="118" t="s">
        <v>163</v>
      </c>
      <c r="B40" s="115" t="s">
        <v>211</v>
      </c>
      <c r="C40" s="119">
        <f>109+70</f>
        <v>179</v>
      </c>
      <c r="D40" s="119"/>
      <c r="E40" s="119"/>
      <c r="F40" s="119"/>
      <c r="G40" s="119"/>
      <c r="H40" s="119"/>
      <c r="I40" s="119"/>
      <c r="J40" s="119"/>
      <c r="K40" s="120">
        <f>C40/5</f>
        <v>35.799999999999997</v>
      </c>
      <c r="L40" s="119">
        <f>$K40</f>
        <v>35.799999999999997</v>
      </c>
      <c r="M40" s="119">
        <f t="shared" ref="M40:O40" si="27">$K40</f>
        <v>35.799999999999997</v>
      </c>
      <c r="N40" s="119">
        <f t="shared" si="27"/>
        <v>35.799999999999997</v>
      </c>
      <c r="O40" s="119">
        <f t="shared" si="27"/>
        <v>35.799999999999997</v>
      </c>
      <c r="P40" s="119">
        <f t="shared" si="2"/>
        <v>0</v>
      </c>
    </row>
    <row r="41" spans="1:16" x14ac:dyDescent="0.25">
      <c r="A41" s="118" t="s">
        <v>216</v>
      </c>
      <c r="B41" s="115" t="s">
        <v>206</v>
      </c>
      <c r="C41" s="146">
        <f>54+20</f>
        <v>74</v>
      </c>
      <c r="D41" s="119"/>
      <c r="E41" s="119"/>
      <c r="F41" s="119"/>
      <c r="G41" s="119"/>
      <c r="H41" s="120">
        <f t="shared" ref="H41:H42" si="28">C41/8</f>
        <v>9.25</v>
      </c>
      <c r="I41" s="119">
        <f t="shared" ref="I41:O42" si="29">$H41</f>
        <v>9.25</v>
      </c>
      <c r="J41" s="119">
        <f t="shared" si="29"/>
        <v>9.25</v>
      </c>
      <c r="K41" s="119">
        <f t="shared" si="29"/>
        <v>9.25</v>
      </c>
      <c r="L41" s="119">
        <f t="shared" si="29"/>
        <v>9.25</v>
      </c>
      <c r="M41" s="119">
        <f t="shared" si="29"/>
        <v>9.25</v>
      </c>
      <c r="N41" s="119">
        <f t="shared" si="29"/>
        <v>9.25</v>
      </c>
      <c r="O41" s="119">
        <f t="shared" si="29"/>
        <v>9.25</v>
      </c>
      <c r="P41" s="119">
        <f t="shared" si="2"/>
        <v>0</v>
      </c>
    </row>
    <row r="42" spans="1:16" x14ac:dyDescent="0.25">
      <c r="A42" s="118" t="s">
        <v>217</v>
      </c>
      <c r="B42" s="115" t="s">
        <v>206</v>
      </c>
      <c r="C42" s="146">
        <f>32+12</f>
        <v>44</v>
      </c>
      <c r="D42" s="119"/>
      <c r="E42" s="119"/>
      <c r="F42" s="119"/>
      <c r="G42" s="119"/>
      <c r="H42" s="120">
        <f t="shared" si="28"/>
        <v>5.5</v>
      </c>
      <c r="I42" s="119">
        <f t="shared" si="29"/>
        <v>5.5</v>
      </c>
      <c r="J42" s="119">
        <f t="shared" si="29"/>
        <v>5.5</v>
      </c>
      <c r="K42" s="119">
        <f t="shared" si="29"/>
        <v>5.5</v>
      </c>
      <c r="L42" s="119">
        <f t="shared" si="29"/>
        <v>5.5</v>
      </c>
      <c r="M42" s="119">
        <f t="shared" si="29"/>
        <v>5.5</v>
      </c>
      <c r="N42" s="119">
        <f t="shared" si="29"/>
        <v>5.5</v>
      </c>
      <c r="O42" s="119">
        <f t="shared" si="29"/>
        <v>5.5</v>
      </c>
      <c r="P42" s="119">
        <f t="shared" si="2"/>
        <v>0</v>
      </c>
    </row>
    <row r="43" spans="1:16" x14ac:dyDescent="0.25">
      <c r="A43" s="118" t="s">
        <v>218</v>
      </c>
      <c r="B43" s="115" t="s">
        <v>210</v>
      </c>
      <c r="C43" s="146">
        <f>78+29</f>
        <v>107</v>
      </c>
      <c r="D43" s="119"/>
      <c r="E43" s="119"/>
      <c r="F43" s="119"/>
      <c r="G43" s="120">
        <f>C43/9</f>
        <v>11.888888888888889</v>
      </c>
      <c r="H43" s="119">
        <f>$G43</f>
        <v>11.888888888888889</v>
      </c>
      <c r="I43" s="119">
        <f t="shared" ref="I43:O43" si="30">$G43</f>
        <v>11.888888888888889</v>
      </c>
      <c r="J43" s="119">
        <f t="shared" si="30"/>
        <v>11.888888888888889</v>
      </c>
      <c r="K43" s="119">
        <f t="shared" si="30"/>
        <v>11.888888888888889</v>
      </c>
      <c r="L43" s="119">
        <f t="shared" si="30"/>
        <v>11.888888888888889</v>
      </c>
      <c r="M43" s="119">
        <f t="shared" si="30"/>
        <v>11.888888888888889</v>
      </c>
      <c r="N43" s="119">
        <f t="shared" si="30"/>
        <v>11.888888888888889</v>
      </c>
      <c r="O43" s="119">
        <f t="shared" si="30"/>
        <v>11.888888888888889</v>
      </c>
      <c r="P43" s="119">
        <f t="shared" si="2"/>
        <v>0</v>
      </c>
    </row>
    <row r="44" spans="1:16" x14ac:dyDescent="0.25">
      <c r="A44" s="118" t="s">
        <v>219</v>
      </c>
      <c r="B44" s="115" t="s">
        <v>209</v>
      </c>
      <c r="C44" s="146">
        <f>136+49</f>
        <v>185</v>
      </c>
      <c r="D44" s="119"/>
      <c r="E44" s="119"/>
      <c r="F44" s="119"/>
      <c r="G44" s="119"/>
      <c r="H44" s="119"/>
      <c r="I44" s="119"/>
      <c r="J44" s="120">
        <f>C44/6</f>
        <v>30.833333333333332</v>
      </c>
      <c r="K44" s="119">
        <f>$J44</f>
        <v>30.833333333333332</v>
      </c>
      <c r="L44" s="119">
        <f t="shared" ref="L44:O44" si="31">$J44</f>
        <v>30.833333333333332</v>
      </c>
      <c r="M44" s="119">
        <f t="shared" si="31"/>
        <v>30.833333333333332</v>
      </c>
      <c r="N44" s="119">
        <f t="shared" si="31"/>
        <v>30.833333333333332</v>
      </c>
      <c r="O44" s="119">
        <f t="shared" si="31"/>
        <v>30.833333333333332</v>
      </c>
      <c r="P44" s="119">
        <f t="shared" si="2"/>
        <v>0</v>
      </c>
    </row>
    <row r="45" spans="1:16" x14ac:dyDescent="0.25">
      <c r="A45" s="118" t="s">
        <v>176</v>
      </c>
      <c r="B45" s="115" t="s">
        <v>215</v>
      </c>
      <c r="C45" s="119">
        <v>0</v>
      </c>
      <c r="D45" s="119">
        <f>C45/12</f>
        <v>0</v>
      </c>
      <c r="E45" s="119">
        <f>$D45</f>
        <v>0</v>
      </c>
      <c r="F45" s="119">
        <f t="shared" ref="F45:O46" si="32">$D45</f>
        <v>0</v>
      </c>
      <c r="G45" s="119">
        <f t="shared" si="32"/>
        <v>0</v>
      </c>
      <c r="H45" s="119">
        <f t="shared" si="32"/>
        <v>0</v>
      </c>
      <c r="I45" s="119">
        <f t="shared" si="32"/>
        <v>0</v>
      </c>
      <c r="J45" s="119">
        <f t="shared" si="32"/>
        <v>0</v>
      </c>
      <c r="K45" s="119">
        <f t="shared" si="32"/>
        <v>0</v>
      </c>
      <c r="L45" s="119">
        <f t="shared" si="32"/>
        <v>0</v>
      </c>
      <c r="M45" s="119">
        <f t="shared" si="32"/>
        <v>0</v>
      </c>
      <c r="N45" s="119">
        <f t="shared" si="32"/>
        <v>0</v>
      </c>
      <c r="O45" s="119">
        <f t="shared" si="32"/>
        <v>0</v>
      </c>
      <c r="P45" s="119">
        <f t="shared" si="2"/>
        <v>0</v>
      </c>
    </row>
    <row r="46" spans="1:16" x14ac:dyDescent="0.25">
      <c r="A46" s="78" t="s">
        <v>170</v>
      </c>
      <c r="B46" s="115" t="s">
        <v>215</v>
      </c>
      <c r="C46" s="119">
        <v>35</v>
      </c>
      <c r="D46" s="119">
        <f>C46/12</f>
        <v>2.9166666666666665</v>
      </c>
      <c r="E46" s="119">
        <f>$D46</f>
        <v>2.9166666666666665</v>
      </c>
      <c r="F46" s="119">
        <f t="shared" si="32"/>
        <v>2.9166666666666665</v>
      </c>
      <c r="G46" s="119">
        <f t="shared" si="32"/>
        <v>2.9166666666666665</v>
      </c>
      <c r="H46" s="119">
        <f t="shared" si="32"/>
        <v>2.9166666666666665</v>
      </c>
      <c r="I46" s="119">
        <f t="shared" si="32"/>
        <v>2.9166666666666665</v>
      </c>
      <c r="J46" s="119">
        <f t="shared" si="32"/>
        <v>2.9166666666666665</v>
      </c>
      <c r="K46" s="119">
        <f t="shared" si="32"/>
        <v>2.9166666666666665</v>
      </c>
      <c r="L46" s="119">
        <f t="shared" si="32"/>
        <v>2.9166666666666665</v>
      </c>
      <c r="M46" s="119">
        <f t="shared" si="32"/>
        <v>2.9166666666666665</v>
      </c>
      <c r="N46" s="119">
        <f t="shared" si="32"/>
        <v>2.9166666666666665</v>
      </c>
      <c r="O46" s="119">
        <f t="shared" si="32"/>
        <v>2.9166666666666665</v>
      </c>
      <c r="P46" s="119">
        <f t="shared" si="2"/>
        <v>0</v>
      </c>
    </row>
    <row r="47" spans="1:16" ht="15.75" thickBot="1" x14ac:dyDescent="0.3">
      <c r="C47" s="116">
        <f>SUM(C5:C46)</f>
        <v>183232.67188499999</v>
      </c>
      <c r="D47" s="125">
        <f>SUM(D5:D46)</f>
        <v>15130.13932375</v>
      </c>
      <c r="E47" s="125">
        <f t="shared" ref="E47:O47" si="33">SUM(E5:E46)</f>
        <v>15130.13932375</v>
      </c>
      <c r="F47" s="125">
        <f t="shared" si="33"/>
        <v>15141.63932375</v>
      </c>
      <c r="G47" s="125">
        <f t="shared" si="33"/>
        <v>15173.972657083334</v>
      </c>
      <c r="H47" s="125">
        <f t="shared" si="33"/>
        <v>15209.972657083334</v>
      </c>
      <c r="I47" s="125">
        <f t="shared" si="33"/>
        <v>15246.115514226192</v>
      </c>
      <c r="J47" s="125">
        <f t="shared" si="33"/>
        <v>15320.115514226192</v>
      </c>
      <c r="K47" s="125">
        <f t="shared" si="33"/>
        <v>15370.115514226192</v>
      </c>
      <c r="L47" s="125">
        <f t="shared" si="33"/>
        <v>15377.615514226192</v>
      </c>
      <c r="M47" s="125">
        <f t="shared" si="33"/>
        <v>15377.615514226192</v>
      </c>
      <c r="N47" s="125">
        <f t="shared" si="33"/>
        <v>15377.615514226192</v>
      </c>
      <c r="O47" s="125">
        <f t="shared" si="33"/>
        <v>15377.615514226192</v>
      </c>
      <c r="P47" s="119"/>
    </row>
    <row r="48" spans="1:16" x14ac:dyDescent="0.25">
      <c r="C48" s="119"/>
      <c r="D48" s="119"/>
      <c r="E48" s="119"/>
      <c r="F48" s="119"/>
      <c r="G48" s="119"/>
      <c r="H48" s="119"/>
      <c r="I48" s="119"/>
      <c r="J48" s="119"/>
      <c r="K48" s="119"/>
      <c r="L48" s="119"/>
      <c r="M48" s="119"/>
      <c r="N48" s="119"/>
      <c r="O48" s="119"/>
      <c r="P48" s="119"/>
    </row>
    <row r="49" spans="3:16" x14ac:dyDescent="0.25">
      <c r="C49" s="119"/>
      <c r="D49" s="122">
        <f>D47/$C$47</f>
        <v>8.2573370611797536E-2</v>
      </c>
      <c r="E49" s="122">
        <f t="shared" ref="E49:O49" si="34">E47/$C$47</f>
        <v>8.2573370611797536E-2</v>
      </c>
      <c r="F49" s="122">
        <f t="shared" si="34"/>
        <v>8.2636132344635321E-2</v>
      </c>
      <c r="G49" s="122">
        <f t="shared" si="34"/>
        <v>8.2812592868845916E-2</v>
      </c>
      <c r="H49" s="122">
        <f t="shared" si="34"/>
        <v>8.3009064380338116E-2</v>
      </c>
      <c r="I49" s="122">
        <f t="shared" si="34"/>
        <v>8.3206315540685444E-2</v>
      </c>
      <c r="J49" s="122">
        <f t="shared" si="34"/>
        <v>8.3610173647641631E-2</v>
      </c>
      <c r="K49" s="122">
        <f t="shared" si="34"/>
        <v>8.3883050746936361E-2</v>
      </c>
      <c r="L49" s="122">
        <f t="shared" si="34"/>
        <v>8.3923982311830569E-2</v>
      </c>
      <c r="M49" s="122">
        <f t="shared" si="34"/>
        <v>8.3923982311830569E-2</v>
      </c>
      <c r="N49" s="122">
        <f t="shared" si="34"/>
        <v>8.3923982311830569E-2</v>
      </c>
      <c r="O49" s="122">
        <f t="shared" si="34"/>
        <v>8.3923982311830569E-2</v>
      </c>
      <c r="P49" s="119"/>
    </row>
    <row r="50" spans="3:16" x14ac:dyDescent="0.25">
      <c r="C50" s="119"/>
      <c r="D50" s="119"/>
      <c r="E50" s="119"/>
      <c r="F50" s="119"/>
      <c r="G50" s="119"/>
      <c r="H50" s="119"/>
      <c r="I50" s="119"/>
      <c r="J50" s="119"/>
      <c r="K50" s="119"/>
      <c r="L50" s="119"/>
      <c r="M50" s="119"/>
      <c r="N50" s="119"/>
      <c r="O50" s="119"/>
      <c r="P50" s="119"/>
    </row>
    <row r="51" spans="3:16" x14ac:dyDescent="0.25">
      <c r="C51" s="119">
        <f>'[1]G2-12 to 19 Supplement FI'!$Y$102</f>
        <v>183232.67188499996</v>
      </c>
      <c r="D51" s="119"/>
      <c r="E51" s="119"/>
      <c r="F51" s="119"/>
      <c r="G51" s="119"/>
      <c r="H51" s="119"/>
      <c r="I51" s="119"/>
      <c r="J51" s="119"/>
      <c r="K51" s="119"/>
      <c r="L51" s="119"/>
      <c r="M51" s="119"/>
      <c r="N51" s="119"/>
      <c r="O51" s="119"/>
      <c r="P51" s="119"/>
    </row>
    <row r="52" spans="3:16" x14ac:dyDescent="0.25">
      <c r="C52" s="119">
        <f>C47-C51</f>
        <v>0</v>
      </c>
      <c r="D52" s="119"/>
      <c r="E52" s="119"/>
      <c r="F52" s="119"/>
      <c r="G52" s="119"/>
      <c r="H52" s="119"/>
      <c r="I52" s="119"/>
      <c r="J52" s="119"/>
      <c r="K52" s="119"/>
      <c r="L52" s="119"/>
      <c r="M52" s="119"/>
      <c r="N52" s="119"/>
      <c r="O52" s="119"/>
      <c r="P52" s="119"/>
    </row>
    <row r="53" spans="3:16" x14ac:dyDescent="0.25">
      <c r="C53" s="119"/>
      <c r="D53" s="119"/>
      <c r="E53" s="119"/>
      <c r="F53" s="119"/>
      <c r="G53" s="119"/>
      <c r="H53" s="119"/>
      <c r="I53" s="119"/>
      <c r="J53" s="119"/>
      <c r="K53" s="119"/>
      <c r="L53" s="119"/>
      <c r="M53" s="119"/>
      <c r="N53" s="119"/>
      <c r="O53" s="119"/>
      <c r="P53" s="119"/>
    </row>
    <row r="54" spans="3:16" x14ac:dyDescent="0.25">
      <c r="C54" s="119"/>
      <c r="D54" s="119"/>
      <c r="E54" s="119"/>
      <c r="F54" s="119"/>
      <c r="G54" s="119"/>
      <c r="H54" s="119"/>
      <c r="I54" s="119"/>
      <c r="J54" s="119"/>
      <c r="K54" s="119"/>
      <c r="L54" s="119"/>
      <c r="M54" s="119"/>
      <c r="N54" s="119"/>
      <c r="O54" s="119"/>
      <c r="P54" s="119"/>
    </row>
    <row r="55" spans="3:16" x14ac:dyDescent="0.25">
      <c r="C55" s="119"/>
      <c r="D55" s="119"/>
      <c r="E55" s="119"/>
      <c r="F55" s="119"/>
      <c r="G55" s="119"/>
      <c r="H55" s="119"/>
      <c r="I55" s="119"/>
      <c r="J55" s="119"/>
      <c r="K55" s="119"/>
      <c r="L55" s="119"/>
      <c r="M55" s="119"/>
      <c r="N55" s="119"/>
      <c r="O55" s="119"/>
      <c r="P55" s="119"/>
    </row>
    <row r="56" spans="3:16" x14ac:dyDescent="0.25">
      <c r="C56" s="119"/>
      <c r="D56" s="119"/>
      <c r="E56" s="119"/>
      <c r="F56" s="119"/>
      <c r="G56" s="119"/>
      <c r="H56" s="119"/>
      <c r="I56" s="119"/>
      <c r="J56" s="119"/>
      <c r="K56" s="119"/>
      <c r="L56" s="119"/>
      <c r="M56" s="119"/>
      <c r="N56" s="119"/>
      <c r="O56" s="119"/>
      <c r="P56" s="119"/>
    </row>
    <row r="57" spans="3:16" x14ac:dyDescent="0.25">
      <c r="C57" s="119"/>
      <c r="D57" s="119"/>
      <c r="E57" s="119"/>
      <c r="F57" s="119"/>
      <c r="G57" s="119"/>
      <c r="H57" s="119"/>
      <c r="I57" s="119"/>
      <c r="J57" s="119"/>
      <c r="K57" s="119"/>
      <c r="L57" s="119"/>
      <c r="M57" s="119"/>
      <c r="N57" s="119"/>
      <c r="O57" s="119"/>
      <c r="P57" s="119"/>
    </row>
    <row r="58" spans="3:16" x14ac:dyDescent="0.25">
      <c r="C58" s="119"/>
      <c r="D58" s="119"/>
      <c r="E58" s="119"/>
      <c r="F58" s="119"/>
      <c r="G58" s="119"/>
      <c r="H58" s="119"/>
      <c r="I58" s="119"/>
      <c r="J58" s="119"/>
      <c r="K58" s="119"/>
      <c r="L58" s="119"/>
      <c r="M58" s="119"/>
      <c r="N58" s="119"/>
      <c r="O58" s="119"/>
      <c r="P58" s="119"/>
    </row>
    <row r="59" spans="3:16" x14ac:dyDescent="0.25">
      <c r="C59" s="119"/>
      <c r="D59" s="119"/>
      <c r="E59" s="119"/>
      <c r="F59" s="119"/>
      <c r="G59" s="119"/>
      <c r="H59" s="119"/>
      <c r="I59" s="119"/>
      <c r="J59" s="119"/>
      <c r="K59" s="119"/>
      <c r="L59" s="119"/>
      <c r="M59" s="119"/>
      <c r="N59" s="119"/>
      <c r="O59" s="119"/>
      <c r="P59" s="119"/>
    </row>
    <row r="60" spans="3:16" x14ac:dyDescent="0.25">
      <c r="C60" s="119"/>
      <c r="D60" s="119"/>
      <c r="E60" s="119"/>
      <c r="F60" s="119"/>
      <c r="G60" s="119"/>
      <c r="H60" s="119"/>
      <c r="I60" s="119"/>
      <c r="J60" s="119"/>
      <c r="K60" s="119"/>
      <c r="L60" s="119"/>
      <c r="M60" s="119"/>
      <c r="N60" s="119"/>
      <c r="O60" s="119"/>
      <c r="P60" s="119"/>
    </row>
    <row r="61" spans="3:16" x14ac:dyDescent="0.25">
      <c r="C61" s="119"/>
      <c r="D61" s="119"/>
      <c r="E61" s="119"/>
      <c r="F61" s="119"/>
      <c r="G61" s="119"/>
      <c r="H61" s="119"/>
      <c r="I61" s="119"/>
      <c r="J61" s="119"/>
      <c r="K61" s="119"/>
      <c r="L61" s="119"/>
      <c r="M61" s="119"/>
      <c r="N61" s="119"/>
      <c r="O61" s="119"/>
      <c r="P61" s="119"/>
    </row>
    <row r="62" spans="3:16" x14ac:dyDescent="0.25">
      <c r="C62" s="119"/>
      <c r="D62" s="119"/>
      <c r="E62" s="119"/>
      <c r="F62" s="119"/>
      <c r="G62" s="119"/>
      <c r="H62" s="119"/>
      <c r="I62" s="119"/>
      <c r="J62" s="119"/>
      <c r="K62" s="119"/>
      <c r="L62" s="119"/>
      <c r="M62" s="119"/>
      <c r="N62" s="119"/>
      <c r="O62" s="119"/>
      <c r="P62" s="119"/>
    </row>
    <row r="63" spans="3:16" x14ac:dyDescent="0.25">
      <c r="C63" s="119"/>
      <c r="D63" s="119"/>
      <c r="E63" s="119"/>
      <c r="F63" s="119"/>
      <c r="G63" s="119"/>
      <c r="H63" s="119"/>
      <c r="I63" s="119"/>
      <c r="J63" s="119"/>
      <c r="K63" s="119"/>
      <c r="L63" s="119"/>
      <c r="M63" s="119"/>
      <c r="N63" s="119"/>
      <c r="O63" s="119"/>
      <c r="P63" s="119"/>
    </row>
    <row r="64" spans="3:16" x14ac:dyDescent="0.25">
      <c r="C64" s="119"/>
      <c r="D64" s="119"/>
      <c r="E64" s="119"/>
      <c r="F64" s="119"/>
      <c r="G64" s="119"/>
      <c r="H64" s="119"/>
      <c r="I64" s="119"/>
      <c r="J64" s="119"/>
      <c r="K64" s="119"/>
      <c r="L64" s="119"/>
      <c r="M64" s="119"/>
      <c r="N64" s="119"/>
      <c r="O64" s="119"/>
      <c r="P64" s="119"/>
    </row>
    <row r="65" spans="3:16" x14ac:dyDescent="0.25">
      <c r="C65" s="119"/>
      <c r="D65" s="119"/>
      <c r="E65" s="119"/>
      <c r="F65" s="119"/>
      <c r="G65" s="119"/>
      <c r="H65" s="119"/>
      <c r="I65" s="119"/>
      <c r="J65" s="119"/>
      <c r="K65" s="119"/>
      <c r="L65" s="119"/>
      <c r="M65" s="119"/>
      <c r="N65" s="119"/>
      <c r="O65" s="119"/>
      <c r="P65" s="119"/>
    </row>
    <row r="66" spans="3:16" x14ac:dyDescent="0.25">
      <c r="C66" s="119"/>
      <c r="D66" s="119"/>
      <c r="E66" s="119"/>
      <c r="F66" s="119"/>
      <c r="G66" s="119"/>
      <c r="H66" s="119"/>
      <c r="I66" s="119"/>
      <c r="J66" s="119"/>
      <c r="K66" s="119"/>
      <c r="L66" s="119"/>
      <c r="M66" s="119"/>
      <c r="N66" s="119"/>
      <c r="O66" s="119"/>
      <c r="P66" s="119"/>
    </row>
    <row r="67" spans="3:16" x14ac:dyDescent="0.25">
      <c r="C67" s="119"/>
      <c r="D67" s="119"/>
      <c r="E67" s="119"/>
      <c r="F67" s="119"/>
      <c r="G67" s="119"/>
      <c r="H67" s="119"/>
      <c r="I67" s="119"/>
      <c r="J67" s="119"/>
      <c r="K67" s="119"/>
      <c r="L67" s="119"/>
      <c r="M67" s="119"/>
      <c r="N67" s="119"/>
      <c r="O67" s="119"/>
      <c r="P67" s="119"/>
    </row>
    <row r="68" spans="3:16" x14ac:dyDescent="0.25">
      <c r="C68" s="119"/>
      <c r="D68" s="119"/>
      <c r="E68" s="119"/>
      <c r="F68" s="119"/>
      <c r="G68" s="119"/>
      <c r="H68" s="119"/>
      <c r="I68" s="119"/>
      <c r="J68" s="119"/>
      <c r="K68" s="119"/>
      <c r="L68" s="119"/>
      <c r="M68" s="119"/>
      <c r="N68" s="119"/>
      <c r="O68" s="119"/>
      <c r="P68" s="119"/>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zoomScale="80" zoomScaleNormal="80" workbookViewId="0">
      <pane xSplit="3" ySplit="4" topLeftCell="D29" activePane="bottomRight" state="frozen"/>
      <selection pane="topRight" activeCell="D1" sqref="D1"/>
      <selection pane="bottomLeft" activeCell="A5" sqref="A5"/>
      <selection pane="bottomRight" activeCell="D47" sqref="D47:O47"/>
    </sheetView>
  </sheetViews>
  <sheetFormatPr defaultRowHeight="15" x14ac:dyDescent="0.25"/>
  <cols>
    <col min="1" max="1" width="48.28515625" style="118" customWidth="1"/>
    <col min="2" max="2" width="16.85546875" style="118" customWidth="1"/>
    <col min="3" max="3" width="19.140625" style="118" customWidth="1"/>
    <col min="4" max="15" width="16.140625" style="118" customWidth="1"/>
    <col min="16" max="16" width="13.140625" style="118" customWidth="1"/>
    <col min="17" max="16384" width="9.140625" style="118"/>
  </cols>
  <sheetData>
    <row r="1" spans="1:16" x14ac:dyDescent="0.25">
      <c r="A1" s="148" t="s">
        <v>0</v>
      </c>
    </row>
    <row r="2" spans="1:16" x14ac:dyDescent="0.25">
      <c r="A2" s="148" t="s">
        <v>236</v>
      </c>
    </row>
    <row r="4" spans="1:16" x14ac:dyDescent="0.25">
      <c r="D4" s="117" t="s">
        <v>1</v>
      </c>
      <c r="E4" s="117" t="s">
        <v>2</v>
      </c>
      <c r="F4" s="117" t="s">
        <v>3</v>
      </c>
      <c r="G4" s="117" t="s">
        <v>4</v>
      </c>
      <c r="H4" s="117" t="s">
        <v>5</v>
      </c>
      <c r="I4" s="117" t="s">
        <v>6</v>
      </c>
      <c r="J4" s="117" t="s">
        <v>7</v>
      </c>
      <c r="K4" s="117" t="s">
        <v>8</v>
      </c>
      <c r="L4" s="117" t="s">
        <v>9</v>
      </c>
      <c r="M4" s="117" t="s">
        <v>10</v>
      </c>
      <c r="N4" s="117" t="s">
        <v>11</v>
      </c>
      <c r="O4" s="117" t="s">
        <v>12</v>
      </c>
    </row>
    <row r="5" spans="1:16" x14ac:dyDescent="0.25">
      <c r="A5" s="118" t="s">
        <v>13</v>
      </c>
      <c r="C5" s="119">
        <f>'[1]Pages 12 to 19 Supplement FT'!$P$102</f>
        <v>54763.241295999993</v>
      </c>
      <c r="D5" s="119">
        <f>C5/12</f>
        <v>4563.6034413333327</v>
      </c>
      <c r="E5" s="119">
        <f>$D5</f>
        <v>4563.6034413333327</v>
      </c>
      <c r="F5" s="119">
        <f t="shared" ref="F5:O5" si="0">$D5</f>
        <v>4563.6034413333327</v>
      </c>
      <c r="G5" s="119">
        <f t="shared" si="0"/>
        <v>4563.6034413333327</v>
      </c>
      <c r="H5" s="119">
        <f t="shared" si="0"/>
        <v>4563.6034413333327</v>
      </c>
      <c r="I5" s="119">
        <f t="shared" si="0"/>
        <v>4563.6034413333327</v>
      </c>
      <c r="J5" s="119">
        <f t="shared" si="0"/>
        <v>4563.6034413333327</v>
      </c>
      <c r="K5" s="119">
        <f t="shared" si="0"/>
        <v>4563.6034413333327</v>
      </c>
      <c r="L5" s="119">
        <f t="shared" si="0"/>
        <v>4563.6034413333327</v>
      </c>
      <c r="M5" s="119">
        <f t="shared" si="0"/>
        <v>4563.6034413333327</v>
      </c>
      <c r="N5" s="119">
        <f t="shared" si="0"/>
        <v>4563.6034413333327</v>
      </c>
      <c r="O5" s="119">
        <f t="shared" si="0"/>
        <v>4563.6034413333327</v>
      </c>
      <c r="P5" s="119">
        <f>C5-SUM(D5:O5)</f>
        <v>0</v>
      </c>
    </row>
    <row r="6" spans="1:16" x14ac:dyDescent="0.25">
      <c r="A6" s="118" t="s">
        <v>14</v>
      </c>
      <c r="C6" s="119">
        <f>'[1]Pages 12 to 19 Supplement FT'!$V$102</f>
        <v>113342.055297</v>
      </c>
      <c r="D6" s="119">
        <f>C6/12</f>
        <v>9445.1712747500005</v>
      </c>
      <c r="E6" s="119">
        <f>$D$6</f>
        <v>9445.1712747500005</v>
      </c>
      <c r="F6" s="119">
        <f t="shared" ref="F6:O6" si="1">$D$6</f>
        <v>9445.1712747500005</v>
      </c>
      <c r="G6" s="119">
        <f t="shared" si="1"/>
        <v>9445.1712747500005</v>
      </c>
      <c r="H6" s="119">
        <f t="shared" si="1"/>
        <v>9445.1712747500005</v>
      </c>
      <c r="I6" s="119">
        <f t="shared" si="1"/>
        <v>9445.1712747500005</v>
      </c>
      <c r="J6" s="119">
        <f t="shared" si="1"/>
        <v>9445.1712747500005</v>
      </c>
      <c r="K6" s="119">
        <f t="shared" si="1"/>
        <v>9445.1712747500005</v>
      </c>
      <c r="L6" s="119">
        <f t="shared" si="1"/>
        <v>9445.1712747500005</v>
      </c>
      <c r="M6" s="119">
        <f t="shared" si="1"/>
        <v>9445.1712747500005</v>
      </c>
      <c r="N6" s="119">
        <f t="shared" si="1"/>
        <v>9445.1712747500005</v>
      </c>
      <c r="O6" s="119">
        <f t="shared" si="1"/>
        <v>9445.1712747500005</v>
      </c>
      <c r="P6" s="119">
        <f t="shared" ref="P6:P46" si="2">C6-SUM(D6:O6)</f>
        <v>0</v>
      </c>
    </row>
    <row r="7" spans="1:16" x14ac:dyDescent="0.25">
      <c r="A7" s="118" t="s">
        <v>204</v>
      </c>
      <c r="C7" s="119">
        <f>'Over and Under Adj'!W95+1</f>
        <v>23242</v>
      </c>
      <c r="D7" s="119">
        <f>C7/12</f>
        <v>1936.8333333333333</v>
      </c>
      <c r="E7" s="119">
        <f>$D7</f>
        <v>1936.8333333333333</v>
      </c>
      <c r="F7" s="119">
        <f t="shared" ref="F7:O7" si="3">$D7</f>
        <v>1936.8333333333333</v>
      </c>
      <c r="G7" s="119">
        <f t="shared" si="3"/>
        <v>1936.8333333333333</v>
      </c>
      <c r="H7" s="119">
        <f t="shared" si="3"/>
        <v>1936.8333333333333</v>
      </c>
      <c r="I7" s="119">
        <f t="shared" si="3"/>
        <v>1936.8333333333333</v>
      </c>
      <c r="J7" s="119">
        <f t="shared" si="3"/>
        <v>1936.8333333333333</v>
      </c>
      <c r="K7" s="119">
        <f t="shared" si="3"/>
        <v>1936.8333333333333</v>
      </c>
      <c r="L7" s="119">
        <f t="shared" si="3"/>
        <v>1936.8333333333333</v>
      </c>
      <c r="M7" s="119">
        <f t="shared" si="3"/>
        <v>1936.8333333333333</v>
      </c>
      <c r="N7" s="119">
        <f t="shared" si="3"/>
        <v>1936.8333333333333</v>
      </c>
      <c r="O7" s="119">
        <f t="shared" si="3"/>
        <v>1936.8333333333333</v>
      </c>
      <c r="P7" s="119">
        <f t="shared" si="2"/>
        <v>0</v>
      </c>
    </row>
    <row r="8" spans="1:16" x14ac:dyDescent="0.25">
      <c r="A8" s="118" t="s">
        <v>62</v>
      </c>
      <c r="B8" s="124" t="s">
        <v>211</v>
      </c>
      <c r="C8" s="119">
        <v>0</v>
      </c>
      <c r="D8" s="119"/>
      <c r="E8" s="119"/>
      <c r="F8" s="119"/>
      <c r="G8" s="119"/>
      <c r="H8" s="119"/>
      <c r="I8" s="119"/>
      <c r="J8" s="120">
        <f>C8/6</f>
        <v>0</v>
      </c>
      <c r="K8" s="119">
        <f>$J8</f>
        <v>0</v>
      </c>
      <c r="L8" s="119">
        <f>$J8</f>
        <v>0</v>
      </c>
      <c r="M8" s="119">
        <f t="shared" ref="M8:O8" si="4">$J8</f>
        <v>0</v>
      </c>
      <c r="N8" s="119">
        <f t="shared" si="4"/>
        <v>0</v>
      </c>
      <c r="O8" s="119">
        <f t="shared" si="4"/>
        <v>0</v>
      </c>
      <c r="P8" s="119">
        <f t="shared" si="2"/>
        <v>0</v>
      </c>
    </row>
    <row r="9" spans="1:16" x14ac:dyDescent="0.25">
      <c r="A9" s="118" t="s">
        <v>102</v>
      </c>
      <c r="B9" s="115" t="s">
        <v>207</v>
      </c>
      <c r="C9" s="119">
        <v>0</v>
      </c>
      <c r="D9" s="119"/>
      <c r="E9" s="119"/>
      <c r="F9" s="119"/>
      <c r="G9" s="119"/>
      <c r="H9" s="119"/>
      <c r="I9" s="119"/>
      <c r="J9" s="119"/>
      <c r="K9" s="119"/>
      <c r="L9" s="119"/>
      <c r="M9" s="119">
        <f>C9/3</f>
        <v>0</v>
      </c>
      <c r="N9" s="119">
        <f>$M9</f>
        <v>0</v>
      </c>
      <c r="O9" s="119">
        <f>$M9</f>
        <v>0</v>
      </c>
      <c r="P9" s="119">
        <f t="shared" si="2"/>
        <v>0</v>
      </c>
    </row>
    <row r="10" spans="1:16" x14ac:dyDescent="0.25">
      <c r="A10" s="118" t="s">
        <v>105</v>
      </c>
      <c r="B10" s="115" t="s">
        <v>207</v>
      </c>
      <c r="C10" s="119">
        <v>0</v>
      </c>
      <c r="D10" s="119"/>
      <c r="E10" s="119"/>
      <c r="F10" s="119"/>
      <c r="G10" s="119"/>
      <c r="H10" s="119"/>
      <c r="I10" s="119"/>
      <c r="J10" s="119"/>
      <c r="K10" s="119"/>
      <c r="L10" s="119"/>
      <c r="M10" s="119">
        <f>C10/3</f>
        <v>0</v>
      </c>
      <c r="N10" s="119">
        <f>$M10</f>
        <v>0</v>
      </c>
      <c r="O10" s="119">
        <f>$M10</f>
        <v>0</v>
      </c>
      <c r="P10" s="119">
        <f t="shared" si="2"/>
        <v>0</v>
      </c>
    </row>
    <row r="11" spans="1:16" x14ac:dyDescent="0.25">
      <c r="A11" s="118" t="s">
        <v>107</v>
      </c>
      <c r="B11" s="115" t="s">
        <v>208</v>
      </c>
      <c r="C11" s="119">
        <v>0</v>
      </c>
      <c r="D11" s="119">
        <f>C11/12</f>
        <v>0</v>
      </c>
      <c r="E11" s="119">
        <f>$D11</f>
        <v>0</v>
      </c>
      <c r="F11" s="119">
        <f t="shared" ref="F11:O11" si="5">$D11</f>
        <v>0</v>
      </c>
      <c r="G11" s="119">
        <f t="shared" si="5"/>
        <v>0</v>
      </c>
      <c r="H11" s="119">
        <f t="shared" si="5"/>
        <v>0</v>
      </c>
      <c r="I11" s="119">
        <f t="shared" si="5"/>
        <v>0</v>
      </c>
      <c r="J11" s="119">
        <f t="shared" si="5"/>
        <v>0</v>
      </c>
      <c r="K11" s="119">
        <f t="shared" si="5"/>
        <v>0</v>
      </c>
      <c r="L11" s="119">
        <f t="shared" si="5"/>
        <v>0</v>
      </c>
      <c r="M11" s="119">
        <f t="shared" si="5"/>
        <v>0</v>
      </c>
      <c r="N11" s="119">
        <f t="shared" si="5"/>
        <v>0</v>
      </c>
      <c r="O11" s="119">
        <f t="shared" si="5"/>
        <v>0</v>
      </c>
      <c r="P11" s="119">
        <f t="shared" si="2"/>
        <v>0</v>
      </c>
    </row>
    <row r="12" spans="1:16" x14ac:dyDescent="0.25">
      <c r="A12" s="118" t="s">
        <v>109</v>
      </c>
      <c r="B12" s="115" t="s">
        <v>209</v>
      </c>
      <c r="C12" s="119">
        <f>115+42</f>
        <v>157</v>
      </c>
      <c r="D12" s="119"/>
      <c r="E12" s="119"/>
      <c r="F12" s="119"/>
      <c r="G12" s="119"/>
      <c r="H12" s="119"/>
      <c r="I12" s="119"/>
      <c r="J12" s="119">
        <f>C12/6</f>
        <v>26.166666666666668</v>
      </c>
      <c r="K12" s="119">
        <f>$J12</f>
        <v>26.166666666666668</v>
      </c>
      <c r="L12" s="119">
        <f t="shared" ref="L12:O12" si="6">$J12</f>
        <v>26.166666666666668</v>
      </c>
      <c r="M12" s="119">
        <f t="shared" si="6"/>
        <v>26.166666666666668</v>
      </c>
      <c r="N12" s="119">
        <f t="shared" si="6"/>
        <v>26.166666666666668</v>
      </c>
      <c r="O12" s="119">
        <f t="shared" si="6"/>
        <v>26.166666666666668</v>
      </c>
      <c r="P12" s="119">
        <f t="shared" si="2"/>
        <v>0</v>
      </c>
    </row>
    <row r="13" spans="1:16" x14ac:dyDescent="0.25">
      <c r="A13" s="118" t="s">
        <v>111</v>
      </c>
      <c r="B13" s="115" t="s">
        <v>208</v>
      </c>
      <c r="C13" s="119">
        <f>169+61</f>
        <v>230</v>
      </c>
      <c r="D13" s="119">
        <f t="shared" ref="D13:D14" si="7">C13/12</f>
        <v>19.166666666666668</v>
      </c>
      <c r="E13" s="119">
        <f t="shared" ref="E13:O14" si="8">$D13</f>
        <v>19.166666666666668</v>
      </c>
      <c r="F13" s="119">
        <f t="shared" si="8"/>
        <v>19.166666666666668</v>
      </c>
      <c r="G13" s="119">
        <f t="shared" si="8"/>
        <v>19.166666666666668</v>
      </c>
      <c r="H13" s="119">
        <f t="shared" si="8"/>
        <v>19.166666666666668</v>
      </c>
      <c r="I13" s="119">
        <f t="shared" si="8"/>
        <v>19.166666666666668</v>
      </c>
      <c r="J13" s="119">
        <f t="shared" si="8"/>
        <v>19.166666666666668</v>
      </c>
      <c r="K13" s="119">
        <f t="shared" si="8"/>
        <v>19.166666666666668</v>
      </c>
      <c r="L13" s="119">
        <f t="shared" si="8"/>
        <v>19.166666666666668</v>
      </c>
      <c r="M13" s="119">
        <f t="shared" si="8"/>
        <v>19.166666666666668</v>
      </c>
      <c r="N13" s="119">
        <f t="shared" si="8"/>
        <v>19.166666666666668</v>
      </c>
      <c r="O13" s="119">
        <f t="shared" si="8"/>
        <v>19.166666666666668</v>
      </c>
      <c r="P13" s="119">
        <f t="shared" si="2"/>
        <v>0</v>
      </c>
    </row>
    <row r="14" spans="1:16" x14ac:dyDescent="0.25">
      <c r="A14" s="118" t="s">
        <v>114</v>
      </c>
      <c r="B14" s="115" t="s">
        <v>208</v>
      </c>
      <c r="C14" s="119">
        <v>0</v>
      </c>
      <c r="D14" s="119">
        <f t="shared" si="7"/>
        <v>0</v>
      </c>
      <c r="E14" s="119">
        <f t="shared" si="8"/>
        <v>0</v>
      </c>
      <c r="F14" s="119">
        <f t="shared" si="8"/>
        <v>0</v>
      </c>
      <c r="G14" s="119">
        <f t="shared" si="8"/>
        <v>0</v>
      </c>
      <c r="H14" s="119">
        <f t="shared" si="8"/>
        <v>0</v>
      </c>
      <c r="I14" s="119">
        <f t="shared" si="8"/>
        <v>0</v>
      </c>
      <c r="J14" s="119">
        <f t="shared" si="8"/>
        <v>0</v>
      </c>
      <c r="K14" s="119">
        <f t="shared" si="8"/>
        <v>0</v>
      </c>
      <c r="L14" s="119">
        <f t="shared" si="8"/>
        <v>0</v>
      </c>
      <c r="M14" s="119">
        <f t="shared" si="8"/>
        <v>0</v>
      </c>
      <c r="N14" s="119">
        <f t="shared" si="8"/>
        <v>0</v>
      </c>
      <c r="O14" s="119">
        <f t="shared" si="8"/>
        <v>0</v>
      </c>
      <c r="P14" s="119">
        <f t="shared" si="2"/>
        <v>0</v>
      </c>
    </row>
    <row r="15" spans="1:16" x14ac:dyDescent="0.25">
      <c r="A15" s="118" t="s">
        <v>117</v>
      </c>
      <c r="B15" s="115" t="s">
        <v>210</v>
      </c>
      <c r="C15" s="119">
        <v>0</v>
      </c>
      <c r="D15" s="119"/>
      <c r="E15" s="119"/>
      <c r="F15" s="119"/>
      <c r="G15" s="120">
        <f>C15/9</f>
        <v>0</v>
      </c>
      <c r="H15" s="119">
        <f>$G15</f>
        <v>0</v>
      </c>
      <c r="I15" s="119">
        <f t="shared" ref="I15:O15" si="9">$G15</f>
        <v>0</v>
      </c>
      <c r="J15" s="119">
        <f t="shared" si="9"/>
        <v>0</v>
      </c>
      <c r="K15" s="119">
        <f t="shared" si="9"/>
        <v>0</v>
      </c>
      <c r="L15" s="119">
        <f t="shared" si="9"/>
        <v>0</v>
      </c>
      <c r="M15" s="119">
        <f t="shared" si="9"/>
        <v>0</v>
      </c>
      <c r="N15" s="119">
        <f t="shared" si="9"/>
        <v>0</v>
      </c>
      <c r="O15" s="119">
        <f t="shared" si="9"/>
        <v>0</v>
      </c>
      <c r="P15" s="119">
        <f t="shared" si="2"/>
        <v>0</v>
      </c>
    </row>
    <row r="16" spans="1:16" x14ac:dyDescent="0.25">
      <c r="A16" s="118" t="s">
        <v>119</v>
      </c>
      <c r="B16" s="115" t="s">
        <v>205</v>
      </c>
      <c r="C16" s="119">
        <v>0</v>
      </c>
      <c r="D16" s="119"/>
      <c r="E16" s="119"/>
      <c r="F16" s="119"/>
      <c r="G16" s="119"/>
      <c r="H16" s="119"/>
      <c r="I16" s="119">
        <f>C16/7</f>
        <v>0</v>
      </c>
      <c r="J16" s="119">
        <f>$I16</f>
        <v>0</v>
      </c>
      <c r="K16" s="119">
        <f t="shared" ref="K16:O16" si="10">$I16</f>
        <v>0</v>
      </c>
      <c r="L16" s="119">
        <f t="shared" si="10"/>
        <v>0</v>
      </c>
      <c r="M16" s="119">
        <f t="shared" si="10"/>
        <v>0</v>
      </c>
      <c r="N16" s="119">
        <f t="shared" si="10"/>
        <v>0</v>
      </c>
      <c r="O16" s="119">
        <f t="shared" si="10"/>
        <v>0</v>
      </c>
      <c r="P16" s="119">
        <f t="shared" si="2"/>
        <v>0</v>
      </c>
    </row>
    <row r="17" spans="1:16" x14ac:dyDescent="0.25">
      <c r="A17" s="118" t="s">
        <v>119</v>
      </c>
      <c r="B17" s="115" t="s">
        <v>211</v>
      </c>
      <c r="C17" s="119">
        <v>0</v>
      </c>
      <c r="D17" s="119"/>
      <c r="E17" s="119"/>
      <c r="F17" s="119"/>
      <c r="G17" s="119"/>
      <c r="H17" s="119"/>
      <c r="I17" s="119"/>
      <c r="J17" s="119"/>
      <c r="K17" s="120">
        <f>C17/5</f>
        <v>0</v>
      </c>
      <c r="L17" s="119">
        <f>$K17</f>
        <v>0</v>
      </c>
      <c r="M17" s="119">
        <f t="shared" ref="M17:O17" si="11">$K17</f>
        <v>0</v>
      </c>
      <c r="N17" s="119">
        <f t="shared" si="11"/>
        <v>0</v>
      </c>
      <c r="O17" s="119">
        <f t="shared" si="11"/>
        <v>0</v>
      </c>
      <c r="P17" s="119">
        <f t="shared" si="2"/>
        <v>0</v>
      </c>
    </row>
    <row r="18" spans="1:16" x14ac:dyDescent="0.25">
      <c r="A18" s="118" t="s">
        <v>119</v>
      </c>
      <c r="B18" s="115" t="s">
        <v>212</v>
      </c>
      <c r="C18" s="119">
        <v>0</v>
      </c>
      <c r="D18" s="119"/>
      <c r="E18" s="119"/>
      <c r="F18" s="119"/>
      <c r="G18" s="119"/>
      <c r="H18" s="119"/>
      <c r="I18" s="119"/>
      <c r="J18" s="119"/>
      <c r="K18" s="119"/>
      <c r="L18" s="120">
        <f>C18/4</f>
        <v>0</v>
      </c>
      <c r="M18" s="119">
        <f>$L18</f>
        <v>0</v>
      </c>
      <c r="N18" s="119">
        <f t="shared" ref="N18:O19" si="12">$L18</f>
        <v>0</v>
      </c>
      <c r="O18" s="119">
        <f t="shared" si="12"/>
        <v>0</v>
      </c>
      <c r="P18" s="119">
        <f t="shared" si="2"/>
        <v>0</v>
      </c>
    </row>
    <row r="19" spans="1:16" x14ac:dyDescent="0.25">
      <c r="A19" s="118" t="s">
        <v>123</v>
      </c>
      <c r="B19" s="115" t="s">
        <v>212</v>
      </c>
      <c r="C19" s="119">
        <v>0</v>
      </c>
      <c r="D19" s="119"/>
      <c r="E19" s="119"/>
      <c r="F19" s="119"/>
      <c r="G19" s="119"/>
      <c r="H19" s="119"/>
      <c r="I19" s="119"/>
      <c r="J19" s="119"/>
      <c r="K19" s="119"/>
      <c r="L19" s="120">
        <f>C19/4</f>
        <v>0</v>
      </c>
      <c r="M19" s="119">
        <f>$L19</f>
        <v>0</v>
      </c>
      <c r="N19" s="119">
        <f t="shared" si="12"/>
        <v>0</v>
      </c>
      <c r="O19" s="119">
        <f t="shared" si="12"/>
        <v>0</v>
      </c>
      <c r="P19" s="119">
        <f t="shared" si="2"/>
        <v>0</v>
      </c>
    </row>
    <row r="20" spans="1:16" x14ac:dyDescent="0.25">
      <c r="A20" s="118" t="s">
        <v>125</v>
      </c>
      <c r="B20" s="115" t="s">
        <v>213</v>
      </c>
      <c r="C20" s="119">
        <v>0</v>
      </c>
      <c r="D20" s="119">
        <v>0</v>
      </c>
      <c r="E20" s="119">
        <v>0</v>
      </c>
      <c r="F20" s="119">
        <v>0</v>
      </c>
      <c r="G20" s="119">
        <v>0</v>
      </c>
      <c r="H20" s="119">
        <v>0</v>
      </c>
      <c r="I20" s="119">
        <v>0</v>
      </c>
      <c r="J20" s="119">
        <v>0</v>
      </c>
      <c r="K20" s="119">
        <v>0</v>
      </c>
      <c r="L20" s="119">
        <v>0</v>
      </c>
      <c r="M20" s="119">
        <v>0</v>
      </c>
      <c r="N20" s="119">
        <v>0</v>
      </c>
      <c r="O20" s="119">
        <v>0</v>
      </c>
      <c r="P20" s="119">
        <f t="shared" si="2"/>
        <v>0</v>
      </c>
    </row>
    <row r="21" spans="1:16" x14ac:dyDescent="0.25">
      <c r="A21" s="118" t="s">
        <v>127</v>
      </c>
      <c r="B21" s="115" t="s">
        <v>206</v>
      </c>
      <c r="C21" s="119">
        <v>0</v>
      </c>
      <c r="D21" s="119"/>
      <c r="E21" s="119"/>
      <c r="F21" s="119"/>
      <c r="G21" s="119"/>
      <c r="H21" s="120">
        <f>C21/8</f>
        <v>0</v>
      </c>
      <c r="I21" s="119">
        <f>$H21</f>
        <v>0</v>
      </c>
      <c r="J21" s="119">
        <f t="shared" ref="J21:O21" si="13">$H21</f>
        <v>0</v>
      </c>
      <c r="K21" s="119">
        <f t="shared" si="13"/>
        <v>0</v>
      </c>
      <c r="L21" s="119">
        <f t="shared" si="13"/>
        <v>0</v>
      </c>
      <c r="M21" s="119">
        <f t="shared" si="13"/>
        <v>0</v>
      </c>
      <c r="N21" s="119">
        <f t="shared" si="13"/>
        <v>0</v>
      </c>
      <c r="O21" s="119">
        <f t="shared" si="13"/>
        <v>0</v>
      </c>
      <c r="P21" s="119">
        <f t="shared" si="2"/>
        <v>0</v>
      </c>
    </row>
    <row r="22" spans="1:16" x14ac:dyDescent="0.25">
      <c r="A22" s="118" t="s">
        <v>129</v>
      </c>
      <c r="B22" s="115" t="s">
        <v>213</v>
      </c>
      <c r="C22" s="119">
        <v>0</v>
      </c>
      <c r="D22" s="119">
        <v>0</v>
      </c>
      <c r="E22" s="119">
        <v>0</v>
      </c>
      <c r="F22" s="119">
        <v>0</v>
      </c>
      <c r="G22" s="119">
        <v>0</v>
      </c>
      <c r="H22" s="119">
        <v>0</v>
      </c>
      <c r="I22" s="119">
        <v>0</v>
      </c>
      <c r="J22" s="119">
        <v>0</v>
      </c>
      <c r="K22" s="119">
        <v>0</v>
      </c>
      <c r="L22" s="119">
        <v>0</v>
      </c>
      <c r="M22" s="119">
        <v>0</v>
      </c>
      <c r="N22" s="119">
        <v>0</v>
      </c>
      <c r="O22" s="119">
        <v>0</v>
      </c>
      <c r="P22" s="119">
        <f t="shared" si="2"/>
        <v>0</v>
      </c>
    </row>
    <row r="23" spans="1:16" x14ac:dyDescent="0.25">
      <c r="A23" s="118" t="s">
        <v>131</v>
      </c>
      <c r="B23" s="115" t="s">
        <v>205</v>
      </c>
      <c r="C23" s="119">
        <v>0</v>
      </c>
      <c r="D23" s="119"/>
      <c r="E23" s="119"/>
      <c r="F23" s="119"/>
      <c r="G23" s="119"/>
      <c r="H23" s="119"/>
      <c r="I23" s="119">
        <f>C23/7</f>
        <v>0</v>
      </c>
      <c r="J23" s="119">
        <f>$I23</f>
        <v>0</v>
      </c>
      <c r="K23" s="119">
        <f t="shared" ref="K23:O23" si="14">$I23</f>
        <v>0</v>
      </c>
      <c r="L23" s="119">
        <f t="shared" si="14"/>
        <v>0</v>
      </c>
      <c r="M23" s="119">
        <f t="shared" si="14"/>
        <v>0</v>
      </c>
      <c r="N23" s="119">
        <f t="shared" si="14"/>
        <v>0</v>
      </c>
      <c r="O23" s="119">
        <f t="shared" si="14"/>
        <v>0</v>
      </c>
      <c r="P23" s="119">
        <f t="shared" si="2"/>
        <v>0</v>
      </c>
    </row>
    <row r="24" spans="1:16" x14ac:dyDescent="0.25">
      <c r="A24" s="118" t="s">
        <v>134</v>
      </c>
      <c r="B24" s="115" t="s">
        <v>206</v>
      </c>
      <c r="C24" s="119">
        <v>0</v>
      </c>
      <c r="D24" s="119"/>
      <c r="E24" s="119"/>
      <c r="F24" s="119"/>
      <c r="G24" s="119"/>
      <c r="H24" s="120">
        <f>C24/8</f>
        <v>0</v>
      </c>
      <c r="I24" s="119">
        <f>$H24</f>
        <v>0</v>
      </c>
      <c r="J24" s="119">
        <f t="shared" ref="J24:O26" si="15">$H24</f>
        <v>0</v>
      </c>
      <c r="K24" s="119">
        <f t="shared" si="15"/>
        <v>0</v>
      </c>
      <c r="L24" s="119">
        <f t="shared" si="15"/>
        <v>0</v>
      </c>
      <c r="M24" s="119">
        <f t="shared" si="15"/>
        <v>0</v>
      </c>
      <c r="N24" s="119">
        <f t="shared" si="15"/>
        <v>0</v>
      </c>
      <c r="O24" s="119">
        <f t="shared" si="15"/>
        <v>0</v>
      </c>
      <c r="P24" s="119">
        <f t="shared" si="2"/>
        <v>0</v>
      </c>
    </row>
    <row r="25" spans="1:16" x14ac:dyDescent="0.25">
      <c r="A25" s="118" t="s">
        <v>136</v>
      </c>
      <c r="B25" s="115" t="s">
        <v>211</v>
      </c>
      <c r="C25" s="119">
        <f>52+19</f>
        <v>71</v>
      </c>
      <c r="D25" s="119"/>
      <c r="E25" s="119"/>
      <c r="F25" s="119"/>
      <c r="G25" s="119"/>
      <c r="H25" s="119"/>
      <c r="I25" s="119"/>
      <c r="J25" s="119"/>
      <c r="K25" s="120">
        <f>C25/5</f>
        <v>14.2</v>
      </c>
      <c r="L25" s="119">
        <f>$K25</f>
        <v>14.2</v>
      </c>
      <c r="M25" s="119">
        <f t="shared" ref="M25:O25" si="16">$K25</f>
        <v>14.2</v>
      </c>
      <c r="N25" s="119">
        <f t="shared" si="16"/>
        <v>14.2</v>
      </c>
      <c r="O25" s="119">
        <f t="shared" si="16"/>
        <v>14.2</v>
      </c>
      <c r="P25" s="119">
        <f t="shared" si="2"/>
        <v>0</v>
      </c>
    </row>
    <row r="26" spans="1:16" x14ac:dyDescent="0.25">
      <c r="A26" s="118" t="s">
        <v>138</v>
      </c>
      <c r="B26" s="115" t="s">
        <v>206</v>
      </c>
      <c r="C26" s="119">
        <v>0</v>
      </c>
      <c r="D26" s="119"/>
      <c r="E26" s="119"/>
      <c r="F26" s="119"/>
      <c r="G26" s="119"/>
      <c r="H26" s="120">
        <f>C26/8</f>
        <v>0</v>
      </c>
      <c r="I26" s="119">
        <f>$H26</f>
        <v>0</v>
      </c>
      <c r="J26" s="119">
        <f t="shared" si="15"/>
        <v>0</v>
      </c>
      <c r="K26" s="119">
        <f t="shared" si="15"/>
        <v>0</v>
      </c>
      <c r="L26" s="119">
        <f t="shared" si="15"/>
        <v>0</v>
      </c>
      <c r="M26" s="119">
        <f t="shared" si="15"/>
        <v>0</v>
      </c>
      <c r="N26" s="119">
        <f t="shared" si="15"/>
        <v>0</v>
      </c>
      <c r="O26" s="119">
        <f t="shared" si="15"/>
        <v>0</v>
      </c>
      <c r="P26" s="119">
        <f t="shared" si="2"/>
        <v>0</v>
      </c>
    </row>
    <row r="27" spans="1:16" x14ac:dyDescent="0.25">
      <c r="A27" s="118" t="s">
        <v>140</v>
      </c>
      <c r="B27" s="115" t="s">
        <v>209</v>
      </c>
      <c r="C27" s="119">
        <v>0</v>
      </c>
      <c r="D27" s="119"/>
      <c r="E27" s="119"/>
      <c r="F27" s="119"/>
      <c r="G27" s="119"/>
      <c r="H27" s="119"/>
      <c r="I27" s="119"/>
      <c r="J27" s="120">
        <f>C27/6</f>
        <v>0</v>
      </c>
      <c r="K27" s="119">
        <f>$J27</f>
        <v>0</v>
      </c>
      <c r="L27" s="119">
        <f t="shared" ref="L27:O27" si="17">$J27</f>
        <v>0</v>
      </c>
      <c r="M27" s="119">
        <f t="shared" si="17"/>
        <v>0</v>
      </c>
      <c r="N27" s="119">
        <f t="shared" si="17"/>
        <v>0</v>
      </c>
      <c r="O27" s="119">
        <f t="shared" si="17"/>
        <v>0</v>
      </c>
      <c r="P27" s="119">
        <f t="shared" si="2"/>
        <v>0</v>
      </c>
    </row>
    <row r="28" spans="1:16" x14ac:dyDescent="0.25">
      <c r="A28" s="118" t="s">
        <v>142</v>
      </c>
      <c r="B28" s="115" t="s">
        <v>214</v>
      </c>
      <c r="C28" s="119">
        <v>0</v>
      </c>
      <c r="D28" s="119"/>
      <c r="E28" s="119"/>
      <c r="F28" s="120">
        <f>C28/10</f>
        <v>0</v>
      </c>
      <c r="G28" s="119">
        <f>$F28</f>
        <v>0</v>
      </c>
      <c r="H28" s="119">
        <f t="shared" ref="H28:O28" si="18">$F28</f>
        <v>0</v>
      </c>
      <c r="I28" s="119">
        <f t="shared" si="18"/>
        <v>0</v>
      </c>
      <c r="J28" s="119">
        <f t="shared" si="18"/>
        <v>0</v>
      </c>
      <c r="K28" s="119">
        <f t="shared" si="18"/>
        <v>0</v>
      </c>
      <c r="L28" s="119">
        <f t="shared" si="18"/>
        <v>0</v>
      </c>
      <c r="M28" s="119">
        <f t="shared" si="18"/>
        <v>0</v>
      </c>
      <c r="N28" s="119">
        <f t="shared" si="18"/>
        <v>0</v>
      </c>
      <c r="O28" s="119">
        <f t="shared" si="18"/>
        <v>0</v>
      </c>
      <c r="P28" s="119">
        <f t="shared" si="2"/>
        <v>0</v>
      </c>
    </row>
    <row r="29" spans="1:16" x14ac:dyDescent="0.25">
      <c r="A29" s="118" t="s">
        <v>144</v>
      </c>
      <c r="B29" s="115" t="s">
        <v>206</v>
      </c>
      <c r="C29" s="119">
        <v>0</v>
      </c>
      <c r="D29" s="119"/>
      <c r="E29" s="119"/>
      <c r="F29" s="119"/>
      <c r="G29" s="119"/>
      <c r="H29" s="120"/>
      <c r="I29" s="119"/>
      <c r="J29" s="120">
        <f>C29/6</f>
        <v>0</v>
      </c>
      <c r="K29" s="119">
        <f>$J29</f>
        <v>0</v>
      </c>
      <c r="L29" s="119">
        <f t="shared" ref="L29:O29" si="19">$J29</f>
        <v>0</v>
      </c>
      <c r="M29" s="119">
        <f t="shared" si="19"/>
        <v>0</v>
      </c>
      <c r="N29" s="119">
        <f t="shared" si="19"/>
        <v>0</v>
      </c>
      <c r="O29" s="119">
        <f t="shared" si="19"/>
        <v>0</v>
      </c>
      <c r="P29" s="119">
        <f t="shared" si="2"/>
        <v>0</v>
      </c>
    </row>
    <row r="30" spans="1:16" x14ac:dyDescent="0.25">
      <c r="A30" s="118" t="s">
        <v>147</v>
      </c>
      <c r="B30" s="115" t="s">
        <v>205</v>
      </c>
      <c r="C30" s="119">
        <f>222+80</f>
        <v>302</v>
      </c>
      <c r="D30" s="119"/>
      <c r="E30" s="119"/>
      <c r="F30" s="119"/>
      <c r="G30" s="119"/>
      <c r="H30" s="119"/>
      <c r="I30" s="119">
        <f>C30/7</f>
        <v>43.142857142857146</v>
      </c>
      <c r="J30" s="119">
        <f>$I30</f>
        <v>43.142857142857146</v>
      </c>
      <c r="K30" s="119">
        <f t="shared" ref="K30:O30" si="20">$I30</f>
        <v>43.142857142857146</v>
      </c>
      <c r="L30" s="119">
        <f t="shared" si="20"/>
        <v>43.142857142857146</v>
      </c>
      <c r="M30" s="119">
        <f t="shared" si="20"/>
        <v>43.142857142857146</v>
      </c>
      <c r="N30" s="119">
        <f t="shared" si="20"/>
        <v>43.142857142857146</v>
      </c>
      <c r="O30" s="119">
        <f t="shared" si="20"/>
        <v>43.142857142857146</v>
      </c>
      <c r="P30" s="119">
        <f t="shared" si="2"/>
        <v>0</v>
      </c>
    </row>
    <row r="31" spans="1:16" x14ac:dyDescent="0.25">
      <c r="A31" s="118" t="s">
        <v>149</v>
      </c>
      <c r="B31" s="115" t="s">
        <v>210</v>
      </c>
      <c r="C31" s="119">
        <f>135+49</f>
        <v>184</v>
      </c>
      <c r="D31" s="119"/>
      <c r="E31" s="119"/>
      <c r="F31" s="119"/>
      <c r="G31" s="120">
        <f>C31/9</f>
        <v>20.444444444444443</v>
      </c>
      <c r="H31" s="119">
        <f>$G31</f>
        <v>20.444444444444443</v>
      </c>
      <c r="I31" s="119">
        <f t="shared" ref="I31:O31" si="21">$G31</f>
        <v>20.444444444444443</v>
      </c>
      <c r="J31" s="119">
        <f t="shared" si="21"/>
        <v>20.444444444444443</v>
      </c>
      <c r="K31" s="119">
        <f t="shared" si="21"/>
        <v>20.444444444444443</v>
      </c>
      <c r="L31" s="119">
        <f t="shared" si="21"/>
        <v>20.444444444444443</v>
      </c>
      <c r="M31" s="119">
        <f t="shared" si="21"/>
        <v>20.444444444444443</v>
      </c>
      <c r="N31" s="119">
        <f t="shared" si="21"/>
        <v>20.444444444444443</v>
      </c>
      <c r="O31" s="119">
        <f t="shared" si="21"/>
        <v>20.444444444444443</v>
      </c>
      <c r="P31" s="119">
        <f t="shared" si="2"/>
        <v>0</v>
      </c>
    </row>
    <row r="32" spans="1:16" ht="15" customHeight="1" x14ac:dyDescent="0.25">
      <c r="A32" s="118" t="s">
        <v>152</v>
      </c>
      <c r="B32" s="115" t="s">
        <v>215</v>
      </c>
      <c r="C32" s="119">
        <v>0</v>
      </c>
      <c r="D32" s="119">
        <f t="shared" ref="D32:D34" si="22">C32/12</f>
        <v>0</v>
      </c>
      <c r="E32" s="119">
        <f t="shared" ref="E32:O34" si="23">$D32</f>
        <v>0</v>
      </c>
      <c r="F32" s="119">
        <f t="shared" si="23"/>
        <v>0</v>
      </c>
      <c r="G32" s="119">
        <f t="shared" si="23"/>
        <v>0</v>
      </c>
      <c r="H32" s="119">
        <f t="shared" si="23"/>
        <v>0</v>
      </c>
      <c r="I32" s="119">
        <f t="shared" si="23"/>
        <v>0</v>
      </c>
      <c r="J32" s="119">
        <f t="shared" si="23"/>
        <v>0</v>
      </c>
      <c r="K32" s="119">
        <f t="shared" si="23"/>
        <v>0</v>
      </c>
      <c r="L32" s="119">
        <f t="shared" si="23"/>
        <v>0</v>
      </c>
      <c r="M32" s="119">
        <f t="shared" si="23"/>
        <v>0</v>
      </c>
      <c r="N32" s="119">
        <f t="shared" si="23"/>
        <v>0</v>
      </c>
      <c r="O32" s="119">
        <f t="shared" si="23"/>
        <v>0</v>
      </c>
      <c r="P32" s="119">
        <f t="shared" si="2"/>
        <v>0</v>
      </c>
    </row>
    <row r="33" spans="1:16" x14ac:dyDescent="0.25">
      <c r="A33" s="118" t="s">
        <v>154</v>
      </c>
      <c r="B33" s="115" t="s">
        <v>215</v>
      </c>
      <c r="C33" s="119">
        <v>0</v>
      </c>
      <c r="D33" s="119">
        <f t="shared" si="22"/>
        <v>0</v>
      </c>
      <c r="E33" s="119">
        <f t="shared" si="23"/>
        <v>0</v>
      </c>
      <c r="F33" s="119">
        <f t="shared" si="23"/>
        <v>0</v>
      </c>
      <c r="G33" s="119">
        <f t="shared" si="23"/>
        <v>0</v>
      </c>
      <c r="H33" s="119">
        <f t="shared" si="23"/>
        <v>0</v>
      </c>
      <c r="I33" s="119">
        <f t="shared" si="23"/>
        <v>0</v>
      </c>
      <c r="J33" s="119">
        <f t="shared" si="23"/>
        <v>0</v>
      </c>
      <c r="K33" s="119">
        <f t="shared" si="23"/>
        <v>0</v>
      </c>
      <c r="L33" s="119">
        <f t="shared" si="23"/>
        <v>0</v>
      </c>
      <c r="M33" s="119">
        <f t="shared" si="23"/>
        <v>0</v>
      </c>
      <c r="N33" s="119">
        <f t="shared" si="23"/>
        <v>0</v>
      </c>
      <c r="O33" s="119">
        <f t="shared" si="23"/>
        <v>0</v>
      </c>
      <c r="P33" s="119">
        <f t="shared" si="2"/>
        <v>0</v>
      </c>
    </row>
    <row r="34" spans="1:16" x14ac:dyDescent="0.25">
      <c r="A34" s="118" t="s">
        <v>155</v>
      </c>
      <c r="B34" s="115" t="s">
        <v>215</v>
      </c>
      <c r="C34" s="119">
        <v>0</v>
      </c>
      <c r="D34" s="119">
        <f t="shared" si="22"/>
        <v>0</v>
      </c>
      <c r="E34" s="119">
        <f t="shared" si="23"/>
        <v>0</v>
      </c>
      <c r="F34" s="119">
        <f t="shared" si="23"/>
        <v>0</v>
      </c>
      <c r="G34" s="119">
        <f t="shared" si="23"/>
        <v>0</v>
      </c>
      <c r="H34" s="119">
        <f t="shared" si="23"/>
        <v>0</v>
      </c>
      <c r="I34" s="119">
        <f t="shared" si="23"/>
        <v>0</v>
      </c>
      <c r="J34" s="119">
        <f t="shared" si="23"/>
        <v>0</v>
      </c>
      <c r="K34" s="119">
        <f t="shared" si="23"/>
        <v>0</v>
      </c>
      <c r="L34" s="119">
        <f t="shared" si="23"/>
        <v>0</v>
      </c>
      <c r="M34" s="119">
        <f t="shared" si="23"/>
        <v>0</v>
      </c>
      <c r="N34" s="119">
        <f t="shared" si="23"/>
        <v>0</v>
      </c>
      <c r="O34" s="119">
        <f t="shared" si="23"/>
        <v>0</v>
      </c>
      <c r="P34" s="119">
        <f t="shared" si="2"/>
        <v>0</v>
      </c>
    </row>
    <row r="35" spans="1:16" x14ac:dyDescent="0.25">
      <c r="A35" s="118" t="s">
        <v>156</v>
      </c>
      <c r="B35" s="115" t="s">
        <v>212</v>
      </c>
      <c r="C35" s="119">
        <v>0</v>
      </c>
      <c r="D35" s="119"/>
      <c r="E35" s="119"/>
      <c r="F35" s="119"/>
      <c r="G35" s="119"/>
      <c r="H35" s="119"/>
      <c r="I35" s="119"/>
      <c r="J35" s="119"/>
      <c r="K35" s="119"/>
      <c r="L35" s="120">
        <f>C35/4</f>
        <v>0</v>
      </c>
      <c r="M35" s="119">
        <f>$L35</f>
        <v>0</v>
      </c>
      <c r="N35" s="119">
        <f t="shared" ref="N35:O36" si="24">$L35</f>
        <v>0</v>
      </c>
      <c r="O35" s="119">
        <f t="shared" si="24"/>
        <v>0</v>
      </c>
      <c r="P35" s="119">
        <f t="shared" si="2"/>
        <v>0</v>
      </c>
    </row>
    <row r="36" spans="1:16" x14ac:dyDescent="0.25">
      <c r="A36" s="118" t="s">
        <v>157</v>
      </c>
      <c r="B36" s="115" t="s">
        <v>212</v>
      </c>
      <c r="C36" s="119">
        <v>0</v>
      </c>
      <c r="D36" s="119"/>
      <c r="E36" s="119"/>
      <c r="F36" s="119"/>
      <c r="G36" s="119"/>
      <c r="H36" s="119"/>
      <c r="I36" s="119"/>
      <c r="J36" s="119"/>
      <c r="K36" s="119"/>
      <c r="L36" s="120">
        <f>C36/4</f>
        <v>0</v>
      </c>
      <c r="M36" s="119">
        <f>$L36</f>
        <v>0</v>
      </c>
      <c r="N36" s="119">
        <f t="shared" si="24"/>
        <v>0</v>
      </c>
      <c r="O36" s="119">
        <f t="shared" si="24"/>
        <v>0</v>
      </c>
      <c r="P36" s="119">
        <f t="shared" si="2"/>
        <v>0</v>
      </c>
    </row>
    <row r="37" spans="1:16" x14ac:dyDescent="0.25">
      <c r="A37" s="118" t="s">
        <v>159</v>
      </c>
      <c r="B37" s="115" t="s">
        <v>215</v>
      </c>
      <c r="C37" s="119">
        <f>-1672-609</f>
        <v>-2281</v>
      </c>
      <c r="D37" s="119">
        <f t="shared" ref="D37:D39" si="25">C37/12</f>
        <v>-190.08333333333334</v>
      </c>
      <c r="E37" s="119">
        <f t="shared" ref="E37:O39" si="26">$D37</f>
        <v>-190.08333333333334</v>
      </c>
      <c r="F37" s="119">
        <f t="shared" si="26"/>
        <v>-190.08333333333334</v>
      </c>
      <c r="G37" s="119">
        <f t="shared" si="26"/>
        <v>-190.08333333333334</v>
      </c>
      <c r="H37" s="119">
        <f t="shared" si="26"/>
        <v>-190.08333333333334</v>
      </c>
      <c r="I37" s="119">
        <f t="shared" si="26"/>
        <v>-190.08333333333334</v>
      </c>
      <c r="J37" s="119">
        <f t="shared" si="26"/>
        <v>-190.08333333333334</v>
      </c>
      <c r="K37" s="119">
        <f t="shared" si="26"/>
        <v>-190.08333333333334</v>
      </c>
      <c r="L37" s="119">
        <f t="shared" si="26"/>
        <v>-190.08333333333334</v>
      </c>
      <c r="M37" s="119">
        <f t="shared" si="26"/>
        <v>-190.08333333333334</v>
      </c>
      <c r="N37" s="119">
        <f t="shared" si="26"/>
        <v>-190.08333333333334</v>
      </c>
      <c r="O37" s="119">
        <f t="shared" si="26"/>
        <v>-190.08333333333334</v>
      </c>
      <c r="P37" s="119">
        <f t="shared" si="2"/>
        <v>0</v>
      </c>
    </row>
    <row r="38" spans="1:16" x14ac:dyDescent="0.25">
      <c r="A38" s="118" t="s">
        <v>161</v>
      </c>
      <c r="B38" s="115" t="s">
        <v>215</v>
      </c>
      <c r="C38" s="119">
        <f>105+67</f>
        <v>172</v>
      </c>
      <c r="D38" s="119">
        <f t="shared" si="25"/>
        <v>14.333333333333334</v>
      </c>
      <c r="E38" s="119">
        <f t="shared" si="26"/>
        <v>14.333333333333334</v>
      </c>
      <c r="F38" s="119">
        <f t="shared" si="26"/>
        <v>14.333333333333334</v>
      </c>
      <c r="G38" s="119">
        <f t="shared" si="26"/>
        <v>14.333333333333334</v>
      </c>
      <c r="H38" s="119">
        <f t="shared" si="26"/>
        <v>14.333333333333334</v>
      </c>
      <c r="I38" s="119">
        <f t="shared" si="26"/>
        <v>14.333333333333334</v>
      </c>
      <c r="J38" s="119">
        <f t="shared" si="26"/>
        <v>14.333333333333334</v>
      </c>
      <c r="K38" s="119">
        <f t="shared" si="26"/>
        <v>14.333333333333334</v>
      </c>
      <c r="L38" s="119">
        <f t="shared" si="26"/>
        <v>14.333333333333334</v>
      </c>
      <c r="M38" s="119">
        <f t="shared" si="26"/>
        <v>14.333333333333334</v>
      </c>
      <c r="N38" s="119">
        <f t="shared" si="26"/>
        <v>14.333333333333334</v>
      </c>
      <c r="O38" s="119">
        <f t="shared" si="26"/>
        <v>14.333333333333334</v>
      </c>
      <c r="P38" s="119">
        <f t="shared" si="2"/>
        <v>0</v>
      </c>
    </row>
    <row r="39" spans="1:16" x14ac:dyDescent="0.25">
      <c r="A39" s="118" t="s">
        <v>163</v>
      </c>
      <c r="B39" s="115" t="s">
        <v>215</v>
      </c>
      <c r="C39" s="119">
        <f>109+71</f>
        <v>180</v>
      </c>
      <c r="D39" s="119">
        <f t="shared" si="25"/>
        <v>15</v>
      </c>
      <c r="E39" s="119">
        <f t="shared" si="26"/>
        <v>15</v>
      </c>
      <c r="F39" s="119">
        <f t="shared" si="26"/>
        <v>15</v>
      </c>
      <c r="G39" s="119">
        <f t="shared" si="26"/>
        <v>15</v>
      </c>
      <c r="H39" s="119">
        <f t="shared" si="26"/>
        <v>15</v>
      </c>
      <c r="I39" s="119">
        <f t="shared" si="26"/>
        <v>15</v>
      </c>
      <c r="J39" s="119">
        <f t="shared" si="26"/>
        <v>15</v>
      </c>
      <c r="K39" s="119">
        <f t="shared" si="26"/>
        <v>15</v>
      </c>
      <c r="L39" s="119">
        <f t="shared" si="26"/>
        <v>15</v>
      </c>
      <c r="M39" s="119">
        <f t="shared" si="26"/>
        <v>15</v>
      </c>
      <c r="N39" s="119">
        <f t="shared" si="26"/>
        <v>15</v>
      </c>
      <c r="O39" s="119">
        <f t="shared" si="26"/>
        <v>15</v>
      </c>
      <c r="P39" s="119">
        <f t="shared" si="2"/>
        <v>0</v>
      </c>
    </row>
    <row r="40" spans="1:16" x14ac:dyDescent="0.25">
      <c r="A40" s="118" t="s">
        <v>163</v>
      </c>
      <c r="B40" s="115" t="s">
        <v>211</v>
      </c>
      <c r="C40" s="119">
        <f>73+45</f>
        <v>118</v>
      </c>
      <c r="D40" s="119"/>
      <c r="E40" s="119"/>
      <c r="F40" s="119"/>
      <c r="G40" s="119"/>
      <c r="H40" s="119"/>
      <c r="I40" s="119"/>
      <c r="J40" s="119"/>
      <c r="K40" s="120">
        <f>C40/5</f>
        <v>23.6</v>
      </c>
      <c r="L40" s="119">
        <f>$K40</f>
        <v>23.6</v>
      </c>
      <c r="M40" s="119">
        <f t="shared" ref="M40:O40" si="27">$K40</f>
        <v>23.6</v>
      </c>
      <c r="N40" s="119">
        <f t="shared" si="27"/>
        <v>23.6</v>
      </c>
      <c r="O40" s="119">
        <f t="shared" si="27"/>
        <v>23.6</v>
      </c>
      <c r="P40" s="119">
        <f t="shared" si="2"/>
        <v>0</v>
      </c>
    </row>
    <row r="41" spans="1:16" x14ac:dyDescent="0.25">
      <c r="A41" s="118" t="s">
        <v>216</v>
      </c>
      <c r="B41" s="115" t="s">
        <v>206</v>
      </c>
      <c r="C41" s="146">
        <v>0</v>
      </c>
      <c r="D41" s="119"/>
      <c r="E41" s="119"/>
      <c r="F41" s="119"/>
      <c r="G41" s="119"/>
      <c r="H41" s="120">
        <f t="shared" ref="H41:H42" si="28">C41/8</f>
        <v>0</v>
      </c>
      <c r="I41" s="119">
        <f t="shared" ref="I41:O42" si="29">$H41</f>
        <v>0</v>
      </c>
      <c r="J41" s="119">
        <f t="shared" si="29"/>
        <v>0</v>
      </c>
      <c r="K41" s="119">
        <f t="shared" si="29"/>
        <v>0</v>
      </c>
      <c r="L41" s="119">
        <f t="shared" si="29"/>
        <v>0</v>
      </c>
      <c r="M41" s="119">
        <f t="shared" si="29"/>
        <v>0</v>
      </c>
      <c r="N41" s="119">
        <f t="shared" si="29"/>
        <v>0</v>
      </c>
      <c r="O41" s="119">
        <f t="shared" si="29"/>
        <v>0</v>
      </c>
      <c r="P41" s="119">
        <f t="shared" si="2"/>
        <v>0</v>
      </c>
    </row>
    <row r="42" spans="1:16" x14ac:dyDescent="0.25">
      <c r="A42" s="118" t="s">
        <v>217</v>
      </c>
      <c r="B42" s="115" t="s">
        <v>206</v>
      </c>
      <c r="C42" s="146">
        <v>0</v>
      </c>
      <c r="D42" s="119"/>
      <c r="E42" s="119"/>
      <c r="F42" s="119"/>
      <c r="G42" s="119"/>
      <c r="H42" s="120">
        <f t="shared" si="28"/>
        <v>0</v>
      </c>
      <c r="I42" s="119">
        <f t="shared" si="29"/>
        <v>0</v>
      </c>
      <c r="J42" s="119">
        <f t="shared" si="29"/>
        <v>0</v>
      </c>
      <c r="K42" s="119">
        <f t="shared" si="29"/>
        <v>0</v>
      </c>
      <c r="L42" s="119">
        <f t="shared" si="29"/>
        <v>0</v>
      </c>
      <c r="M42" s="119">
        <f t="shared" si="29"/>
        <v>0</v>
      </c>
      <c r="N42" s="119">
        <f t="shared" si="29"/>
        <v>0</v>
      </c>
      <c r="O42" s="119">
        <f t="shared" si="29"/>
        <v>0</v>
      </c>
      <c r="P42" s="119">
        <f t="shared" si="2"/>
        <v>0</v>
      </c>
    </row>
    <row r="43" spans="1:16" x14ac:dyDescent="0.25">
      <c r="A43" s="118" t="s">
        <v>218</v>
      </c>
      <c r="B43" s="115" t="s">
        <v>210</v>
      </c>
      <c r="C43" s="146">
        <v>0</v>
      </c>
      <c r="D43" s="119"/>
      <c r="E43" s="119"/>
      <c r="F43" s="119"/>
      <c r="G43" s="120">
        <f>C43/9</f>
        <v>0</v>
      </c>
      <c r="H43" s="119">
        <f>$G43</f>
        <v>0</v>
      </c>
      <c r="I43" s="119">
        <f t="shared" ref="I43:O43" si="30">$G43</f>
        <v>0</v>
      </c>
      <c r="J43" s="119">
        <f t="shared" si="30"/>
        <v>0</v>
      </c>
      <c r="K43" s="119">
        <f t="shared" si="30"/>
        <v>0</v>
      </c>
      <c r="L43" s="119">
        <f t="shared" si="30"/>
        <v>0</v>
      </c>
      <c r="M43" s="119">
        <f t="shared" si="30"/>
        <v>0</v>
      </c>
      <c r="N43" s="119">
        <f t="shared" si="30"/>
        <v>0</v>
      </c>
      <c r="O43" s="119">
        <f t="shared" si="30"/>
        <v>0</v>
      </c>
      <c r="P43" s="119">
        <f t="shared" si="2"/>
        <v>0</v>
      </c>
    </row>
    <row r="44" spans="1:16" x14ac:dyDescent="0.25">
      <c r="A44" s="118" t="s">
        <v>219</v>
      </c>
      <c r="B44" s="115" t="s">
        <v>209</v>
      </c>
      <c r="C44" s="146">
        <v>0</v>
      </c>
      <c r="D44" s="119"/>
      <c r="E44" s="119"/>
      <c r="F44" s="119"/>
      <c r="G44" s="119"/>
      <c r="H44" s="119"/>
      <c r="I44" s="119"/>
      <c r="J44" s="120">
        <f>C44/6</f>
        <v>0</v>
      </c>
      <c r="K44" s="119">
        <f>$J44</f>
        <v>0</v>
      </c>
      <c r="L44" s="119">
        <f t="shared" ref="L44:O44" si="31">$J44</f>
        <v>0</v>
      </c>
      <c r="M44" s="119">
        <f t="shared" si="31"/>
        <v>0</v>
      </c>
      <c r="N44" s="119">
        <f t="shared" si="31"/>
        <v>0</v>
      </c>
      <c r="O44" s="119">
        <f t="shared" si="31"/>
        <v>0</v>
      </c>
      <c r="P44" s="119">
        <f t="shared" si="2"/>
        <v>0</v>
      </c>
    </row>
    <row r="45" spans="1:16" x14ac:dyDescent="0.25">
      <c r="A45" s="118" t="s">
        <v>176</v>
      </c>
      <c r="B45" s="115" t="s">
        <v>215</v>
      </c>
      <c r="C45" s="119">
        <v>0</v>
      </c>
      <c r="D45" s="119">
        <f>C45/12</f>
        <v>0</v>
      </c>
      <c r="E45" s="119">
        <f>$D45</f>
        <v>0</v>
      </c>
      <c r="F45" s="119">
        <f t="shared" ref="F45:O46" si="32">$D45</f>
        <v>0</v>
      </c>
      <c r="G45" s="119">
        <f t="shared" si="32"/>
        <v>0</v>
      </c>
      <c r="H45" s="119">
        <f t="shared" si="32"/>
        <v>0</v>
      </c>
      <c r="I45" s="119">
        <f t="shared" si="32"/>
        <v>0</v>
      </c>
      <c r="J45" s="119">
        <f t="shared" si="32"/>
        <v>0</v>
      </c>
      <c r="K45" s="119">
        <f t="shared" si="32"/>
        <v>0</v>
      </c>
      <c r="L45" s="119">
        <f t="shared" si="32"/>
        <v>0</v>
      </c>
      <c r="M45" s="119">
        <f t="shared" si="32"/>
        <v>0</v>
      </c>
      <c r="N45" s="119">
        <f t="shared" si="32"/>
        <v>0</v>
      </c>
      <c r="O45" s="119">
        <f t="shared" si="32"/>
        <v>0</v>
      </c>
      <c r="P45" s="119">
        <f t="shared" si="2"/>
        <v>0</v>
      </c>
    </row>
    <row r="46" spans="1:16" x14ac:dyDescent="0.25">
      <c r="A46" s="78" t="s">
        <v>170</v>
      </c>
      <c r="B46" s="115" t="s">
        <v>215</v>
      </c>
      <c r="C46" s="119">
        <v>0</v>
      </c>
      <c r="D46" s="119">
        <f>C46/12</f>
        <v>0</v>
      </c>
      <c r="E46" s="119">
        <f>$D46</f>
        <v>0</v>
      </c>
      <c r="F46" s="119">
        <f t="shared" si="32"/>
        <v>0</v>
      </c>
      <c r="G46" s="119">
        <f t="shared" si="32"/>
        <v>0</v>
      </c>
      <c r="H46" s="119">
        <f t="shared" si="32"/>
        <v>0</v>
      </c>
      <c r="I46" s="119">
        <f t="shared" si="32"/>
        <v>0</v>
      </c>
      <c r="J46" s="119">
        <f t="shared" si="32"/>
        <v>0</v>
      </c>
      <c r="K46" s="119">
        <f t="shared" si="32"/>
        <v>0</v>
      </c>
      <c r="L46" s="119">
        <f t="shared" si="32"/>
        <v>0</v>
      </c>
      <c r="M46" s="119">
        <f t="shared" si="32"/>
        <v>0</v>
      </c>
      <c r="N46" s="119">
        <f t="shared" si="32"/>
        <v>0</v>
      </c>
      <c r="O46" s="119">
        <f t="shared" si="32"/>
        <v>0</v>
      </c>
      <c r="P46" s="119">
        <f t="shared" si="2"/>
        <v>0</v>
      </c>
    </row>
    <row r="47" spans="1:16" ht="15.75" thickBot="1" x14ac:dyDescent="0.3">
      <c r="C47" s="116">
        <f>SUM(C5:C46)</f>
        <v>190480.29659300001</v>
      </c>
      <c r="D47" s="125">
        <f>SUM(D5:D46)</f>
        <v>15804.024716083333</v>
      </c>
      <c r="E47" s="125">
        <f t="shared" ref="E47:O47" si="33">SUM(E5:E46)</f>
        <v>15804.024716083333</v>
      </c>
      <c r="F47" s="125">
        <f t="shared" si="33"/>
        <v>15804.024716083333</v>
      </c>
      <c r="G47" s="125">
        <f t="shared" si="33"/>
        <v>15824.469160527779</v>
      </c>
      <c r="H47" s="125">
        <f t="shared" si="33"/>
        <v>15824.469160527779</v>
      </c>
      <c r="I47" s="125">
        <f t="shared" si="33"/>
        <v>15867.612017670635</v>
      </c>
      <c r="J47" s="125">
        <f t="shared" si="33"/>
        <v>15893.778684337301</v>
      </c>
      <c r="K47" s="125">
        <f t="shared" si="33"/>
        <v>15931.578684337303</v>
      </c>
      <c r="L47" s="125">
        <f t="shared" si="33"/>
        <v>15931.578684337303</v>
      </c>
      <c r="M47" s="125">
        <f t="shared" si="33"/>
        <v>15931.578684337303</v>
      </c>
      <c r="N47" s="125">
        <f t="shared" si="33"/>
        <v>15931.578684337303</v>
      </c>
      <c r="O47" s="125">
        <f t="shared" si="33"/>
        <v>15931.578684337303</v>
      </c>
      <c r="P47" s="119"/>
    </row>
    <row r="48" spans="1:16" x14ac:dyDescent="0.25">
      <c r="C48" s="119"/>
      <c r="D48" s="119"/>
      <c r="E48" s="119"/>
      <c r="F48" s="119"/>
      <c r="G48" s="119"/>
      <c r="H48" s="119"/>
      <c r="I48" s="119"/>
      <c r="J48" s="119"/>
      <c r="K48" s="119"/>
      <c r="L48" s="119"/>
      <c r="M48" s="119"/>
      <c r="N48" s="119"/>
      <c r="O48" s="119"/>
      <c r="P48" s="119"/>
    </row>
    <row r="49" spans="3:16" x14ac:dyDescent="0.25">
      <c r="C49" s="119"/>
      <c r="D49" s="122">
        <f>D47/$C$47</f>
        <v>8.2969341179953401E-2</v>
      </c>
      <c r="E49" s="122">
        <f t="shared" ref="E49:O49" si="34">E47/$C$47</f>
        <v>8.2969341179953401E-2</v>
      </c>
      <c r="F49" s="122">
        <f t="shared" si="34"/>
        <v>8.2969341179953401E-2</v>
      </c>
      <c r="G49" s="122">
        <f t="shared" si="34"/>
        <v>8.3076672199539792E-2</v>
      </c>
      <c r="H49" s="122">
        <f t="shared" si="34"/>
        <v>8.3076672199539792E-2</v>
      </c>
      <c r="I49" s="122">
        <f t="shared" si="34"/>
        <v>8.3303167316958901E-2</v>
      </c>
      <c r="J49" s="122">
        <f t="shared" si="34"/>
        <v>8.3440539355614296E-2</v>
      </c>
      <c r="K49" s="122">
        <f t="shared" si="34"/>
        <v>8.3638985077697403E-2</v>
      </c>
      <c r="L49" s="122">
        <f t="shared" si="34"/>
        <v>8.3638985077697403E-2</v>
      </c>
      <c r="M49" s="122">
        <f t="shared" si="34"/>
        <v>8.3638985077697403E-2</v>
      </c>
      <c r="N49" s="122">
        <f t="shared" si="34"/>
        <v>8.3638985077697403E-2</v>
      </c>
      <c r="O49" s="122">
        <f t="shared" si="34"/>
        <v>8.3638985077697403E-2</v>
      </c>
      <c r="P49" s="119"/>
    </row>
    <row r="50" spans="3:16" x14ac:dyDescent="0.25">
      <c r="C50" s="119"/>
      <c r="D50" s="119"/>
      <c r="E50" s="119"/>
      <c r="F50" s="119"/>
      <c r="G50" s="119"/>
      <c r="H50" s="119"/>
      <c r="I50" s="119"/>
      <c r="J50" s="119"/>
      <c r="K50" s="119"/>
      <c r="L50" s="119"/>
      <c r="M50" s="119"/>
      <c r="N50" s="119"/>
      <c r="O50" s="119"/>
      <c r="P50" s="119"/>
    </row>
    <row r="51" spans="3:16" x14ac:dyDescent="0.25">
      <c r="C51" s="119">
        <f>'[1]Pages 12 to 19 Supplement FT'!$Y$102</f>
        <v>190480.29659300001</v>
      </c>
      <c r="D51" s="119"/>
      <c r="E51" s="119"/>
      <c r="F51" s="119"/>
      <c r="G51" s="119"/>
      <c r="H51" s="119"/>
      <c r="I51" s="119"/>
      <c r="J51" s="119"/>
      <c r="K51" s="119"/>
      <c r="L51" s="119"/>
      <c r="M51" s="119"/>
      <c r="N51" s="119"/>
      <c r="O51" s="119"/>
      <c r="P51" s="119"/>
    </row>
    <row r="52" spans="3:16" x14ac:dyDescent="0.25">
      <c r="C52" s="119">
        <f>C47-C51</f>
        <v>0</v>
      </c>
      <c r="D52" s="119"/>
      <c r="E52" s="119"/>
      <c r="F52" s="119"/>
      <c r="G52" s="119"/>
      <c r="H52" s="119"/>
      <c r="I52" s="119"/>
      <c r="J52" s="119"/>
      <c r="K52" s="119"/>
      <c r="L52" s="119"/>
      <c r="M52" s="119"/>
      <c r="N52" s="119"/>
      <c r="O52" s="119"/>
      <c r="P52" s="119"/>
    </row>
    <row r="53" spans="3:16" x14ac:dyDescent="0.25">
      <c r="C53" s="119"/>
      <c r="D53" s="119"/>
      <c r="E53" s="119"/>
      <c r="F53" s="119"/>
      <c r="G53" s="119"/>
      <c r="H53" s="119"/>
      <c r="I53" s="119"/>
      <c r="J53" s="119"/>
      <c r="K53" s="119"/>
      <c r="L53" s="119"/>
      <c r="M53" s="119"/>
      <c r="N53" s="119"/>
      <c r="O53" s="119"/>
      <c r="P53" s="119"/>
    </row>
    <row r="54" spans="3:16" x14ac:dyDescent="0.25">
      <c r="C54" s="119"/>
      <c r="D54" s="119"/>
      <c r="E54" s="119"/>
      <c r="F54" s="119"/>
      <c r="G54" s="119"/>
      <c r="H54" s="119"/>
      <c r="I54" s="119"/>
      <c r="J54" s="119"/>
      <c r="K54" s="119"/>
      <c r="L54" s="119"/>
      <c r="M54" s="119"/>
      <c r="N54" s="119"/>
      <c r="O54" s="119"/>
      <c r="P54" s="119"/>
    </row>
    <row r="55" spans="3:16" x14ac:dyDescent="0.25">
      <c r="C55" s="119"/>
      <c r="D55" s="119"/>
      <c r="E55" s="119"/>
      <c r="F55" s="119"/>
      <c r="G55" s="119"/>
      <c r="H55" s="119"/>
      <c r="I55" s="119"/>
      <c r="J55" s="119"/>
      <c r="K55" s="119"/>
      <c r="L55" s="119"/>
      <c r="M55" s="119"/>
      <c r="N55" s="119"/>
      <c r="O55" s="119"/>
      <c r="P55" s="119"/>
    </row>
    <row r="56" spans="3:16" x14ac:dyDescent="0.25">
      <c r="C56" s="119"/>
      <c r="D56" s="119"/>
      <c r="E56" s="119"/>
      <c r="F56" s="119"/>
      <c r="G56" s="119"/>
      <c r="H56" s="119"/>
      <c r="I56" s="119"/>
      <c r="J56" s="119"/>
      <c r="K56" s="119"/>
      <c r="L56" s="119"/>
      <c r="M56" s="119"/>
      <c r="N56" s="119"/>
      <c r="O56" s="119"/>
      <c r="P56" s="119"/>
    </row>
    <row r="57" spans="3:16" x14ac:dyDescent="0.25">
      <c r="C57" s="119"/>
      <c r="D57" s="119"/>
      <c r="E57" s="119"/>
      <c r="F57" s="119"/>
      <c r="G57" s="119"/>
      <c r="H57" s="119"/>
      <c r="I57" s="119"/>
      <c r="J57" s="119"/>
      <c r="K57" s="119"/>
      <c r="L57" s="119"/>
      <c r="M57" s="119"/>
      <c r="N57" s="119"/>
      <c r="O57" s="119"/>
      <c r="P57" s="119"/>
    </row>
    <row r="58" spans="3:16" x14ac:dyDescent="0.25">
      <c r="C58" s="119"/>
      <c r="D58" s="119"/>
      <c r="E58" s="119"/>
      <c r="F58" s="119"/>
      <c r="G58" s="119"/>
      <c r="H58" s="119"/>
      <c r="I58" s="119"/>
      <c r="J58" s="119"/>
      <c r="K58" s="119"/>
      <c r="L58" s="119"/>
      <c r="M58" s="119"/>
      <c r="N58" s="119"/>
      <c r="O58" s="119"/>
      <c r="P58" s="119"/>
    </row>
    <row r="59" spans="3:16" x14ac:dyDescent="0.25">
      <c r="C59" s="119"/>
      <c r="D59" s="119"/>
      <c r="E59" s="119"/>
      <c r="F59" s="119"/>
      <c r="G59" s="119"/>
      <c r="H59" s="119"/>
      <c r="I59" s="119"/>
      <c r="J59" s="119"/>
      <c r="K59" s="119"/>
      <c r="L59" s="119"/>
      <c r="M59" s="119"/>
      <c r="N59" s="119"/>
      <c r="O59" s="119"/>
      <c r="P59" s="119"/>
    </row>
    <row r="60" spans="3:16" x14ac:dyDescent="0.25">
      <c r="C60" s="119"/>
      <c r="D60" s="119"/>
      <c r="E60" s="119"/>
      <c r="F60" s="119"/>
      <c r="G60" s="119"/>
      <c r="H60" s="119"/>
      <c r="I60" s="119"/>
      <c r="J60" s="119"/>
      <c r="K60" s="119"/>
      <c r="L60" s="119"/>
      <c r="M60" s="119"/>
      <c r="N60" s="119"/>
      <c r="O60" s="119"/>
      <c r="P60" s="119"/>
    </row>
    <row r="61" spans="3:16" x14ac:dyDescent="0.25">
      <c r="C61" s="119"/>
      <c r="D61" s="119"/>
      <c r="E61" s="119"/>
      <c r="F61" s="119"/>
      <c r="G61" s="119"/>
      <c r="H61" s="119"/>
      <c r="I61" s="119"/>
      <c r="J61" s="119"/>
      <c r="K61" s="119"/>
      <c r="L61" s="119"/>
      <c r="M61" s="119"/>
      <c r="N61" s="119"/>
      <c r="O61" s="119"/>
      <c r="P61" s="119"/>
    </row>
    <row r="62" spans="3:16" x14ac:dyDescent="0.25">
      <c r="C62" s="119"/>
      <c r="D62" s="119"/>
      <c r="E62" s="119"/>
      <c r="F62" s="119"/>
      <c r="G62" s="119"/>
      <c r="H62" s="119"/>
      <c r="I62" s="119"/>
      <c r="J62" s="119"/>
      <c r="K62" s="119"/>
      <c r="L62" s="119"/>
      <c r="M62" s="119"/>
      <c r="N62" s="119"/>
      <c r="O62" s="119"/>
      <c r="P62" s="119"/>
    </row>
    <row r="63" spans="3:16" x14ac:dyDescent="0.25">
      <c r="C63" s="119"/>
      <c r="D63" s="119"/>
      <c r="E63" s="119"/>
      <c r="F63" s="119"/>
      <c r="G63" s="119"/>
      <c r="H63" s="119"/>
      <c r="I63" s="119"/>
      <c r="J63" s="119"/>
      <c r="K63" s="119"/>
      <c r="L63" s="119"/>
      <c r="M63" s="119"/>
      <c r="N63" s="119"/>
      <c r="O63" s="119"/>
      <c r="P63" s="119"/>
    </row>
    <row r="64" spans="3:16" x14ac:dyDescent="0.25">
      <c r="C64" s="119"/>
      <c r="D64" s="119"/>
      <c r="E64" s="119"/>
      <c r="F64" s="119"/>
      <c r="G64" s="119"/>
      <c r="H64" s="119"/>
      <c r="I64" s="119"/>
      <c r="J64" s="119"/>
      <c r="K64" s="119"/>
      <c r="L64" s="119"/>
      <c r="M64" s="119"/>
      <c r="N64" s="119"/>
      <c r="O64" s="119"/>
      <c r="P64" s="119"/>
    </row>
    <row r="65" spans="3:16" x14ac:dyDescent="0.25">
      <c r="C65" s="119"/>
      <c r="D65" s="119"/>
      <c r="E65" s="119"/>
      <c r="F65" s="119"/>
      <c r="G65" s="119"/>
      <c r="H65" s="119"/>
      <c r="I65" s="119"/>
      <c r="J65" s="119"/>
      <c r="K65" s="119"/>
      <c r="L65" s="119"/>
      <c r="M65" s="119"/>
      <c r="N65" s="119"/>
      <c r="O65" s="119"/>
      <c r="P65" s="119"/>
    </row>
    <row r="66" spans="3:16" x14ac:dyDescent="0.25">
      <c r="C66" s="119"/>
      <c r="D66" s="119"/>
      <c r="E66" s="119"/>
      <c r="F66" s="119"/>
      <c r="G66" s="119"/>
      <c r="H66" s="119"/>
      <c r="I66" s="119"/>
      <c r="J66" s="119"/>
      <c r="K66" s="119"/>
      <c r="L66" s="119"/>
      <c r="M66" s="119"/>
      <c r="N66" s="119"/>
      <c r="O66" s="119"/>
      <c r="P66" s="119"/>
    </row>
    <row r="67" spans="3:16" x14ac:dyDescent="0.25">
      <c r="C67" s="119"/>
      <c r="D67" s="119"/>
      <c r="E67" s="119"/>
      <c r="F67" s="119"/>
      <c r="G67" s="119"/>
      <c r="H67" s="119"/>
      <c r="I67" s="119"/>
      <c r="J67" s="119"/>
      <c r="K67" s="119"/>
      <c r="L67" s="119"/>
      <c r="M67" s="119"/>
      <c r="N67" s="119"/>
      <c r="O67" s="119"/>
      <c r="P67" s="119"/>
    </row>
    <row r="68" spans="3:16" x14ac:dyDescent="0.25">
      <c r="C68" s="119"/>
      <c r="D68" s="119"/>
      <c r="E68" s="119"/>
      <c r="F68" s="119"/>
      <c r="G68" s="119"/>
      <c r="H68" s="119"/>
      <c r="I68" s="119"/>
      <c r="J68" s="119"/>
      <c r="K68" s="119"/>
      <c r="L68" s="119"/>
      <c r="M68" s="119"/>
      <c r="N68" s="119"/>
      <c r="O68" s="119"/>
      <c r="P68" s="119"/>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7"/>
  <sheetViews>
    <sheetView topLeftCell="H82" zoomScale="77" zoomScaleNormal="77" workbookViewId="0">
      <selection activeCell="W5" sqref="W5:W10"/>
    </sheetView>
  </sheetViews>
  <sheetFormatPr defaultRowHeight="15.75" x14ac:dyDescent="0.25"/>
  <cols>
    <col min="1" max="1" width="11.140625" style="3" customWidth="1"/>
    <col min="2" max="2" width="31.5703125" style="3" customWidth="1"/>
    <col min="3" max="3" width="19" style="3" customWidth="1"/>
    <col min="4" max="4" width="18.5703125" style="3" customWidth="1"/>
    <col min="5" max="5" width="51.42578125" style="3" customWidth="1"/>
    <col min="6" max="6" width="30.5703125" style="3" hidden="1" customWidth="1"/>
    <col min="7" max="7" width="0" style="3" hidden="1" customWidth="1"/>
    <col min="8" max="8" width="21" style="3" customWidth="1"/>
    <col min="9" max="9" width="20.7109375" style="3" customWidth="1"/>
    <col min="10" max="10" width="17.5703125" style="3" customWidth="1"/>
    <col min="11" max="11" width="20" style="3" customWidth="1"/>
    <col min="12" max="13" width="11.85546875" style="73" customWidth="1"/>
    <col min="14" max="14" width="12.7109375" style="3" customWidth="1"/>
    <col min="15" max="15" width="9.140625" style="3" customWidth="1"/>
    <col min="16" max="16" width="17.42578125" style="3" customWidth="1"/>
    <col min="17" max="17" width="15.42578125" style="133" customWidth="1"/>
    <col min="18" max="18" width="12.85546875" style="3" customWidth="1"/>
    <col min="19" max="19" width="16.42578125" style="133" customWidth="1"/>
    <col min="20" max="20" width="12.7109375" style="3" customWidth="1"/>
    <col min="21" max="21" width="13.140625" style="133" customWidth="1"/>
    <col min="22" max="22" width="11.42578125" style="3" customWidth="1"/>
    <col min="23" max="23" width="11.85546875" style="133" bestFit="1" customWidth="1"/>
    <col min="24" max="24" width="16.28515625" style="3" bestFit="1" customWidth="1"/>
    <col min="25" max="25" width="13.85546875" style="3" customWidth="1"/>
    <col min="26" max="16384" width="9.140625" style="3"/>
  </cols>
  <sheetData>
    <row r="1" spans="1:25" x14ac:dyDescent="0.25">
      <c r="A1" s="10"/>
      <c r="B1" s="9"/>
      <c r="C1" s="8"/>
      <c r="D1" s="8"/>
      <c r="E1" s="23" t="s">
        <v>17</v>
      </c>
      <c r="F1" s="23"/>
      <c r="G1" s="11"/>
      <c r="H1" s="6"/>
      <c r="I1" s="6"/>
      <c r="J1" s="6"/>
    </row>
    <row r="2" spans="1:25" ht="45.75" x14ac:dyDescent="0.25">
      <c r="A2" s="32" t="s">
        <v>18</v>
      </c>
      <c r="B2" s="18" t="s">
        <v>19</v>
      </c>
      <c r="C2" s="19">
        <v>2022</v>
      </c>
      <c r="D2" s="19">
        <v>2023</v>
      </c>
      <c r="E2" s="18" t="s">
        <v>20</v>
      </c>
      <c r="F2" s="18" t="s">
        <v>21</v>
      </c>
      <c r="G2" s="24" t="s">
        <v>22</v>
      </c>
      <c r="H2" s="19">
        <v>2022</v>
      </c>
      <c r="I2" s="19">
        <v>2023</v>
      </c>
      <c r="J2" s="80" t="s">
        <v>201</v>
      </c>
      <c r="K2" s="80" t="s">
        <v>202</v>
      </c>
      <c r="L2" s="73" t="s">
        <v>200</v>
      </c>
      <c r="N2" s="128" t="s">
        <v>199</v>
      </c>
      <c r="P2" s="128" t="s">
        <v>221</v>
      </c>
      <c r="Q2" s="134" t="s">
        <v>222</v>
      </c>
      <c r="R2" s="128" t="s">
        <v>223</v>
      </c>
      <c r="S2" s="134" t="s">
        <v>224</v>
      </c>
      <c r="T2" s="128" t="s">
        <v>225</v>
      </c>
      <c r="U2" s="134" t="s">
        <v>226</v>
      </c>
      <c r="V2" s="128" t="s">
        <v>227</v>
      </c>
      <c r="W2" s="134" t="s">
        <v>228</v>
      </c>
      <c r="X2" s="3" t="s">
        <v>229</v>
      </c>
      <c r="Y2" s="3" t="s">
        <v>230</v>
      </c>
    </row>
    <row r="3" spans="1:25" x14ac:dyDescent="0.25">
      <c r="A3" s="29"/>
      <c r="B3" s="30"/>
      <c r="C3" s="31"/>
      <c r="D3" s="31"/>
      <c r="E3" s="30"/>
      <c r="F3" s="30"/>
      <c r="G3" s="23"/>
      <c r="H3" s="31"/>
      <c r="I3" s="31"/>
      <c r="J3" s="6"/>
      <c r="Q3" s="135"/>
      <c r="R3" s="129"/>
      <c r="S3" s="135"/>
      <c r="T3" s="129"/>
      <c r="U3" s="135"/>
      <c r="V3" s="129"/>
      <c r="W3" s="135"/>
      <c r="X3" s="129"/>
      <c r="Y3" s="129"/>
    </row>
    <row r="4" spans="1:25" x14ac:dyDescent="0.25">
      <c r="A4" s="33" t="s">
        <v>25</v>
      </c>
      <c r="B4" s="34" t="s">
        <v>26</v>
      </c>
      <c r="C4" s="49">
        <v>4731057</v>
      </c>
      <c r="D4" s="49">
        <v>4775070</v>
      </c>
      <c r="E4" s="34" t="s">
        <v>27</v>
      </c>
      <c r="F4" s="38"/>
      <c r="G4" s="46">
        <v>1</v>
      </c>
      <c r="H4" s="49">
        <v>4731057</v>
      </c>
      <c r="I4" s="49">
        <v>4775070</v>
      </c>
      <c r="J4" s="20"/>
      <c r="K4" s="4">
        <f t="shared" ref="K4:K10" si="0">H4</f>
        <v>4731057</v>
      </c>
      <c r="M4" s="4">
        <f>H4-J4-K4</f>
        <v>0</v>
      </c>
      <c r="Q4" s="135">
        <v>3463256</v>
      </c>
      <c r="R4" s="129"/>
      <c r="S4" s="135">
        <v>1243306</v>
      </c>
      <c r="T4" s="129"/>
      <c r="U4" s="135">
        <v>9425</v>
      </c>
      <c r="V4" s="129"/>
      <c r="W4" s="135">
        <v>15070</v>
      </c>
      <c r="X4" s="129">
        <f>SUM(P4:W4)</f>
        <v>4731057</v>
      </c>
      <c r="Y4" s="129">
        <f>J4+K4-X4</f>
        <v>0</v>
      </c>
    </row>
    <row r="5" spans="1:25" ht="30" x14ac:dyDescent="0.25">
      <c r="A5" s="33">
        <v>924</v>
      </c>
      <c r="B5" s="34" t="s">
        <v>28</v>
      </c>
      <c r="C5" s="35">
        <v>0</v>
      </c>
      <c r="D5" s="35">
        <v>10000</v>
      </c>
      <c r="E5" s="52" t="s">
        <v>29</v>
      </c>
      <c r="F5" s="38" t="s">
        <v>30</v>
      </c>
      <c r="G5" s="46">
        <v>1</v>
      </c>
      <c r="H5" s="49">
        <v>0</v>
      </c>
      <c r="I5" s="49">
        <v>10000</v>
      </c>
      <c r="J5" s="49"/>
      <c r="K5" s="4">
        <f t="shared" si="0"/>
        <v>0</v>
      </c>
      <c r="L5" s="73" t="s">
        <v>186</v>
      </c>
      <c r="M5" s="4">
        <f t="shared" ref="M5:M10" si="1">H5-J5-K5</f>
        <v>0</v>
      </c>
      <c r="Q5" s="135"/>
      <c r="R5" s="129"/>
      <c r="S5" s="135"/>
      <c r="T5" s="129"/>
      <c r="U5" s="135"/>
      <c r="V5" s="129"/>
      <c r="W5" s="135"/>
      <c r="X5" s="129">
        <f>SUM(P5:W5)</f>
        <v>0</v>
      </c>
      <c r="Y5" s="129">
        <f>J5+K5-X5</f>
        <v>0</v>
      </c>
    </row>
    <row r="6" spans="1:25" x14ac:dyDescent="0.25">
      <c r="A6" s="33">
        <v>924</v>
      </c>
      <c r="B6" s="34" t="s">
        <v>31</v>
      </c>
      <c r="C6" s="35">
        <v>140361</v>
      </c>
      <c r="D6" s="35">
        <v>157658</v>
      </c>
      <c r="E6" s="34" t="s">
        <v>32</v>
      </c>
      <c r="F6" s="38" t="s">
        <v>33</v>
      </c>
      <c r="G6" s="65">
        <v>1</v>
      </c>
      <c r="H6" s="49">
        <v>140361</v>
      </c>
      <c r="I6" s="49">
        <v>157658</v>
      </c>
      <c r="J6" s="22"/>
      <c r="K6" s="4">
        <f t="shared" si="0"/>
        <v>140361</v>
      </c>
      <c r="L6" s="73" t="s">
        <v>183</v>
      </c>
      <c r="M6" s="4">
        <f t="shared" si="1"/>
        <v>0</v>
      </c>
      <c r="Q6" s="135">
        <f>86156+10408</f>
        <v>96564</v>
      </c>
      <c r="R6" s="129"/>
      <c r="S6" s="135">
        <f>40648+1236</f>
        <v>41884</v>
      </c>
      <c r="T6" s="129"/>
      <c r="U6" s="135">
        <f>1390+26</f>
        <v>1416</v>
      </c>
      <c r="V6" s="129"/>
      <c r="W6" s="135">
        <f>492+5</f>
        <v>497</v>
      </c>
      <c r="X6" s="129">
        <f>SUM(P6:W6)</f>
        <v>140361</v>
      </c>
      <c r="Y6" s="129">
        <f>J6+K6-X6</f>
        <v>0</v>
      </c>
    </row>
    <row r="7" spans="1:25" x14ac:dyDescent="0.25">
      <c r="A7" s="33">
        <v>925</v>
      </c>
      <c r="B7" s="34" t="s">
        <v>34</v>
      </c>
      <c r="C7" s="36">
        <v>2215200</v>
      </c>
      <c r="D7" s="36">
        <v>2621049</v>
      </c>
      <c r="E7" s="34" t="s">
        <v>32</v>
      </c>
      <c r="F7" s="38" t="s">
        <v>33</v>
      </c>
      <c r="G7" s="65">
        <v>1</v>
      </c>
      <c r="H7" s="49">
        <v>2215200</v>
      </c>
      <c r="I7" s="49">
        <v>2621049</v>
      </c>
      <c r="J7" s="13"/>
      <c r="K7" s="4">
        <f t="shared" si="0"/>
        <v>2215200</v>
      </c>
      <c r="L7" s="73" t="s">
        <v>183</v>
      </c>
      <c r="M7" s="4">
        <f t="shared" si="1"/>
        <v>0</v>
      </c>
      <c r="Q7" s="135">
        <f>1226229+285713</f>
        <v>1511942</v>
      </c>
      <c r="R7" s="129"/>
      <c r="S7" s="135">
        <f>507071+176167</f>
        <v>683238</v>
      </c>
      <c r="T7" s="129"/>
      <c r="U7" s="135">
        <f>8089+5820</f>
        <v>13909</v>
      </c>
      <c r="V7" s="129"/>
      <c r="W7" s="135">
        <f>953+5158</f>
        <v>6111</v>
      </c>
      <c r="X7" s="129">
        <f>SUM(P7:W7)</f>
        <v>2215200</v>
      </c>
      <c r="Y7" s="129">
        <f>J7+K7-X7</f>
        <v>0</v>
      </c>
    </row>
    <row r="8" spans="1:25" x14ac:dyDescent="0.25">
      <c r="A8" s="33">
        <v>925</v>
      </c>
      <c r="B8" s="40" t="s">
        <v>35</v>
      </c>
      <c r="C8" s="36">
        <v>268619</v>
      </c>
      <c r="D8" s="36">
        <v>276966</v>
      </c>
      <c r="E8" s="34" t="s">
        <v>36</v>
      </c>
      <c r="F8" s="38" t="s">
        <v>33</v>
      </c>
      <c r="G8" s="65">
        <v>1</v>
      </c>
      <c r="H8" s="49">
        <v>268619</v>
      </c>
      <c r="I8" s="49">
        <v>276966</v>
      </c>
      <c r="J8" s="13"/>
      <c r="K8" s="4">
        <f t="shared" si="0"/>
        <v>268619</v>
      </c>
      <c r="L8" s="73" t="s">
        <v>187</v>
      </c>
      <c r="M8" s="4">
        <f t="shared" si="1"/>
        <v>0</v>
      </c>
      <c r="Q8" s="135">
        <v>253372</v>
      </c>
      <c r="R8" s="129"/>
      <c r="S8" s="135">
        <v>15247</v>
      </c>
      <c r="T8" s="129"/>
      <c r="U8" s="135"/>
      <c r="V8" s="129"/>
      <c r="W8" s="135"/>
      <c r="X8" s="129">
        <f>SUM(P8:W8)</f>
        <v>268619</v>
      </c>
      <c r="Y8" s="129">
        <f>J8+K8-X8</f>
        <v>0</v>
      </c>
    </row>
    <row r="9" spans="1:25" ht="45" x14ac:dyDescent="0.25">
      <c r="A9" s="33">
        <v>928</v>
      </c>
      <c r="B9" s="66" t="s">
        <v>37</v>
      </c>
      <c r="C9" s="47">
        <v>0</v>
      </c>
      <c r="D9" s="35">
        <v>685515</v>
      </c>
      <c r="E9" s="63" t="s">
        <v>38</v>
      </c>
      <c r="F9" s="38" t="s">
        <v>30</v>
      </c>
      <c r="G9" s="46">
        <v>1</v>
      </c>
      <c r="H9" s="49">
        <v>0</v>
      </c>
      <c r="I9" s="49">
        <v>685515</v>
      </c>
      <c r="J9" s="20"/>
      <c r="K9" s="4">
        <f t="shared" si="0"/>
        <v>0</v>
      </c>
      <c r="L9" s="73" t="s">
        <v>188</v>
      </c>
      <c r="M9" s="4">
        <f t="shared" si="1"/>
        <v>0</v>
      </c>
      <c r="Q9" s="135"/>
      <c r="R9" s="129"/>
      <c r="S9" s="135"/>
      <c r="T9" s="129"/>
      <c r="U9" s="135"/>
      <c r="V9" s="129"/>
      <c r="W9" s="135"/>
      <c r="X9" s="129">
        <f>SUM(P9:W9)</f>
        <v>0</v>
      </c>
      <c r="Y9" s="129">
        <f>J9+K9-X9</f>
        <v>0</v>
      </c>
    </row>
    <row r="10" spans="1:25" x14ac:dyDescent="0.25">
      <c r="A10" s="33">
        <v>931</v>
      </c>
      <c r="B10" s="34" t="s">
        <v>24</v>
      </c>
      <c r="C10" s="35">
        <v>326882</v>
      </c>
      <c r="D10" s="35">
        <v>534361</v>
      </c>
      <c r="E10" s="34" t="s">
        <v>39</v>
      </c>
      <c r="F10" s="38" t="s">
        <v>30</v>
      </c>
      <c r="G10" s="65">
        <v>1</v>
      </c>
      <c r="H10" s="49">
        <v>326882</v>
      </c>
      <c r="I10" s="49">
        <v>534361</v>
      </c>
      <c r="J10" s="20"/>
      <c r="K10" s="4">
        <f t="shared" si="0"/>
        <v>326882</v>
      </c>
      <c r="L10" s="73" t="s">
        <v>185</v>
      </c>
      <c r="M10" s="4">
        <f t="shared" si="1"/>
        <v>0</v>
      </c>
      <c r="Q10" s="135">
        <v>255499</v>
      </c>
      <c r="R10" s="129"/>
      <c r="S10" s="135">
        <v>70426</v>
      </c>
      <c r="T10" s="129"/>
      <c r="U10" s="135">
        <v>919</v>
      </c>
      <c r="V10" s="129"/>
      <c r="W10" s="135">
        <v>38</v>
      </c>
      <c r="X10" s="129">
        <f>SUM(P10:W10)</f>
        <v>326882</v>
      </c>
      <c r="Y10" s="129">
        <f>J10+K10-X10</f>
        <v>0</v>
      </c>
    </row>
    <row r="11" spans="1:25" x14ac:dyDescent="0.25">
      <c r="A11" s="27"/>
      <c r="B11" s="17" t="s">
        <v>40</v>
      </c>
      <c r="C11" s="57">
        <v>7891701</v>
      </c>
      <c r="D11" s="57">
        <v>9060619</v>
      </c>
      <c r="E11" s="17"/>
      <c r="F11" s="26"/>
      <c r="G11" s="25"/>
      <c r="H11" s="57">
        <f>SUM(H4:H10)</f>
        <v>7682119</v>
      </c>
      <c r="I11" s="82">
        <f>SUM(I4:I10)</f>
        <v>9060619</v>
      </c>
      <c r="J11" s="82">
        <f t="shared" ref="J11:K11" si="2">SUM(J4:J10)</f>
        <v>0</v>
      </c>
      <c r="K11" s="82">
        <f t="shared" si="2"/>
        <v>7682119</v>
      </c>
      <c r="Q11" s="82">
        <f t="shared" ref="Q11:X11" si="3">SUM(Q4:Q10)</f>
        <v>5580633</v>
      </c>
      <c r="R11" s="82">
        <f t="shared" si="3"/>
        <v>0</v>
      </c>
      <c r="S11" s="82">
        <f t="shared" si="3"/>
        <v>2054101</v>
      </c>
      <c r="T11" s="82">
        <f t="shared" si="3"/>
        <v>0</v>
      </c>
      <c r="U11" s="82">
        <f t="shared" si="3"/>
        <v>25669</v>
      </c>
      <c r="V11" s="82">
        <f t="shared" si="3"/>
        <v>0</v>
      </c>
      <c r="W11" s="82">
        <f t="shared" si="3"/>
        <v>21716</v>
      </c>
      <c r="X11" s="82">
        <f t="shared" si="3"/>
        <v>7682119</v>
      </c>
      <c r="Y11" s="129"/>
    </row>
    <row r="12" spans="1:25" x14ac:dyDescent="0.25">
      <c r="A12" s="27"/>
      <c r="B12" s="17"/>
      <c r="C12" s="54"/>
      <c r="D12" s="54"/>
      <c r="E12" s="17"/>
      <c r="F12" s="26"/>
      <c r="G12" s="25"/>
      <c r="H12" s="54"/>
      <c r="I12" s="54"/>
      <c r="J12" s="20"/>
      <c r="Q12" s="135"/>
      <c r="R12" s="129"/>
      <c r="S12" s="135"/>
      <c r="T12" s="129"/>
      <c r="U12" s="135"/>
      <c r="V12" s="129"/>
      <c r="W12" s="135"/>
      <c r="X12" s="129"/>
      <c r="Y12" s="129"/>
    </row>
    <row r="13" spans="1:25" x14ac:dyDescent="0.25">
      <c r="A13" s="27"/>
      <c r="B13" s="17" t="s">
        <v>41</v>
      </c>
      <c r="C13" s="22">
        <v>-2403673</v>
      </c>
      <c r="D13" s="22">
        <v>-2403673</v>
      </c>
      <c r="E13" s="17"/>
      <c r="F13" s="26"/>
      <c r="G13" s="25"/>
      <c r="H13" s="22">
        <v>-2403673</v>
      </c>
      <c r="I13" s="22">
        <v>-2403673</v>
      </c>
      <c r="J13" s="20"/>
      <c r="K13" s="4">
        <f>H13</f>
        <v>-2403673</v>
      </c>
      <c r="M13" s="4">
        <f t="shared" ref="M13:M14" si="4">H13-J13-K13</f>
        <v>0</v>
      </c>
      <c r="Q13" s="135">
        <f>-(85189+1292863+242023)-7</f>
        <v>-1620082</v>
      </c>
      <c r="R13" s="129"/>
      <c r="S13" s="135">
        <f>-38503-626459-92242</f>
        <v>-757204</v>
      </c>
      <c r="T13" s="129"/>
      <c r="U13" s="135">
        <f>-1204-10967-5674</f>
        <v>-17845</v>
      </c>
      <c r="V13" s="129"/>
      <c r="W13" s="135">
        <f>-391-8150-1</f>
        <v>-8542</v>
      </c>
      <c r="X13" s="129">
        <f>SUM(P13:W13)</f>
        <v>-2403673</v>
      </c>
      <c r="Y13" s="129">
        <f>J13+K13-X13</f>
        <v>0</v>
      </c>
    </row>
    <row r="14" spans="1:25" x14ac:dyDescent="0.25">
      <c r="A14" s="27"/>
      <c r="B14" s="17" t="s">
        <v>42</v>
      </c>
      <c r="C14" s="22">
        <v>-4731057</v>
      </c>
      <c r="D14" s="22">
        <v>-4775070</v>
      </c>
      <c r="E14" s="17"/>
      <c r="F14" s="26"/>
      <c r="G14" s="25"/>
      <c r="H14" s="22">
        <v>-4731057</v>
      </c>
      <c r="I14" s="22">
        <v>-4775070</v>
      </c>
      <c r="J14" s="20"/>
      <c r="K14" s="4">
        <f>H14</f>
        <v>-4731057</v>
      </c>
      <c r="M14" s="4">
        <f t="shared" si="4"/>
        <v>0</v>
      </c>
      <c r="Q14" s="4">
        <f>-Q4</f>
        <v>-3463256</v>
      </c>
      <c r="R14" s="129"/>
      <c r="S14" s="4">
        <f>-S4</f>
        <v>-1243306</v>
      </c>
      <c r="T14" s="129"/>
      <c r="U14" s="4">
        <f>-U4</f>
        <v>-9425</v>
      </c>
      <c r="V14" s="129"/>
      <c r="W14" s="4">
        <f>-W4</f>
        <v>-15070</v>
      </c>
      <c r="X14" s="129">
        <f>SUM(P14:W14)</f>
        <v>-4731057</v>
      </c>
      <c r="Y14" s="129">
        <f>J14+K14-X14</f>
        <v>0</v>
      </c>
    </row>
    <row r="15" spans="1:25" x14ac:dyDescent="0.25">
      <c r="A15" s="27"/>
      <c r="B15" s="17"/>
      <c r="C15" s="22"/>
      <c r="D15" s="22"/>
      <c r="E15" s="17"/>
      <c r="F15" s="26"/>
      <c r="G15" s="25"/>
      <c r="H15" s="22"/>
      <c r="I15" s="22"/>
      <c r="J15" s="20"/>
      <c r="Q15" s="135"/>
      <c r="R15" s="129"/>
      <c r="S15" s="135"/>
      <c r="T15" s="129"/>
      <c r="U15" s="135"/>
      <c r="V15" s="129"/>
      <c r="W15" s="135"/>
      <c r="X15" s="129"/>
      <c r="Y15" s="129"/>
    </row>
    <row r="16" spans="1:25" ht="16.5" thickBot="1" x14ac:dyDescent="0.3">
      <c r="A16" s="27"/>
      <c r="B16" s="17" t="s">
        <v>43</v>
      </c>
      <c r="C16" s="53">
        <v>756971</v>
      </c>
      <c r="D16" s="53">
        <v>1881876</v>
      </c>
      <c r="E16" s="17"/>
      <c r="F16" s="26"/>
      <c r="G16" s="25"/>
      <c r="H16" s="53">
        <f>H11+H13+H14</f>
        <v>547389</v>
      </c>
      <c r="I16" s="83">
        <f t="shared" ref="I16:K16" si="5">I11+I13+I14</f>
        <v>1881876</v>
      </c>
      <c r="J16" s="83">
        <f t="shared" si="5"/>
        <v>0</v>
      </c>
      <c r="K16" s="83">
        <f t="shared" si="5"/>
        <v>547389</v>
      </c>
      <c r="Q16" s="83">
        <f t="shared" ref="Q16:W16" si="6">Q11+Q13+Q14</f>
        <v>497295</v>
      </c>
      <c r="R16" s="83">
        <f t="shared" si="6"/>
        <v>0</v>
      </c>
      <c r="S16" s="83">
        <f t="shared" si="6"/>
        <v>53591</v>
      </c>
      <c r="T16" s="83">
        <f t="shared" si="6"/>
        <v>0</v>
      </c>
      <c r="U16" s="83">
        <f t="shared" si="6"/>
        <v>-1601</v>
      </c>
      <c r="V16" s="83">
        <f t="shared" si="6"/>
        <v>0</v>
      </c>
      <c r="W16" s="83">
        <f t="shared" si="6"/>
        <v>-1896</v>
      </c>
      <c r="X16" s="129"/>
      <c r="Y16" s="129"/>
    </row>
    <row r="17" spans="1:25" x14ac:dyDescent="0.25">
      <c r="A17" s="27"/>
      <c r="B17" s="17"/>
      <c r="C17" s="22"/>
      <c r="D17" s="22"/>
      <c r="E17" s="17"/>
      <c r="F17" s="26"/>
      <c r="G17" s="25"/>
      <c r="H17" s="22"/>
      <c r="I17" s="22"/>
      <c r="J17" s="20"/>
      <c r="Q17" s="135"/>
      <c r="R17" s="129"/>
      <c r="S17" s="135"/>
      <c r="T17" s="129"/>
      <c r="U17" s="135"/>
      <c r="V17" s="129"/>
      <c r="W17" s="135"/>
      <c r="X17" s="129"/>
      <c r="Y17" s="129"/>
    </row>
    <row r="18" spans="1:25" ht="30" x14ac:dyDescent="0.25">
      <c r="A18" s="33">
        <v>874</v>
      </c>
      <c r="B18" s="34" t="s">
        <v>44</v>
      </c>
      <c r="C18" s="35">
        <v>9012</v>
      </c>
      <c r="D18" s="35">
        <v>9012</v>
      </c>
      <c r="E18" s="52" t="s">
        <v>45</v>
      </c>
      <c r="F18" s="38" t="s">
        <v>46</v>
      </c>
      <c r="G18" s="46">
        <v>1</v>
      </c>
      <c r="H18" s="35">
        <v>9012</v>
      </c>
      <c r="I18" s="35">
        <v>9012</v>
      </c>
      <c r="J18" s="20"/>
      <c r="K18" s="5">
        <f t="shared" ref="K18:K25" si="7">H18</f>
        <v>9012</v>
      </c>
      <c r="L18" s="73" t="s">
        <v>182</v>
      </c>
      <c r="M18" s="4">
        <f t="shared" ref="M18:M79" si="8">H18-J18-K18</f>
        <v>0</v>
      </c>
      <c r="P18" s="129"/>
      <c r="Q18" s="135">
        <v>7560</v>
      </c>
      <c r="R18" s="129"/>
      <c r="S18" s="135">
        <v>1452</v>
      </c>
      <c r="T18" s="129"/>
      <c r="U18" s="135"/>
      <c r="V18" s="129"/>
      <c r="W18" s="135"/>
      <c r="X18" s="129">
        <f>SUM(P18:W18)</f>
        <v>9012</v>
      </c>
      <c r="Y18" s="129">
        <f>J18+K18-X18</f>
        <v>0</v>
      </c>
    </row>
    <row r="19" spans="1:25" ht="45" x14ac:dyDescent="0.25">
      <c r="A19" s="33">
        <v>887</v>
      </c>
      <c r="B19" s="34" t="s">
        <v>44</v>
      </c>
      <c r="C19" s="35">
        <v>19318</v>
      </c>
      <c r="D19" s="35">
        <v>19318</v>
      </c>
      <c r="E19" s="37" t="s">
        <v>47</v>
      </c>
      <c r="F19" s="38" t="s">
        <v>46</v>
      </c>
      <c r="G19" s="46">
        <v>1</v>
      </c>
      <c r="H19" s="35">
        <v>19318</v>
      </c>
      <c r="I19" s="35">
        <v>19318</v>
      </c>
      <c r="J19" s="60"/>
      <c r="K19" s="5">
        <f t="shared" si="7"/>
        <v>19318</v>
      </c>
      <c r="L19" s="73" t="s">
        <v>182</v>
      </c>
      <c r="M19" s="4">
        <f t="shared" si="8"/>
        <v>0</v>
      </c>
      <c r="P19" s="129"/>
      <c r="Q19" s="135"/>
      <c r="R19" s="129"/>
      <c r="S19" s="135">
        <v>19318</v>
      </c>
      <c r="T19" s="129"/>
      <c r="U19" s="135"/>
      <c r="V19" s="129"/>
      <c r="W19" s="135"/>
      <c r="X19" s="129">
        <f>SUM(P19:W19)</f>
        <v>19318</v>
      </c>
      <c r="Y19" s="129">
        <f>J19+K19-X19</f>
        <v>0</v>
      </c>
    </row>
    <row r="20" spans="1:25" x14ac:dyDescent="0.25">
      <c r="A20" s="33">
        <v>904</v>
      </c>
      <c r="B20" s="48" t="s">
        <v>48</v>
      </c>
      <c r="C20" s="47">
        <v>45575</v>
      </c>
      <c r="D20" s="47">
        <v>48224</v>
      </c>
      <c r="E20" s="34" t="s">
        <v>49</v>
      </c>
      <c r="F20" s="38" t="s">
        <v>23</v>
      </c>
      <c r="G20" s="46">
        <v>1</v>
      </c>
      <c r="H20" s="47">
        <v>45575</v>
      </c>
      <c r="I20" s="47">
        <v>48224</v>
      </c>
      <c r="J20" s="12"/>
      <c r="K20" s="5">
        <f t="shared" si="7"/>
        <v>45575</v>
      </c>
      <c r="L20" s="73" t="s">
        <v>194</v>
      </c>
      <c r="M20" s="4">
        <f t="shared" si="8"/>
        <v>0</v>
      </c>
      <c r="P20" s="129"/>
      <c r="Q20" s="135">
        <v>-114959</v>
      </c>
      <c r="R20" s="129"/>
      <c r="S20" s="135">
        <v>159159</v>
      </c>
      <c r="T20" s="129"/>
      <c r="U20" s="135">
        <v>1174</v>
      </c>
      <c r="V20" s="129"/>
      <c r="W20" s="135">
        <v>201</v>
      </c>
      <c r="X20" s="129">
        <f>SUM(P20:W20)</f>
        <v>45575</v>
      </c>
      <c r="Y20" s="129">
        <f>J20+K20-X20</f>
        <v>0</v>
      </c>
    </row>
    <row r="21" spans="1:25" s="143" customFormat="1" ht="45" x14ac:dyDescent="0.25">
      <c r="A21" s="33">
        <v>913</v>
      </c>
      <c r="B21" s="72" t="s">
        <v>50</v>
      </c>
      <c r="C21" s="35">
        <v>329065</v>
      </c>
      <c r="D21" s="36">
        <v>348143</v>
      </c>
      <c r="E21" s="64" t="s">
        <v>51</v>
      </c>
      <c r="F21" s="38" t="s">
        <v>52</v>
      </c>
      <c r="G21" s="39">
        <v>0.32100000000000001</v>
      </c>
      <c r="H21" s="35">
        <v>105629.75999999999</v>
      </c>
      <c r="I21" s="36">
        <v>111754</v>
      </c>
      <c r="J21" s="41"/>
      <c r="K21" s="144">
        <f t="shared" si="7"/>
        <v>105629.75999999999</v>
      </c>
      <c r="L21" s="76" t="s">
        <v>196</v>
      </c>
      <c r="M21" s="140">
        <f t="shared" si="8"/>
        <v>0</v>
      </c>
      <c r="P21" s="141"/>
      <c r="Q21" s="142">
        <v>88683</v>
      </c>
      <c r="R21" s="141"/>
      <c r="S21" s="142">
        <v>16604</v>
      </c>
      <c r="T21" s="141"/>
      <c r="U21" s="142">
        <v>343</v>
      </c>
      <c r="V21" s="141"/>
      <c r="W21" s="142"/>
      <c r="X21" s="141">
        <f>SUM(P21:W21)</f>
        <v>105630</v>
      </c>
      <c r="Y21" s="141">
        <f>J21+K21-X21</f>
        <v>-0.24000000000523869</v>
      </c>
    </row>
    <row r="22" spans="1:25" x14ac:dyDescent="0.25">
      <c r="A22" s="33">
        <v>921</v>
      </c>
      <c r="B22" s="34" t="s">
        <v>53</v>
      </c>
      <c r="C22" s="35">
        <v>42848</v>
      </c>
      <c r="D22" s="35">
        <v>44179</v>
      </c>
      <c r="E22" s="34" t="s">
        <v>54</v>
      </c>
      <c r="F22" s="38" t="s">
        <v>55</v>
      </c>
      <c r="G22" s="46">
        <v>0.67920000000000003</v>
      </c>
      <c r="H22" s="35">
        <v>29104</v>
      </c>
      <c r="I22" s="35">
        <v>30008</v>
      </c>
      <c r="J22" s="20"/>
      <c r="K22" s="5">
        <f t="shared" si="7"/>
        <v>29104</v>
      </c>
      <c r="L22" s="73" t="s">
        <v>181</v>
      </c>
      <c r="M22" s="4">
        <f t="shared" si="8"/>
        <v>0</v>
      </c>
      <c r="P22" s="129"/>
      <c r="Q22" s="135">
        <v>26184</v>
      </c>
      <c r="R22" s="129"/>
      <c r="S22" s="135">
        <v>2892</v>
      </c>
      <c r="T22" s="129"/>
      <c r="U22" s="135">
        <v>19</v>
      </c>
      <c r="V22" s="129"/>
      <c r="W22" s="135">
        <v>9</v>
      </c>
      <c r="X22" s="129">
        <f>SUM(P22:W22)</f>
        <v>29104</v>
      </c>
      <c r="Y22" s="129">
        <f>J22+K22-X22</f>
        <v>0</v>
      </c>
    </row>
    <row r="23" spans="1:25" s="143" customFormat="1" ht="60" x14ac:dyDescent="0.25">
      <c r="A23" s="33">
        <v>921</v>
      </c>
      <c r="B23" s="78" t="s">
        <v>56</v>
      </c>
      <c r="C23" s="35">
        <v>386062</v>
      </c>
      <c r="D23" s="36">
        <v>407800</v>
      </c>
      <c r="E23" s="37" t="s">
        <v>57</v>
      </c>
      <c r="F23" s="38" t="s">
        <v>55</v>
      </c>
      <c r="G23" s="39">
        <v>0.1968</v>
      </c>
      <c r="H23" s="35">
        <v>75977</v>
      </c>
      <c r="I23" s="36">
        <v>80254</v>
      </c>
      <c r="J23" s="41"/>
      <c r="K23" s="144">
        <f t="shared" si="7"/>
        <v>75977</v>
      </c>
      <c r="L23" s="76" t="s">
        <v>198</v>
      </c>
      <c r="M23" s="140">
        <f t="shared" si="8"/>
        <v>0</v>
      </c>
      <c r="P23" s="141"/>
      <c r="Q23" s="142">
        <v>53336</v>
      </c>
      <c r="R23" s="141"/>
      <c r="S23" s="142">
        <v>22180</v>
      </c>
      <c r="T23" s="141"/>
      <c r="U23" s="142">
        <v>402</v>
      </c>
      <c r="V23" s="141"/>
      <c r="W23" s="142">
        <v>59</v>
      </c>
      <c r="X23" s="141">
        <f>SUM(P23:W23)</f>
        <v>75977</v>
      </c>
      <c r="Y23" s="141">
        <f>J23+K23-X23</f>
        <v>0</v>
      </c>
    </row>
    <row r="24" spans="1:25" s="143" customFormat="1" ht="60" x14ac:dyDescent="0.25">
      <c r="A24" s="33">
        <v>903</v>
      </c>
      <c r="B24" s="78" t="s">
        <v>58</v>
      </c>
      <c r="C24" s="35">
        <v>115994</v>
      </c>
      <c r="D24" s="36">
        <v>122554</v>
      </c>
      <c r="E24" s="52" t="s">
        <v>59</v>
      </c>
      <c r="F24" s="61" t="s">
        <v>55</v>
      </c>
      <c r="G24" s="39">
        <v>1</v>
      </c>
      <c r="H24" s="35">
        <v>115994</v>
      </c>
      <c r="I24" s="36">
        <v>122554</v>
      </c>
      <c r="J24" s="41"/>
      <c r="K24" s="144">
        <f t="shared" si="7"/>
        <v>115994</v>
      </c>
      <c r="L24" s="76" t="s">
        <v>198</v>
      </c>
      <c r="M24" s="140">
        <f t="shared" si="8"/>
        <v>0</v>
      </c>
      <c r="P24" s="141"/>
      <c r="Q24" s="142">
        <v>84963</v>
      </c>
      <c r="R24" s="141"/>
      <c r="S24" s="142">
        <v>29947</v>
      </c>
      <c r="T24" s="141"/>
      <c r="U24" s="142">
        <v>543</v>
      </c>
      <c r="V24" s="141"/>
      <c r="W24" s="142">
        <v>541</v>
      </c>
      <c r="X24" s="141">
        <f>SUM(P24:W24)</f>
        <v>115994</v>
      </c>
      <c r="Y24" s="141">
        <f>J24+K24-X24</f>
        <v>0</v>
      </c>
    </row>
    <row r="25" spans="1:25" x14ac:dyDescent="0.25">
      <c r="A25" s="33">
        <v>923</v>
      </c>
      <c r="B25" s="34" t="s">
        <v>60</v>
      </c>
      <c r="C25" s="35">
        <v>0</v>
      </c>
      <c r="D25" s="35">
        <v>3542886</v>
      </c>
      <c r="E25" s="34" t="s">
        <v>61</v>
      </c>
      <c r="F25" s="38" t="s">
        <v>46</v>
      </c>
      <c r="G25" s="65">
        <v>0.41166799999999998</v>
      </c>
      <c r="H25" s="35">
        <v>0</v>
      </c>
      <c r="I25" s="35">
        <v>1458491.76</v>
      </c>
      <c r="J25" s="22"/>
      <c r="K25" s="5">
        <f t="shared" si="7"/>
        <v>0</v>
      </c>
      <c r="L25" s="73" t="s">
        <v>189</v>
      </c>
      <c r="M25" s="4">
        <f t="shared" si="8"/>
        <v>0</v>
      </c>
      <c r="P25" s="129"/>
      <c r="Q25" s="135"/>
      <c r="R25" s="129"/>
      <c r="S25" s="135"/>
      <c r="T25" s="129"/>
      <c r="U25" s="135"/>
      <c r="V25" s="129"/>
      <c r="W25" s="135"/>
      <c r="X25" s="129">
        <f>SUM(P25:W25)</f>
        <v>0</v>
      </c>
      <c r="Y25" s="129">
        <f>J25+K25-X25</f>
        <v>0</v>
      </c>
    </row>
    <row r="26" spans="1:25" s="143" customFormat="1" ht="45" x14ac:dyDescent="0.25">
      <c r="A26" s="33">
        <v>923</v>
      </c>
      <c r="B26" s="62" t="s">
        <v>62</v>
      </c>
      <c r="C26" s="67">
        <v>39438</v>
      </c>
      <c r="D26" s="67">
        <v>83334</v>
      </c>
      <c r="E26" s="123" t="s">
        <v>220</v>
      </c>
      <c r="F26" s="38" t="s">
        <v>46</v>
      </c>
      <c r="G26" s="68">
        <v>0.215</v>
      </c>
      <c r="H26" s="50">
        <v>8479</v>
      </c>
      <c r="I26" s="67">
        <v>17917</v>
      </c>
      <c r="J26" s="147"/>
      <c r="K26" s="144">
        <f t="shared" ref="K26:K37" si="9">H26</f>
        <v>8479</v>
      </c>
      <c r="L26" s="76" t="s">
        <v>196</v>
      </c>
      <c r="M26" s="140">
        <f t="shared" si="8"/>
        <v>0</v>
      </c>
      <c r="P26" s="141"/>
      <c r="Q26" s="142">
        <v>5975</v>
      </c>
      <c r="R26" s="141"/>
      <c r="S26" s="142">
        <v>2504</v>
      </c>
      <c r="T26" s="141"/>
      <c r="U26" s="142"/>
      <c r="V26" s="141"/>
      <c r="W26" s="142"/>
      <c r="X26" s="141">
        <f>SUM(P26:W26)</f>
        <v>8479</v>
      </c>
      <c r="Y26" s="141">
        <f>J26+K26-X26</f>
        <v>0</v>
      </c>
    </row>
    <row r="27" spans="1:25" x14ac:dyDescent="0.25">
      <c r="A27" s="33">
        <v>923</v>
      </c>
      <c r="B27" s="72" t="s">
        <v>63</v>
      </c>
      <c r="C27" s="35">
        <v>194925</v>
      </c>
      <c r="D27" s="36">
        <v>206000</v>
      </c>
      <c r="E27" s="40" t="s">
        <v>64</v>
      </c>
      <c r="F27" s="69" t="s">
        <v>33</v>
      </c>
      <c r="G27" s="39">
        <v>0.22800000000000001</v>
      </c>
      <c r="H27" s="35">
        <v>44443</v>
      </c>
      <c r="I27" s="36">
        <v>46968</v>
      </c>
      <c r="J27" s="28"/>
      <c r="K27" s="5">
        <f t="shared" si="9"/>
        <v>44443</v>
      </c>
      <c r="L27" s="73" t="s">
        <v>196</v>
      </c>
      <c r="M27" s="4">
        <f t="shared" si="8"/>
        <v>0</v>
      </c>
      <c r="P27" s="129"/>
      <c r="Q27" s="135">
        <v>32457</v>
      </c>
      <c r="R27" s="129"/>
      <c r="S27" s="135">
        <v>11986</v>
      </c>
      <c r="T27" s="129"/>
      <c r="U27" s="135"/>
      <c r="V27" s="129"/>
      <c r="W27" s="135"/>
      <c r="X27" s="129">
        <f>SUM(P27:W27)</f>
        <v>44443</v>
      </c>
      <c r="Y27" s="129">
        <f>J27+K27-X27</f>
        <v>0</v>
      </c>
    </row>
    <row r="28" spans="1:25" s="143" customFormat="1" ht="60" x14ac:dyDescent="0.25">
      <c r="A28" s="33">
        <v>923</v>
      </c>
      <c r="B28" s="72" t="s">
        <v>65</v>
      </c>
      <c r="C28" s="36">
        <v>28397</v>
      </c>
      <c r="D28" s="36">
        <v>30000</v>
      </c>
      <c r="E28" s="64" t="s">
        <v>66</v>
      </c>
      <c r="F28" s="38" t="s">
        <v>55</v>
      </c>
      <c r="G28" s="39">
        <v>0.19400000000000001</v>
      </c>
      <c r="H28" s="35">
        <v>5509</v>
      </c>
      <c r="I28" s="36">
        <v>5820</v>
      </c>
      <c r="J28" s="41"/>
      <c r="K28" s="144">
        <f t="shared" si="9"/>
        <v>5509</v>
      </c>
      <c r="L28" s="76" t="s">
        <v>197</v>
      </c>
      <c r="M28" s="140">
        <f t="shared" si="8"/>
        <v>0</v>
      </c>
      <c r="P28" s="141"/>
      <c r="Q28" s="142">
        <v>3878</v>
      </c>
      <c r="R28" s="141"/>
      <c r="S28" s="142">
        <v>1631</v>
      </c>
      <c r="T28" s="141"/>
      <c r="U28" s="142"/>
      <c r="V28" s="141"/>
      <c r="W28" s="142"/>
      <c r="X28" s="141">
        <f>SUM(P28:W28)</f>
        <v>5509</v>
      </c>
      <c r="Y28" s="141">
        <f>J28+K28-X28</f>
        <v>0</v>
      </c>
    </row>
    <row r="29" spans="1:25" s="143" customFormat="1" ht="60" x14ac:dyDescent="0.25">
      <c r="A29" s="33">
        <v>923</v>
      </c>
      <c r="B29" s="72" t="s">
        <v>67</v>
      </c>
      <c r="C29" s="36">
        <v>78736</v>
      </c>
      <c r="D29" s="36">
        <v>83200</v>
      </c>
      <c r="E29" s="64" t="s">
        <v>68</v>
      </c>
      <c r="F29" s="69" t="s">
        <v>55</v>
      </c>
      <c r="G29" s="39">
        <v>0.21199999999999999</v>
      </c>
      <c r="H29" s="36">
        <v>16692</v>
      </c>
      <c r="I29" s="36">
        <v>17638</v>
      </c>
      <c r="J29" s="41"/>
      <c r="K29" s="144">
        <f t="shared" si="9"/>
        <v>16692</v>
      </c>
      <c r="L29" s="76" t="s">
        <v>197</v>
      </c>
      <c r="M29" s="140">
        <f t="shared" si="8"/>
        <v>0</v>
      </c>
      <c r="P29" s="141"/>
      <c r="Q29" s="142">
        <v>12010</v>
      </c>
      <c r="R29" s="141"/>
      <c r="S29" s="142">
        <v>4682</v>
      </c>
      <c r="T29" s="141"/>
      <c r="U29" s="142">
        <v>0</v>
      </c>
      <c r="V29" s="141"/>
      <c r="W29" s="142">
        <v>0</v>
      </c>
      <c r="X29" s="141">
        <f>SUM(P29:W29)</f>
        <v>16692</v>
      </c>
      <c r="Y29" s="141">
        <f>J29+K29-X29</f>
        <v>0</v>
      </c>
    </row>
    <row r="30" spans="1:25" s="143" customFormat="1" ht="45" x14ac:dyDescent="0.25">
      <c r="A30" s="33">
        <v>923</v>
      </c>
      <c r="B30" s="72" t="s">
        <v>69</v>
      </c>
      <c r="C30" s="36">
        <v>283949</v>
      </c>
      <c r="D30" s="36">
        <v>300000</v>
      </c>
      <c r="E30" s="43" t="s">
        <v>70</v>
      </c>
      <c r="F30" s="69" t="s">
        <v>55</v>
      </c>
      <c r="G30" s="39">
        <v>0.215</v>
      </c>
      <c r="H30" s="35">
        <v>61049</v>
      </c>
      <c r="I30" s="36">
        <v>64500</v>
      </c>
      <c r="J30" s="41"/>
      <c r="K30" s="144">
        <f t="shared" si="9"/>
        <v>61049</v>
      </c>
      <c r="L30" s="76" t="s">
        <v>197</v>
      </c>
      <c r="M30" s="140">
        <f t="shared" si="8"/>
        <v>0</v>
      </c>
      <c r="P30" s="141"/>
      <c r="Q30" s="142">
        <v>43021</v>
      </c>
      <c r="R30" s="141"/>
      <c r="S30" s="142">
        <v>18028</v>
      </c>
      <c r="T30" s="141"/>
      <c r="U30" s="142"/>
      <c r="V30" s="141"/>
      <c r="W30" s="142"/>
      <c r="X30" s="141">
        <f>SUM(P30:W30)</f>
        <v>61049</v>
      </c>
      <c r="Y30" s="141">
        <f>J30+K30-X30</f>
        <v>0</v>
      </c>
    </row>
    <row r="31" spans="1:25" s="143" customFormat="1" ht="45" x14ac:dyDescent="0.25">
      <c r="A31" s="33">
        <v>923</v>
      </c>
      <c r="B31" s="72" t="s">
        <v>71</v>
      </c>
      <c r="C31" s="36">
        <v>94627</v>
      </c>
      <c r="D31" s="36">
        <v>100000</v>
      </c>
      <c r="E31" s="64" t="s">
        <v>72</v>
      </c>
      <c r="F31" s="38" t="s">
        <v>55</v>
      </c>
      <c r="G31" s="39">
        <v>0.40799999999999997</v>
      </c>
      <c r="H31" s="36">
        <v>38608</v>
      </c>
      <c r="I31" s="36">
        <v>40820</v>
      </c>
      <c r="J31" s="41"/>
      <c r="K31" s="144">
        <f t="shared" si="9"/>
        <v>38608</v>
      </c>
      <c r="L31" s="76" t="s">
        <v>197</v>
      </c>
      <c r="M31" s="140">
        <f t="shared" si="8"/>
        <v>0</v>
      </c>
      <c r="P31" s="141"/>
      <c r="Q31" s="142">
        <v>29775</v>
      </c>
      <c r="R31" s="141"/>
      <c r="S31" s="142">
        <v>8833</v>
      </c>
      <c r="T31" s="141"/>
      <c r="U31" s="142"/>
      <c r="V31" s="141"/>
      <c r="W31" s="142"/>
      <c r="X31" s="141">
        <f>SUM(P31:W31)</f>
        <v>38608</v>
      </c>
      <c r="Y31" s="141">
        <f>J31+K31-X31</f>
        <v>0</v>
      </c>
    </row>
    <row r="32" spans="1:25" s="143" customFormat="1" ht="45" x14ac:dyDescent="0.25">
      <c r="A32" s="33">
        <v>923</v>
      </c>
      <c r="B32" s="72" t="s">
        <v>73</v>
      </c>
      <c r="C32" s="36">
        <v>218639</v>
      </c>
      <c r="D32" s="36">
        <v>230927</v>
      </c>
      <c r="E32" s="64" t="s">
        <v>74</v>
      </c>
      <c r="F32" s="38" t="s">
        <v>30</v>
      </c>
      <c r="G32" s="39">
        <v>0.26600000000000001</v>
      </c>
      <c r="H32" s="36">
        <v>58158</v>
      </c>
      <c r="I32" s="36">
        <v>61427</v>
      </c>
      <c r="J32" s="41"/>
      <c r="K32" s="144">
        <f t="shared" si="9"/>
        <v>58158</v>
      </c>
      <c r="L32" s="76" t="s">
        <v>197</v>
      </c>
      <c r="M32" s="140">
        <f t="shared" si="8"/>
        <v>0</v>
      </c>
      <c r="P32" s="141"/>
      <c r="Q32" s="142">
        <f>17987+22537</f>
        <v>40524</v>
      </c>
      <c r="R32" s="141"/>
      <c r="S32" s="142">
        <f>7626+9554</f>
        <v>17180</v>
      </c>
      <c r="T32" s="141"/>
      <c r="U32" s="142">
        <f>101+126</f>
        <v>227</v>
      </c>
      <c r="V32" s="141"/>
      <c r="W32" s="142">
        <f>101+126</f>
        <v>227</v>
      </c>
      <c r="X32" s="141">
        <f>SUM(P32:W32)</f>
        <v>58158</v>
      </c>
      <c r="Y32" s="141">
        <f>J32+K32-X32</f>
        <v>0</v>
      </c>
    </row>
    <row r="33" spans="1:28" s="143" customFormat="1" ht="30" x14ac:dyDescent="0.25">
      <c r="A33" s="33">
        <v>923</v>
      </c>
      <c r="B33" s="72" t="s">
        <v>75</v>
      </c>
      <c r="C33" s="42">
        <v>20732</v>
      </c>
      <c r="D33" s="42">
        <v>21900</v>
      </c>
      <c r="E33" s="43" t="s">
        <v>76</v>
      </c>
      <c r="F33" s="38" t="s">
        <v>77</v>
      </c>
      <c r="G33" s="39">
        <v>1</v>
      </c>
      <c r="H33" s="44">
        <v>20732</v>
      </c>
      <c r="I33" s="42">
        <v>21900</v>
      </c>
      <c r="J33" s="45"/>
      <c r="K33" s="144">
        <f t="shared" si="9"/>
        <v>20732</v>
      </c>
      <c r="L33" s="76" t="s">
        <v>197</v>
      </c>
      <c r="M33" s="140">
        <f t="shared" si="8"/>
        <v>0</v>
      </c>
      <c r="P33" s="141"/>
      <c r="Q33" s="142">
        <v>14605</v>
      </c>
      <c r="R33" s="141"/>
      <c r="S33" s="142">
        <v>6009</v>
      </c>
      <c r="T33" s="141"/>
      <c r="U33" s="142">
        <v>59</v>
      </c>
      <c r="V33" s="141"/>
      <c r="W33" s="142">
        <v>59</v>
      </c>
      <c r="X33" s="141">
        <f>SUM(P33:W33)</f>
        <v>20732</v>
      </c>
      <c r="Y33" s="141">
        <f>J33+K33-X33</f>
        <v>0</v>
      </c>
    </row>
    <row r="34" spans="1:28" s="143" customFormat="1" ht="75" x14ac:dyDescent="0.25">
      <c r="A34" s="33">
        <v>923</v>
      </c>
      <c r="B34" s="72" t="s">
        <v>78</v>
      </c>
      <c r="C34" s="36">
        <v>21059</v>
      </c>
      <c r="D34" s="36">
        <v>22250</v>
      </c>
      <c r="E34" s="64" t="s">
        <v>79</v>
      </c>
      <c r="F34" s="38" t="s">
        <v>77</v>
      </c>
      <c r="G34" s="39">
        <v>1</v>
      </c>
      <c r="H34" s="36">
        <v>21059</v>
      </c>
      <c r="I34" s="36">
        <v>22250</v>
      </c>
      <c r="J34" s="41"/>
      <c r="K34" s="144">
        <f t="shared" si="9"/>
        <v>21059</v>
      </c>
      <c r="L34" s="76" t="s">
        <v>197</v>
      </c>
      <c r="M34" s="140">
        <f t="shared" si="8"/>
        <v>0</v>
      </c>
      <c r="P34" s="141"/>
      <c r="Q34" s="142">
        <v>15425</v>
      </c>
      <c r="R34" s="141"/>
      <c r="S34" s="142">
        <v>5438</v>
      </c>
      <c r="T34" s="141"/>
      <c r="U34" s="142">
        <v>98</v>
      </c>
      <c r="V34" s="141"/>
      <c r="W34" s="142">
        <v>98</v>
      </c>
      <c r="X34" s="141">
        <f>SUM(P34:W34)</f>
        <v>21059</v>
      </c>
      <c r="Y34" s="141">
        <f>J34+K34-X34</f>
        <v>0</v>
      </c>
    </row>
    <row r="35" spans="1:28" s="143" customFormat="1" ht="45" x14ac:dyDescent="0.25">
      <c r="A35" s="33">
        <v>923</v>
      </c>
      <c r="B35" s="72" t="s">
        <v>80</v>
      </c>
      <c r="C35" s="35">
        <v>37816</v>
      </c>
      <c r="D35" s="36">
        <v>40000</v>
      </c>
      <c r="E35" s="64" t="s">
        <v>81</v>
      </c>
      <c r="F35" s="69" t="s">
        <v>33</v>
      </c>
      <c r="G35" s="39">
        <v>0.26100000000000001</v>
      </c>
      <c r="H35" s="35">
        <v>9870</v>
      </c>
      <c r="I35" s="36">
        <v>10440</v>
      </c>
      <c r="J35" s="41"/>
      <c r="K35" s="144">
        <f t="shared" si="9"/>
        <v>9870</v>
      </c>
      <c r="L35" s="76" t="s">
        <v>196</v>
      </c>
      <c r="M35" s="140">
        <f t="shared" si="8"/>
        <v>0</v>
      </c>
      <c r="P35" s="141"/>
      <c r="Q35" s="142">
        <v>8038</v>
      </c>
      <c r="R35" s="141"/>
      <c r="S35" s="142">
        <v>1832</v>
      </c>
      <c r="T35" s="141"/>
      <c r="U35" s="142"/>
      <c r="V35" s="141"/>
      <c r="W35" s="142"/>
      <c r="X35" s="141">
        <f>SUM(P35:W35)</f>
        <v>9870</v>
      </c>
      <c r="Y35" s="141">
        <f>J35+K35-X35</f>
        <v>0</v>
      </c>
    </row>
    <row r="36" spans="1:28" x14ac:dyDescent="0.25">
      <c r="A36" s="33">
        <v>926</v>
      </c>
      <c r="B36" s="48" t="s">
        <v>82</v>
      </c>
      <c r="C36" s="47">
        <v>0</v>
      </c>
      <c r="D36" s="47">
        <v>446881.53846153844</v>
      </c>
      <c r="E36" s="34" t="s">
        <v>83</v>
      </c>
      <c r="F36" s="38" t="s">
        <v>33</v>
      </c>
      <c r="G36" s="46">
        <v>0.65</v>
      </c>
      <c r="H36" s="47">
        <v>0</v>
      </c>
      <c r="I36" s="47">
        <v>290473</v>
      </c>
      <c r="J36" s="12"/>
      <c r="K36" s="5">
        <f t="shared" si="9"/>
        <v>0</v>
      </c>
      <c r="L36" s="73" t="s">
        <v>193</v>
      </c>
      <c r="M36" s="4">
        <f t="shared" si="8"/>
        <v>0</v>
      </c>
      <c r="P36" s="129"/>
      <c r="Q36" s="135"/>
      <c r="R36" s="129"/>
      <c r="S36" s="135"/>
      <c r="T36" s="129"/>
      <c r="U36" s="135"/>
      <c r="V36" s="129"/>
      <c r="W36" s="135"/>
      <c r="X36" s="129">
        <f>SUM(P36:W36)</f>
        <v>0</v>
      </c>
      <c r="Y36" s="129">
        <f>J36+K36-X36</f>
        <v>0</v>
      </c>
    </row>
    <row r="37" spans="1:28" x14ac:dyDescent="0.25">
      <c r="A37" s="33">
        <v>930</v>
      </c>
      <c r="B37" s="72" t="s">
        <v>84</v>
      </c>
      <c r="C37" s="35">
        <v>346236</v>
      </c>
      <c r="D37" s="36">
        <v>366247</v>
      </c>
      <c r="E37" s="40" t="s">
        <v>85</v>
      </c>
      <c r="F37" s="38" t="s">
        <v>23</v>
      </c>
      <c r="G37" s="39">
        <v>0.26100000000000001</v>
      </c>
      <c r="H37" s="35">
        <v>90367.62</v>
      </c>
      <c r="I37" s="36">
        <v>95590</v>
      </c>
      <c r="J37" s="28"/>
      <c r="K37" s="5">
        <f t="shared" si="9"/>
        <v>90367.62</v>
      </c>
      <c r="L37" s="73" t="s">
        <v>196</v>
      </c>
      <c r="M37" s="4">
        <f t="shared" si="8"/>
        <v>0</v>
      </c>
      <c r="P37" s="129"/>
      <c r="Q37" s="135">
        <v>73599</v>
      </c>
      <c r="R37" s="129"/>
      <c r="S37" s="135">
        <v>16769</v>
      </c>
      <c r="T37" s="129"/>
      <c r="U37" s="135"/>
      <c r="V37" s="129"/>
      <c r="W37" s="135"/>
      <c r="X37" s="129">
        <f>SUM(P37:W37)</f>
        <v>90368</v>
      </c>
      <c r="Y37" s="129">
        <f>J37+K37-X37</f>
        <v>-0.38000000000465661</v>
      </c>
    </row>
    <row r="38" spans="1:28" x14ac:dyDescent="0.25">
      <c r="A38" s="33">
        <v>9302</v>
      </c>
      <c r="B38" s="72" t="s">
        <v>86</v>
      </c>
      <c r="C38" s="50">
        <v>133000</v>
      </c>
      <c r="D38" s="50">
        <v>78000</v>
      </c>
      <c r="E38" s="40" t="s">
        <v>87</v>
      </c>
      <c r="F38" s="38" t="s">
        <v>30</v>
      </c>
      <c r="G38" s="39">
        <v>0.216</v>
      </c>
      <c r="H38" s="50">
        <v>28728</v>
      </c>
      <c r="I38" s="50">
        <v>16848</v>
      </c>
      <c r="J38" s="21"/>
      <c r="K38" s="5">
        <f t="shared" ref="K38:K42" si="10">H38</f>
        <v>28728</v>
      </c>
      <c r="L38" s="73" t="s">
        <v>231</v>
      </c>
      <c r="M38" s="4">
        <f t="shared" si="8"/>
        <v>0</v>
      </c>
      <c r="P38" s="129"/>
      <c r="Q38" s="135">
        <v>20216</v>
      </c>
      <c r="R38" s="129"/>
      <c r="S38" s="135">
        <v>8379</v>
      </c>
      <c r="T38" s="129"/>
      <c r="U38" s="135">
        <v>133</v>
      </c>
      <c r="V38" s="129"/>
      <c r="W38" s="135"/>
      <c r="X38" s="129">
        <f>SUM(P38:W38)</f>
        <v>28728</v>
      </c>
      <c r="Y38" s="129">
        <f>J38+K38-X38</f>
        <v>0</v>
      </c>
    </row>
    <row r="39" spans="1:28" ht="60" x14ac:dyDescent="0.2">
      <c r="A39" s="33">
        <v>921</v>
      </c>
      <c r="B39" s="72" t="s">
        <v>88</v>
      </c>
      <c r="C39" s="50">
        <v>20000</v>
      </c>
      <c r="D39" s="50">
        <v>20000</v>
      </c>
      <c r="E39" s="43" t="s">
        <v>89</v>
      </c>
      <c r="F39" s="38" t="s">
        <v>55</v>
      </c>
      <c r="G39" s="39">
        <v>0.184</v>
      </c>
      <c r="H39" s="50">
        <v>3680</v>
      </c>
      <c r="I39" s="50">
        <v>3680</v>
      </c>
      <c r="J39" s="21"/>
      <c r="K39" s="15">
        <f t="shared" si="10"/>
        <v>3680</v>
      </c>
      <c r="L39" s="75" t="s">
        <v>195</v>
      </c>
      <c r="M39" s="4">
        <f t="shared" si="8"/>
        <v>0</v>
      </c>
      <c r="N39" s="14"/>
      <c r="O39" s="14"/>
      <c r="P39" s="130"/>
      <c r="Q39" s="136">
        <f>20000*12.9%</f>
        <v>2580</v>
      </c>
      <c r="R39" s="130"/>
      <c r="S39" s="136">
        <f>20000*5.4%</f>
        <v>1080.0000000000002</v>
      </c>
      <c r="T39" s="130"/>
      <c r="U39" s="136">
        <f>20000*0.1%</f>
        <v>20</v>
      </c>
      <c r="V39" s="130"/>
      <c r="W39" s="136"/>
      <c r="X39" s="129">
        <f>SUM(P39:W39)</f>
        <v>3680</v>
      </c>
      <c r="Y39" s="129">
        <f>J39+K39-X39</f>
        <v>0</v>
      </c>
      <c r="Z39" s="14"/>
      <c r="AA39" s="14"/>
      <c r="AB39" s="14"/>
    </row>
    <row r="40" spans="1:28" ht="45" x14ac:dyDescent="0.2">
      <c r="A40" s="33">
        <v>921</v>
      </c>
      <c r="B40" s="72" t="s">
        <v>90</v>
      </c>
      <c r="C40" s="50">
        <v>35000</v>
      </c>
      <c r="D40" s="50">
        <v>35000</v>
      </c>
      <c r="E40" s="64" t="s">
        <v>91</v>
      </c>
      <c r="F40" s="38" t="s">
        <v>55</v>
      </c>
      <c r="G40" s="39">
        <v>0.184</v>
      </c>
      <c r="H40" s="50">
        <v>6440</v>
      </c>
      <c r="I40" s="50">
        <v>6440</v>
      </c>
      <c r="J40" s="21"/>
      <c r="K40" s="15">
        <f t="shared" si="10"/>
        <v>6440</v>
      </c>
      <c r="L40" s="75" t="s">
        <v>195</v>
      </c>
      <c r="M40" s="4">
        <f t="shared" si="8"/>
        <v>0</v>
      </c>
      <c r="N40" s="14"/>
      <c r="O40" s="14"/>
      <c r="P40" s="130"/>
      <c r="Q40" s="136">
        <f>35000*12.9%</f>
        <v>4515</v>
      </c>
      <c r="R40" s="130"/>
      <c r="S40" s="136">
        <f>35000*5.4%</f>
        <v>1890.0000000000002</v>
      </c>
      <c r="T40" s="130"/>
      <c r="U40" s="136">
        <f>35000*0.1%</f>
        <v>35</v>
      </c>
      <c r="V40" s="130"/>
      <c r="W40" s="136"/>
      <c r="X40" s="129">
        <f>SUM(P40:W40)</f>
        <v>6440</v>
      </c>
      <c r="Y40" s="129">
        <f>J40+K40-X40</f>
        <v>0</v>
      </c>
      <c r="Z40" s="14"/>
      <c r="AA40" s="14"/>
      <c r="AB40" s="14"/>
    </row>
    <row r="41" spans="1:28" ht="75" x14ac:dyDescent="0.2">
      <c r="A41" s="33">
        <v>921</v>
      </c>
      <c r="B41" s="43" t="s">
        <v>92</v>
      </c>
      <c r="C41" s="50">
        <v>192000</v>
      </c>
      <c r="D41" s="50">
        <v>192000</v>
      </c>
      <c r="E41" s="64" t="s">
        <v>93</v>
      </c>
      <c r="F41" s="38" t="s">
        <v>55</v>
      </c>
      <c r="G41" s="39">
        <v>0.184</v>
      </c>
      <c r="H41" s="50">
        <v>35328</v>
      </c>
      <c r="I41" s="50">
        <v>35328</v>
      </c>
      <c r="J41" s="51"/>
      <c r="K41" s="71">
        <f t="shared" si="10"/>
        <v>35328</v>
      </c>
      <c r="L41" s="75" t="s">
        <v>195</v>
      </c>
      <c r="M41" s="4">
        <f t="shared" si="8"/>
        <v>0</v>
      </c>
      <c r="N41" s="40"/>
      <c r="O41" s="40"/>
      <c r="P41" s="131"/>
      <c r="Q41" s="137">
        <v>24768</v>
      </c>
      <c r="R41" s="131"/>
      <c r="S41" s="137">
        <v>10368</v>
      </c>
      <c r="T41" s="131"/>
      <c r="U41" s="137">
        <v>192</v>
      </c>
      <c r="V41" s="131"/>
      <c r="W41" s="137"/>
      <c r="X41" s="129">
        <f>SUM(P41:W41)</f>
        <v>35328</v>
      </c>
      <c r="Y41" s="129">
        <f>J41+K41-X41</f>
        <v>0</v>
      </c>
      <c r="Z41" s="40"/>
      <c r="AA41" s="40"/>
      <c r="AB41" s="40"/>
    </row>
    <row r="42" spans="1:28" x14ac:dyDescent="0.2">
      <c r="A42" s="33">
        <v>921</v>
      </c>
      <c r="B42" s="72" t="s">
        <v>94</v>
      </c>
      <c r="C42" s="50">
        <v>50000</v>
      </c>
      <c r="D42" s="50">
        <v>50000</v>
      </c>
      <c r="E42" s="40" t="s">
        <v>95</v>
      </c>
      <c r="F42" s="38" t="s">
        <v>55</v>
      </c>
      <c r="G42" s="39">
        <v>0.184</v>
      </c>
      <c r="H42" s="50">
        <v>9200</v>
      </c>
      <c r="I42" s="50">
        <v>9200</v>
      </c>
      <c r="J42" s="21"/>
      <c r="K42" s="71">
        <f t="shared" si="10"/>
        <v>9200</v>
      </c>
      <c r="L42" s="75" t="s">
        <v>195</v>
      </c>
      <c r="M42" s="4">
        <f t="shared" si="8"/>
        <v>0</v>
      </c>
      <c r="N42" s="14"/>
      <c r="O42" s="14"/>
      <c r="P42" s="130"/>
      <c r="Q42" s="136">
        <v>6450</v>
      </c>
      <c r="R42" s="130"/>
      <c r="S42" s="136">
        <v>2700</v>
      </c>
      <c r="T42" s="130"/>
      <c r="U42" s="136">
        <v>50</v>
      </c>
      <c r="V42" s="130"/>
      <c r="W42" s="136"/>
      <c r="X42" s="129">
        <f>SUM(P42:W42)</f>
        <v>9200</v>
      </c>
      <c r="Y42" s="129">
        <f>J42+K42-X42</f>
        <v>0</v>
      </c>
      <c r="Z42" s="14"/>
      <c r="AA42" s="14"/>
      <c r="AB42" s="14"/>
    </row>
    <row r="43" spans="1:28" ht="45" x14ac:dyDescent="0.25">
      <c r="A43" s="33" t="s">
        <v>96</v>
      </c>
      <c r="B43" s="72" t="s">
        <v>97</v>
      </c>
      <c r="C43" s="50">
        <v>0</v>
      </c>
      <c r="D43" s="50">
        <v>117850</v>
      </c>
      <c r="E43" s="64" t="s">
        <v>98</v>
      </c>
      <c r="F43" s="69" t="s">
        <v>55</v>
      </c>
      <c r="G43" s="39">
        <v>0.184</v>
      </c>
      <c r="H43" s="50">
        <v>0</v>
      </c>
      <c r="I43" s="50">
        <v>21685</v>
      </c>
      <c r="J43" s="21"/>
      <c r="K43" s="14"/>
      <c r="L43" s="74"/>
      <c r="M43" s="4">
        <f t="shared" si="8"/>
        <v>0</v>
      </c>
      <c r="N43" s="14"/>
      <c r="O43" s="14"/>
      <c r="P43" s="130"/>
      <c r="Q43" s="136"/>
      <c r="R43" s="130"/>
      <c r="S43" s="136"/>
      <c r="T43" s="130"/>
      <c r="U43" s="136"/>
      <c r="V43" s="130"/>
      <c r="W43" s="136"/>
      <c r="X43" s="129">
        <f>SUM(P43:W43)</f>
        <v>0</v>
      </c>
      <c r="Y43" s="129">
        <f>J43+K43-X43</f>
        <v>0</v>
      </c>
      <c r="Z43" s="14"/>
      <c r="AA43" s="14"/>
      <c r="AB43" s="14"/>
    </row>
    <row r="44" spans="1:28" x14ac:dyDescent="0.25">
      <c r="A44" s="33">
        <v>9302</v>
      </c>
      <c r="B44" s="40" t="s">
        <v>99</v>
      </c>
      <c r="C44" s="50">
        <v>30000</v>
      </c>
      <c r="D44" s="50">
        <v>30000</v>
      </c>
      <c r="E44" s="40" t="s">
        <v>100</v>
      </c>
      <c r="F44" s="69" t="s">
        <v>30</v>
      </c>
      <c r="G44" s="39">
        <v>1</v>
      </c>
      <c r="H44" s="50">
        <v>30000</v>
      </c>
      <c r="I44" s="50">
        <v>30000</v>
      </c>
      <c r="J44" s="14"/>
      <c r="K44" s="15">
        <f>H44</f>
        <v>30000</v>
      </c>
      <c r="L44" s="74" t="s">
        <v>190</v>
      </c>
      <c r="M44" s="4">
        <f t="shared" si="8"/>
        <v>0</v>
      </c>
      <c r="N44" s="14"/>
      <c r="O44" s="14"/>
      <c r="P44" s="130"/>
      <c r="Q44" s="136">
        <v>20943</v>
      </c>
      <c r="R44" s="130"/>
      <c r="S44" s="136">
        <v>8866</v>
      </c>
      <c r="T44" s="130"/>
      <c r="U44" s="136">
        <v>115</v>
      </c>
      <c r="V44" s="130"/>
      <c r="W44" s="136">
        <v>76</v>
      </c>
      <c r="X44" s="129">
        <f>SUM(P44:W44)</f>
        <v>30000</v>
      </c>
      <c r="Y44" s="129">
        <f>J44+K44-X44</f>
        <v>0</v>
      </c>
      <c r="Z44" s="14"/>
      <c r="AA44" s="14"/>
      <c r="AB44" s="14"/>
    </row>
    <row r="45" spans="1:28" x14ac:dyDescent="0.25">
      <c r="A45" s="88" t="s">
        <v>101</v>
      </c>
      <c r="B45" s="89" t="s">
        <v>102</v>
      </c>
      <c r="C45" s="90">
        <v>17730.179999999993</v>
      </c>
      <c r="D45" s="90">
        <v>73049.02</v>
      </c>
      <c r="E45" s="89" t="s">
        <v>103</v>
      </c>
      <c r="F45" s="91" t="s">
        <v>46</v>
      </c>
      <c r="G45" s="92">
        <v>0.05</v>
      </c>
      <c r="H45" s="90">
        <v>886</v>
      </c>
      <c r="I45" s="90">
        <v>3652</v>
      </c>
      <c r="J45" s="93">
        <f>H45/1.364</f>
        <v>649.56011730205273</v>
      </c>
      <c r="K45" s="94">
        <f>H45-J45</f>
        <v>236.43988269794727</v>
      </c>
      <c r="L45" s="74" t="s">
        <v>203</v>
      </c>
      <c r="M45" s="4">
        <f t="shared" si="8"/>
        <v>0</v>
      </c>
      <c r="N45" s="77">
        <v>3546</v>
      </c>
      <c r="O45" s="14"/>
      <c r="P45" s="130">
        <v>0</v>
      </c>
      <c r="Q45" s="136"/>
      <c r="R45" s="130">
        <v>650</v>
      </c>
      <c r="S45" s="136">
        <v>236</v>
      </c>
      <c r="T45" s="130"/>
      <c r="U45" s="136"/>
      <c r="V45" s="130"/>
      <c r="W45" s="136"/>
      <c r="X45" s="129">
        <f>SUM(P45:W45)</f>
        <v>886</v>
      </c>
      <c r="Y45" s="129">
        <f>J45+K45-X45</f>
        <v>0</v>
      </c>
      <c r="Z45" s="14"/>
      <c r="AA45" s="14"/>
      <c r="AB45" s="14"/>
    </row>
    <row r="46" spans="1:28" x14ac:dyDescent="0.25">
      <c r="A46" s="88" t="s">
        <v>104</v>
      </c>
      <c r="B46" s="89" t="s">
        <v>105</v>
      </c>
      <c r="C46" s="90">
        <v>10511.663999999997</v>
      </c>
      <c r="D46" s="90">
        <v>42810.504000000001</v>
      </c>
      <c r="E46" s="89" t="s">
        <v>106</v>
      </c>
      <c r="F46" s="91" t="s">
        <v>46</v>
      </c>
      <c r="G46" s="92">
        <v>0.17</v>
      </c>
      <c r="H46" s="90">
        <v>1787</v>
      </c>
      <c r="I46" s="90">
        <v>7278</v>
      </c>
      <c r="J46" s="93">
        <f t="shared" ref="J46:J58" si="11">H46/1.364</f>
        <v>1310.1173020527858</v>
      </c>
      <c r="K46" s="94">
        <f t="shared" ref="K46:K58" si="12">H46-J46</f>
        <v>476.88269794721418</v>
      </c>
      <c r="L46" s="74" t="s">
        <v>203</v>
      </c>
      <c r="M46" s="4">
        <f t="shared" si="8"/>
        <v>0</v>
      </c>
      <c r="N46" s="77">
        <v>7148</v>
      </c>
      <c r="O46" s="14"/>
      <c r="P46" s="130">
        <v>1310</v>
      </c>
      <c r="Q46" s="136">
        <v>477</v>
      </c>
      <c r="R46" s="130"/>
      <c r="S46" s="136"/>
      <c r="T46" s="130"/>
      <c r="U46" s="136"/>
      <c r="V46" s="130"/>
      <c r="W46" s="136"/>
      <c r="X46" s="129">
        <f>SUM(P46:W46)</f>
        <v>1787</v>
      </c>
      <c r="Y46" s="129">
        <f>J46+K46-X46</f>
        <v>0</v>
      </c>
      <c r="Z46" s="14"/>
      <c r="AA46" s="14"/>
      <c r="AB46" s="14"/>
    </row>
    <row r="47" spans="1:28" x14ac:dyDescent="0.25">
      <c r="A47" s="88" t="s">
        <v>104</v>
      </c>
      <c r="B47" s="89" t="s">
        <v>107</v>
      </c>
      <c r="C47" s="90">
        <v>38932.652000000002</v>
      </c>
      <c r="D47" s="90">
        <v>39838.347999999998</v>
      </c>
      <c r="E47" s="89" t="s">
        <v>108</v>
      </c>
      <c r="F47" s="91" t="s">
        <v>46</v>
      </c>
      <c r="G47" s="92">
        <v>0.17</v>
      </c>
      <c r="H47" s="90">
        <v>6618.1279999999997</v>
      </c>
      <c r="I47" s="90">
        <v>6772.26</v>
      </c>
      <c r="J47" s="93">
        <f t="shared" si="11"/>
        <v>4851.9999999999991</v>
      </c>
      <c r="K47" s="94">
        <f t="shared" si="12"/>
        <v>1766.1280000000006</v>
      </c>
      <c r="L47" s="74" t="s">
        <v>203</v>
      </c>
      <c r="M47" s="4">
        <f t="shared" si="8"/>
        <v>0</v>
      </c>
      <c r="N47" s="77">
        <v>6618.1279999999997</v>
      </c>
      <c r="O47" s="14"/>
      <c r="P47" s="130">
        <v>4852</v>
      </c>
      <c r="Q47" s="136">
        <v>1766</v>
      </c>
      <c r="R47" s="130"/>
      <c r="S47" s="136"/>
      <c r="T47" s="130"/>
      <c r="U47" s="136"/>
      <c r="V47" s="130"/>
      <c r="W47" s="136"/>
      <c r="X47" s="129">
        <f>SUM(P47:W47)</f>
        <v>6618</v>
      </c>
      <c r="Y47" s="129">
        <f>J47+K47-X47</f>
        <v>0.12799999999970169</v>
      </c>
      <c r="Z47" s="14"/>
      <c r="AA47" s="14"/>
      <c r="AB47" s="14"/>
    </row>
    <row r="48" spans="1:28" x14ac:dyDescent="0.25">
      <c r="A48" s="88" t="s">
        <v>96</v>
      </c>
      <c r="B48" s="89" t="s">
        <v>109</v>
      </c>
      <c r="C48" s="90">
        <v>31391.555999999997</v>
      </c>
      <c r="D48" s="90">
        <v>64337.152000000002</v>
      </c>
      <c r="E48" s="89" t="s">
        <v>110</v>
      </c>
      <c r="F48" s="91" t="s">
        <v>46</v>
      </c>
      <c r="G48" s="92">
        <v>0.88900000000000001</v>
      </c>
      <c r="H48" s="90">
        <v>27907</v>
      </c>
      <c r="I48" s="90">
        <v>57195</v>
      </c>
      <c r="J48" s="93">
        <f t="shared" si="11"/>
        <v>20459.677419354837</v>
      </c>
      <c r="K48" s="94">
        <f t="shared" si="12"/>
        <v>7447.3225806451628</v>
      </c>
      <c r="L48" s="74" t="s">
        <v>203</v>
      </c>
      <c r="M48" s="4">
        <f t="shared" si="8"/>
        <v>0</v>
      </c>
      <c r="N48" s="77">
        <v>55814</v>
      </c>
      <c r="O48" s="14"/>
      <c r="P48" s="130">
        <v>17859</v>
      </c>
      <c r="Q48" s="136">
        <v>6501</v>
      </c>
      <c r="R48" s="130">
        <v>2370</v>
      </c>
      <c r="S48" s="136">
        <v>863</v>
      </c>
      <c r="T48" s="130">
        <v>115</v>
      </c>
      <c r="U48" s="136">
        <v>42</v>
      </c>
      <c r="V48" s="130">
        <v>115</v>
      </c>
      <c r="W48" s="136">
        <v>42</v>
      </c>
      <c r="X48" s="129">
        <f>SUM(P48:W48)</f>
        <v>27907</v>
      </c>
      <c r="Y48" s="129">
        <f>J48+K48-X48</f>
        <v>0</v>
      </c>
      <c r="Z48" s="14"/>
      <c r="AA48" s="14"/>
      <c r="AB48" s="14"/>
    </row>
    <row r="49" spans="1:28" x14ac:dyDescent="0.25">
      <c r="A49" s="88" t="s">
        <v>96</v>
      </c>
      <c r="B49" s="89" t="s">
        <v>111</v>
      </c>
      <c r="C49" s="90">
        <v>46004.991999999998</v>
      </c>
      <c r="D49" s="90">
        <v>47385.36</v>
      </c>
      <c r="E49" s="89" t="s">
        <v>112</v>
      </c>
      <c r="F49" s="91" t="s">
        <v>46</v>
      </c>
      <c r="G49" s="92">
        <v>0.88900000000000001</v>
      </c>
      <c r="H49" s="90">
        <v>40899</v>
      </c>
      <c r="I49" s="90">
        <v>42126</v>
      </c>
      <c r="J49" s="93">
        <f t="shared" si="11"/>
        <v>29984.604105571845</v>
      </c>
      <c r="K49" s="94">
        <f t="shared" si="12"/>
        <v>10914.395894428155</v>
      </c>
      <c r="L49" s="74" t="s">
        <v>203</v>
      </c>
      <c r="M49" s="4">
        <f t="shared" si="8"/>
        <v>0</v>
      </c>
      <c r="N49" s="77">
        <v>40899</v>
      </c>
      <c r="O49" s="14"/>
      <c r="P49" s="130">
        <v>26173</v>
      </c>
      <c r="Q49" s="136">
        <v>9527</v>
      </c>
      <c r="R49" s="130">
        <v>3474</v>
      </c>
      <c r="S49" s="136">
        <v>1265</v>
      </c>
      <c r="T49" s="130">
        <v>169</v>
      </c>
      <c r="U49" s="136">
        <v>61</v>
      </c>
      <c r="V49" s="130">
        <v>169</v>
      </c>
      <c r="W49" s="136">
        <v>61</v>
      </c>
      <c r="X49" s="129">
        <f>SUM(P49:W49)</f>
        <v>40899</v>
      </c>
      <c r="Y49" s="129">
        <f>J49+K49-X49</f>
        <v>0</v>
      </c>
      <c r="Z49" s="14"/>
      <c r="AA49" s="14"/>
      <c r="AB49" s="14"/>
    </row>
    <row r="50" spans="1:28" x14ac:dyDescent="0.25">
      <c r="A50" s="88" t="s">
        <v>113</v>
      </c>
      <c r="B50" s="89" t="s">
        <v>114</v>
      </c>
      <c r="C50" s="90">
        <v>34365.979999999996</v>
      </c>
      <c r="D50" s="90">
        <v>35215.752</v>
      </c>
      <c r="E50" s="89" t="s">
        <v>115</v>
      </c>
      <c r="F50" s="91" t="s">
        <v>46</v>
      </c>
      <c r="G50" s="92">
        <v>0.76</v>
      </c>
      <c r="H50" s="90">
        <v>26118</v>
      </c>
      <c r="I50" s="90">
        <v>26764</v>
      </c>
      <c r="J50" s="93">
        <f t="shared" si="11"/>
        <v>19148.093841642229</v>
      </c>
      <c r="K50" s="94">
        <f t="shared" si="12"/>
        <v>6969.9061583577713</v>
      </c>
      <c r="L50" s="74" t="s">
        <v>203</v>
      </c>
      <c r="M50" s="4">
        <f t="shared" si="8"/>
        <v>0</v>
      </c>
      <c r="N50" s="77">
        <v>26118</v>
      </c>
      <c r="O50" s="14"/>
      <c r="P50" s="130"/>
      <c r="Q50" s="136"/>
      <c r="R50" s="130">
        <v>18644</v>
      </c>
      <c r="S50" s="136">
        <v>6786</v>
      </c>
      <c r="T50" s="130">
        <v>504</v>
      </c>
      <c r="U50" s="136">
        <v>184</v>
      </c>
      <c r="V50" s="130"/>
      <c r="W50" s="136"/>
      <c r="X50" s="129">
        <f>SUM(P50:W50)</f>
        <v>26118</v>
      </c>
      <c r="Y50" s="129">
        <f>J50+K50-X50</f>
        <v>0</v>
      </c>
      <c r="Z50" s="14"/>
      <c r="AA50" s="14"/>
      <c r="AB50" s="14"/>
    </row>
    <row r="51" spans="1:28" x14ac:dyDescent="0.25">
      <c r="A51" s="88" t="s">
        <v>116</v>
      </c>
      <c r="B51" s="89" t="s">
        <v>117</v>
      </c>
      <c r="C51" s="90">
        <v>41424.815999999999</v>
      </c>
      <c r="D51" s="90">
        <v>56520.067999999999</v>
      </c>
      <c r="E51" s="89" t="s">
        <v>118</v>
      </c>
      <c r="F51" s="91" t="s">
        <v>46</v>
      </c>
      <c r="G51" s="92">
        <v>0.87</v>
      </c>
      <c r="H51" s="90">
        <v>36040</v>
      </c>
      <c r="I51" s="90">
        <v>49172</v>
      </c>
      <c r="J51" s="93">
        <f t="shared" si="11"/>
        <v>26422.287390029323</v>
      </c>
      <c r="K51" s="94">
        <f t="shared" si="12"/>
        <v>9617.7126099706766</v>
      </c>
      <c r="L51" s="74" t="s">
        <v>203</v>
      </c>
      <c r="M51" s="4">
        <f t="shared" si="8"/>
        <v>0</v>
      </c>
      <c r="N51" s="77">
        <v>48054</v>
      </c>
      <c r="O51" s="14"/>
      <c r="P51" s="130">
        <v>26422</v>
      </c>
      <c r="Q51" s="136">
        <v>9618</v>
      </c>
      <c r="R51" s="130"/>
      <c r="S51" s="136"/>
      <c r="T51" s="130"/>
      <c r="U51" s="136"/>
      <c r="V51" s="130"/>
      <c r="W51" s="136"/>
      <c r="X51" s="129">
        <f>SUM(P51:W51)</f>
        <v>36040</v>
      </c>
      <c r="Y51" s="129">
        <f>J51+K51-X51</f>
        <v>0</v>
      </c>
      <c r="Z51" s="14"/>
      <c r="AA51" s="14"/>
      <c r="AB51" s="14"/>
    </row>
    <row r="52" spans="1:28" s="143" customFormat="1" ht="75" x14ac:dyDescent="0.25">
      <c r="A52" s="88" t="s">
        <v>116</v>
      </c>
      <c r="B52" s="89" t="s">
        <v>119</v>
      </c>
      <c r="C52" s="90">
        <v>57542.115999999995</v>
      </c>
      <c r="D52" s="90">
        <v>101592.084</v>
      </c>
      <c r="E52" s="95" t="s">
        <v>120</v>
      </c>
      <c r="F52" s="91" t="s">
        <v>46</v>
      </c>
      <c r="G52" s="92">
        <v>0.78</v>
      </c>
      <c r="H52" s="90">
        <v>44882.850479999994</v>
      </c>
      <c r="I52" s="90">
        <v>79241.825519999999</v>
      </c>
      <c r="J52" s="107">
        <f t="shared" si="11"/>
        <v>32905.315601173017</v>
      </c>
      <c r="K52" s="108">
        <f t="shared" si="12"/>
        <v>11977.534878826977</v>
      </c>
      <c r="L52" s="75" t="s">
        <v>203</v>
      </c>
      <c r="M52" s="140">
        <f t="shared" si="8"/>
        <v>0</v>
      </c>
      <c r="N52" s="79">
        <v>76941.630479999993</v>
      </c>
      <c r="O52" s="40"/>
      <c r="P52" s="131">
        <v>15609</v>
      </c>
      <c r="Q52" s="137">
        <v>5682</v>
      </c>
      <c r="R52" s="131">
        <v>17296</v>
      </c>
      <c r="S52" s="137">
        <v>6296</v>
      </c>
      <c r="T52" s="131"/>
      <c r="U52" s="137"/>
      <c r="V52" s="131"/>
      <c r="W52" s="137"/>
      <c r="X52" s="141">
        <f>SUM(P52:W52)</f>
        <v>44883</v>
      </c>
      <c r="Y52" s="141">
        <f>J52+K52-X52</f>
        <v>-0.14952000000630505</v>
      </c>
      <c r="Z52" s="40"/>
      <c r="AA52" s="40"/>
      <c r="AB52" s="40"/>
    </row>
    <row r="53" spans="1:28" s="143" customFormat="1" ht="75" x14ac:dyDescent="0.25">
      <c r="A53" s="88" t="s">
        <v>116</v>
      </c>
      <c r="B53" s="89" t="s">
        <v>119</v>
      </c>
      <c r="C53" s="90">
        <v>20652.760000000002</v>
      </c>
      <c r="D53" s="90">
        <v>101592.084</v>
      </c>
      <c r="E53" s="95" t="s">
        <v>121</v>
      </c>
      <c r="F53" s="91" t="s">
        <v>46</v>
      </c>
      <c r="G53" s="92">
        <v>0.78</v>
      </c>
      <c r="H53" s="90">
        <v>16109.152800000002</v>
      </c>
      <c r="I53" s="90">
        <v>79241.825519999999</v>
      </c>
      <c r="J53" s="107">
        <f t="shared" si="11"/>
        <v>11810.229325513197</v>
      </c>
      <c r="K53" s="108">
        <f t="shared" si="12"/>
        <v>4298.9234744868045</v>
      </c>
      <c r="L53" s="75" t="s">
        <v>203</v>
      </c>
      <c r="M53" s="140">
        <f t="shared" si="8"/>
        <v>0</v>
      </c>
      <c r="N53" s="79">
        <v>38662.852800000001</v>
      </c>
      <c r="O53" s="40"/>
      <c r="P53" s="131">
        <v>5603</v>
      </c>
      <c r="Q53" s="137">
        <v>2039</v>
      </c>
      <c r="R53" s="131">
        <v>6207</v>
      </c>
      <c r="S53" s="137">
        <v>2260</v>
      </c>
      <c r="T53" s="131"/>
      <c r="U53" s="137"/>
      <c r="V53" s="131"/>
      <c r="W53" s="137"/>
      <c r="X53" s="141">
        <f>SUM(P53:W53)</f>
        <v>16109</v>
      </c>
      <c r="Y53" s="141">
        <f>J53+K53-X53</f>
        <v>0.15280000000166183</v>
      </c>
      <c r="Z53" s="40"/>
      <c r="AA53" s="40"/>
      <c r="AB53" s="40"/>
    </row>
    <row r="54" spans="1:28" s="143" customFormat="1" ht="75" x14ac:dyDescent="0.25">
      <c r="A54" s="88" t="s">
        <v>116</v>
      </c>
      <c r="B54" s="89" t="s">
        <v>119</v>
      </c>
      <c r="C54" s="90">
        <v>33045.520000000004</v>
      </c>
      <c r="D54" s="90">
        <v>101592.084</v>
      </c>
      <c r="E54" s="95" t="s">
        <v>122</v>
      </c>
      <c r="F54" s="91" t="s">
        <v>46</v>
      </c>
      <c r="G54" s="92">
        <v>0.78</v>
      </c>
      <c r="H54" s="90">
        <v>25775.505600000004</v>
      </c>
      <c r="I54" s="90">
        <v>79241.825519999999</v>
      </c>
      <c r="J54" s="107">
        <f t="shared" si="11"/>
        <v>18896.998240469209</v>
      </c>
      <c r="K54" s="108">
        <f t="shared" si="12"/>
        <v>6878.5073595307949</v>
      </c>
      <c r="L54" s="75" t="s">
        <v>203</v>
      </c>
      <c r="M54" s="140">
        <f t="shared" si="8"/>
        <v>0</v>
      </c>
      <c r="N54" s="79">
        <v>77325.705600000001</v>
      </c>
      <c r="O54" s="40"/>
      <c r="P54" s="131">
        <v>8964</v>
      </c>
      <c r="Q54" s="137">
        <v>3263</v>
      </c>
      <c r="R54" s="131">
        <v>9933</v>
      </c>
      <c r="S54" s="137">
        <v>3616</v>
      </c>
      <c r="T54" s="131"/>
      <c r="U54" s="137"/>
      <c r="V54" s="131"/>
      <c r="W54" s="137"/>
      <c r="X54" s="141">
        <f>SUM(P54:W54)</f>
        <v>25776</v>
      </c>
      <c r="Y54" s="141">
        <f>J54+K54-X54</f>
        <v>-0.49439999999594875</v>
      </c>
      <c r="Z54" s="40"/>
      <c r="AA54" s="40"/>
      <c r="AB54" s="40"/>
    </row>
    <row r="55" spans="1:28" x14ac:dyDescent="0.25">
      <c r="A55" s="88" t="s">
        <v>96</v>
      </c>
      <c r="B55" s="89" t="s">
        <v>123</v>
      </c>
      <c r="C55" s="90">
        <v>60263.380000000005</v>
      </c>
      <c r="D55" s="90">
        <v>185626.76</v>
      </c>
      <c r="E55" s="89" t="s">
        <v>124</v>
      </c>
      <c r="F55" s="91" t="s">
        <v>30</v>
      </c>
      <c r="G55" s="92">
        <v>0.19800000000000001</v>
      </c>
      <c r="H55" s="90">
        <v>11932</v>
      </c>
      <c r="I55" s="90">
        <v>36754</v>
      </c>
      <c r="J55" s="93">
        <f t="shared" si="11"/>
        <v>8747.8005865102641</v>
      </c>
      <c r="K55" s="94">
        <f t="shared" si="12"/>
        <v>3184.1994134897359</v>
      </c>
      <c r="L55" s="74" t="s">
        <v>203</v>
      </c>
      <c r="M55" s="4">
        <f t="shared" si="8"/>
        <v>0</v>
      </c>
      <c r="N55" s="77">
        <v>35797</v>
      </c>
      <c r="O55" s="14"/>
      <c r="P55" s="130">
        <v>4948</v>
      </c>
      <c r="Q55" s="136">
        <v>1801</v>
      </c>
      <c r="R55" s="130">
        <v>3800</v>
      </c>
      <c r="S55" s="136">
        <v>1383</v>
      </c>
      <c r="T55" s="130"/>
      <c r="U55" s="136"/>
      <c r="V55" s="130"/>
      <c r="W55" s="136"/>
      <c r="X55" s="129">
        <f>SUM(P55:W55)</f>
        <v>11932</v>
      </c>
      <c r="Y55" s="129">
        <f>J55+K55-X55</f>
        <v>0</v>
      </c>
      <c r="Z55" s="14"/>
      <c r="AA55" s="14"/>
      <c r="AB55" s="14"/>
    </row>
    <row r="56" spans="1:28" s="143" customFormat="1" ht="75" x14ac:dyDescent="0.25">
      <c r="A56" s="88" t="s">
        <v>116</v>
      </c>
      <c r="B56" s="89" t="s">
        <v>125</v>
      </c>
      <c r="C56" s="90">
        <v>0</v>
      </c>
      <c r="D56" s="90">
        <v>76295.34</v>
      </c>
      <c r="E56" s="96" t="s">
        <v>126</v>
      </c>
      <c r="F56" s="91" t="s">
        <v>46</v>
      </c>
      <c r="G56" s="92">
        <v>0.83</v>
      </c>
      <c r="H56" s="90">
        <v>0</v>
      </c>
      <c r="I56" s="90">
        <v>63325</v>
      </c>
      <c r="J56" s="107">
        <f t="shared" si="11"/>
        <v>0</v>
      </c>
      <c r="K56" s="108">
        <f t="shared" si="12"/>
        <v>0</v>
      </c>
      <c r="L56" s="75" t="s">
        <v>203</v>
      </c>
      <c r="M56" s="140">
        <f t="shared" si="8"/>
        <v>0</v>
      </c>
      <c r="N56" s="79">
        <v>0</v>
      </c>
      <c r="O56" s="40"/>
      <c r="P56" s="131"/>
      <c r="Q56" s="137"/>
      <c r="R56" s="131"/>
      <c r="S56" s="137"/>
      <c r="T56" s="131"/>
      <c r="U56" s="137"/>
      <c r="V56" s="131"/>
      <c r="W56" s="137"/>
      <c r="X56" s="141">
        <f>SUM(P56:W56)</f>
        <v>0</v>
      </c>
      <c r="Y56" s="141">
        <f>J56+K56-X56</f>
        <v>0</v>
      </c>
      <c r="Z56" s="40"/>
      <c r="AA56" s="40"/>
      <c r="AB56" s="40"/>
    </row>
    <row r="57" spans="1:28" s="143" customFormat="1" ht="75" x14ac:dyDescent="0.25">
      <c r="A57" s="88" t="s">
        <v>116</v>
      </c>
      <c r="B57" s="89" t="s">
        <v>127</v>
      </c>
      <c r="C57" s="90">
        <v>43789.784</v>
      </c>
      <c r="D57" s="90">
        <v>67647.58</v>
      </c>
      <c r="E57" s="96" t="s">
        <v>128</v>
      </c>
      <c r="F57" s="91" t="s">
        <v>46</v>
      </c>
      <c r="G57" s="92">
        <v>0.83</v>
      </c>
      <c r="H57" s="90">
        <v>36346.080000000002</v>
      </c>
      <c r="I57" s="90">
        <v>56147.695999999996</v>
      </c>
      <c r="J57" s="107">
        <f t="shared" si="11"/>
        <v>26646.686217008795</v>
      </c>
      <c r="K57" s="108">
        <f t="shared" si="12"/>
        <v>9699.3937829912065</v>
      </c>
      <c r="L57" s="75" t="s">
        <v>203</v>
      </c>
      <c r="M57" s="140">
        <f t="shared" si="8"/>
        <v>0</v>
      </c>
      <c r="N57" s="79">
        <v>54519.08</v>
      </c>
      <c r="O57" s="40"/>
      <c r="P57" s="131">
        <v>26647</v>
      </c>
      <c r="Q57" s="137">
        <v>9699</v>
      </c>
      <c r="R57" s="131"/>
      <c r="S57" s="137"/>
      <c r="T57" s="131"/>
      <c r="U57" s="137"/>
      <c r="V57" s="131"/>
      <c r="W57" s="137"/>
      <c r="X57" s="141">
        <f>SUM(P57:W57)</f>
        <v>36346</v>
      </c>
      <c r="Y57" s="141">
        <f>J57+K57-X57</f>
        <v>8.000000000174623E-2</v>
      </c>
      <c r="Z57" s="40"/>
      <c r="AA57" s="40"/>
      <c r="AB57" s="40"/>
    </row>
    <row r="58" spans="1:28" s="143" customFormat="1" ht="60" x14ac:dyDescent="0.25">
      <c r="A58" s="88" t="s">
        <v>116</v>
      </c>
      <c r="B58" s="89" t="s">
        <v>129</v>
      </c>
      <c r="C58" s="90">
        <v>0</v>
      </c>
      <c r="D58" s="90">
        <v>58366.923999999999</v>
      </c>
      <c r="E58" s="95" t="s">
        <v>130</v>
      </c>
      <c r="F58" s="91" t="s">
        <v>46</v>
      </c>
      <c r="G58" s="92">
        <v>0.87</v>
      </c>
      <c r="H58" s="90">
        <v>0</v>
      </c>
      <c r="I58" s="90">
        <v>50779</v>
      </c>
      <c r="J58" s="107">
        <f t="shared" si="11"/>
        <v>0</v>
      </c>
      <c r="K58" s="108">
        <f t="shared" si="12"/>
        <v>0</v>
      </c>
      <c r="L58" s="75" t="s">
        <v>203</v>
      </c>
      <c r="M58" s="140">
        <f t="shared" si="8"/>
        <v>0</v>
      </c>
      <c r="N58" s="79">
        <v>0</v>
      </c>
      <c r="O58" s="40"/>
      <c r="P58" s="131"/>
      <c r="Q58" s="137"/>
      <c r="R58" s="131"/>
      <c r="S58" s="137"/>
      <c r="T58" s="131"/>
      <c r="U58" s="137"/>
      <c r="V58" s="131"/>
      <c r="W58" s="137"/>
      <c r="X58" s="141">
        <f>SUM(P58:W58)</f>
        <v>0</v>
      </c>
      <c r="Y58" s="141">
        <f>J58+K58-X58</f>
        <v>0</v>
      </c>
      <c r="Z58" s="40"/>
      <c r="AA58" s="40"/>
      <c r="AB58" s="40"/>
    </row>
    <row r="59" spans="1:28" s="143" customFormat="1" ht="45" x14ac:dyDescent="0.25">
      <c r="A59" s="88" t="s">
        <v>96</v>
      </c>
      <c r="B59" s="89" t="s">
        <v>131</v>
      </c>
      <c r="C59" s="90">
        <v>74410.883744087638</v>
      </c>
      <c r="D59" s="90">
        <v>131391.6717948718</v>
      </c>
      <c r="E59" s="96" t="s">
        <v>132</v>
      </c>
      <c r="F59" s="91" t="s">
        <v>23</v>
      </c>
      <c r="G59" s="97">
        <v>0.19500000000000001</v>
      </c>
      <c r="H59" s="126">
        <v>19900</v>
      </c>
      <c r="I59" s="90">
        <v>25621.376</v>
      </c>
      <c r="J59" s="107">
        <f t="shared" ref="J59" si="13">H59/1.364</f>
        <v>14589.442815249266</v>
      </c>
      <c r="K59" s="108">
        <f t="shared" ref="K59" si="14">H59-J59</f>
        <v>5310.5571847507345</v>
      </c>
      <c r="L59" s="75" t="s">
        <v>184</v>
      </c>
      <c r="M59" s="140">
        <f t="shared" si="8"/>
        <v>0</v>
      </c>
      <c r="N59" s="79">
        <v>24875.122330097089</v>
      </c>
      <c r="O59" s="40"/>
      <c r="P59" s="131">
        <v>10250</v>
      </c>
      <c r="Q59" s="137">
        <v>3731</v>
      </c>
      <c r="R59" s="131">
        <v>4265</v>
      </c>
      <c r="S59" s="137">
        <v>1552</v>
      </c>
      <c r="T59" s="131">
        <v>75</v>
      </c>
      <c r="U59" s="137">
        <v>27</v>
      </c>
      <c r="V59" s="131">
        <v>0</v>
      </c>
      <c r="W59" s="137">
        <v>0</v>
      </c>
      <c r="X59" s="141">
        <f>SUM(P59:W59)</f>
        <v>19900</v>
      </c>
      <c r="Y59" s="141">
        <f>J59+K59-X59</f>
        <v>0</v>
      </c>
      <c r="Z59" s="40"/>
      <c r="AA59" s="40"/>
      <c r="AB59" s="40"/>
    </row>
    <row r="60" spans="1:28" x14ac:dyDescent="0.25">
      <c r="A60" s="88" t="s">
        <v>133</v>
      </c>
      <c r="B60" s="89" t="s">
        <v>134</v>
      </c>
      <c r="C60" s="90">
        <v>54016.463936316628</v>
      </c>
      <c r="D60" s="90">
        <v>83454.850574712647</v>
      </c>
      <c r="E60" s="89" t="s">
        <v>135</v>
      </c>
      <c r="F60" s="91" t="s">
        <v>23</v>
      </c>
      <c r="G60" s="97">
        <v>0.26100000000000001</v>
      </c>
      <c r="H60" s="90">
        <v>14098.29708737864</v>
      </c>
      <c r="I60" s="90">
        <v>21781.716</v>
      </c>
      <c r="J60" s="93">
        <f t="shared" ref="J60:J72" si="15">H60/1.364</f>
        <v>10335.994932095777</v>
      </c>
      <c r="K60" s="94">
        <f t="shared" ref="K60:K72" si="16">H60-J60</f>
        <v>3762.3021552828632</v>
      </c>
      <c r="L60" s="74" t="s">
        <v>184</v>
      </c>
      <c r="M60" s="4">
        <f t="shared" si="8"/>
        <v>0</v>
      </c>
      <c r="N60" s="77">
        <v>21147.29708737864</v>
      </c>
      <c r="O60" s="14"/>
      <c r="P60" s="130">
        <v>8435</v>
      </c>
      <c r="Q60" s="136">
        <v>3070</v>
      </c>
      <c r="R60" s="130">
        <v>1901</v>
      </c>
      <c r="S60" s="136">
        <v>692</v>
      </c>
      <c r="T60" s="130"/>
      <c r="U60" s="136"/>
      <c r="V60" s="130"/>
      <c r="W60" s="136"/>
      <c r="X60" s="129">
        <f>SUM(P60:W60)</f>
        <v>14098</v>
      </c>
      <c r="Y60" s="129">
        <f>J60+K60-X60</f>
        <v>0.29708737863984425</v>
      </c>
      <c r="Z60" s="14"/>
      <c r="AA60" s="14"/>
      <c r="AB60" s="14"/>
    </row>
    <row r="61" spans="1:28" x14ac:dyDescent="0.25">
      <c r="A61" s="88" t="s">
        <v>96</v>
      </c>
      <c r="B61" s="89" t="s">
        <v>136</v>
      </c>
      <c r="C61" s="90">
        <v>114383.59054941354</v>
      </c>
      <c r="D61" s="90">
        <v>282757.98843930638</v>
      </c>
      <c r="E61" s="89" t="s">
        <v>137</v>
      </c>
      <c r="F61" s="91" t="s">
        <v>55</v>
      </c>
      <c r="G61" s="97">
        <v>0.17299999999999999</v>
      </c>
      <c r="H61" s="126">
        <v>25905</v>
      </c>
      <c r="I61" s="90">
        <v>48917.131999999998</v>
      </c>
      <c r="J61" s="93">
        <f t="shared" si="15"/>
        <v>18991.935483870966</v>
      </c>
      <c r="K61" s="94">
        <f t="shared" si="16"/>
        <v>6913.064516129034</v>
      </c>
      <c r="L61" s="74" t="s">
        <v>184</v>
      </c>
      <c r="M61" s="4">
        <f t="shared" si="8"/>
        <v>0</v>
      </c>
      <c r="N61" s="77">
        <v>47492.36116504854</v>
      </c>
      <c r="O61" s="14"/>
      <c r="P61" s="130">
        <v>13232</v>
      </c>
      <c r="Q61" s="136">
        <v>4816</v>
      </c>
      <c r="R61" s="130">
        <v>5656</v>
      </c>
      <c r="S61" s="136">
        <v>2059</v>
      </c>
      <c r="T61" s="130">
        <v>52</v>
      </c>
      <c r="U61" s="136">
        <v>19</v>
      </c>
      <c r="V61" s="130">
        <v>52</v>
      </c>
      <c r="W61" s="136">
        <v>19</v>
      </c>
      <c r="X61" s="129">
        <f>SUM(P61:W61)</f>
        <v>25905</v>
      </c>
      <c r="Y61" s="129">
        <f>J61+K61-X61</f>
        <v>0</v>
      </c>
      <c r="Z61" s="14"/>
      <c r="AA61" s="14"/>
      <c r="AB61" s="14"/>
    </row>
    <row r="62" spans="1:28" x14ac:dyDescent="0.25">
      <c r="A62" s="88" t="s">
        <v>133</v>
      </c>
      <c r="B62" s="89" t="s">
        <v>138</v>
      </c>
      <c r="C62" s="90">
        <v>170807.03883495144</v>
      </c>
      <c r="D62" s="90">
        <v>263896.11111111112</v>
      </c>
      <c r="E62" s="89" t="s">
        <v>139</v>
      </c>
      <c r="F62" s="91" t="s">
        <v>46</v>
      </c>
      <c r="G62" s="97">
        <v>0.216</v>
      </c>
      <c r="H62" s="90">
        <v>36894.320388349508</v>
      </c>
      <c r="I62" s="90">
        <v>57001.56</v>
      </c>
      <c r="J62" s="93">
        <f t="shared" si="15"/>
        <v>27048.62198559348</v>
      </c>
      <c r="K62" s="94">
        <f t="shared" si="16"/>
        <v>9845.6984027560284</v>
      </c>
      <c r="L62" s="74" t="s">
        <v>184</v>
      </c>
      <c r="M62" s="4">
        <f t="shared" si="8"/>
        <v>0</v>
      </c>
      <c r="N62" s="77">
        <v>55341.320388349508</v>
      </c>
      <c r="O62" s="14"/>
      <c r="P62" s="130">
        <v>19035</v>
      </c>
      <c r="Q62" s="136">
        <v>6928</v>
      </c>
      <c r="R62" s="130">
        <v>7889</v>
      </c>
      <c r="S62" s="136">
        <v>2872</v>
      </c>
      <c r="T62" s="130">
        <v>125</v>
      </c>
      <c r="U62" s="136">
        <v>45</v>
      </c>
      <c r="V62" s="130"/>
      <c r="W62" s="136"/>
      <c r="X62" s="129">
        <f>SUM(P62:W62)</f>
        <v>36894</v>
      </c>
      <c r="Y62" s="129">
        <f>J62+K62-X62</f>
        <v>0.32038834950799355</v>
      </c>
      <c r="Z62" s="14"/>
      <c r="AA62" s="14"/>
      <c r="AB62" s="14"/>
    </row>
    <row r="63" spans="1:28" s="143" customFormat="1" ht="45" x14ac:dyDescent="0.25">
      <c r="A63" s="88" t="s">
        <v>96</v>
      </c>
      <c r="B63" s="89" t="s">
        <v>140</v>
      </c>
      <c r="C63" s="90">
        <v>43235.9774933804</v>
      </c>
      <c r="D63" s="90">
        <v>89063</v>
      </c>
      <c r="E63" s="96" t="s">
        <v>141</v>
      </c>
      <c r="F63" s="91" t="s">
        <v>23</v>
      </c>
      <c r="G63" s="97">
        <v>0.17599999999999999</v>
      </c>
      <c r="H63" s="90">
        <v>7609.5320388349501</v>
      </c>
      <c r="I63" s="90">
        <v>15675.088</v>
      </c>
      <c r="J63" s="107">
        <f t="shared" si="15"/>
        <v>5578.8358055974704</v>
      </c>
      <c r="K63" s="108">
        <f t="shared" si="16"/>
        <v>2030.6962332374796</v>
      </c>
      <c r="L63" s="75" t="s">
        <v>184</v>
      </c>
      <c r="M63" s="140">
        <f t="shared" si="8"/>
        <v>0</v>
      </c>
      <c r="N63" s="79">
        <v>15218.53203883495</v>
      </c>
      <c r="O63" s="40"/>
      <c r="P63" s="131">
        <v>3934</v>
      </c>
      <c r="Q63" s="137">
        <v>1432</v>
      </c>
      <c r="R63" s="131">
        <v>1612</v>
      </c>
      <c r="S63" s="137">
        <v>587</v>
      </c>
      <c r="T63" s="131">
        <v>32</v>
      </c>
      <c r="U63" s="137">
        <v>13</v>
      </c>
      <c r="V63" s="131"/>
      <c r="W63" s="137"/>
      <c r="X63" s="141">
        <f>SUM(P63:W63)</f>
        <v>7610</v>
      </c>
      <c r="Y63" s="141">
        <f>J63+K63-X63</f>
        <v>-0.46796116504992824</v>
      </c>
      <c r="Z63" s="40"/>
      <c r="AA63" s="40"/>
      <c r="AB63" s="40"/>
    </row>
    <row r="64" spans="1:28" x14ac:dyDescent="0.25">
      <c r="A64" s="88" t="s">
        <v>96</v>
      </c>
      <c r="B64" s="89" t="s">
        <v>142</v>
      </c>
      <c r="C64" s="90">
        <v>94410.135196443152</v>
      </c>
      <c r="D64" s="90">
        <v>116692.11214953272</v>
      </c>
      <c r="E64" s="89" t="s">
        <v>143</v>
      </c>
      <c r="F64" s="91" t="s">
        <v>23</v>
      </c>
      <c r="G64" s="97">
        <v>0.214</v>
      </c>
      <c r="H64" s="90">
        <v>20203.768932038834</v>
      </c>
      <c r="I64" s="90">
        <v>24972.112000000001</v>
      </c>
      <c r="J64" s="93">
        <f t="shared" si="15"/>
        <v>14812.147310878911</v>
      </c>
      <c r="K64" s="94">
        <f t="shared" si="16"/>
        <v>5391.621621159924</v>
      </c>
      <c r="L64" s="74" t="s">
        <v>184</v>
      </c>
      <c r="M64" s="4">
        <f t="shared" si="8"/>
        <v>0</v>
      </c>
      <c r="N64" s="79">
        <v>24244.768932038834</v>
      </c>
      <c r="O64" s="14"/>
      <c r="P64" s="130">
        <v>9931</v>
      </c>
      <c r="Q64" s="136">
        <v>3615</v>
      </c>
      <c r="R64" s="129">
        <v>4797</v>
      </c>
      <c r="S64" s="135">
        <v>1746</v>
      </c>
      <c r="T64" s="129">
        <v>84</v>
      </c>
      <c r="U64" s="135">
        <v>31</v>
      </c>
      <c r="V64" s="129"/>
      <c r="W64" s="135"/>
      <c r="X64" s="129">
        <f>SUM(P64:W64)</f>
        <v>20204</v>
      </c>
      <c r="Y64" s="129">
        <f>J64+K64-X64</f>
        <v>-0.23106796116553596</v>
      </c>
    </row>
    <row r="65" spans="1:28" s="143" customFormat="1" ht="90" x14ac:dyDescent="0.2">
      <c r="A65" s="88" t="s">
        <v>96</v>
      </c>
      <c r="B65" s="89" t="s">
        <v>144</v>
      </c>
      <c r="C65" s="90">
        <v>76456.300721931781</v>
      </c>
      <c r="D65" s="90">
        <v>118122.4</v>
      </c>
      <c r="E65" s="96" t="s">
        <v>145</v>
      </c>
      <c r="F65" s="91" t="s">
        <v>23</v>
      </c>
      <c r="G65" s="97">
        <v>0.19500000000000001</v>
      </c>
      <c r="H65" s="90">
        <v>11180</v>
      </c>
      <c r="I65" s="90">
        <v>23033.867999999999</v>
      </c>
      <c r="J65" s="107">
        <f t="shared" si="15"/>
        <v>8196.4809384164218</v>
      </c>
      <c r="K65" s="108">
        <f t="shared" si="16"/>
        <v>2983.5190615835782</v>
      </c>
      <c r="L65" s="75" t="s">
        <v>184</v>
      </c>
      <c r="M65" s="140">
        <f t="shared" si="8"/>
        <v>0</v>
      </c>
      <c r="N65" s="79">
        <v>22362.978640776699</v>
      </c>
      <c r="O65" s="40"/>
      <c r="P65" s="131">
        <v>5759</v>
      </c>
      <c r="Q65" s="137">
        <v>2096</v>
      </c>
      <c r="R65" s="129">
        <v>2396</v>
      </c>
      <c r="S65" s="135">
        <v>872</v>
      </c>
      <c r="T65" s="141">
        <v>42</v>
      </c>
      <c r="U65" s="142">
        <v>15</v>
      </c>
      <c r="V65" s="141"/>
      <c r="W65" s="142"/>
      <c r="X65" s="141">
        <f>SUM(P65:W65)</f>
        <v>11180</v>
      </c>
      <c r="Y65" s="141">
        <f>J65+K65-X65</f>
        <v>0</v>
      </c>
    </row>
    <row r="66" spans="1:28" s="143" customFormat="1" ht="90" x14ac:dyDescent="0.25">
      <c r="A66" s="88" t="s">
        <v>146</v>
      </c>
      <c r="B66" s="89" t="s">
        <v>147</v>
      </c>
      <c r="C66" s="90">
        <v>151233.72305997385</v>
      </c>
      <c r="D66" s="90">
        <v>222529.34468085106</v>
      </c>
      <c r="E66" s="95" t="s">
        <v>148</v>
      </c>
      <c r="F66" s="98" t="s">
        <v>77</v>
      </c>
      <c r="G66" s="97">
        <v>0.70499999999999996</v>
      </c>
      <c r="H66" s="90">
        <v>106619.77475728156</v>
      </c>
      <c r="I66" s="90">
        <v>156883.18799999999</v>
      </c>
      <c r="J66" s="107">
        <f t="shared" si="15"/>
        <v>78166.990291262133</v>
      </c>
      <c r="K66" s="108">
        <f t="shared" si="16"/>
        <v>28452.784466019424</v>
      </c>
      <c r="L66" s="75" t="s">
        <v>184</v>
      </c>
      <c r="M66" s="140">
        <f t="shared" si="8"/>
        <v>0</v>
      </c>
      <c r="N66" s="79">
        <v>152313.77475728156</v>
      </c>
      <c r="O66" s="85"/>
      <c r="P66" s="131">
        <f>35638+10560+9240</f>
        <v>55438</v>
      </c>
      <c r="Q66" s="137">
        <f>12972+3844+3363</f>
        <v>20179</v>
      </c>
      <c r="R66" s="141">
        <f>14398+4266+3733</f>
        <v>22397</v>
      </c>
      <c r="S66" s="142">
        <f>5241+1553+1359</f>
        <v>8153</v>
      </c>
      <c r="T66" s="141">
        <f>71+21+18</f>
        <v>110</v>
      </c>
      <c r="U66" s="142">
        <f>26+8+7</f>
        <v>41</v>
      </c>
      <c r="V66" s="141">
        <f>143+42+37</f>
        <v>222</v>
      </c>
      <c r="W66" s="142">
        <f>52+15+13</f>
        <v>80</v>
      </c>
      <c r="X66" s="141">
        <f>SUM(P66:W66)</f>
        <v>106620</v>
      </c>
      <c r="Y66" s="141">
        <f>J66+K66-X66</f>
        <v>-0.22524271844304167</v>
      </c>
    </row>
    <row r="67" spans="1:28" s="143" customFormat="1" ht="60" x14ac:dyDescent="0.25">
      <c r="A67" s="88" t="s">
        <v>146</v>
      </c>
      <c r="B67" s="89" t="s">
        <v>149</v>
      </c>
      <c r="C67" s="90">
        <v>184138.77128760147</v>
      </c>
      <c r="D67" s="90">
        <v>252884.10928961751</v>
      </c>
      <c r="E67" s="96" t="s">
        <v>150</v>
      </c>
      <c r="F67" s="91" t="s">
        <v>151</v>
      </c>
      <c r="G67" s="97">
        <v>0.36599999999999999</v>
      </c>
      <c r="H67" s="90">
        <v>67394.790291262136</v>
      </c>
      <c r="I67" s="90">
        <v>92555.584000000003</v>
      </c>
      <c r="J67" s="107">
        <f t="shared" si="15"/>
        <v>49409.670301511826</v>
      </c>
      <c r="K67" s="108">
        <f t="shared" si="16"/>
        <v>17985.11998975031</v>
      </c>
      <c r="L67" s="75" t="s">
        <v>184</v>
      </c>
      <c r="M67" s="140">
        <f t="shared" si="8"/>
        <v>0</v>
      </c>
      <c r="N67" s="79">
        <v>89859.790291262136</v>
      </c>
      <c r="O67" s="85"/>
      <c r="P67" s="131">
        <v>34425</v>
      </c>
      <c r="Q67" s="137">
        <v>12531</v>
      </c>
      <c r="R67" s="141">
        <v>14715</v>
      </c>
      <c r="S67" s="142">
        <v>5356</v>
      </c>
      <c r="T67" s="141">
        <v>135</v>
      </c>
      <c r="U67" s="142">
        <v>49</v>
      </c>
      <c r="V67" s="141">
        <v>135</v>
      </c>
      <c r="W67" s="142">
        <v>49</v>
      </c>
      <c r="X67" s="141">
        <f>SUM(P67:W67)</f>
        <v>67395</v>
      </c>
      <c r="Y67" s="141">
        <f>J67+K67-X67</f>
        <v>-0.20970873786427546</v>
      </c>
    </row>
    <row r="68" spans="1:28" x14ac:dyDescent="0.25">
      <c r="A68" s="88" t="s">
        <v>96</v>
      </c>
      <c r="B68" s="89" t="s">
        <v>152</v>
      </c>
      <c r="C68" s="90">
        <v>129814.79527226677</v>
      </c>
      <c r="D68" s="90">
        <v>145863.98550724637</v>
      </c>
      <c r="E68" s="127" t="s">
        <v>153</v>
      </c>
      <c r="F68" s="91" t="s">
        <v>52</v>
      </c>
      <c r="G68" s="97">
        <v>0.27600000000000002</v>
      </c>
      <c r="H68" s="90">
        <v>35828.88349514563</v>
      </c>
      <c r="I68" s="90">
        <v>40258.46</v>
      </c>
      <c r="J68" s="93">
        <f t="shared" si="15"/>
        <v>26267.50989380178</v>
      </c>
      <c r="K68" s="94">
        <f t="shared" si="16"/>
        <v>9561.3736013438502</v>
      </c>
      <c r="L68" s="74" t="s">
        <v>184</v>
      </c>
      <c r="M68" s="4">
        <f t="shared" si="8"/>
        <v>0</v>
      </c>
      <c r="N68" s="79">
        <v>39085.88349514563</v>
      </c>
      <c r="O68" s="70"/>
      <c r="P68" s="130">
        <v>22556</v>
      </c>
      <c r="Q68" s="136">
        <v>8210</v>
      </c>
      <c r="R68" s="129">
        <v>3617</v>
      </c>
      <c r="S68" s="135">
        <v>1316</v>
      </c>
      <c r="T68" s="129">
        <v>95</v>
      </c>
      <c r="U68" s="135">
        <v>35</v>
      </c>
      <c r="V68" s="129"/>
      <c r="W68" s="135"/>
      <c r="X68" s="129">
        <f>SUM(P68:W68)</f>
        <v>35829</v>
      </c>
      <c r="Y68" s="129">
        <f>J68+K68-X68</f>
        <v>-0.11650485436985036</v>
      </c>
    </row>
    <row r="69" spans="1:28" x14ac:dyDescent="0.25">
      <c r="A69" s="88" t="s">
        <v>96</v>
      </c>
      <c r="B69" s="89" t="s">
        <v>154</v>
      </c>
      <c r="C69" s="90">
        <v>96008.142031878553</v>
      </c>
      <c r="D69" s="90">
        <v>107879.22741433022</v>
      </c>
      <c r="E69" s="127"/>
      <c r="F69" s="91" t="s">
        <v>52</v>
      </c>
      <c r="G69" s="97">
        <v>0.32100000000000001</v>
      </c>
      <c r="H69" s="90">
        <v>30818.613592233014</v>
      </c>
      <c r="I69" s="90">
        <v>34629.232000000004</v>
      </c>
      <c r="J69" s="93">
        <f t="shared" si="15"/>
        <v>22594.2914899069</v>
      </c>
      <c r="K69" s="94">
        <f t="shared" si="16"/>
        <v>8224.322102326114</v>
      </c>
      <c r="L69" s="74" t="s">
        <v>184</v>
      </c>
      <c r="M69" s="4">
        <f t="shared" si="8"/>
        <v>0</v>
      </c>
      <c r="N69" s="79">
        <v>33620.613592233014</v>
      </c>
      <c r="O69" s="70"/>
      <c r="P69" s="130">
        <v>19005</v>
      </c>
      <c r="Q69" s="136">
        <v>6918</v>
      </c>
      <c r="R69" s="130">
        <v>3519</v>
      </c>
      <c r="S69" s="136">
        <v>1281</v>
      </c>
      <c r="T69" s="130">
        <v>70</v>
      </c>
      <c r="U69" s="136">
        <v>26</v>
      </c>
      <c r="V69" s="130"/>
      <c r="W69" s="136"/>
      <c r="X69" s="129">
        <f>SUM(P69:W69)</f>
        <v>30819</v>
      </c>
      <c r="Y69" s="129">
        <f>J69+K69-X69</f>
        <v>-0.38640776698593982</v>
      </c>
      <c r="Z69" s="14"/>
      <c r="AA69" s="14"/>
      <c r="AB69" s="14"/>
    </row>
    <row r="70" spans="1:28" s="143" customFormat="1" ht="31.5" customHeight="1" x14ac:dyDescent="0.25">
      <c r="A70" s="88" t="s">
        <v>96</v>
      </c>
      <c r="B70" s="89" t="s">
        <v>155</v>
      </c>
      <c r="C70" s="90">
        <v>65809.902307715573</v>
      </c>
      <c r="D70" s="90">
        <v>73944.947040498446</v>
      </c>
      <c r="E70" s="127"/>
      <c r="F70" s="91" t="s">
        <v>52</v>
      </c>
      <c r="G70" s="97">
        <v>0.32100000000000001</v>
      </c>
      <c r="H70" s="90">
        <v>21124.978640776699</v>
      </c>
      <c r="I70" s="90">
        <v>23736.328000000001</v>
      </c>
      <c r="J70" s="107">
        <f t="shared" si="15"/>
        <v>15487.520997636875</v>
      </c>
      <c r="K70" s="108">
        <f t="shared" si="16"/>
        <v>5637.4576431398236</v>
      </c>
      <c r="L70" s="75" t="s">
        <v>184</v>
      </c>
      <c r="M70" s="140">
        <f t="shared" si="8"/>
        <v>0</v>
      </c>
      <c r="N70" s="79">
        <v>23044.978640776699</v>
      </c>
      <c r="O70" s="40"/>
      <c r="P70" s="131">
        <v>13027</v>
      </c>
      <c r="Q70" s="137">
        <v>4742</v>
      </c>
      <c r="R70" s="131">
        <v>2412</v>
      </c>
      <c r="S70" s="137">
        <v>878</v>
      </c>
      <c r="T70" s="131">
        <v>48</v>
      </c>
      <c r="U70" s="137">
        <v>18</v>
      </c>
      <c r="V70" s="131"/>
      <c r="W70" s="137"/>
      <c r="X70" s="141">
        <f>SUM(P70:W70)</f>
        <v>21125</v>
      </c>
      <c r="Y70" s="141">
        <f>J70+K70-X70</f>
        <v>-2.1359223301260499E-2</v>
      </c>
      <c r="Z70" s="40"/>
      <c r="AA70" s="40"/>
      <c r="AB70" s="40"/>
    </row>
    <row r="71" spans="1:28" x14ac:dyDescent="0.25">
      <c r="A71" s="88" t="s">
        <v>96</v>
      </c>
      <c r="B71" s="89" t="s">
        <v>156</v>
      </c>
      <c r="C71" s="90">
        <v>50437.770122142196</v>
      </c>
      <c r="D71" s="90">
        <v>155848</v>
      </c>
      <c r="E71" s="89" t="s">
        <v>124</v>
      </c>
      <c r="F71" s="91" t="s">
        <v>30</v>
      </c>
      <c r="G71" s="97">
        <v>0.27900000000000003</v>
      </c>
      <c r="H71" s="90">
        <v>14072.137864077675</v>
      </c>
      <c r="I71" s="90">
        <v>43481.592000000004</v>
      </c>
      <c r="J71" s="93">
        <f t="shared" si="15"/>
        <v>10316.816615892723</v>
      </c>
      <c r="K71" s="94">
        <f t="shared" si="16"/>
        <v>3755.3212481849514</v>
      </c>
      <c r="L71" s="74" t="s">
        <v>184</v>
      </c>
      <c r="M71" s="4">
        <f t="shared" si="8"/>
        <v>0</v>
      </c>
      <c r="N71" s="79">
        <v>42215.137864077675</v>
      </c>
      <c r="O71" s="14"/>
      <c r="P71" s="130">
        <v>6101</v>
      </c>
      <c r="Q71" s="136">
        <v>2221</v>
      </c>
      <c r="R71" s="130">
        <v>4215</v>
      </c>
      <c r="S71" s="136">
        <v>1535</v>
      </c>
      <c r="T71" s="130"/>
      <c r="U71" s="136"/>
      <c r="V71" s="130"/>
      <c r="W71" s="136"/>
      <c r="X71" s="129">
        <f>SUM(P71:W71)</f>
        <v>14072</v>
      </c>
      <c r="Y71" s="129">
        <f>J71+K71-X71</f>
        <v>0.13786407767474884</v>
      </c>
      <c r="Z71" s="14"/>
      <c r="AA71" s="14"/>
      <c r="AB71" s="14"/>
    </row>
    <row r="72" spans="1:28" s="143" customFormat="1" ht="60" x14ac:dyDescent="0.25">
      <c r="A72" s="88" t="s">
        <v>96</v>
      </c>
      <c r="B72" s="89" t="s">
        <v>157</v>
      </c>
      <c r="C72" s="90">
        <v>31249.463146114991</v>
      </c>
      <c r="D72" s="90">
        <v>96563.551401869161</v>
      </c>
      <c r="E72" s="96" t="s">
        <v>158</v>
      </c>
      <c r="F72" s="91" t="s">
        <v>46</v>
      </c>
      <c r="G72" s="97">
        <v>0.32100000000000001</v>
      </c>
      <c r="H72" s="90">
        <v>10031.077669902912</v>
      </c>
      <c r="I72" s="90">
        <v>30996.9</v>
      </c>
      <c r="J72" s="107">
        <f t="shared" si="15"/>
        <v>7354.1625145915768</v>
      </c>
      <c r="K72" s="108">
        <f t="shared" si="16"/>
        <v>2676.9151553113352</v>
      </c>
      <c r="L72" s="75" t="s">
        <v>184</v>
      </c>
      <c r="M72" s="140">
        <f t="shared" si="8"/>
        <v>0</v>
      </c>
      <c r="N72" s="79">
        <v>30094.077669902912</v>
      </c>
      <c r="O72" s="40"/>
      <c r="P72" s="131">
        <v>6186</v>
      </c>
      <c r="Q72" s="137">
        <v>2252</v>
      </c>
      <c r="R72" s="131">
        <v>1146</v>
      </c>
      <c r="S72" s="137">
        <v>417</v>
      </c>
      <c r="T72" s="131">
        <v>23</v>
      </c>
      <c r="U72" s="137">
        <v>7</v>
      </c>
      <c r="V72" s="131"/>
      <c r="W72" s="137"/>
      <c r="X72" s="141">
        <f>SUM(P72:W72)</f>
        <v>10031</v>
      </c>
      <c r="Y72" s="141">
        <f>J72+K72-X72</f>
        <v>7.7669902912020916E-2</v>
      </c>
      <c r="Z72" s="40"/>
      <c r="AA72" s="40"/>
      <c r="AB72" s="40"/>
    </row>
    <row r="73" spans="1:28" x14ac:dyDescent="0.25">
      <c r="A73" s="99" t="s">
        <v>96</v>
      </c>
      <c r="B73" s="89" t="s">
        <v>159</v>
      </c>
      <c r="C73" s="100">
        <v>-717378</v>
      </c>
      <c r="D73" s="100">
        <v>-755374</v>
      </c>
      <c r="E73" s="101" t="s">
        <v>160</v>
      </c>
      <c r="F73" s="91" t="s">
        <v>30</v>
      </c>
      <c r="G73" s="92">
        <v>1</v>
      </c>
      <c r="H73" s="100">
        <v>-703707</v>
      </c>
      <c r="I73" s="100">
        <v>-755374</v>
      </c>
      <c r="J73" s="102">
        <v>-515914</v>
      </c>
      <c r="K73" s="103">
        <v>-187793</v>
      </c>
      <c r="L73" s="74" t="s">
        <v>192</v>
      </c>
      <c r="M73" s="4">
        <f t="shared" si="8"/>
        <v>0</v>
      </c>
      <c r="N73" s="81">
        <v>-717378</v>
      </c>
      <c r="O73" s="14"/>
      <c r="P73" s="130">
        <v>-364481</v>
      </c>
      <c r="Q73" s="136">
        <v>-132671</v>
      </c>
      <c r="R73" s="130">
        <v>-147057</v>
      </c>
      <c r="S73" s="136">
        <v>-53529</v>
      </c>
      <c r="T73" s="130">
        <v>-2704</v>
      </c>
      <c r="U73" s="136">
        <v>-984</v>
      </c>
      <c r="V73" s="130">
        <v>-1672</v>
      </c>
      <c r="W73" s="136">
        <v>-609</v>
      </c>
      <c r="X73" s="129">
        <f>SUM(P73:W73)</f>
        <v>-703707</v>
      </c>
      <c r="Y73" s="129">
        <f>J73+K73-X73</f>
        <v>0</v>
      </c>
      <c r="Z73" s="14"/>
      <c r="AA73" s="14"/>
      <c r="AB73" s="14"/>
    </row>
    <row r="74" spans="1:28" ht="60" x14ac:dyDescent="0.25">
      <c r="A74" s="88" t="s">
        <v>96</v>
      </c>
      <c r="B74" s="104" t="s">
        <v>161</v>
      </c>
      <c r="C74" s="105">
        <v>67715</v>
      </c>
      <c r="D74" s="105">
        <v>70085</v>
      </c>
      <c r="E74" s="95" t="s">
        <v>162</v>
      </c>
      <c r="F74" s="91" t="s">
        <v>46</v>
      </c>
      <c r="G74" s="92">
        <v>1</v>
      </c>
      <c r="H74" s="105">
        <v>67715</v>
      </c>
      <c r="I74" s="105">
        <v>70085</v>
      </c>
      <c r="J74" s="107">
        <f t="shared" ref="J74:J76" si="17">H74/1.364</f>
        <v>49644.428152492663</v>
      </c>
      <c r="K74" s="108">
        <f t="shared" ref="K74:K76" si="18">H74-J74</f>
        <v>18070.571847507337</v>
      </c>
      <c r="L74" s="74" t="s">
        <v>190</v>
      </c>
      <c r="M74" s="4">
        <f t="shared" si="8"/>
        <v>0</v>
      </c>
      <c r="N74" s="84">
        <v>67715</v>
      </c>
      <c r="O74" s="72"/>
      <c r="P74" s="132">
        <v>28849</v>
      </c>
      <c r="Q74" s="138">
        <v>18423</v>
      </c>
      <c r="R74" s="132">
        <v>12213</v>
      </c>
      <c r="S74" s="138">
        <v>7799</v>
      </c>
      <c r="T74" s="132">
        <v>158</v>
      </c>
      <c r="U74" s="138">
        <v>101</v>
      </c>
      <c r="V74" s="132">
        <v>105</v>
      </c>
      <c r="W74" s="138">
        <v>67</v>
      </c>
      <c r="X74" s="129">
        <f>SUM(P74:W74)</f>
        <v>67715</v>
      </c>
      <c r="Y74" s="129">
        <f>J74+K74-X74</f>
        <v>0</v>
      </c>
      <c r="Z74" s="72"/>
      <c r="AA74" s="72"/>
      <c r="AB74" s="72"/>
    </row>
    <row r="75" spans="1:28" ht="60" x14ac:dyDescent="0.25">
      <c r="A75" s="88" t="s">
        <v>96</v>
      </c>
      <c r="B75" s="89" t="s">
        <v>163</v>
      </c>
      <c r="C75" s="90">
        <v>70050</v>
      </c>
      <c r="D75" s="90">
        <v>96669</v>
      </c>
      <c r="E75" s="95" t="s">
        <v>164</v>
      </c>
      <c r="F75" s="91" t="s">
        <v>46</v>
      </c>
      <c r="G75" s="92">
        <v>1</v>
      </c>
      <c r="H75" s="90">
        <v>70050</v>
      </c>
      <c r="I75" s="90">
        <v>96669</v>
      </c>
      <c r="J75" s="107">
        <f t="shared" si="17"/>
        <v>51356.304985337243</v>
      </c>
      <c r="K75" s="108">
        <f t="shared" si="18"/>
        <v>18693.695014662757</v>
      </c>
      <c r="L75" s="74" t="s">
        <v>190</v>
      </c>
      <c r="M75" s="4">
        <f t="shared" si="8"/>
        <v>0</v>
      </c>
      <c r="N75" s="79">
        <v>70050</v>
      </c>
      <c r="O75" s="14"/>
      <c r="P75" s="132">
        <v>29843</v>
      </c>
      <c r="Q75" s="138">
        <v>19058</v>
      </c>
      <c r="R75" s="132">
        <v>12634</v>
      </c>
      <c r="S75" s="138">
        <v>8068</v>
      </c>
      <c r="T75" s="132">
        <v>163</v>
      </c>
      <c r="U75" s="138">
        <v>104</v>
      </c>
      <c r="V75" s="132">
        <v>109</v>
      </c>
      <c r="W75" s="138">
        <v>71</v>
      </c>
      <c r="X75" s="129">
        <f>SUM(P75:W75)</f>
        <v>70050</v>
      </c>
      <c r="Y75" s="129">
        <f>J75+K75-X75</f>
        <v>0</v>
      </c>
      <c r="Z75" s="14"/>
      <c r="AA75" s="14"/>
      <c r="AB75" s="14"/>
    </row>
    <row r="76" spans="1:28" s="143" customFormat="1" ht="60" x14ac:dyDescent="0.25">
      <c r="A76" s="88" t="s">
        <v>96</v>
      </c>
      <c r="B76" s="89" t="s">
        <v>163</v>
      </c>
      <c r="C76" s="90">
        <v>46700</v>
      </c>
      <c r="D76" s="90">
        <v>96669</v>
      </c>
      <c r="E76" s="95" t="s">
        <v>165</v>
      </c>
      <c r="F76" s="91" t="s">
        <v>46</v>
      </c>
      <c r="G76" s="92">
        <v>1</v>
      </c>
      <c r="H76" s="90">
        <v>46700</v>
      </c>
      <c r="I76" s="90">
        <v>96669</v>
      </c>
      <c r="J76" s="107">
        <f t="shared" si="17"/>
        <v>34237.536656891491</v>
      </c>
      <c r="K76" s="108">
        <f t="shared" si="18"/>
        <v>12462.463343108509</v>
      </c>
      <c r="L76" s="75" t="s">
        <v>190</v>
      </c>
      <c r="M76" s="140">
        <f t="shared" si="8"/>
        <v>0</v>
      </c>
      <c r="N76" s="79">
        <v>46700</v>
      </c>
      <c r="O76" s="40"/>
      <c r="P76" s="132">
        <v>19896</v>
      </c>
      <c r="Q76" s="138">
        <v>12705</v>
      </c>
      <c r="R76" s="132">
        <v>8423</v>
      </c>
      <c r="S76" s="138">
        <v>5379</v>
      </c>
      <c r="T76" s="132">
        <v>109</v>
      </c>
      <c r="U76" s="138">
        <v>70</v>
      </c>
      <c r="V76" s="132">
        <v>73</v>
      </c>
      <c r="W76" s="138">
        <v>45</v>
      </c>
      <c r="X76" s="141">
        <f>SUM(P76:W76)</f>
        <v>46700</v>
      </c>
      <c r="Y76" s="141">
        <f>J76+K76-X76</f>
        <v>0</v>
      </c>
      <c r="Z76" s="40"/>
      <c r="AA76" s="40"/>
      <c r="AB76" s="40"/>
    </row>
    <row r="77" spans="1:28" s="143" customFormat="1" ht="60" x14ac:dyDescent="0.25">
      <c r="A77" s="33">
        <v>925</v>
      </c>
      <c r="B77" s="40" t="s">
        <v>166</v>
      </c>
      <c r="C77" s="50">
        <v>100000</v>
      </c>
      <c r="D77" s="50">
        <v>100000</v>
      </c>
      <c r="E77" s="64" t="s">
        <v>167</v>
      </c>
      <c r="F77" s="69" t="s">
        <v>46</v>
      </c>
      <c r="G77" s="39">
        <v>1</v>
      </c>
      <c r="H77" s="50">
        <v>100000</v>
      </c>
      <c r="I77" s="50">
        <v>100000</v>
      </c>
      <c r="J77" s="51"/>
      <c r="K77" s="71">
        <f>H77</f>
        <v>100000</v>
      </c>
      <c r="L77" s="75" t="s">
        <v>190</v>
      </c>
      <c r="M77" s="140">
        <f t="shared" si="8"/>
        <v>0</v>
      </c>
      <c r="N77" s="40"/>
      <c r="O77" s="40"/>
      <c r="P77" s="131"/>
      <c r="Q77" s="137">
        <v>69809</v>
      </c>
      <c r="R77" s="131"/>
      <c r="S77" s="137">
        <v>29554</v>
      </c>
      <c r="T77" s="131"/>
      <c r="U77" s="137">
        <v>382</v>
      </c>
      <c r="V77" s="131"/>
      <c r="W77" s="137">
        <v>255</v>
      </c>
      <c r="X77" s="141">
        <f>SUM(P77:W77)</f>
        <v>100000</v>
      </c>
      <c r="Y77" s="141">
        <f>J77+K77-X77</f>
        <v>0</v>
      </c>
      <c r="Z77" s="40"/>
      <c r="AA77" s="40"/>
      <c r="AB77" s="40"/>
    </row>
    <row r="78" spans="1:28" s="143" customFormat="1" ht="409.5" x14ac:dyDescent="0.25">
      <c r="A78" s="88">
        <v>920</v>
      </c>
      <c r="B78" s="89" t="s">
        <v>168</v>
      </c>
      <c r="C78" s="90">
        <v>409076.88</v>
      </c>
      <c r="D78" s="90">
        <v>709022.20400000003</v>
      </c>
      <c r="E78" s="106" t="s">
        <v>169</v>
      </c>
      <c r="F78" s="91" t="s">
        <v>30</v>
      </c>
      <c r="G78" s="97">
        <v>0.216</v>
      </c>
      <c r="H78" s="90">
        <v>88361.276000000013</v>
      </c>
      <c r="I78" s="90">
        <v>153148.55599999998</v>
      </c>
      <c r="J78" s="107">
        <f t="shared" ref="J78" si="19">H78/1.364</f>
        <v>64780.994134897366</v>
      </c>
      <c r="K78" s="108">
        <f t="shared" ref="K78" si="20">H78-J78</f>
        <v>23580.281865102646</v>
      </c>
      <c r="L78" s="75" t="s">
        <v>184</v>
      </c>
      <c r="M78" s="140">
        <f t="shared" si="8"/>
        <v>0</v>
      </c>
      <c r="N78" s="79">
        <v>148688.27600000001</v>
      </c>
      <c r="O78" s="40"/>
      <c r="P78" s="131">
        <f>8208+4834+11913+20632</f>
        <v>45587</v>
      </c>
      <c r="Q78" s="137">
        <f>2988+1759+4336+7510</f>
        <v>16593</v>
      </c>
      <c r="R78" s="131">
        <f>3402+2003+4938+8551</f>
        <v>18894</v>
      </c>
      <c r="S78" s="137">
        <f>1238+729+1797+3113</f>
        <v>6877</v>
      </c>
      <c r="T78" s="131">
        <f>54+32+78+136</f>
        <v>300</v>
      </c>
      <c r="U78" s="137">
        <f>20+12+29+49</f>
        <v>110</v>
      </c>
      <c r="V78" s="131"/>
      <c r="W78" s="137"/>
      <c r="X78" s="141">
        <f>SUM(P78:W78)</f>
        <v>88361</v>
      </c>
      <c r="Y78" s="141">
        <f>J78+K78-X78</f>
        <v>0.27600000001257285</v>
      </c>
      <c r="Z78" s="40"/>
      <c r="AA78" s="40"/>
      <c r="AB78" s="40"/>
    </row>
    <row r="79" spans="1:28" s="143" customFormat="1" ht="210" x14ac:dyDescent="0.25">
      <c r="A79" s="33">
        <v>920</v>
      </c>
      <c r="B79" s="78" t="s">
        <v>170</v>
      </c>
      <c r="C79" s="35">
        <v>167229</v>
      </c>
      <c r="D79" s="35">
        <v>172247</v>
      </c>
      <c r="E79" s="63" t="s">
        <v>171</v>
      </c>
      <c r="F79" s="38" t="s">
        <v>23</v>
      </c>
      <c r="G79" s="39">
        <v>0.22786000000000001</v>
      </c>
      <c r="H79" s="35">
        <v>38104.854368932036</v>
      </c>
      <c r="I79" s="35">
        <v>39248</v>
      </c>
      <c r="J79" s="60">
        <f>H79</f>
        <v>38104.854368932036</v>
      </c>
      <c r="K79" s="40"/>
      <c r="L79" s="76" t="s">
        <v>184</v>
      </c>
      <c r="M79" s="140">
        <f t="shared" si="8"/>
        <v>0</v>
      </c>
      <c r="P79" s="141">
        <v>24713</v>
      </c>
      <c r="Q79" s="142"/>
      <c r="R79" s="141">
        <v>13357</v>
      </c>
      <c r="S79" s="142"/>
      <c r="T79" s="141">
        <v>35</v>
      </c>
      <c r="U79" s="142"/>
      <c r="V79" s="141"/>
      <c r="W79" s="142"/>
      <c r="X79" s="141">
        <f>SUM(P79:W79)</f>
        <v>38105</v>
      </c>
      <c r="Y79" s="141">
        <f>J79+K79-X79</f>
        <v>-0.14563106796413194</v>
      </c>
    </row>
    <row r="80" spans="1:28" ht="60" x14ac:dyDescent="0.25">
      <c r="A80" s="33">
        <v>923</v>
      </c>
      <c r="B80" s="72" t="s">
        <v>172</v>
      </c>
      <c r="C80" s="50">
        <v>60300</v>
      </c>
      <c r="D80" s="50">
        <v>60300</v>
      </c>
      <c r="E80" s="64" t="s">
        <v>173</v>
      </c>
      <c r="F80" s="69" t="s">
        <v>30</v>
      </c>
      <c r="G80" s="39">
        <v>0.21</v>
      </c>
      <c r="H80" s="50">
        <v>12663</v>
      </c>
      <c r="I80" s="50">
        <v>12663</v>
      </c>
      <c r="J80" s="21"/>
      <c r="K80" s="15">
        <f>H80</f>
        <v>12663</v>
      </c>
      <c r="L80" s="73" t="s">
        <v>191</v>
      </c>
      <c r="M80" s="4">
        <f t="shared" ref="M80:M82" si="21">H80-J80-K80</f>
        <v>0</v>
      </c>
      <c r="P80" s="129"/>
      <c r="Q80" s="135">
        <v>8804</v>
      </c>
      <c r="R80" s="129"/>
      <c r="S80" s="135">
        <v>3799</v>
      </c>
      <c r="T80" s="129"/>
      <c r="U80" s="135">
        <v>60</v>
      </c>
      <c r="V80" s="129"/>
      <c r="W80" s="135"/>
      <c r="X80" s="129">
        <f>SUM(P80:W80)</f>
        <v>12663</v>
      </c>
      <c r="Y80" s="129">
        <f>J80+K80-X80</f>
        <v>0</v>
      </c>
    </row>
    <row r="81" spans="1:28" ht="45" x14ac:dyDescent="0.25">
      <c r="A81" s="33">
        <v>923</v>
      </c>
      <c r="B81" s="72" t="s">
        <v>174</v>
      </c>
      <c r="C81" s="35">
        <v>141805</v>
      </c>
      <c r="D81" s="36">
        <v>150000</v>
      </c>
      <c r="E81" s="64" t="s">
        <v>175</v>
      </c>
      <c r="F81" s="38" t="s">
        <v>30</v>
      </c>
      <c r="G81" s="39">
        <v>0.26100000000000001</v>
      </c>
      <c r="H81" s="35">
        <v>37011</v>
      </c>
      <c r="I81" s="36">
        <v>39150</v>
      </c>
      <c r="J81" s="28"/>
      <c r="K81" s="15">
        <f>H81</f>
        <v>37011</v>
      </c>
      <c r="L81" s="74" t="s">
        <v>196</v>
      </c>
      <c r="M81" s="4">
        <f t="shared" si="21"/>
        <v>0</v>
      </c>
      <c r="N81" s="14"/>
      <c r="O81" s="14"/>
      <c r="P81" s="130"/>
      <c r="Q81" s="136">
        <v>30143</v>
      </c>
      <c r="R81" s="130"/>
      <c r="S81" s="136">
        <v>6868</v>
      </c>
      <c r="T81" s="130"/>
      <c r="U81" s="136"/>
      <c r="V81" s="130"/>
      <c r="W81" s="136"/>
      <c r="X81" s="129">
        <f>SUM(P81:W81)</f>
        <v>37011</v>
      </c>
      <c r="Y81" s="129">
        <f>J81+K81-X81</f>
        <v>0</v>
      </c>
      <c r="Z81" s="14"/>
      <c r="AA81" s="14"/>
      <c r="AB81" s="14"/>
    </row>
    <row r="82" spans="1:28" ht="60" x14ac:dyDescent="0.2">
      <c r="A82" s="88" t="s">
        <v>96</v>
      </c>
      <c r="B82" s="109" t="s">
        <v>176</v>
      </c>
      <c r="C82" s="110">
        <v>204815</v>
      </c>
      <c r="D82" s="110">
        <v>253152</v>
      </c>
      <c r="E82" s="111" t="s">
        <v>177</v>
      </c>
      <c r="F82" s="91" t="s">
        <v>30</v>
      </c>
      <c r="G82" s="97">
        <v>0.26100000000000001</v>
      </c>
      <c r="H82" s="110">
        <v>53457</v>
      </c>
      <c r="I82" s="110">
        <v>66073</v>
      </c>
      <c r="J82" s="112">
        <v>39192</v>
      </c>
      <c r="K82" s="113">
        <f>H82-J82</f>
        <v>14265</v>
      </c>
      <c r="L82" s="75" t="s">
        <v>195</v>
      </c>
      <c r="M82" s="4">
        <f t="shared" si="21"/>
        <v>0</v>
      </c>
      <c r="N82" s="14"/>
      <c r="O82" s="14"/>
      <c r="P82" s="130">
        <v>31984</v>
      </c>
      <c r="Q82" s="136">
        <v>11642</v>
      </c>
      <c r="R82" s="130">
        <v>7208</v>
      </c>
      <c r="S82" s="136">
        <v>2623</v>
      </c>
      <c r="T82" s="130"/>
      <c r="U82" s="136"/>
      <c r="V82" s="130"/>
      <c r="W82" s="136"/>
      <c r="X82" s="129">
        <f>SUM(P82:W82)</f>
        <v>53457</v>
      </c>
      <c r="Y82" s="129">
        <f>J82+K82-X82</f>
        <v>0</v>
      </c>
      <c r="Z82" s="14"/>
      <c r="AA82" s="14"/>
      <c r="AB82" s="14"/>
    </row>
    <row r="83" spans="1:28" x14ac:dyDescent="0.25">
      <c r="A83" s="6"/>
      <c r="B83" s="6"/>
      <c r="C83" s="6"/>
      <c r="D83" s="6"/>
      <c r="E83" s="6"/>
      <c r="F83" s="6"/>
      <c r="G83" s="6"/>
      <c r="H83" s="6"/>
      <c r="I83" s="6"/>
      <c r="J83" s="2"/>
      <c r="K83" s="2"/>
      <c r="L83" s="74"/>
      <c r="M83" s="74"/>
      <c r="N83" s="14"/>
      <c r="O83" s="14"/>
      <c r="P83" s="130"/>
      <c r="Q83" s="136"/>
      <c r="R83" s="130"/>
      <c r="S83" s="136"/>
      <c r="T83" s="130"/>
      <c r="U83" s="136"/>
      <c r="V83" s="130"/>
      <c r="W83" s="136"/>
      <c r="X83" s="130"/>
      <c r="Y83" s="130"/>
      <c r="Z83" s="14"/>
      <c r="AA83" s="14"/>
      <c r="AB83" s="14"/>
    </row>
    <row r="84" spans="1:28" x14ac:dyDescent="0.25">
      <c r="A84" s="6"/>
      <c r="B84" s="7" t="s">
        <v>178</v>
      </c>
      <c r="C84" s="56">
        <v>6624681.2377042174</v>
      </c>
      <c r="D84" s="56">
        <v>11141236.101865487</v>
      </c>
      <c r="E84" s="6"/>
      <c r="F84" s="6"/>
      <c r="G84" s="6"/>
      <c r="H84" s="56">
        <f>SUM(H18:H82)</f>
        <v>1396289.4020062138</v>
      </c>
      <c r="I84" s="86">
        <f>SUM(I18:I82)</f>
        <v>3894105.8845599997</v>
      </c>
      <c r="J84" s="86">
        <f>SUM(J18:J82)</f>
        <v>272385.90982148453</v>
      </c>
      <c r="K84" s="86">
        <f>SUM(K18:K82)</f>
        <v>1123903.4921847293</v>
      </c>
      <c r="L84" s="74"/>
      <c r="M84" s="74"/>
      <c r="N84" s="14"/>
      <c r="O84" s="14"/>
      <c r="P84" s="86">
        <f>SUM(P18:P82)</f>
        <v>182092</v>
      </c>
      <c r="Q84" s="86">
        <f>SUM(Q18:Q82)</f>
        <v>692166</v>
      </c>
      <c r="R84" s="86">
        <f>SUM(R18:R82)</f>
        <v>68583</v>
      </c>
      <c r="S84" s="86">
        <f t="shared" ref="S84:W84" si="22">SUM(S18:S82)</f>
        <v>449186</v>
      </c>
      <c r="T84" s="86">
        <f t="shared" si="22"/>
        <v>-260</v>
      </c>
      <c r="U84" s="86">
        <f t="shared" si="22"/>
        <v>3866</v>
      </c>
      <c r="V84" s="86">
        <f t="shared" si="22"/>
        <v>-692</v>
      </c>
      <c r="W84" s="86">
        <f t="shared" si="22"/>
        <v>1350</v>
      </c>
      <c r="X84" s="130"/>
      <c r="Y84" s="130"/>
      <c r="Z84" s="14"/>
      <c r="AA84" s="14"/>
      <c r="AB84" s="14"/>
    </row>
    <row r="85" spans="1:28" x14ac:dyDescent="0.25">
      <c r="A85" s="6"/>
      <c r="B85" s="7"/>
      <c r="C85" s="56"/>
      <c r="D85" s="56"/>
      <c r="E85" s="6"/>
      <c r="F85" s="6"/>
      <c r="G85" s="6"/>
      <c r="H85" s="56"/>
      <c r="I85" s="56"/>
      <c r="J85" s="16"/>
      <c r="K85" s="14"/>
      <c r="L85" s="74"/>
      <c r="M85" s="74"/>
      <c r="N85" s="14"/>
      <c r="O85" s="14"/>
      <c r="P85" s="130"/>
      <c r="Q85" s="136"/>
      <c r="R85" s="130"/>
      <c r="S85" s="136"/>
      <c r="T85" s="130"/>
      <c r="U85" s="136"/>
      <c r="V85" s="130"/>
      <c r="W85" s="136"/>
      <c r="X85" s="130"/>
      <c r="Y85" s="130"/>
      <c r="Z85" s="14"/>
      <c r="AA85" s="14"/>
      <c r="AB85" s="14"/>
    </row>
    <row r="86" spans="1:28" ht="16.5" thickBot="1" x14ac:dyDescent="0.3">
      <c r="A86" s="58" t="s">
        <v>179</v>
      </c>
      <c r="B86" s="6"/>
      <c r="C86" s="55">
        <v>14516382.237704217</v>
      </c>
      <c r="D86" s="55">
        <v>20201855.101865485</v>
      </c>
      <c r="E86" s="6"/>
      <c r="F86" s="6"/>
      <c r="G86" s="6"/>
      <c r="H86" s="55">
        <f>H11+H84</f>
        <v>9078408.4020062145</v>
      </c>
      <c r="I86" s="87">
        <f>I11+I84</f>
        <v>12954724.88456</v>
      </c>
      <c r="J86" s="87">
        <f>J11+J84</f>
        <v>272385.90982148453</v>
      </c>
      <c r="K86" s="87">
        <f>K11+K84</f>
        <v>8806022.4921847284</v>
      </c>
      <c r="L86" s="74"/>
      <c r="M86" s="74"/>
      <c r="N86" s="14"/>
      <c r="O86" s="14"/>
      <c r="P86" s="87">
        <f t="shared" ref="P86:W86" si="23">P11+P84</f>
        <v>182092</v>
      </c>
      <c r="Q86" s="87">
        <f t="shared" si="23"/>
        <v>6272799</v>
      </c>
      <c r="R86" s="87">
        <f t="shared" si="23"/>
        <v>68583</v>
      </c>
      <c r="S86" s="87">
        <f t="shared" si="23"/>
        <v>2503287</v>
      </c>
      <c r="T86" s="87">
        <f t="shared" si="23"/>
        <v>-260</v>
      </c>
      <c r="U86" s="87">
        <f t="shared" si="23"/>
        <v>29535</v>
      </c>
      <c r="V86" s="87">
        <f t="shared" si="23"/>
        <v>-692</v>
      </c>
      <c r="W86" s="87">
        <f t="shared" si="23"/>
        <v>23066</v>
      </c>
      <c r="X86" s="130"/>
      <c r="Y86" s="130"/>
      <c r="Z86" s="14"/>
      <c r="AA86" s="14"/>
      <c r="AB86" s="14"/>
    </row>
    <row r="87" spans="1:28" x14ac:dyDescent="0.25">
      <c r="A87" s="6"/>
      <c r="B87" s="58"/>
      <c r="C87" s="59"/>
      <c r="D87" s="59"/>
      <c r="E87" s="6"/>
      <c r="F87" s="6"/>
      <c r="G87" s="6"/>
      <c r="H87" s="59"/>
      <c r="I87" s="59"/>
      <c r="J87" s="14"/>
      <c r="K87" s="14"/>
      <c r="L87" s="74"/>
      <c r="M87" s="74"/>
      <c r="N87" s="14"/>
      <c r="O87" s="14"/>
      <c r="P87" s="14"/>
      <c r="Q87" s="139"/>
      <c r="R87" s="14"/>
      <c r="S87" s="139"/>
      <c r="T87" s="14"/>
      <c r="U87" s="139"/>
      <c r="V87" s="14"/>
      <c r="W87" s="139"/>
      <c r="X87" s="14"/>
      <c r="Y87" s="14"/>
      <c r="Z87" s="14"/>
      <c r="AA87" s="14"/>
      <c r="AB87" s="14"/>
    </row>
    <row r="88" spans="1:28" ht="16.5" thickBot="1" x14ac:dyDescent="0.3">
      <c r="A88" s="6"/>
      <c r="B88" s="58" t="s">
        <v>180</v>
      </c>
      <c r="C88" s="55">
        <v>7381652.2377042174</v>
      </c>
      <c r="D88" s="55">
        <v>13023112.101865487</v>
      </c>
      <c r="E88" s="6"/>
      <c r="F88" s="6"/>
      <c r="G88" s="6"/>
      <c r="H88" s="55">
        <f>H84+H16</f>
        <v>1943678.4020062138</v>
      </c>
      <c r="I88" s="87">
        <f>I84+I16</f>
        <v>5775981.8845600002</v>
      </c>
      <c r="J88" s="87">
        <f>J84+J16</f>
        <v>272385.90982148453</v>
      </c>
      <c r="K88" s="87">
        <f>K84+K16</f>
        <v>1671292.4921847293</v>
      </c>
      <c r="L88" s="74"/>
      <c r="M88" s="74"/>
      <c r="N88" s="14"/>
      <c r="O88" s="14"/>
      <c r="P88" s="87">
        <f t="shared" ref="P88:W88" si="24">P84+P16</f>
        <v>182092</v>
      </c>
      <c r="Q88" s="87">
        <f t="shared" si="24"/>
        <v>1189461</v>
      </c>
      <c r="R88" s="87">
        <f t="shared" si="24"/>
        <v>68583</v>
      </c>
      <c r="S88" s="87">
        <f t="shared" si="24"/>
        <v>502777</v>
      </c>
      <c r="T88" s="87">
        <f t="shared" si="24"/>
        <v>-260</v>
      </c>
      <c r="U88" s="87">
        <f t="shared" si="24"/>
        <v>2265</v>
      </c>
      <c r="V88" s="87">
        <f t="shared" si="24"/>
        <v>-692</v>
      </c>
      <c r="W88" s="87">
        <f t="shared" si="24"/>
        <v>-546</v>
      </c>
      <c r="X88" s="14"/>
      <c r="Y88" s="14"/>
      <c r="Z88" s="14"/>
      <c r="AA88" s="14"/>
      <c r="AB88" s="14"/>
    </row>
    <row r="91" spans="1:28" x14ac:dyDescent="0.25">
      <c r="J91" s="5">
        <f>J86+K86</f>
        <v>9078408.4020062126</v>
      </c>
    </row>
    <row r="92" spans="1:28" x14ac:dyDescent="0.25">
      <c r="J92" s="5">
        <f>J91-H86</f>
        <v>0</v>
      </c>
    </row>
    <row r="94" spans="1:28" x14ac:dyDescent="0.25">
      <c r="J94" s="114">
        <f>SUM(J45:J76)+J78+J79+J82</f>
        <v>272385.90982148453</v>
      </c>
      <c r="K94" s="114">
        <f>SUM(K45:K76)+K78+K79+K82+K26</f>
        <v>93756.112184729136</v>
      </c>
      <c r="L94" s="114">
        <f>J94+K94</f>
        <v>366142.02200621367</v>
      </c>
      <c r="P94" s="114">
        <f>SUM(P45:P76)+P78+P79+P82</f>
        <v>182092</v>
      </c>
      <c r="Q94" s="114">
        <f>SUM(Q45:Q76)+Q78+Q79+Q82+Q26</f>
        <v>84839</v>
      </c>
      <c r="R94" s="114">
        <f>SUM(R45:R76)+R78+R79+R82</f>
        <v>68583</v>
      </c>
      <c r="S94" s="114">
        <f>SUM(S45:S76)+S78+S79+S82+S26</f>
        <v>31742</v>
      </c>
      <c r="T94" s="114">
        <f>SUM(T45:T76)+T78+T79+T82</f>
        <v>-260</v>
      </c>
      <c r="U94" s="114">
        <f>SUM(U45:U76)+U78+U79+U82+U26</f>
        <v>14</v>
      </c>
      <c r="V94" s="114">
        <f>SUM(V45:V76)+V78+V79+V82</f>
        <v>-692</v>
      </c>
      <c r="W94" s="114">
        <f>SUM(W45:W76)+W78+W79+W82+W26</f>
        <v>-175</v>
      </c>
    </row>
    <row r="95" spans="1:28" x14ac:dyDescent="0.25">
      <c r="K95" s="5">
        <f>H86-J94-K94</f>
        <v>8712266.3800000008</v>
      </c>
      <c r="Q95" s="145">
        <f>P86+Q86-P94-Q94</f>
        <v>6187960</v>
      </c>
      <c r="S95" s="145">
        <f>R86+S86-R94-S94</f>
        <v>2471545</v>
      </c>
      <c r="U95" s="145">
        <f>T86+U86-T94-U94</f>
        <v>29521</v>
      </c>
      <c r="W95" s="145">
        <f>V86+W86-V94-W94</f>
        <v>23241</v>
      </c>
    </row>
    <row r="97" spans="11:11" x14ac:dyDescent="0.25">
      <c r="K97" s="114">
        <f>J94+K94+K95</f>
        <v>9078408.4020062145</v>
      </c>
    </row>
  </sheetData>
  <autoFilter ref="A2:Z82"/>
  <mergeCells count="1">
    <mergeCell ref="E68:E70"/>
  </mergeCells>
  <pageMargins left="0.7" right="0.7" top="0.75" bottom="0.75" header="0.3" footer="0.3"/>
  <pageSetup orientation="portrait" verticalDpi="4294967295" r:id="rId1"/>
</worksheet>
</file>

<file path=customXML/item.xml>��< ? x m l   v e r s i o n = " 1 . 0 "   e n c o d i n g = " u t f - 1 6 " ? >  
 < p r o p e r t i e s   x m l n s = " h t t p : / / w w w . i m a n a g e . c o m / w o r k / x m l s c h e m a " >  
     < d o c u m e n t i d > A C T I V E ! 1 5 6 7 6 8 2 0 . 1 < / d o c u m e n t i d >  
     < s e n d e r i d > K E A B E T < / s e n d e r i d >  
     < s e n d e r e m a i l > B K E A T I N G @ G U N S T E R . C O M < / s e n d e r e m a i l >  
     < l a s t m o d i f i e d > 2 0 2 2 - 0 5 - 0 9 T 1 9 : 2 1 : 4 7 . 0 0 0 0 0 0 0 - 0 4 : 0 0 < / l a s t m o d i f i e d >  
     < d a t a b a s e > A C T I V E 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2022 Monthly Breakdown Consol</vt:lpstr>
      <vt:lpstr>FN Monthly Breakdown</vt:lpstr>
      <vt:lpstr>CF Monthly Breakdown</vt:lpstr>
      <vt:lpstr>FI Monthly Breakdown</vt:lpstr>
      <vt:lpstr>FT Monthly Breakdown</vt:lpstr>
      <vt:lpstr>Over and Under Adj</vt:lpstr>
    </vt:vector>
  </TitlesOfParts>
  <Company>Chesapeake Utilities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Baugh, Jowi</dc:creator>
  <cp:lastModifiedBy>Baugh, Jowi</cp:lastModifiedBy>
  <dcterms:created xsi:type="dcterms:W3CDTF">2022-05-04T19:39:26Z</dcterms:created>
  <dcterms:modified xsi:type="dcterms:W3CDTF">2022-05-09T23:21:47Z</dcterms:modified>
</cp:coreProperties>
</file>