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Departments &amp; Divisions\Florida Regulatory\Rate Proceedings\2022 Natural Gas\MFR Backup\G Schedules\G-2 NOI\G2-12 to 19 Operation &amp; Maint Expense\"/>
    </mc:Choice>
  </mc:AlternateContent>
  <bookViews>
    <workbookView xWindow="0" yWindow="0" windowWidth="19200" windowHeight="5250"/>
  </bookViews>
  <sheets>
    <sheet name="Sheet1" sheetId="1" r:id="rId1"/>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7" i="1" l="1"/>
  <c r="S37" i="1" s="1"/>
  <c r="T39" i="1"/>
  <c r="D37" i="1"/>
  <c r="G37" i="1"/>
  <c r="H37" i="1"/>
  <c r="I37" i="1"/>
  <c r="J37" i="1"/>
  <c r="M37" i="1"/>
  <c r="N37" i="1"/>
  <c r="R37" i="1"/>
  <c r="T37" i="1"/>
  <c r="C37" i="1"/>
  <c r="O3" i="1"/>
  <c r="O17" i="1"/>
  <c r="O9" i="1"/>
  <c r="S3" i="1"/>
  <c r="S4" i="1"/>
  <c r="U4" i="1" s="1"/>
  <c r="T4" i="1"/>
  <c r="S5" i="1"/>
  <c r="U5" i="1" s="1"/>
  <c r="T5" i="1"/>
  <c r="S6" i="1"/>
  <c r="T6" i="1"/>
  <c r="U6" i="1" s="1"/>
  <c r="S7" i="1"/>
  <c r="T7" i="1"/>
  <c r="U7" i="1"/>
  <c r="S8" i="1"/>
  <c r="U8" i="1" s="1"/>
  <c r="T8" i="1"/>
  <c r="S9" i="1"/>
  <c r="U9" i="1" s="1"/>
  <c r="T9" i="1"/>
  <c r="S10" i="1"/>
  <c r="T10" i="1"/>
  <c r="U10" i="1" s="1"/>
  <c r="S11" i="1"/>
  <c r="T11" i="1"/>
  <c r="U11" i="1"/>
  <c r="S12" i="1"/>
  <c r="U12" i="1" s="1"/>
  <c r="T12" i="1"/>
  <c r="S13" i="1"/>
  <c r="U13" i="1" s="1"/>
  <c r="T13" i="1"/>
  <c r="S14" i="1"/>
  <c r="T14" i="1"/>
  <c r="U14" i="1" s="1"/>
  <c r="S15" i="1"/>
  <c r="T15" i="1"/>
  <c r="U15" i="1"/>
  <c r="S16" i="1"/>
  <c r="U16" i="1" s="1"/>
  <c r="T16" i="1"/>
  <c r="S17" i="1"/>
  <c r="U17" i="1" s="1"/>
  <c r="T17" i="1"/>
  <c r="S18" i="1"/>
  <c r="T18" i="1"/>
  <c r="U18" i="1" s="1"/>
  <c r="S19" i="1"/>
  <c r="T19" i="1"/>
  <c r="U19" i="1"/>
  <c r="S20" i="1"/>
  <c r="U20" i="1" s="1"/>
  <c r="T20" i="1"/>
  <c r="S21" i="1"/>
  <c r="U21" i="1" s="1"/>
  <c r="T21" i="1"/>
  <c r="S22" i="1"/>
  <c r="T22" i="1"/>
  <c r="U22" i="1" s="1"/>
  <c r="S23" i="1"/>
  <c r="T23" i="1"/>
  <c r="U23" i="1"/>
  <c r="S24" i="1"/>
  <c r="U24" i="1" s="1"/>
  <c r="T24" i="1"/>
  <c r="S25" i="1"/>
  <c r="U25" i="1" s="1"/>
  <c r="T25" i="1"/>
  <c r="S26" i="1"/>
  <c r="T26" i="1"/>
  <c r="U26" i="1" s="1"/>
  <c r="T27" i="1"/>
  <c r="S28" i="1"/>
  <c r="T28" i="1"/>
  <c r="U28" i="1" s="1"/>
  <c r="S29" i="1"/>
  <c r="U29" i="1" s="1"/>
  <c r="T29" i="1"/>
  <c r="S30" i="1"/>
  <c r="T30" i="1"/>
  <c r="U30" i="1" s="1"/>
  <c r="S31" i="1"/>
  <c r="T31" i="1"/>
  <c r="U31" i="1"/>
  <c r="S32" i="1"/>
  <c r="T32" i="1"/>
  <c r="U32" i="1" s="1"/>
  <c r="S33" i="1"/>
  <c r="U33" i="1" s="1"/>
  <c r="T33" i="1"/>
  <c r="S34" i="1"/>
  <c r="T34" i="1"/>
  <c r="U34" i="1" s="1"/>
  <c r="S35" i="1"/>
  <c r="T35" i="1"/>
  <c r="U35" i="1"/>
  <c r="S36" i="1"/>
  <c r="U36" i="1" s="1"/>
  <c r="T36" i="1"/>
  <c r="U3" i="1"/>
  <c r="T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 i="1"/>
  <c r="F4" i="1"/>
  <c r="F5" i="1"/>
  <c r="F6" i="1"/>
  <c r="F7" i="1"/>
  <c r="F8" i="1"/>
  <c r="F9" i="1"/>
  <c r="F10" i="1"/>
  <c r="F11" i="1"/>
  <c r="F12" i="1"/>
  <c r="F13" i="1"/>
  <c r="F14" i="1"/>
  <c r="F15" i="1"/>
  <c r="F16" i="1"/>
  <c r="F17" i="1"/>
  <c r="F18" i="1"/>
  <c r="F19" i="1"/>
  <c r="F20" i="1"/>
  <c r="F21" i="1"/>
  <c r="F22" i="1"/>
  <c r="F23" i="1"/>
  <c r="F24" i="1"/>
  <c r="F25" i="1"/>
  <c r="F26" i="1"/>
  <c r="F28" i="1"/>
  <c r="F29" i="1"/>
  <c r="F30" i="1"/>
  <c r="F31" i="1"/>
  <c r="F32" i="1"/>
  <c r="F33" i="1"/>
  <c r="F34" i="1"/>
  <c r="F35" i="1"/>
  <c r="F36" i="1"/>
  <c r="F3" i="1"/>
  <c r="O4" i="1"/>
  <c r="P4" i="1"/>
  <c r="O5" i="1"/>
  <c r="P5" i="1"/>
  <c r="O6" i="1"/>
  <c r="P6" i="1"/>
  <c r="O7" i="1"/>
  <c r="P7" i="1"/>
  <c r="Q7" i="1" s="1"/>
  <c r="O8" i="1"/>
  <c r="P8" i="1"/>
  <c r="P9" i="1"/>
  <c r="Q9" i="1" s="1"/>
  <c r="O10" i="1"/>
  <c r="P10" i="1"/>
  <c r="O11" i="1"/>
  <c r="P11" i="1"/>
  <c r="Q11" i="1" s="1"/>
  <c r="O12" i="1"/>
  <c r="P12" i="1"/>
  <c r="O13" i="1"/>
  <c r="P13" i="1"/>
  <c r="O14" i="1"/>
  <c r="P14" i="1"/>
  <c r="O15" i="1"/>
  <c r="P15" i="1"/>
  <c r="Q15" i="1" s="1"/>
  <c r="O16" i="1"/>
  <c r="P16" i="1"/>
  <c r="P17" i="1"/>
  <c r="O18" i="1"/>
  <c r="P18" i="1"/>
  <c r="O19" i="1"/>
  <c r="P19" i="1"/>
  <c r="Q19" i="1" s="1"/>
  <c r="O20" i="1"/>
  <c r="P20" i="1"/>
  <c r="O21" i="1"/>
  <c r="P21" i="1"/>
  <c r="O22" i="1"/>
  <c r="P22" i="1"/>
  <c r="O23" i="1"/>
  <c r="P23" i="1"/>
  <c r="Q23" i="1" s="1"/>
  <c r="O24" i="1"/>
  <c r="P24" i="1"/>
  <c r="O25" i="1"/>
  <c r="P25" i="1"/>
  <c r="O26" i="1"/>
  <c r="P26" i="1"/>
  <c r="O28" i="1"/>
  <c r="P28" i="1"/>
  <c r="O29" i="1"/>
  <c r="P29" i="1"/>
  <c r="O30" i="1"/>
  <c r="P30" i="1"/>
  <c r="O31" i="1"/>
  <c r="P31" i="1"/>
  <c r="Q31" i="1" s="1"/>
  <c r="O32" i="1"/>
  <c r="P32" i="1"/>
  <c r="O33" i="1"/>
  <c r="P33" i="1"/>
  <c r="O34" i="1"/>
  <c r="P34" i="1"/>
  <c r="O35" i="1"/>
  <c r="P35" i="1"/>
  <c r="Q35" i="1" s="1"/>
  <c r="O36" i="1"/>
  <c r="P36" i="1"/>
  <c r="Q4" i="1"/>
  <c r="Q5" i="1"/>
  <c r="Q6" i="1"/>
  <c r="Q8" i="1"/>
  <c r="Q10" i="1"/>
  <c r="Q12" i="1"/>
  <c r="Q13" i="1"/>
  <c r="Q14" i="1"/>
  <c r="Q16" i="1"/>
  <c r="Q17" i="1"/>
  <c r="Q18" i="1"/>
  <c r="Q20" i="1"/>
  <c r="Q21" i="1"/>
  <c r="Q22" i="1"/>
  <c r="Q24" i="1"/>
  <c r="Q25" i="1"/>
  <c r="Q26" i="1"/>
  <c r="Q28" i="1"/>
  <c r="Q29" i="1"/>
  <c r="Q30" i="1"/>
  <c r="Q32" i="1"/>
  <c r="Q33" i="1"/>
  <c r="Q34" i="1"/>
  <c r="Q36" i="1"/>
  <c r="Q3" i="1"/>
  <c r="P3" i="1"/>
  <c r="D4" i="1"/>
  <c r="E4" i="1"/>
  <c r="D5" i="1"/>
  <c r="E5" i="1"/>
  <c r="D6" i="1"/>
  <c r="E6" i="1"/>
  <c r="D7" i="1"/>
  <c r="E7" i="1"/>
  <c r="D8" i="1"/>
  <c r="E8" i="1"/>
  <c r="D9" i="1"/>
  <c r="E9" i="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O27" i="1" s="1"/>
  <c r="O37" i="1" s="1"/>
  <c r="D28" i="1"/>
  <c r="E28" i="1"/>
  <c r="D29" i="1"/>
  <c r="E29" i="1"/>
  <c r="D30" i="1"/>
  <c r="E30" i="1"/>
  <c r="D31" i="1"/>
  <c r="E31" i="1"/>
  <c r="D32" i="1"/>
  <c r="E32" i="1"/>
  <c r="D33" i="1"/>
  <c r="E33" i="1"/>
  <c r="D34" i="1"/>
  <c r="E34" i="1"/>
  <c r="D35" i="1"/>
  <c r="E35" i="1"/>
  <c r="D36" i="1"/>
  <c r="E36" i="1"/>
  <c r="H4" i="1"/>
  <c r="I4" i="1" s="1"/>
  <c r="H5" i="1"/>
  <c r="H10" i="1"/>
  <c r="I10" i="1" s="1"/>
  <c r="H18" i="1"/>
  <c r="I18" i="1" s="1"/>
  <c r="H19" i="1"/>
  <c r="I19" i="1"/>
  <c r="H20" i="1"/>
  <c r="I20" i="1" s="1"/>
  <c r="H25" i="1"/>
  <c r="I25" i="1"/>
  <c r="H26" i="1"/>
  <c r="I26" i="1" s="1"/>
  <c r="H27" i="1"/>
  <c r="I27" i="1"/>
  <c r="H28" i="1"/>
  <c r="I28" i="1" s="1"/>
  <c r="H29" i="1"/>
  <c r="I29" i="1"/>
  <c r="H30" i="1"/>
  <c r="I30" i="1" s="1"/>
  <c r="H34" i="1"/>
  <c r="I34" i="1" s="1"/>
  <c r="H35" i="1"/>
  <c r="I35" i="1"/>
  <c r="H36" i="1"/>
  <c r="I36" i="1" s="1"/>
  <c r="H3" i="1"/>
  <c r="I3" i="1"/>
  <c r="G17" i="1"/>
  <c r="H17" i="1" s="1"/>
  <c r="I17" i="1" s="1"/>
  <c r="C17" i="1"/>
  <c r="R33" i="1"/>
  <c r="G33" i="1"/>
  <c r="H33" i="1" s="1"/>
  <c r="R32" i="1"/>
  <c r="G32" i="1" s="1"/>
  <c r="C32" i="1"/>
  <c r="R31" i="1"/>
  <c r="N31" i="1" s="1"/>
  <c r="R26" i="1"/>
  <c r="N26" i="1" s="1"/>
  <c r="N25" i="1"/>
  <c r="G25" i="1"/>
  <c r="C25" i="1"/>
  <c r="R24" i="1"/>
  <c r="G24" i="1" s="1"/>
  <c r="H24" i="1" s="1"/>
  <c r="N24" i="1"/>
  <c r="C24" i="1" s="1"/>
  <c r="R23" i="1"/>
  <c r="N23" i="1" s="1"/>
  <c r="C23" i="1" s="1"/>
  <c r="R22" i="1"/>
  <c r="G22" i="1" s="1"/>
  <c r="H22" i="1" s="1"/>
  <c r="N22" i="1"/>
  <c r="C22" i="1" s="1"/>
  <c r="R21" i="1"/>
  <c r="N21" i="1" s="1"/>
  <c r="C21" i="1" s="1"/>
  <c r="R20" i="1"/>
  <c r="C20" i="1"/>
  <c r="N20" i="1" s="1"/>
  <c r="R19" i="1"/>
  <c r="N19" i="1"/>
  <c r="R18" i="1"/>
  <c r="N18" i="1"/>
  <c r="N16" i="1"/>
  <c r="G16" i="1"/>
  <c r="H16" i="1" s="1"/>
  <c r="C16" i="1"/>
  <c r="R15" i="1"/>
  <c r="G15" i="1" s="1"/>
  <c r="H15" i="1" s="1"/>
  <c r="I15" i="1" s="1"/>
  <c r="N15" i="1"/>
  <c r="C15" i="1" s="1"/>
  <c r="R14" i="1"/>
  <c r="N14" i="1" s="1"/>
  <c r="C14" i="1" s="1"/>
  <c r="G14" i="1"/>
  <c r="H14" i="1" s="1"/>
  <c r="I14" i="1" s="1"/>
  <c r="G13" i="1"/>
  <c r="C13" i="1"/>
  <c r="R12" i="1"/>
  <c r="N12" i="1"/>
  <c r="G12" i="1"/>
  <c r="H12" i="1" s="1"/>
  <c r="I12" i="1" s="1"/>
  <c r="C12" i="1"/>
  <c r="N11" i="1"/>
  <c r="G11" i="1"/>
  <c r="H11" i="1" s="1"/>
  <c r="C11" i="1"/>
  <c r="G10" i="1"/>
  <c r="R9" i="1"/>
  <c r="N9" i="1"/>
  <c r="G9" i="1"/>
  <c r="C9" i="1"/>
  <c r="G8" i="1"/>
  <c r="H8" i="1" s="1"/>
  <c r="I8" i="1" s="1"/>
  <c r="G7" i="1"/>
  <c r="R7" i="1" s="1"/>
  <c r="C7" i="1"/>
  <c r="N7" i="1" s="1"/>
  <c r="G6" i="1"/>
  <c r="R6" i="1" s="1"/>
  <c r="C6" i="1"/>
  <c r="N6" i="1" s="1"/>
  <c r="G5" i="1"/>
  <c r="R5" i="1" s="1"/>
  <c r="C5" i="1"/>
  <c r="N5" i="1" s="1"/>
  <c r="N4" i="1"/>
  <c r="G4" i="1"/>
  <c r="C4" i="1"/>
  <c r="N3" i="1"/>
  <c r="G3" i="1"/>
  <c r="C3" i="1"/>
  <c r="U27" i="1" l="1"/>
  <c r="U37" i="1" s="1"/>
  <c r="E27" i="1"/>
  <c r="F27" i="1"/>
  <c r="F37" i="1" s="1"/>
  <c r="C31" i="1"/>
  <c r="H32" i="1"/>
  <c r="I32" i="1"/>
  <c r="I33" i="1"/>
  <c r="H13" i="1"/>
  <c r="I13" i="1" s="1"/>
  <c r="G31" i="1"/>
  <c r="I24" i="1"/>
  <c r="I22" i="1"/>
  <c r="I16" i="1"/>
  <c r="I11" i="1"/>
  <c r="H9" i="1"/>
  <c r="I9" i="1" s="1"/>
  <c r="H6" i="1"/>
  <c r="I6" i="1" s="1"/>
  <c r="D3" i="1"/>
  <c r="E3" i="1" s="1"/>
  <c r="H7" i="1"/>
  <c r="I7" i="1" s="1"/>
  <c r="I5" i="1"/>
  <c r="G23" i="1"/>
  <c r="G21" i="1"/>
  <c r="E37" i="1" l="1"/>
  <c r="P27" i="1"/>
  <c r="H31" i="1"/>
  <c r="I31" i="1"/>
  <c r="H23" i="1"/>
  <c r="I23" i="1"/>
  <c r="H21" i="1"/>
  <c r="I21" i="1"/>
  <c r="Q27" i="1" l="1"/>
  <c r="Q37" i="1" s="1"/>
  <c r="P37" i="1"/>
</calcChain>
</file>

<file path=xl/sharedStrings.xml><?xml version="1.0" encoding="utf-8"?>
<sst xmlns="http://schemas.openxmlformats.org/spreadsheetml/2006/main" count="153" uniqueCount="88">
  <si>
    <t>870/926</t>
  </si>
  <si>
    <t>Engineer position vacancy</t>
  </si>
  <si>
    <t>Vacant May - December 2021 expected to be filled in September 2022.</t>
  </si>
  <si>
    <t>J. Bennett</t>
  </si>
  <si>
    <t>874/926</t>
  </si>
  <si>
    <t>Distribution Tech I vacancy</t>
  </si>
  <si>
    <t>Vacant June - December 2021 filled in March 2022.</t>
  </si>
  <si>
    <t>Measurement Tech. II</t>
  </si>
  <si>
    <t>New position to maintain operational and safety compliance standards with the recent addition of transmission lines, gate stations and other gas facilities. This position is expected to be filled in May 2022.</t>
  </si>
  <si>
    <t>New position to maintain operational and safety compliance standards with the recent addition of transmission lines, gate stations and other gas facilities. This position is expected to be filled in July 2022.</t>
  </si>
  <si>
    <t>New position to maintain operational and safety compliance standards with the recent addition of transmission lines, gate stations and other gas facilities. This position is expected to be filled in August 2022.</t>
  </si>
  <si>
    <t>Distribution Tech II</t>
  </si>
  <si>
    <t>New position to support customer growth through operational and safety duties including gas line repair, cathodic protection, compliance maintenance. This position is expected to be filled in April 2023.</t>
  </si>
  <si>
    <t>Gas Utility Worker</t>
  </si>
  <si>
    <t>New position to support customer growth through operational and safety duties including setting meters, meter maintenance and responding to gas leak calls. This position was filled in April 2022.</t>
  </si>
  <si>
    <t>Meter Reader/Collector</t>
  </si>
  <si>
    <t>New position to maintain operational compliance regarding meter reading given customer growth expected This position is expected to be filled in April 2023</t>
  </si>
  <si>
    <t>878/926</t>
  </si>
  <si>
    <t>Safety Comp. &amp; Training Coord. vacancy</t>
  </si>
  <si>
    <t>Vacant September - December 2021 expected to be filled in September 2022.</t>
  </si>
  <si>
    <t>Gas Utility Worker vacancy</t>
  </si>
  <si>
    <t>Vacant July - December 2021 filled in December 2021.</t>
  </si>
  <si>
    <t>902/926</t>
  </si>
  <si>
    <t>Engineering Clerk vacancy</t>
  </si>
  <si>
    <t>Vacant from April - December 2021 filled in December 2021.</t>
  </si>
  <si>
    <t>903/926</t>
  </si>
  <si>
    <t>Five (5) Customer Service Representatives</t>
  </si>
  <si>
    <t>New CSR positions required to continue to meet customer expectations  and allow for expansion of contact channels. Three (3) CSR position filled in March 2022. One CSR expected to be filled in April 2022 and the other CSR expected to be filled in May 2022.</t>
  </si>
  <si>
    <t>K. Parmer</t>
  </si>
  <si>
    <t>Director, Energy Supply</t>
  </si>
  <si>
    <t xml:space="preserve">New position to manage the natural gas procurement and capacity assets of the utility to more fully utilized our unused capacity assets. This position was filled in March 2022. </t>
  </si>
  <si>
    <t>B. Hancock</t>
  </si>
  <si>
    <t>920/926</t>
  </si>
  <si>
    <t>Business Developer Manager vacancy</t>
  </si>
  <si>
    <t>Vacant August - December 2021 expected to be filled in June 2022.</t>
  </si>
  <si>
    <t>Inside Sales Rep vacancy</t>
  </si>
  <si>
    <t>Vacant August - December 2021 filled in December 2021.</t>
  </si>
  <si>
    <t>Damage Prevention Expansion Manager</t>
  </si>
  <si>
    <t xml:space="preserve">New position to develop and maintain state-wide damage prevention plan and to manage damage prevention coordinators. The Damage Prevention Department was created in 2022. </t>
  </si>
  <si>
    <t>Damage Prevention Expansion Coordinator</t>
  </si>
  <si>
    <t xml:space="preserve">New position to promote damage prevention to employees and third parties through ongoing training, guidance, communication and support. Existing employee from another business unit. </t>
  </si>
  <si>
    <t>New position to promote damage prevention to employees and third parties through ongoing training, guidance, communication and support. This position is expected to filled in July 2022.</t>
  </si>
  <si>
    <t>Business Transformation Analyst</t>
  </si>
  <si>
    <t>New position to support business transformation initiatives that automate and standardize processes. This position is expected to be filled in August 2022.</t>
  </si>
  <si>
    <t>Manager, Marketing &amp; Communications</t>
  </si>
  <si>
    <t>Additional FTE's in natural gas were needed to increase our natural gas advocacy, social media, website developments, customer care communication, community events, safety communication, digital communications and public awareness. These positions started in January 2022.</t>
  </si>
  <si>
    <t>K. Lake</t>
  </si>
  <si>
    <t>Creative Services Supervisor</t>
  </si>
  <si>
    <t>Graphic Design Specialist</t>
  </si>
  <si>
    <t>Reg &amp; Govt Affairs Mgr</t>
  </si>
  <si>
    <t xml:space="preserve">New position to be filled in August 2022. </t>
  </si>
  <si>
    <t>M. Cassel</t>
  </si>
  <si>
    <t>Manager, Regulatory Affairs Distribution</t>
  </si>
  <si>
    <t>New position to be filled in August 2022.  See testimony of Mike Cassel.</t>
  </si>
  <si>
    <t>Vacancy Rate</t>
  </si>
  <si>
    <t>Estimate of 3% of payroll based on estimated expectations. See Mike Cassel testimony.</t>
  </si>
  <si>
    <t>ESG Director</t>
  </si>
  <si>
    <t xml:space="preserve">Newly created position in 2022 for ESG initiatives to benefit investors and customers. Future expectations if it become mandatory by the SEC. </t>
  </si>
  <si>
    <t>Tax Accountant vacancy</t>
  </si>
  <si>
    <t xml:space="preserve">Vacant from March to December 2021 expected to be filled in May 2022. </t>
  </si>
  <si>
    <t>M. Galtman</t>
  </si>
  <si>
    <t>Payroll Specialist</t>
  </si>
  <si>
    <t>New position necessary for payroll process to support current volume and future growth expectations.  Position is expected to be filled in June 2022.</t>
  </si>
  <si>
    <t>HR and Payroll System Analyst</t>
  </si>
  <si>
    <t>New position necessary for payroll process to support current volume and future growth in positions.  Position is expected to be filled in June 2022.</t>
  </si>
  <si>
    <t>Financial System Admin</t>
  </si>
  <si>
    <t>New position. The financial systems analyst will support the allocations process, assist with analysis and support, provide capacity to take on additional projects to update the existing technology platform.  Expected to be filled in June 2022</t>
  </si>
  <si>
    <t>Cyber  Security Administrator</t>
  </si>
  <si>
    <t>New position in 2023 to manage cyber security in the company and to address the ever changing cyber security threat.</t>
  </si>
  <si>
    <t>V. Gadgil</t>
  </si>
  <si>
    <t>Director, BIS Service vacancy</t>
  </si>
  <si>
    <t>Vacant from February to December 2021 expected to be filled in July 2022</t>
  </si>
  <si>
    <t>925/926</t>
  </si>
  <si>
    <t>Safety Director vacancy</t>
  </si>
  <si>
    <t>Vacant from March to December 2021 expected to be filled in April 2022.</t>
  </si>
  <si>
    <t>Corporate Governance vacancy</t>
  </si>
  <si>
    <t xml:space="preserve">Vacant in 2021 expected to be filled in April 2022. </t>
  </si>
  <si>
    <t>Over and Under Adjustments</t>
  </si>
  <si>
    <t xml:space="preserve">Natural  </t>
  </si>
  <si>
    <t>Account #</t>
  </si>
  <si>
    <t>Item</t>
  </si>
  <si>
    <t>Reason</t>
  </si>
  <si>
    <t>Witness</t>
  </si>
  <si>
    <t>Gas %</t>
  </si>
  <si>
    <t>Salary</t>
  </si>
  <si>
    <t>Benefit</t>
  </si>
  <si>
    <t>Adjust between payroll and benefits for vacancy rate.</t>
  </si>
  <si>
    <t>Same net effect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</si>
</sst>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409]#,##0"/>
    <numFmt numFmtId="166" formatCode="0;[Red]0"/>
  </numFmts>
  <fonts count="7" x14ac:knownFonts="1">
    <font>
      <sz val="11"/>
      <color theme="1"/>
      <name val="Calibri"/>
      <family val="2"/>
      <scheme val="minor"/>
    </font>
    <font>
      <sz val="11"/>
      <color theme="1"/>
      <name val="Calibri"/>
      <family val="2"/>
      <scheme val="minor"/>
    </font>
    <font>
      <sz val="10"/>
      <name val="Arial"/>
      <family val="2"/>
    </font>
    <font>
      <sz val="12"/>
      <color theme="1"/>
      <name val="Arial"/>
      <family val="2"/>
    </font>
    <font>
      <sz val="12"/>
      <name val="Arial"/>
      <family val="2"/>
    </font>
    <font>
      <b/>
      <sz val="12"/>
      <name val="Arial"/>
      <family val="2"/>
    </font>
    <font>
      <b/>
      <sz val="12"/>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cellStyleXfs>
  <cellXfs count="37">
    <xf numFmtId="0" fontId="0" fillId="0" borderId="0" xfId="0"/>
    <xf numFmtId="0" fontId="3" fillId="0" borderId="0" xfId="3" applyFont="1" applyFill="1" applyAlignment="1">
      <alignment horizontal="center" vertical="top"/>
    </xf>
    <xf numFmtId="0" fontId="4" fillId="0" borderId="0" xfId="3" applyFont="1" applyFill="1" applyAlignment="1">
      <alignment vertical="top"/>
    </xf>
    <xf numFmtId="164" fontId="3" fillId="0" borderId="0" xfId="1" applyNumberFormat="1" applyFont="1" applyFill="1" applyAlignment="1">
      <alignment vertical="top"/>
    </xf>
    <xf numFmtId="0" fontId="4" fillId="0" borderId="0" xfId="3" applyFont="1" applyFill="1" applyAlignment="1">
      <alignment horizontal="center" vertical="top"/>
    </xf>
    <xf numFmtId="9" fontId="4" fillId="0" borderId="0" xfId="0" applyNumberFormat="1" applyFont="1" applyAlignment="1">
      <alignment horizontal="center" vertical="top"/>
    </xf>
    <xf numFmtId="0" fontId="0" fillId="0" borderId="0" xfId="0" applyFill="1"/>
    <xf numFmtId="0" fontId="4" fillId="0" borderId="0" xfId="3" applyFont="1" applyFill="1" applyAlignment="1">
      <alignment horizontal="left" vertical="top" wrapText="1"/>
    </xf>
    <xf numFmtId="0" fontId="4" fillId="0" borderId="0" xfId="3" applyFont="1" applyFill="1" applyAlignment="1">
      <alignment vertical="top" wrapText="1"/>
    </xf>
    <xf numFmtId="0" fontId="4" fillId="0" borderId="0" xfId="0" applyFont="1"/>
    <xf numFmtId="9" fontId="4" fillId="0" borderId="0" xfId="0" applyNumberFormat="1" applyFont="1" applyFill="1" applyAlignment="1">
      <alignment horizontal="center" vertical="top"/>
    </xf>
    <xf numFmtId="0" fontId="0" fillId="0" borderId="0" xfId="0" applyFill="1" applyAlignment="1">
      <alignment vertical="top"/>
    </xf>
    <xf numFmtId="0" fontId="4" fillId="0" borderId="0" xfId="3" applyFont="1" applyFill="1" applyAlignment="1">
      <alignment horizontal="center" vertical="top" wrapText="1"/>
    </xf>
    <xf numFmtId="9" fontId="4" fillId="0" borderId="0" xfId="2" applyFont="1" applyFill="1" applyAlignment="1">
      <alignment horizontal="center" vertical="top"/>
    </xf>
    <xf numFmtId="0" fontId="4" fillId="0" borderId="0" xfId="0" applyFont="1" applyFill="1"/>
    <xf numFmtId="164" fontId="3" fillId="0" borderId="0" xfId="1" applyNumberFormat="1" applyFont="1" applyFill="1" applyAlignment="1">
      <alignment horizontal="left" vertical="top"/>
    </xf>
    <xf numFmtId="0" fontId="4" fillId="0" borderId="0" xfId="3" applyFont="1" applyFill="1" applyBorder="1" applyAlignment="1">
      <alignment horizontal="left" vertical="top" wrapText="1"/>
    </xf>
    <xf numFmtId="0" fontId="0" fillId="0" borderId="0" xfId="3" applyFont="1" applyFill="1" applyAlignment="1">
      <alignment vertical="top"/>
    </xf>
    <xf numFmtId="0" fontId="4" fillId="0" borderId="0" xfId="0" applyFont="1" applyFill="1" applyAlignment="1">
      <alignment horizontal="center" vertical="top"/>
    </xf>
    <xf numFmtId="164" fontId="4" fillId="0" borderId="0" xfId="1" applyNumberFormat="1" applyFont="1" applyFill="1" applyAlignment="1">
      <alignment vertical="top"/>
    </xf>
    <xf numFmtId="0" fontId="0" fillId="0" borderId="0" xfId="0" applyFont="1" applyFill="1" applyAlignment="1">
      <alignment horizontal="left" vertical="top"/>
    </xf>
    <xf numFmtId="164" fontId="3" fillId="0" borderId="0" xfId="1" applyNumberFormat="1" applyFont="1" applyFill="1" applyBorder="1" applyAlignment="1">
      <alignment vertical="top"/>
    </xf>
    <xf numFmtId="0" fontId="4" fillId="0" borderId="0" xfId="0" applyFont="1" applyFill="1" applyAlignment="1">
      <alignment vertical="top" wrapText="1"/>
    </xf>
    <xf numFmtId="164" fontId="3" fillId="0" borderId="0" xfId="4" applyNumberFormat="1" applyFont="1" applyFill="1" applyBorder="1"/>
    <xf numFmtId="0" fontId="4" fillId="0" borderId="0" xfId="0" applyFont="1" applyFill="1" applyAlignment="1">
      <alignment vertical="top"/>
    </xf>
    <xf numFmtId="165" fontId="0" fillId="0" borderId="0" xfId="0" applyNumberFormat="1" applyFont="1" applyBorder="1" applyAlignment="1">
      <alignment horizontal="left"/>
    </xf>
    <xf numFmtId="165" fontId="4" fillId="0" borderId="0" xfId="0" applyNumberFormat="1" applyFont="1" applyBorder="1"/>
    <xf numFmtId="165" fontId="0" fillId="0" borderId="0" xfId="0" applyNumberFormat="1" applyFont="1" applyFill="1" applyBorder="1" applyAlignment="1"/>
    <xf numFmtId="165" fontId="5" fillId="0" borderId="0" xfId="0" applyNumberFormat="1" applyFont="1" applyBorder="1" applyAlignment="1">
      <alignment horizontal="center"/>
    </xf>
    <xf numFmtId="0" fontId="5" fillId="0" borderId="1" xfId="3" applyFont="1" applyBorder="1" applyAlignment="1">
      <alignment horizontal="center" wrapText="1"/>
    </xf>
    <xf numFmtId="0" fontId="5" fillId="0" borderId="1" xfId="3" applyFont="1" applyBorder="1" applyAlignment="1">
      <alignment horizontal="center"/>
    </xf>
    <xf numFmtId="166" fontId="6" fillId="0" borderId="1" xfId="3" applyNumberFormat="1" applyFont="1" applyFill="1" applyBorder="1" applyAlignment="1">
      <alignment horizontal="center" wrapText="1"/>
    </xf>
    <xf numFmtId="165" fontId="5" fillId="0" borderId="1" xfId="0" applyNumberFormat="1" applyFont="1" applyBorder="1" applyAlignment="1">
      <alignment horizontal="center"/>
    </xf>
    <xf numFmtId="166" fontId="6" fillId="0" borderId="1" xfId="3" applyNumberFormat="1" applyFont="1" applyBorder="1" applyAlignment="1">
      <alignment horizontal="center" wrapText="1"/>
    </xf>
    <xf numFmtId="164" fontId="0" fillId="0" borderId="0" xfId="1" applyNumberFormat="1" applyFont="1"/>
    <xf numFmtId="164" fontId="3" fillId="0" borderId="0" xfId="1" applyNumberFormat="1" applyFont="1"/>
    <xf numFmtId="164" fontId="0" fillId="0" borderId="0" xfId="0" applyNumberFormat="1"/>
  </cellXfs>
  <cellStyles count="5">
    <cellStyle name="Comma" xfId="1" builtinId="3"/>
    <cellStyle name="Comma 15" xfId="4"/>
    <cellStyle name="Normal" xfId="0" builtinId="0"/>
    <cellStyle name="Normal 1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tabSelected="1" topLeftCell="P25" workbookViewId="0">
      <selection activeCell="T27" sqref="T27"/>
    </sheetView>
  </sheetViews>
  <sheetFormatPr defaultRowHeight="15" x14ac:dyDescent="0.25"/>
  <cols>
    <col min="1" max="1" width="9.5703125" bestFit="1" customWidth="1"/>
    <col min="2" max="2" width="45.140625" bestFit="1" customWidth="1"/>
    <col min="3" max="3" width="14.28515625" bestFit="1" customWidth="1"/>
    <col min="4" max="4" width="14.28515625" customWidth="1"/>
    <col min="5" max="6" width="11.7109375" customWidth="1"/>
    <col min="7" max="8" width="14.28515625" customWidth="1"/>
    <col min="9" max="10" width="11.7109375" customWidth="1"/>
    <col min="11" max="11" width="149.42578125" bestFit="1" customWidth="1"/>
    <col min="12" max="12" width="12.7109375" bestFit="1" customWidth="1"/>
    <col min="13" max="13" width="7.140625" bestFit="1" customWidth="1"/>
    <col min="14" max="14" width="11.7109375" bestFit="1" customWidth="1"/>
    <col min="15" max="17" width="11.7109375" customWidth="1"/>
    <col min="18" max="18" width="11.7109375" bestFit="1" customWidth="1"/>
    <col min="19" max="20" width="11.7109375" customWidth="1"/>
    <col min="21" max="21" width="9.140625" style="34"/>
  </cols>
  <sheetData>
    <row r="1" spans="1:25" ht="15.75" x14ac:dyDescent="0.25">
      <c r="A1" s="25"/>
      <c r="B1" s="26"/>
      <c r="C1" s="27"/>
      <c r="D1" s="27"/>
      <c r="E1" s="27"/>
      <c r="F1" s="27"/>
      <c r="G1" s="27"/>
      <c r="H1" s="27"/>
      <c r="I1" s="27"/>
      <c r="J1" s="27"/>
      <c r="K1" s="28" t="s">
        <v>77</v>
      </c>
      <c r="L1" s="28"/>
      <c r="M1" s="28" t="s">
        <v>78</v>
      </c>
      <c r="N1" s="9"/>
      <c r="O1" s="9"/>
      <c r="P1" s="9"/>
      <c r="Q1" s="9"/>
      <c r="R1" s="9"/>
      <c r="S1" s="9"/>
      <c r="T1" s="9"/>
    </row>
    <row r="2" spans="1:25" ht="31.5" x14ac:dyDescent="0.25">
      <c r="A2" s="29" t="s">
        <v>79</v>
      </c>
      <c r="B2" s="30" t="s">
        <v>80</v>
      </c>
      <c r="C2" s="31">
        <v>2022</v>
      </c>
      <c r="D2" s="31" t="s">
        <v>84</v>
      </c>
      <c r="E2" s="31" t="s">
        <v>85</v>
      </c>
      <c r="F2" s="31"/>
      <c r="G2" s="31">
        <v>2023</v>
      </c>
      <c r="H2" s="31" t="s">
        <v>84</v>
      </c>
      <c r="I2" s="31" t="s">
        <v>85</v>
      </c>
      <c r="J2" s="31"/>
      <c r="K2" s="30" t="s">
        <v>81</v>
      </c>
      <c r="L2" s="30" t="s">
        <v>82</v>
      </c>
      <c r="M2" s="32" t="s">
        <v>83</v>
      </c>
      <c r="N2" s="33">
        <v>2022</v>
      </c>
      <c r="O2" s="31" t="s">
        <v>84</v>
      </c>
      <c r="P2" s="31" t="s">
        <v>85</v>
      </c>
      <c r="Q2" s="33"/>
      <c r="R2" s="33">
        <v>2023</v>
      </c>
      <c r="S2" s="31" t="s">
        <v>84</v>
      </c>
      <c r="T2" s="31" t="s">
        <v>85</v>
      </c>
    </row>
    <row r="3" spans="1:25" x14ac:dyDescent="0.25">
      <c r="A3" s="1" t="s">
        <v>0</v>
      </c>
      <c r="B3" s="2" t="s">
        <v>1</v>
      </c>
      <c r="C3" s="3">
        <f>(51995+(51995*36.4%))-53191</f>
        <v>17730.179999999993</v>
      </c>
      <c r="D3" s="3">
        <f>C3/1.364</f>
        <v>12998.665689149553</v>
      </c>
      <c r="E3" s="3">
        <f>C3-D3</f>
        <v>4731.5143108504399</v>
      </c>
      <c r="F3" s="3">
        <f>C3-D3-E3</f>
        <v>0</v>
      </c>
      <c r="G3" s="3">
        <f>53555+(53555*36.4%)</f>
        <v>73049.02</v>
      </c>
      <c r="H3" s="3">
        <f>G3/1.364</f>
        <v>53555</v>
      </c>
      <c r="I3" s="3">
        <f>G3-H3</f>
        <v>19494.020000000004</v>
      </c>
      <c r="J3" s="3">
        <f>G3-H3-I3</f>
        <v>0</v>
      </c>
      <c r="K3" s="2" t="s">
        <v>2</v>
      </c>
      <c r="L3" s="4" t="s">
        <v>3</v>
      </c>
      <c r="M3" s="5">
        <v>0.05</v>
      </c>
      <c r="N3" s="3">
        <f>3546-2660</f>
        <v>886</v>
      </c>
      <c r="O3" s="3">
        <f>(D3*M3)-1</f>
        <v>648.93328445747773</v>
      </c>
      <c r="P3" s="3">
        <f>E3*M3</f>
        <v>236.575715542522</v>
      </c>
      <c r="Q3" s="3">
        <f>N3-O3-P3</f>
        <v>0.49100000000026967</v>
      </c>
      <c r="R3" s="3">
        <v>3652</v>
      </c>
      <c r="S3" s="3">
        <f>(H3*M3)-0.45</f>
        <v>2677.3</v>
      </c>
      <c r="T3" s="3">
        <f>I3*M3</f>
        <v>974.70100000000025</v>
      </c>
      <c r="U3" s="34">
        <f>R3-S3-T3</f>
        <v>-1.0000000004311005E-3</v>
      </c>
    </row>
    <row r="4" spans="1:25" s="6" customFormat="1" x14ac:dyDescent="0.25">
      <c r="A4" s="1" t="s">
        <v>4</v>
      </c>
      <c r="B4" s="2" t="s">
        <v>5</v>
      </c>
      <c r="C4" s="3">
        <f>(40494+(40494*36.4%))-13809</f>
        <v>41424.815999999999</v>
      </c>
      <c r="D4" s="3">
        <f t="shared" ref="D4:D36" si="0">C4/1.364</f>
        <v>30370.099706744866</v>
      </c>
      <c r="E4" s="3">
        <f t="shared" ref="E4:E36" si="1">C4-D4</f>
        <v>11054.716293255133</v>
      </c>
      <c r="F4" s="3">
        <f t="shared" ref="F4:F36" si="2">C4-D4-E4</f>
        <v>0</v>
      </c>
      <c r="G4" s="3">
        <f>41437+(41437*36.4%)</f>
        <v>56520.067999999999</v>
      </c>
      <c r="H4" s="3">
        <f t="shared" ref="H4:H36" si="3">G4/1.364</f>
        <v>41437</v>
      </c>
      <c r="I4" s="3">
        <f t="shared" ref="I4:I36" si="4">G4-H4</f>
        <v>15083.067999999999</v>
      </c>
      <c r="J4" s="3">
        <f t="shared" ref="J4:J36" si="5">G4-H4-I4</f>
        <v>0</v>
      </c>
      <c r="K4" s="2" t="s">
        <v>6</v>
      </c>
      <c r="L4" s="4" t="s">
        <v>3</v>
      </c>
      <c r="M4" s="5">
        <v>0.87</v>
      </c>
      <c r="N4" s="3">
        <f>48054-12014</f>
        <v>36040</v>
      </c>
      <c r="O4" s="3">
        <f t="shared" ref="O4:O36" si="6">D4*M4</f>
        <v>26421.986744868034</v>
      </c>
      <c r="P4" s="3">
        <f t="shared" ref="P4:P36" si="7">E4*M4</f>
        <v>9617.6031751319661</v>
      </c>
      <c r="Q4" s="3">
        <f t="shared" ref="Q4:Q36" si="8">N4-O4-P4</f>
        <v>0.4100799999996525</v>
      </c>
      <c r="R4" s="3">
        <v>49172</v>
      </c>
      <c r="S4" s="3">
        <f t="shared" ref="S4:S36" si="9">H4*M4</f>
        <v>36050.19</v>
      </c>
      <c r="T4" s="3">
        <f t="shared" ref="T4:T36" si="10">I4*M4</f>
        <v>13122.26916</v>
      </c>
      <c r="U4" s="34">
        <f t="shared" ref="U4:U36" si="11">R4-S4-T4</f>
        <v>-0.45916000000215718</v>
      </c>
      <c r="V4"/>
      <c r="W4"/>
      <c r="X4"/>
      <c r="Y4"/>
    </row>
    <row r="5" spans="1:25" ht="30" x14ac:dyDescent="0.25">
      <c r="A5" s="1" t="s">
        <v>4</v>
      </c>
      <c r="B5" s="2" t="s">
        <v>7</v>
      </c>
      <c r="C5" s="3">
        <f>(72319+(72319*36.4%))-41101</f>
        <v>57542.115999999995</v>
      </c>
      <c r="D5" s="3">
        <f t="shared" si="0"/>
        <v>42186.302052785919</v>
      </c>
      <c r="E5" s="3">
        <f t="shared" si="1"/>
        <v>15355.813947214076</v>
      </c>
      <c r="F5" s="3">
        <f t="shared" si="2"/>
        <v>0</v>
      </c>
      <c r="G5" s="3">
        <f>74481+(74481*36.4%)</f>
        <v>101592.084</v>
      </c>
      <c r="H5" s="3">
        <f t="shared" si="3"/>
        <v>74481</v>
      </c>
      <c r="I5" s="3">
        <f t="shared" si="4"/>
        <v>27111.084000000003</v>
      </c>
      <c r="J5" s="3">
        <f t="shared" si="5"/>
        <v>0</v>
      </c>
      <c r="K5" s="7" t="s">
        <v>8</v>
      </c>
      <c r="L5" s="4" t="s">
        <v>3</v>
      </c>
      <c r="M5" s="5">
        <v>0.78</v>
      </c>
      <c r="N5" s="3">
        <f>C5*M5</f>
        <v>44882.850479999994</v>
      </c>
      <c r="O5" s="3">
        <f t="shared" si="6"/>
        <v>32905.315601173017</v>
      </c>
      <c r="P5" s="3">
        <f t="shared" si="7"/>
        <v>11977.53487882698</v>
      </c>
      <c r="Q5" s="3">
        <f t="shared" si="8"/>
        <v>0</v>
      </c>
      <c r="R5" s="3">
        <f>G5*M5</f>
        <v>79241.825519999999</v>
      </c>
      <c r="S5" s="3">
        <f t="shared" si="9"/>
        <v>58095.18</v>
      </c>
      <c r="T5" s="3">
        <f t="shared" si="10"/>
        <v>21146.645520000002</v>
      </c>
      <c r="U5" s="34">
        <f t="shared" si="11"/>
        <v>0</v>
      </c>
    </row>
    <row r="6" spans="1:25" s="6" customFormat="1" ht="30" x14ac:dyDescent="0.25">
      <c r="A6" s="1" t="s">
        <v>4</v>
      </c>
      <c r="B6" s="2" t="s">
        <v>7</v>
      </c>
      <c r="C6" s="3">
        <f>(36340+(36340*36.4%))-28915</f>
        <v>20652.760000000002</v>
      </c>
      <c r="D6" s="3">
        <f t="shared" si="0"/>
        <v>15141.319648093842</v>
      </c>
      <c r="E6" s="3">
        <f t="shared" si="1"/>
        <v>5511.4403519061598</v>
      </c>
      <c r="F6" s="3">
        <f t="shared" si="2"/>
        <v>0</v>
      </c>
      <c r="G6" s="3">
        <f>74481+(74481*36.4%)</f>
        <v>101592.084</v>
      </c>
      <c r="H6" s="3">
        <f t="shared" si="3"/>
        <v>74481</v>
      </c>
      <c r="I6" s="3">
        <f t="shared" si="4"/>
        <v>27111.084000000003</v>
      </c>
      <c r="J6" s="3">
        <f t="shared" si="5"/>
        <v>0</v>
      </c>
      <c r="K6" s="7" t="s">
        <v>9</v>
      </c>
      <c r="L6" s="4" t="s">
        <v>3</v>
      </c>
      <c r="M6" s="5">
        <v>0.78</v>
      </c>
      <c r="N6" s="3">
        <f>C6*M6</f>
        <v>16109.152800000002</v>
      </c>
      <c r="O6" s="3">
        <f t="shared" si="6"/>
        <v>11810.229325513197</v>
      </c>
      <c r="P6" s="3">
        <f t="shared" si="7"/>
        <v>4298.9234744868045</v>
      </c>
      <c r="Q6" s="3">
        <f t="shared" si="8"/>
        <v>0</v>
      </c>
      <c r="R6" s="3">
        <f>G6*M6</f>
        <v>79241.825519999999</v>
      </c>
      <c r="S6" s="3">
        <f t="shared" si="9"/>
        <v>58095.18</v>
      </c>
      <c r="T6" s="3">
        <f t="shared" si="10"/>
        <v>21146.645520000002</v>
      </c>
      <c r="U6" s="34">
        <f t="shared" si="11"/>
        <v>0</v>
      </c>
      <c r="V6"/>
      <c r="W6"/>
      <c r="X6"/>
      <c r="Y6"/>
    </row>
    <row r="7" spans="1:25" s="6" customFormat="1" ht="30" x14ac:dyDescent="0.25">
      <c r="A7" s="1" t="s">
        <v>4</v>
      </c>
      <c r="B7" s="2" t="s">
        <v>7</v>
      </c>
      <c r="C7" s="3">
        <f>(72680+(72680*36.4%))-66090</f>
        <v>33045.520000000004</v>
      </c>
      <c r="D7" s="3">
        <f t="shared" si="0"/>
        <v>24226.92082111437</v>
      </c>
      <c r="E7" s="3">
        <f t="shared" si="1"/>
        <v>8818.5991788856336</v>
      </c>
      <c r="F7" s="3">
        <f t="shared" si="2"/>
        <v>0</v>
      </c>
      <c r="G7" s="3">
        <f>74481+(74481*36.4%)</f>
        <v>101592.084</v>
      </c>
      <c r="H7" s="3">
        <f t="shared" si="3"/>
        <v>74481</v>
      </c>
      <c r="I7" s="3">
        <f t="shared" si="4"/>
        <v>27111.084000000003</v>
      </c>
      <c r="J7" s="3">
        <f t="shared" si="5"/>
        <v>0</v>
      </c>
      <c r="K7" s="7" t="s">
        <v>10</v>
      </c>
      <c r="L7" s="4" t="s">
        <v>3</v>
      </c>
      <c r="M7" s="5">
        <v>0.78</v>
      </c>
      <c r="N7" s="3">
        <f>C7*M7</f>
        <v>25775.505600000004</v>
      </c>
      <c r="O7" s="3">
        <f t="shared" si="6"/>
        <v>18896.998240469209</v>
      </c>
      <c r="P7" s="3">
        <f t="shared" si="7"/>
        <v>6878.507359530794</v>
      </c>
      <c r="Q7" s="3">
        <f t="shared" si="8"/>
        <v>0</v>
      </c>
      <c r="R7" s="3">
        <f>G7*M7</f>
        <v>79241.825519999999</v>
      </c>
      <c r="S7" s="3">
        <f t="shared" si="9"/>
        <v>58095.18</v>
      </c>
      <c r="T7" s="3">
        <f t="shared" si="10"/>
        <v>21146.645520000002</v>
      </c>
      <c r="U7" s="34">
        <f t="shared" si="11"/>
        <v>0</v>
      </c>
      <c r="V7"/>
      <c r="W7"/>
      <c r="X7"/>
      <c r="Y7"/>
    </row>
    <row r="8" spans="1:25" s="6" customFormat="1" ht="30" x14ac:dyDescent="0.25">
      <c r="A8" s="1" t="s">
        <v>4</v>
      </c>
      <c r="B8" s="2" t="s">
        <v>11</v>
      </c>
      <c r="C8" s="3">
        <v>0</v>
      </c>
      <c r="D8" s="3">
        <f t="shared" si="0"/>
        <v>0</v>
      </c>
      <c r="E8" s="3">
        <f t="shared" si="1"/>
        <v>0</v>
      </c>
      <c r="F8" s="3">
        <f t="shared" si="2"/>
        <v>0</v>
      </c>
      <c r="G8" s="3">
        <f>55935+(55935*36.4%)</f>
        <v>76295.34</v>
      </c>
      <c r="H8" s="3">
        <f t="shared" si="3"/>
        <v>55934.999999999993</v>
      </c>
      <c r="I8" s="3">
        <f t="shared" si="4"/>
        <v>20360.340000000004</v>
      </c>
      <c r="J8" s="3">
        <f t="shared" si="5"/>
        <v>0</v>
      </c>
      <c r="K8" s="8" t="s">
        <v>12</v>
      </c>
      <c r="L8" s="4" t="s">
        <v>3</v>
      </c>
      <c r="M8" s="5">
        <v>0.83</v>
      </c>
      <c r="N8" s="3">
        <v>0</v>
      </c>
      <c r="O8" s="3">
        <f t="shared" si="6"/>
        <v>0</v>
      </c>
      <c r="P8" s="3">
        <f t="shared" si="7"/>
        <v>0</v>
      </c>
      <c r="Q8" s="3">
        <f t="shared" si="8"/>
        <v>0</v>
      </c>
      <c r="R8" s="3">
        <v>63325</v>
      </c>
      <c r="S8" s="3">
        <f t="shared" si="9"/>
        <v>46426.049999999988</v>
      </c>
      <c r="T8" s="3">
        <f t="shared" si="10"/>
        <v>16899.082200000001</v>
      </c>
      <c r="U8" s="34">
        <f t="shared" si="11"/>
        <v>-0.13219999998909771</v>
      </c>
      <c r="V8"/>
      <c r="W8"/>
      <c r="X8"/>
      <c r="Y8"/>
    </row>
    <row r="9" spans="1:25" s="6" customFormat="1" ht="30" x14ac:dyDescent="0.25">
      <c r="A9" s="1" t="s">
        <v>4</v>
      </c>
      <c r="B9" s="2" t="s">
        <v>13</v>
      </c>
      <c r="C9" s="3">
        <f>(48156+(48156*36.4%))-21895</f>
        <v>43789.784</v>
      </c>
      <c r="D9" s="3">
        <f t="shared" si="0"/>
        <v>32103.947214076245</v>
      </c>
      <c r="E9" s="3">
        <f t="shared" si="1"/>
        <v>11685.836785923755</v>
      </c>
      <c r="F9" s="3">
        <f t="shared" si="2"/>
        <v>0</v>
      </c>
      <c r="G9" s="3">
        <f>49595+(49595*36.4%)</f>
        <v>67647.58</v>
      </c>
      <c r="H9" s="3">
        <f t="shared" si="3"/>
        <v>49595</v>
      </c>
      <c r="I9" s="3">
        <f t="shared" si="4"/>
        <v>18052.580000000002</v>
      </c>
      <c r="J9" s="3">
        <f t="shared" si="5"/>
        <v>0</v>
      </c>
      <c r="K9" s="8" t="s">
        <v>14</v>
      </c>
      <c r="L9" s="4" t="s">
        <v>3</v>
      </c>
      <c r="M9" s="5">
        <v>0.83</v>
      </c>
      <c r="N9" s="3">
        <f>(39970+(39970*36.4%))-18173</f>
        <v>36346.080000000002</v>
      </c>
      <c r="O9" s="3">
        <f>(D9*M9)+1</f>
        <v>26647.276187683281</v>
      </c>
      <c r="P9" s="3">
        <f t="shared" si="7"/>
        <v>9699.2445323167158</v>
      </c>
      <c r="Q9" s="3">
        <f t="shared" si="8"/>
        <v>-0.44071999999505351</v>
      </c>
      <c r="R9" s="3">
        <f>41164+(41164*36.4%)</f>
        <v>56147.695999999996</v>
      </c>
      <c r="S9" s="3">
        <f t="shared" si="9"/>
        <v>41163.85</v>
      </c>
      <c r="T9" s="3">
        <f t="shared" si="10"/>
        <v>14983.6414</v>
      </c>
      <c r="U9" s="34">
        <f t="shared" si="11"/>
        <v>0.20459999999729916</v>
      </c>
      <c r="V9"/>
      <c r="W9"/>
      <c r="X9"/>
      <c r="Y9"/>
    </row>
    <row r="10" spans="1:25" s="9" customFormat="1" ht="30" x14ac:dyDescent="0.25">
      <c r="A10" s="1" t="s">
        <v>4</v>
      </c>
      <c r="B10" s="2" t="s">
        <v>15</v>
      </c>
      <c r="C10" s="3">
        <v>0</v>
      </c>
      <c r="D10" s="3">
        <f t="shared" si="0"/>
        <v>0</v>
      </c>
      <c r="E10" s="3">
        <f t="shared" si="1"/>
        <v>0</v>
      </c>
      <c r="F10" s="3">
        <f t="shared" si="2"/>
        <v>0</v>
      </c>
      <c r="G10" s="3">
        <f>42791+(42791*36.4%)</f>
        <v>58366.923999999999</v>
      </c>
      <c r="H10" s="3">
        <f t="shared" si="3"/>
        <v>42790.999999999993</v>
      </c>
      <c r="I10" s="3">
        <f t="shared" si="4"/>
        <v>15575.924000000006</v>
      </c>
      <c r="J10" s="3">
        <f t="shared" si="5"/>
        <v>0</v>
      </c>
      <c r="K10" s="7" t="s">
        <v>16</v>
      </c>
      <c r="L10" s="4" t="s">
        <v>3</v>
      </c>
      <c r="M10" s="5">
        <v>0.87</v>
      </c>
      <c r="N10" s="3">
        <v>0</v>
      </c>
      <c r="O10" s="3">
        <f t="shared" si="6"/>
        <v>0</v>
      </c>
      <c r="P10" s="3">
        <f t="shared" si="7"/>
        <v>0</v>
      </c>
      <c r="Q10" s="3">
        <f t="shared" si="8"/>
        <v>0</v>
      </c>
      <c r="R10" s="3">
        <v>50779</v>
      </c>
      <c r="S10" s="3">
        <f t="shared" si="9"/>
        <v>37228.169999999991</v>
      </c>
      <c r="T10" s="3">
        <f t="shared" si="10"/>
        <v>13551.053880000005</v>
      </c>
      <c r="U10" s="34">
        <f t="shared" si="11"/>
        <v>-0.22387999999591557</v>
      </c>
      <c r="V10"/>
      <c r="W10"/>
      <c r="X10"/>
      <c r="Y10"/>
    </row>
    <row r="11" spans="1:25" s="6" customFormat="1" x14ac:dyDescent="0.25">
      <c r="A11" s="1" t="s">
        <v>17</v>
      </c>
      <c r="B11" s="8" t="s">
        <v>18</v>
      </c>
      <c r="C11" s="3">
        <f>(30826+(30826*36.4%))-31535</f>
        <v>10511.663999999997</v>
      </c>
      <c r="D11" s="3">
        <f t="shared" si="0"/>
        <v>7706.498533724337</v>
      </c>
      <c r="E11" s="3">
        <f t="shared" si="1"/>
        <v>2805.16546627566</v>
      </c>
      <c r="F11" s="3">
        <f t="shared" si="2"/>
        <v>0</v>
      </c>
      <c r="G11" s="3">
        <f>31386+(31386*36.4%)</f>
        <v>42810.504000000001</v>
      </c>
      <c r="H11" s="3">
        <f t="shared" si="3"/>
        <v>31386</v>
      </c>
      <c r="I11" s="3">
        <f t="shared" si="4"/>
        <v>11424.504000000001</v>
      </c>
      <c r="J11" s="3">
        <f t="shared" si="5"/>
        <v>0</v>
      </c>
      <c r="K11" s="2" t="s">
        <v>19</v>
      </c>
      <c r="L11" s="4" t="s">
        <v>3</v>
      </c>
      <c r="M11" s="5">
        <v>0.17</v>
      </c>
      <c r="N11" s="3">
        <f>7148-5361</f>
        <v>1787</v>
      </c>
      <c r="O11" s="3">
        <f t="shared" si="6"/>
        <v>1310.1047507331373</v>
      </c>
      <c r="P11" s="3">
        <f t="shared" si="7"/>
        <v>476.87812926686223</v>
      </c>
      <c r="Q11" s="3">
        <f t="shared" si="8"/>
        <v>1.7120000000488744E-2</v>
      </c>
      <c r="R11" s="3">
        <v>7278</v>
      </c>
      <c r="S11" s="3">
        <f t="shared" si="9"/>
        <v>5335.6200000000008</v>
      </c>
      <c r="T11" s="3">
        <f t="shared" si="10"/>
        <v>1942.1656800000003</v>
      </c>
      <c r="U11" s="34">
        <f t="shared" si="11"/>
        <v>0.2143199999989065</v>
      </c>
      <c r="V11"/>
      <c r="W11"/>
      <c r="X11"/>
      <c r="Y11"/>
    </row>
    <row r="12" spans="1:25" s="11" customFormat="1" x14ac:dyDescent="0.25">
      <c r="A12" s="1" t="s">
        <v>17</v>
      </c>
      <c r="B12" s="2" t="s">
        <v>20</v>
      </c>
      <c r="C12" s="3">
        <f>28543+(28543*36.4%)</f>
        <v>38932.652000000002</v>
      </c>
      <c r="D12" s="3">
        <f t="shared" si="0"/>
        <v>28543</v>
      </c>
      <c r="E12" s="3">
        <f t="shared" si="1"/>
        <v>10389.652000000002</v>
      </c>
      <c r="F12" s="3">
        <f t="shared" si="2"/>
        <v>0</v>
      </c>
      <c r="G12" s="3">
        <f>29207+(29207*36.4%)</f>
        <v>39838.347999999998</v>
      </c>
      <c r="H12" s="3">
        <f t="shared" si="3"/>
        <v>29206.999999999996</v>
      </c>
      <c r="I12" s="3">
        <f t="shared" si="4"/>
        <v>10631.348000000002</v>
      </c>
      <c r="J12" s="3">
        <f t="shared" si="5"/>
        <v>0</v>
      </c>
      <c r="K12" s="2" t="s">
        <v>21</v>
      </c>
      <c r="L12" s="4" t="s">
        <v>3</v>
      </c>
      <c r="M12" s="10">
        <v>0.17</v>
      </c>
      <c r="N12" s="3">
        <f>4852+(4852*36.4%)</f>
        <v>6618.1279999999997</v>
      </c>
      <c r="O12" s="3">
        <f t="shared" si="6"/>
        <v>4852.3100000000004</v>
      </c>
      <c r="P12" s="3">
        <f t="shared" si="7"/>
        <v>1766.2408400000004</v>
      </c>
      <c r="Q12" s="3">
        <f t="shared" si="8"/>
        <v>-0.4228400000010879</v>
      </c>
      <c r="R12" s="3">
        <f>4965+(4965*36.4%)</f>
        <v>6772.26</v>
      </c>
      <c r="S12" s="3">
        <f t="shared" si="9"/>
        <v>4965.1899999999996</v>
      </c>
      <c r="T12" s="3">
        <f t="shared" si="10"/>
        <v>1807.3291600000005</v>
      </c>
      <c r="U12" s="34">
        <f t="shared" si="11"/>
        <v>-0.25915999999983796</v>
      </c>
      <c r="V12"/>
      <c r="W12"/>
      <c r="X12"/>
      <c r="Y12"/>
    </row>
    <row r="13" spans="1:25" s="6" customFormat="1" x14ac:dyDescent="0.25">
      <c r="A13" s="1" t="s">
        <v>22</v>
      </c>
      <c r="B13" s="2" t="s">
        <v>23</v>
      </c>
      <c r="C13" s="3">
        <f>25195+(25195*36.4%)</f>
        <v>34365.979999999996</v>
      </c>
      <c r="D13" s="3">
        <f t="shared" si="0"/>
        <v>25194.999999999996</v>
      </c>
      <c r="E13" s="3">
        <f t="shared" si="1"/>
        <v>9170.98</v>
      </c>
      <c r="F13" s="3">
        <f t="shared" si="2"/>
        <v>0</v>
      </c>
      <c r="G13" s="3">
        <f>25818+(25818*36.4%)</f>
        <v>35215.752</v>
      </c>
      <c r="H13" s="3">
        <f t="shared" si="3"/>
        <v>25818</v>
      </c>
      <c r="I13" s="3">
        <f t="shared" si="4"/>
        <v>9397.7520000000004</v>
      </c>
      <c r="J13" s="3">
        <f t="shared" si="5"/>
        <v>0</v>
      </c>
      <c r="K13" s="2" t="s">
        <v>24</v>
      </c>
      <c r="L13" s="4" t="s">
        <v>3</v>
      </c>
      <c r="M13" s="10">
        <v>0.76</v>
      </c>
      <c r="N13" s="3">
        <v>26118</v>
      </c>
      <c r="O13" s="3">
        <f t="shared" si="6"/>
        <v>19148.199999999997</v>
      </c>
      <c r="P13" s="3">
        <f t="shared" si="7"/>
        <v>6969.9447999999993</v>
      </c>
      <c r="Q13" s="3">
        <f t="shared" si="8"/>
        <v>-0.14479999999639404</v>
      </c>
      <c r="R13" s="3">
        <v>26764</v>
      </c>
      <c r="S13" s="3">
        <f t="shared" si="9"/>
        <v>19621.68</v>
      </c>
      <c r="T13" s="3">
        <f t="shared" si="10"/>
        <v>7142.2915200000007</v>
      </c>
      <c r="U13" s="34">
        <f t="shared" si="11"/>
        <v>2.8479999999035499E-2</v>
      </c>
      <c r="V13"/>
      <c r="W13"/>
      <c r="X13"/>
      <c r="Y13"/>
    </row>
    <row r="14" spans="1:25" ht="30" x14ac:dyDescent="0.25">
      <c r="A14" s="1" t="s">
        <v>25</v>
      </c>
      <c r="B14" s="2" t="s">
        <v>26</v>
      </c>
      <c r="C14" s="3">
        <f>N14/M14</f>
        <v>151233.72305997385</v>
      </c>
      <c r="D14" s="3">
        <f t="shared" si="0"/>
        <v>110875.16353370517</v>
      </c>
      <c r="E14" s="3">
        <f t="shared" si="1"/>
        <v>40358.559526268684</v>
      </c>
      <c r="F14" s="3">
        <f t="shared" si="2"/>
        <v>0</v>
      </c>
      <c r="G14" s="3">
        <f>R14/M14</f>
        <v>222529.34468085106</v>
      </c>
      <c r="H14" s="3">
        <f t="shared" si="3"/>
        <v>163144.68085106381</v>
      </c>
      <c r="I14" s="3">
        <f t="shared" si="4"/>
        <v>59384.663829787256</v>
      </c>
      <c r="J14" s="3">
        <f t="shared" si="5"/>
        <v>0</v>
      </c>
      <c r="K14" s="7" t="s">
        <v>27</v>
      </c>
      <c r="L14" s="12" t="s">
        <v>28</v>
      </c>
      <c r="M14" s="13">
        <v>0.70499999999999996</v>
      </c>
      <c r="N14" s="3">
        <f>(R14/1.03)-45694</f>
        <v>106619.77475728156</v>
      </c>
      <c r="O14" s="3">
        <f t="shared" si="6"/>
        <v>78166.990291262147</v>
      </c>
      <c r="P14" s="3">
        <f t="shared" si="7"/>
        <v>28452.784466019421</v>
      </c>
      <c r="Q14" s="3">
        <f t="shared" si="8"/>
        <v>0</v>
      </c>
      <c r="R14" s="3">
        <f>115017+(115017*36.4%)</f>
        <v>156883.18799999999</v>
      </c>
      <c r="S14" s="3">
        <f t="shared" si="9"/>
        <v>115016.99999999997</v>
      </c>
      <c r="T14" s="3">
        <f t="shared" si="10"/>
        <v>41866.188000000016</v>
      </c>
      <c r="U14" s="34">
        <f t="shared" si="11"/>
        <v>0</v>
      </c>
    </row>
    <row r="15" spans="1:25" s="6" customFormat="1" ht="30" x14ac:dyDescent="0.25">
      <c r="A15" s="1" t="s">
        <v>25</v>
      </c>
      <c r="B15" s="2" t="s">
        <v>29</v>
      </c>
      <c r="C15" s="3">
        <f>N15/M15</f>
        <v>184138.77128760147</v>
      </c>
      <c r="D15" s="3">
        <f t="shared" si="0"/>
        <v>134999.09918445855</v>
      </c>
      <c r="E15" s="3">
        <f t="shared" si="1"/>
        <v>49139.672103142919</v>
      </c>
      <c r="F15" s="3">
        <f t="shared" si="2"/>
        <v>0</v>
      </c>
      <c r="G15" s="3">
        <f>R15/M15</f>
        <v>252884.10928961751</v>
      </c>
      <c r="H15" s="3">
        <f t="shared" si="3"/>
        <v>185398.90710382513</v>
      </c>
      <c r="I15" s="3">
        <f t="shared" si="4"/>
        <v>67485.202185792383</v>
      </c>
      <c r="J15" s="3">
        <f t="shared" si="5"/>
        <v>0</v>
      </c>
      <c r="K15" s="8" t="s">
        <v>30</v>
      </c>
      <c r="L15" s="4" t="s">
        <v>31</v>
      </c>
      <c r="M15" s="13">
        <v>0.36599999999999999</v>
      </c>
      <c r="N15" s="3">
        <f>(R15/1.03)-22465</f>
        <v>67394.790291262136</v>
      </c>
      <c r="O15" s="3">
        <f t="shared" si="6"/>
        <v>49409.670301511826</v>
      </c>
      <c r="P15" s="3">
        <f t="shared" si="7"/>
        <v>17985.119989750307</v>
      </c>
      <c r="Q15" s="3">
        <f t="shared" si="8"/>
        <v>0</v>
      </c>
      <c r="R15" s="3">
        <f>67856+(67856*36.4%)</f>
        <v>92555.584000000003</v>
      </c>
      <c r="S15" s="3">
        <f t="shared" si="9"/>
        <v>67856</v>
      </c>
      <c r="T15" s="3">
        <f t="shared" si="10"/>
        <v>24699.58400000001</v>
      </c>
      <c r="U15" s="34">
        <f t="shared" si="11"/>
        <v>0</v>
      </c>
      <c r="V15"/>
      <c r="W15"/>
      <c r="X15"/>
      <c r="Y15"/>
    </row>
    <row r="16" spans="1:25" s="9" customFormat="1" ht="15.75" x14ac:dyDescent="0.25">
      <c r="A16" s="1" t="s">
        <v>32</v>
      </c>
      <c r="B16" s="8" t="s">
        <v>33</v>
      </c>
      <c r="C16" s="3">
        <f>(46029+(46029*36.4%))-31392</f>
        <v>31391.555999999997</v>
      </c>
      <c r="D16" s="3">
        <f t="shared" si="0"/>
        <v>23014.337243401755</v>
      </c>
      <c r="E16" s="3">
        <f t="shared" si="1"/>
        <v>8377.2187565982422</v>
      </c>
      <c r="F16" s="3">
        <f t="shared" si="2"/>
        <v>0</v>
      </c>
      <c r="G16" s="3">
        <f>47168+(47168*36.4%)</f>
        <v>64337.152000000002</v>
      </c>
      <c r="H16" s="3">
        <f t="shared" si="3"/>
        <v>47168</v>
      </c>
      <c r="I16" s="3">
        <f t="shared" si="4"/>
        <v>17169.152000000002</v>
      </c>
      <c r="J16" s="3">
        <f t="shared" si="5"/>
        <v>0</v>
      </c>
      <c r="K16" s="2" t="s">
        <v>34</v>
      </c>
      <c r="L16" s="4" t="s">
        <v>3</v>
      </c>
      <c r="M16" s="10">
        <v>0.88900000000000001</v>
      </c>
      <c r="N16" s="3">
        <f>55814-27907</f>
        <v>27907</v>
      </c>
      <c r="O16" s="3">
        <f t="shared" si="6"/>
        <v>20459.74580938416</v>
      </c>
      <c r="P16" s="3">
        <f t="shared" si="7"/>
        <v>7447.3474746158372</v>
      </c>
      <c r="Q16" s="3">
        <f t="shared" si="8"/>
        <v>-9.3283999996856437E-2</v>
      </c>
      <c r="R16" s="3">
        <v>57195</v>
      </c>
      <c r="S16" s="3">
        <f t="shared" si="9"/>
        <v>41932.351999999999</v>
      </c>
      <c r="T16" s="3">
        <f t="shared" si="10"/>
        <v>15263.376128000002</v>
      </c>
      <c r="U16" s="34">
        <f t="shared" si="11"/>
        <v>-0.72812800000065181</v>
      </c>
      <c r="V16"/>
      <c r="W16"/>
      <c r="X16"/>
      <c r="Y16"/>
    </row>
    <row r="17" spans="1:25" s="14" customFormat="1" ht="15.75" x14ac:dyDescent="0.25">
      <c r="A17" s="1" t="s">
        <v>32</v>
      </c>
      <c r="B17" s="2" t="s">
        <v>35</v>
      </c>
      <c r="C17" s="3">
        <f>33728+(33728*36.4%)</f>
        <v>46004.991999999998</v>
      </c>
      <c r="D17" s="3">
        <f t="shared" si="0"/>
        <v>33727.999999999993</v>
      </c>
      <c r="E17" s="3">
        <f t="shared" si="1"/>
        <v>12276.992000000006</v>
      </c>
      <c r="F17" s="3">
        <f t="shared" si="2"/>
        <v>0</v>
      </c>
      <c r="G17" s="3">
        <f>34740+(34740*36.4%)</f>
        <v>47385.36</v>
      </c>
      <c r="H17" s="3">
        <f t="shared" si="3"/>
        <v>34740</v>
      </c>
      <c r="I17" s="3">
        <f t="shared" si="4"/>
        <v>12645.36</v>
      </c>
      <c r="J17" s="3">
        <f t="shared" si="5"/>
        <v>0</v>
      </c>
      <c r="K17" s="2" t="s">
        <v>36</v>
      </c>
      <c r="L17" s="4" t="s">
        <v>3</v>
      </c>
      <c r="M17" s="10">
        <v>0.88900000000000001</v>
      </c>
      <c r="N17" s="3">
        <v>40899</v>
      </c>
      <c r="O17" s="3">
        <f>(D17*M17)+1</f>
        <v>29985.191999999995</v>
      </c>
      <c r="P17" s="3">
        <f t="shared" si="7"/>
        <v>10914.245888000005</v>
      </c>
      <c r="Q17" s="3">
        <f t="shared" si="8"/>
        <v>-0.43788800000038464</v>
      </c>
      <c r="R17" s="3">
        <v>42126</v>
      </c>
      <c r="S17" s="3">
        <f t="shared" si="9"/>
        <v>30883.86</v>
      </c>
      <c r="T17" s="3">
        <f t="shared" si="10"/>
        <v>11241.725040000001</v>
      </c>
      <c r="U17" s="34">
        <f t="shared" si="11"/>
        <v>0.41495999999824562</v>
      </c>
      <c r="V17"/>
      <c r="W17"/>
      <c r="X17"/>
      <c r="Y17"/>
    </row>
    <row r="18" spans="1:25" s="6" customFormat="1" ht="30" x14ac:dyDescent="0.25">
      <c r="A18" s="1" t="s">
        <v>32</v>
      </c>
      <c r="B18" s="7" t="s">
        <v>37</v>
      </c>
      <c r="C18" s="15">
        <v>67715</v>
      </c>
      <c r="D18" s="3">
        <f t="shared" si="0"/>
        <v>49644.428152492663</v>
      </c>
      <c r="E18" s="3">
        <f t="shared" si="1"/>
        <v>18070.571847507337</v>
      </c>
      <c r="F18" s="3">
        <f t="shared" si="2"/>
        <v>0</v>
      </c>
      <c r="G18" s="15">
        <v>70085</v>
      </c>
      <c r="H18" s="3">
        <f t="shared" si="3"/>
        <v>51381.964809384161</v>
      </c>
      <c r="I18" s="3">
        <f t="shared" si="4"/>
        <v>18703.035190615839</v>
      </c>
      <c r="J18" s="3">
        <f t="shared" si="5"/>
        <v>0</v>
      </c>
      <c r="K18" s="7" t="s">
        <v>38</v>
      </c>
      <c r="L18" s="4" t="s">
        <v>3</v>
      </c>
      <c r="M18" s="5">
        <v>1</v>
      </c>
      <c r="N18" s="15">
        <f>C18*M18</f>
        <v>67715</v>
      </c>
      <c r="O18" s="3">
        <f t="shared" si="6"/>
        <v>49644.428152492663</v>
      </c>
      <c r="P18" s="3">
        <f t="shared" si="7"/>
        <v>18070.571847507337</v>
      </c>
      <c r="Q18" s="3">
        <f t="shared" si="8"/>
        <v>0</v>
      </c>
      <c r="R18" s="15">
        <f>G18*M18</f>
        <v>70085</v>
      </c>
      <c r="S18" s="3">
        <f t="shared" si="9"/>
        <v>51381.964809384161</v>
      </c>
      <c r="T18" s="3">
        <f t="shared" si="10"/>
        <v>18703.035190615839</v>
      </c>
      <c r="U18" s="34">
        <f t="shared" si="11"/>
        <v>0</v>
      </c>
      <c r="V18"/>
      <c r="W18"/>
      <c r="X18"/>
      <c r="Y18"/>
    </row>
    <row r="19" spans="1:25" ht="30" x14ac:dyDescent="0.25">
      <c r="A19" s="1" t="s">
        <v>32</v>
      </c>
      <c r="B19" s="8" t="s">
        <v>39</v>
      </c>
      <c r="C19" s="3">
        <v>70050</v>
      </c>
      <c r="D19" s="3">
        <f t="shared" si="0"/>
        <v>51356.304985337243</v>
      </c>
      <c r="E19" s="3">
        <f t="shared" si="1"/>
        <v>18693.695014662757</v>
      </c>
      <c r="F19" s="3">
        <f t="shared" si="2"/>
        <v>0</v>
      </c>
      <c r="G19" s="3">
        <v>96669</v>
      </c>
      <c r="H19" s="3">
        <f t="shared" si="3"/>
        <v>70871.700879765383</v>
      </c>
      <c r="I19" s="3">
        <f t="shared" si="4"/>
        <v>25797.299120234617</v>
      </c>
      <c r="J19" s="3">
        <f t="shared" si="5"/>
        <v>0</v>
      </c>
      <c r="K19" s="7" t="s">
        <v>40</v>
      </c>
      <c r="L19" s="4" t="s">
        <v>3</v>
      </c>
      <c r="M19" s="5">
        <v>1</v>
      </c>
      <c r="N19" s="3">
        <f>C19*M19</f>
        <v>70050</v>
      </c>
      <c r="O19" s="3">
        <f t="shared" si="6"/>
        <v>51356.304985337243</v>
      </c>
      <c r="P19" s="3">
        <f t="shared" si="7"/>
        <v>18693.695014662757</v>
      </c>
      <c r="Q19" s="3">
        <f t="shared" si="8"/>
        <v>0</v>
      </c>
      <c r="R19" s="3">
        <f>G19*M19</f>
        <v>96669</v>
      </c>
      <c r="S19" s="3">
        <f t="shared" si="9"/>
        <v>70871.700879765383</v>
      </c>
      <c r="T19" s="3">
        <f t="shared" si="10"/>
        <v>25797.299120234617</v>
      </c>
      <c r="U19" s="34">
        <f t="shared" si="11"/>
        <v>0</v>
      </c>
    </row>
    <row r="20" spans="1:25" ht="30" x14ac:dyDescent="0.25">
      <c r="A20" s="1" t="s">
        <v>32</v>
      </c>
      <c r="B20" s="8" t="s">
        <v>39</v>
      </c>
      <c r="C20" s="3">
        <f>46700</f>
        <v>46700</v>
      </c>
      <c r="D20" s="3">
        <f t="shared" si="0"/>
        <v>34237.536656891491</v>
      </c>
      <c r="E20" s="3">
        <f t="shared" si="1"/>
        <v>12462.463343108509</v>
      </c>
      <c r="F20" s="3">
        <f t="shared" si="2"/>
        <v>0</v>
      </c>
      <c r="G20" s="3">
        <v>96669</v>
      </c>
      <c r="H20" s="3">
        <f t="shared" si="3"/>
        <v>70871.700879765383</v>
      </c>
      <c r="I20" s="3">
        <f t="shared" si="4"/>
        <v>25797.299120234617</v>
      </c>
      <c r="J20" s="3">
        <f t="shared" si="5"/>
        <v>0</v>
      </c>
      <c r="K20" s="7" t="s">
        <v>41</v>
      </c>
      <c r="L20" s="4" t="s">
        <v>3</v>
      </c>
      <c r="M20" s="5">
        <v>1</v>
      </c>
      <c r="N20" s="3">
        <f>C20*M20</f>
        <v>46700</v>
      </c>
      <c r="O20" s="3">
        <f t="shared" si="6"/>
        <v>34237.536656891491</v>
      </c>
      <c r="P20" s="3">
        <f t="shared" si="7"/>
        <v>12462.463343108509</v>
      </c>
      <c r="Q20" s="3">
        <f t="shared" si="8"/>
        <v>0</v>
      </c>
      <c r="R20" s="3">
        <f>G20*M20</f>
        <v>96669</v>
      </c>
      <c r="S20" s="3">
        <f t="shared" si="9"/>
        <v>70871.700879765383</v>
      </c>
      <c r="T20" s="3">
        <f t="shared" si="10"/>
        <v>25797.299120234617</v>
      </c>
      <c r="U20" s="34">
        <f t="shared" si="11"/>
        <v>0</v>
      </c>
    </row>
    <row r="21" spans="1:25" ht="30" x14ac:dyDescent="0.25">
      <c r="A21" s="1" t="s">
        <v>32</v>
      </c>
      <c r="B21" s="2" t="s">
        <v>42</v>
      </c>
      <c r="C21" s="3">
        <f>N21/M21</f>
        <v>31249.463146114991</v>
      </c>
      <c r="D21" s="3">
        <f t="shared" si="0"/>
        <v>22910.163596858496</v>
      </c>
      <c r="E21" s="3">
        <f t="shared" si="1"/>
        <v>8339.2995492564951</v>
      </c>
      <c r="F21" s="3">
        <f t="shared" si="2"/>
        <v>0</v>
      </c>
      <c r="G21" s="3">
        <f>R21/M21</f>
        <v>96563.551401869161</v>
      </c>
      <c r="H21" s="3">
        <f t="shared" si="3"/>
        <v>70794.392523364484</v>
      </c>
      <c r="I21" s="3">
        <f t="shared" si="4"/>
        <v>25769.158878504677</v>
      </c>
      <c r="J21" s="3">
        <f t="shared" si="5"/>
        <v>0</v>
      </c>
      <c r="K21" s="8" t="s">
        <v>43</v>
      </c>
      <c r="L21" s="4" t="s">
        <v>3</v>
      </c>
      <c r="M21" s="13">
        <v>0.32100000000000001</v>
      </c>
      <c r="N21" s="3">
        <f>(R21/1.03)-20063</f>
        <v>10031.077669902912</v>
      </c>
      <c r="O21" s="3">
        <f t="shared" si="6"/>
        <v>7354.1625145915777</v>
      </c>
      <c r="P21" s="3">
        <f t="shared" si="7"/>
        <v>2676.9151553113352</v>
      </c>
      <c r="Q21" s="3">
        <f t="shared" si="8"/>
        <v>0</v>
      </c>
      <c r="R21" s="3">
        <f>22725+(22725*36.4%)</f>
        <v>30996.9</v>
      </c>
      <c r="S21" s="3">
        <f t="shared" si="9"/>
        <v>22725</v>
      </c>
      <c r="T21" s="3">
        <f t="shared" si="10"/>
        <v>8271.9000000000015</v>
      </c>
      <c r="U21" s="34">
        <f t="shared" si="11"/>
        <v>0</v>
      </c>
    </row>
    <row r="22" spans="1:25" ht="30" x14ac:dyDescent="0.25">
      <c r="A22" s="1" t="s">
        <v>32</v>
      </c>
      <c r="B22" s="2" t="s">
        <v>44</v>
      </c>
      <c r="C22" s="3">
        <f>N22/M22</f>
        <v>129822.04164907835</v>
      </c>
      <c r="D22" s="3">
        <f t="shared" si="0"/>
        <v>95177.449889353622</v>
      </c>
      <c r="E22" s="3">
        <f t="shared" si="1"/>
        <v>34644.591759724732</v>
      </c>
      <c r="F22" s="3">
        <f t="shared" si="2"/>
        <v>0</v>
      </c>
      <c r="G22" s="3">
        <f>R22/M22</f>
        <v>145863.98550724637</v>
      </c>
      <c r="H22" s="3">
        <f t="shared" si="3"/>
        <v>106938.40579710144</v>
      </c>
      <c r="I22" s="3">
        <f t="shared" si="4"/>
        <v>38925.579710144928</v>
      </c>
      <c r="J22" s="3">
        <f t="shared" si="5"/>
        <v>0</v>
      </c>
      <c r="K22" s="16" t="s">
        <v>45</v>
      </c>
      <c r="L22" s="4" t="s">
        <v>46</v>
      </c>
      <c r="M22" s="13">
        <v>0.27600000000000002</v>
      </c>
      <c r="N22" s="3">
        <f>(R22/1.03)-3255</f>
        <v>35830.88349514563</v>
      </c>
      <c r="O22" s="3">
        <f t="shared" si="6"/>
        <v>26268.976169461603</v>
      </c>
      <c r="P22" s="3">
        <f t="shared" si="7"/>
        <v>9561.9073256840275</v>
      </c>
      <c r="Q22" s="3">
        <f t="shared" si="8"/>
        <v>0</v>
      </c>
      <c r="R22" s="3">
        <f>29515+(29515*36.4%)</f>
        <v>40258.46</v>
      </c>
      <c r="S22" s="3">
        <f t="shared" si="9"/>
        <v>29515</v>
      </c>
      <c r="T22" s="3">
        <f t="shared" si="10"/>
        <v>10743.460000000001</v>
      </c>
      <c r="U22" s="34">
        <f t="shared" si="11"/>
        <v>0</v>
      </c>
    </row>
    <row r="23" spans="1:25" ht="30" x14ac:dyDescent="0.25">
      <c r="A23" s="1" t="s">
        <v>32</v>
      </c>
      <c r="B23" s="2" t="s">
        <v>47</v>
      </c>
      <c r="C23" s="3">
        <f>N23/M23</f>
        <v>96011.257296676049</v>
      </c>
      <c r="D23" s="3">
        <f t="shared" si="0"/>
        <v>70389.484821610007</v>
      </c>
      <c r="E23" s="3">
        <f t="shared" si="1"/>
        <v>25621.772475066042</v>
      </c>
      <c r="F23" s="3">
        <f t="shared" si="2"/>
        <v>0</v>
      </c>
      <c r="G23" s="3">
        <f>R23/M23</f>
        <v>107879.22741433022</v>
      </c>
      <c r="H23" s="3">
        <f t="shared" si="3"/>
        <v>79090.342679127716</v>
      </c>
      <c r="I23" s="3">
        <f t="shared" si="4"/>
        <v>28788.884735202504</v>
      </c>
      <c r="J23" s="3">
        <f t="shared" si="5"/>
        <v>0</v>
      </c>
      <c r="K23" s="16" t="s">
        <v>45</v>
      </c>
      <c r="L23" s="4" t="s">
        <v>46</v>
      </c>
      <c r="M23" s="13">
        <v>0.32100000000000001</v>
      </c>
      <c r="N23" s="3">
        <f>(R23/1.03)-2801</f>
        <v>30819.613592233014</v>
      </c>
      <c r="O23" s="3">
        <f t="shared" si="6"/>
        <v>22595.024627736813</v>
      </c>
      <c r="P23" s="3">
        <f t="shared" si="7"/>
        <v>8224.588964496199</v>
      </c>
      <c r="Q23" s="3">
        <f t="shared" si="8"/>
        <v>0</v>
      </c>
      <c r="R23" s="3">
        <f>25388+(25388*36.4%)</f>
        <v>34629.232000000004</v>
      </c>
      <c r="S23" s="3">
        <f t="shared" si="9"/>
        <v>25387.999999999996</v>
      </c>
      <c r="T23" s="3">
        <f t="shared" si="10"/>
        <v>9241.2320000000036</v>
      </c>
      <c r="U23" s="34">
        <f t="shared" si="11"/>
        <v>0</v>
      </c>
    </row>
    <row r="24" spans="1:25" ht="30" x14ac:dyDescent="0.25">
      <c r="A24" s="1" t="s">
        <v>32</v>
      </c>
      <c r="B24" s="2" t="s">
        <v>48</v>
      </c>
      <c r="C24" s="3">
        <f>N24/M24</f>
        <v>65809.902307715573</v>
      </c>
      <c r="D24" s="3">
        <f t="shared" si="0"/>
        <v>48247.728964600858</v>
      </c>
      <c r="E24" s="3">
        <f t="shared" si="1"/>
        <v>17562.173343114715</v>
      </c>
      <c r="F24" s="3">
        <f t="shared" si="2"/>
        <v>0</v>
      </c>
      <c r="G24" s="3">
        <f>R24/M24</f>
        <v>73944.947040498446</v>
      </c>
      <c r="H24" s="3">
        <f t="shared" si="3"/>
        <v>54211.83800623053</v>
      </c>
      <c r="I24" s="3">
        <f t="shared" si="4"/>
        <v>19733.109034267916</v>
      </c>
      <c r="J24" s="3">
        <f t="shared" si="5"/>
        <v>0</v>
      </c>
      <c r="K24" s="16" t="s">
        <v>45</v>
      </c>
      <c r="L24" s="4" t="s">
        <v>46</v>
      </c>
      <c r="M24" s="13">
        <v>0.32100000000000001</v>
      </c>
      <c r="N24" s="3">
        <f>(R24/1.03)-1920</f>
        <v>21124.978640776699</v>
      </c>
      <c r="O24" s="3">
        <f t="shared" si="6"/>
        <v>15487.520997636875</v>
      </c>
      <c r="P24" s="3">
        <f t="shared" si="7"/>
        <v>5637.4576431398236</v>
      </c>
      <c r="Q24" s="3">
        <f t="shared" si="8"/>
        <v>0</v>
      </c>
      <c r="R24" s="3">
        <f>17402+(17402*36.4%)</f>
        <v>23736.328000000001</v>
      </c>
      <c r="S24" s="3">
        <f t="shared" si="9"/>
        <v>17402</v>
      </c>
      <c r="T24" s="3">
        <f t="shared" si="10"/>
        <v>6334.3280000000013</v>
      </c>
      <c r="U24" s="34">
        <f t="shared" si="11"/>
        <v>0</v>
      </c>
    </row>
    <row r="25" spans="1:25" x14ac:dyDescent="0.25">
      <c r="A25" s="1" t="s">
        <v>32</v>
      </c>
      <c r="B25" s="2" t="s">
        <v>49</v>
      </c>
      <c r="C25" s="3">
        <f>((118625+13920)+(118625+13920)*36.4%)-120528</f>
        <v>60263.380000000005</v>
      </c>
      <c r="D25" s="3">
        <f t="shared" si="0"/>
        <v>44181.36363636364</v>
      </c>
      <c r="E25" s="3">
        <f t="shared" si="1"/>
        <v>16082.016363636365</v>
      </c>
      <c r="F25" s="3">
        <f t="shared" si="2"/>
        <v>0</v>
      </c>
      <c r="G25" s="3">
        <f>(122170+13920)+(122170+13920)*36.4%</f>
        <v>185626.76</v>
      </c>
      <c r="H25" s="3">
        <f t="shared" si="3"/>
        <v>136090</v>
      </c>
      <c r="I25" s="3">
        <f t="shared" si="4"/>
        <v>49536.760000000009</v>
      </c>
      <c r="J25" s="3">
        <f t="shared" si="5"/>
        <v>0</v>
      </c>
      <c r="K25" s="2" t="s">
        <v>50</v>
      </c>
      <c r="L25" s="4" t="s">
        <v>51</v>
      </c>
      <c r="M25" s="10">
        <v>0.19800000000000001</v>
      </c>
      <c r="N25" s="3">
        <f>35797-23865</f>
        <v>11932</v>
      </c>
      <c r="O25" s="3">
        <f t="shared" si="6"/>
        <v>8747.9100000000017</v>
      </c>
      <c r="P25" s="3">
        <f t="shared" si="7"/>
        <v>3184.2392400000003</v>
      </c>
      <c r="Q25" s="3">
        <f t="shared" si="8"/>
        <v>-0.14924000000200977</v>
      </c>
      <c r="R25" s="3">
        <v>36754</v>
      </c>
      <c r="S25" s="3">
        <f t="shared" si="9"/>
        <v>26945.82</v>
      </c>
      <c r="T25" s="3">
        <f t="shared" si="10"/>
        <v>9808.2784800000027</v>
      </c>
      <c r="U25" s="34">
        <f t="shared" si="11"/>
        <v>-9.848000000238244E-2</v>
      </c>
    </row>
    <row r="26" spans="1:25" x14ac:dyDescent="0.25">
      <c r="A26" s="1" t="s">
        <v>32</v>
      </c>
      <c r="B26" s="8" t="s">
        <v>52</v>
      </c>
      <c r="C26" s="3">
        <v>50444.938580923561</v>
      </c>
      <c r="D26" s="3">
        <f t="shared" si="0"/>
        <v>36983.092801263607</v>
      </c>
      <c r="E26" s="3">
        <f t="shared" si="1"/>
        <v>13461.845779659954</v>
      </c>
      <c r="F26" s="3">
        <f t="shared" si="2"/>
        <v>0</v>
      </c>
      <c r="G26" s="3">
        <v>155848</v>
      </c>
      <c r="H26" s="3">
        <f t="shared" si="3"/>
        <v>114258.06451612903</v>
      </c>
      <c r="I26" s="3">
        <f t="shared" si="4"/>
        <v>41589.93548387097</v>
      </c>
      <c r="J26" s="3">
        <f t="shared" si="5"/>
        <v>0</v>
      </c>
      <c r="K26" s="17" t="s">
        <v>53</v>
      </c>
      <c r="L26" s="4" t="s">
        <v>51</v>
      </c>
      <c r="M26" s="13">
        <v>0.27900000000000003</v>
      </c>
      <c r="N26" s="3">
        <f>(R26/1.03)-28141</f>
        <v>14074.137864077675</v>
      </c>
      <c r="O26" s="3">
        <f t="shared" si="6"/>
        <v>10318.282891552548</v>
      </c>
      <c r="P26" s="3">
        <f t="shared" si="7"/>
        <v>3755.8549725251273</v>
      </c>
      <c r="Q26" s="3">
        <f t="shared" si="8"/>
        <v>0</v>
      </c>
      <c r="R26" s="3">
        <f>31878+(31878*36.4%)</f>
        <v>43481.592000000004</v>
      </c>
      <c r="S26" s="3">
        <f t="shared" si="9"/>
        <v>31878.000000000004</v>
      </c>
      <c r="T26" s="3">
        <f t="shared" si="10"/>
        <v>11603.592000000002</v>
      </c>
      <c r="U26" s="34">
        <f t="shared" si="11"/>
        <v>0</v>
      </c>
    </row>
    <row r="27" spans="1:25" x14ac:dyDescent="0.25">
      <c r="A27" s="18" t="s">
        <v>32</v>
      </c>
      <c r="B27" s="2" t="s">
        <v>54</v>
      </c>
      <c r="C27" s="3">
        <v>-703707</v>
      </c>
      <c r="D27" s="3">
        <f t="shared" si="0"/>
        <v>-515914.22287390026</v>
      </c>
      <c r="E27" s="3">
        <f t="shared" si="1"/>
        <v>-187792.77712609974</v>
      </c>
      <c r="F27" s="3">
        <f t="shared" si="2"/>
        <v>0</v>
      </c>
      <c r="G27" s="3">
        <v>-755374</v>
      </c>
      <c r="H27" s="3">
        <f t="shared" si="3"/>
        <v>-553793.2551319648</v>
      </c>
      <c r="I27" s="3">
        <f t="shared" si="4"/>
        <v>-201580.7448680352</v>
      </c>
      <c r="J27" s="3">
        <f t="shared" si="5"/>
        <v>0</v>
      </c>
      <c r="K27" s="2" t="s">
        <v>55</v>
      </c>
      <c r="L27" s="4" t="s">
        <v>51</v>
      </c>
      <c r="M27" s="10">
        <v>1</v>
      </c>
      <c r="N27" s="19">
        <v>-703707</v>
      </c>
      <c r="O27" s="3">
        <f t="shared" si="6"/>
        <v>-515914.22287390026</v>
      </c>
      <c r="P27" s="3">
        <f t="shared" si="7"/>
        <v>-187792.77712609974</v>
      </c>
      <c r="Q27" s="3">
        <f t="shared" si="8"/>
        <v>0</v>
      </c>
      <c r="R27" s="19">
        <v>-755374</v>
      </c>
      <c r="S27" s="3">
        <f t="shared" si="9"/>
        <v>-553793.2551319648</v>
      </c>
      <c r="T27" s="3">
        <f t="shared" si="10"/>
        <v>-201580.7448680352</v>
      </c>
      <c r="U27" s="34">
        <f t="shared" si="11"/>
        <v>0</v>
      </c>
    </row>
    <row r="28" spans="1:25" x14ac:dyDescent="0.25">
      <c r="A28" s="1" t="s">
        <v>32</v>
      </c>
      <c r="B28" s="20" t="s">
        <v>56</v>
      </c>
      <c r="C28" s="21">
        <v>204815</v>
      </c>
      <c r="D28" s="3">
        <f t="shared" si="0"/>
        <v>150157.62463343109</v>
      </c>
      <c r="E28" s="3">
        <f t="shared" si="1"/>
        <v>54657.375366568915</v>
      </c>
      <c r="F28" s="3">
        <f t="shared" si="2"/>
        <v>0</v>
      </c>
      <c r="G28" s="21">
        <v>253152</v>
      </c>
      <c r="H28" s="3">
        <f t="shared" si="3"/>
        <v>185595.30791788854</v>
      </c>
      <c r="I28" s="3">
        <f t="shared" si="4"/>
        <v>67556.692082111462</v>
      </c>
      <c r="J28" s="3">
        <f t="shared" si="5"/>
        <v>0</v>
      </c>
      <c r="K28" s="22" t="s">
        <v>57</v>
      </c>
      <c r="L28" s="4" t="s">
        <v>51</v>
      </c>
      <c r="M28" s="13">
        <v>0.26100000000000001</v>
      </c>
      <c r="N28" s="21">
        <v>53457</v>
      </c>
      <c r="O28" s="3">
        <f t="shared" si="6"/>
        <v>39191.140029325514</v>
      </c>
      <c r="P28" s="3">
        <f t="shared" si="7"/>
        <v>14265.574970674486</v>
      </c>
      <c r="Q28" s="3">
        <f t="shared" si="8"/>
        <v>0.28499999999985448</v>
      </c>
      <c r="R28" s="21">
        <v>66073</v>
      </c>
      <c r="S28" s="3">
        <f t="shared" si="9"/>
        <v>48440.375366568907</v>
      </c>
      <c r="T28" s="3">
        <f t="shared" si="10"/>
        <v>17632.296633431091</v>
      </c>
      <c r="U28" s="34">
        <f t="shared" si="11"/>
        <v>0.32800000000133878</v>
      </c>
    </row>
    <row r="29" spans="1:25" s="14" customFormat="1" ht="15.75" x14ac:dyDescent="0.25">
      <c r="A29" s="1" t="s">
        <v>32</v>
      </c>
      <c r="B29" s="2" t="s">
        <v>58</v>
      </c>
      <c r="C29" s="3">
        <v>102051.28205128205</v>
      </c>
      <c r="D29" s="3">
        <f t="shared" si="0"/>
        <v>74817.655462816751</v>
      </c>
      <c r="E29" s="3">
        <f t="shared" si="1"/>
        <v>27233.626588465297</v>
      </c>
      <c r="F29" s="3">
        <f t="shared" si="2"/>
        <v>0</v>
      </c>
      <c r="G29" s="3">
        <v>131391.6717948718</v>
      </c>
      <c r="H29" s="3">
        <f t="shared" si="3"/>
        <v>96328.205128205125</v>
      </c>
      <c r="I29" s="3">
        <f t="shared" si="4"/>
        <v>35063.466666666674</v>
      </c>
      <c r="J29" s="3">
        <f t="shared" si="5"/>
        <v>0</v>
      </c>
      <c r="K29" s="8" t="s">
        <v>59</v>
      </c>
      <c r="L29" s="4" t="s">
        <v>60</v>
      </c>
      <c r="M29" s="13">
        <v>0.19500000000000001</v>
      </c>
      <c r="N29" s="21">
        <v>19900</v>
      </c>
      <c r="O29" s="3">
        <f t="shared" si="6"/>
        <v>14589.442815249267</v>
      </c>
      <c r="P29" s="3">
        <f t="shared" si="7"/>
        <v>5310.5571847507326</v>
      </c>
      <c r="Q29" s="3">
        <f t="shared" si="8"/>
        <v>0</v>
      </c>
      <c r="R29" s="21">
        <v>25621.376</v>
      </c>
      <c r="S29" s="3">
        <f t="shared" si="9"/>
        <v>18784</v>
      </c>
      <c r="T29" s="3">
        <f t="shared" si="10"/>
        <v>6837.376000000002</v>
      </c>
      <c r="U29" s="34">
        <f t="shared" si="11"/>
        <v>0</v>
      </c>
      <c r="V29" s="6"/>
      <c r="W29" s="6"/>
      <c r="X29" s="23"/>
      <c r="Y29" s="6"/>
    </row>
    <row r="30" spans="1:25" s="14" customFormat="1" ht="30" x14ac:dyDescent="0.25">
      <c r="A30" s="1" t="s">
        <v>32</v>
      </c>
      <c r="B30" s="2" t="s">
        <v>61</v>
      </c>
      <c r="C30" s="3">
        <v>43235.9774933804</v>
      </c>
      <c r="D30" s="3">
        <f t="shared" si="0"/>
        <v>31697.93071362199</v>
      </c>
      <c r="E30" s="3">
        <f t="shared" si="1"/>
        <v>11538.04677975841</v>
      </c>
      <c r="F30" s="3">
        <f t="shared" si="2"/>
        <v>0</v>
      </c>
      <c r="G30" s="3">
        <v>89063</v>
      </c>
      <c r="H30" s="3">
        <f t="shared" si="3"/>
        <v>65295.454545454544</v>
      </c>
      <c r="I30" s="3">
        <f t="shared" si="4"/>
        <v>23767.545454545456</v>
      </c>
      <c r="J30" s="3">
        <f t="shared" si="5"/>
        <v>0</v>
      </c>
      <c r="K30" s="8" t="s">
        <v>62</v>
      </c>
      <c r="L30" s="4" t="s">
        <v>60</v>
      </c>
      <c r="M30" s="13">
        <v>0.17599999999999999</v>
      </c>
      <c r="N30" s="21">
        <v>7609.5320388349501</v>
      </c>
      <c r="O30" s="3">
        <f t="shared" si="6"/>
        <v>5578.8358055974704</v>
      </c>
      <c r="P30" s="3">
        <f t="shared" si="7"/>
        <v>2030.6962332374799</v>
      </c>
      <c r="Q30" s="3">
        <f t="shared" si="8"/>
        <v>0</v>
      </c>
      <c r="R30" s="21">
        <v>15675.088</v>
      </c>
      <c r="S30" s="3">
        <f t="shared" si="9"/>
        <v>11492</v>
      </c>
      <c r="T30" s="3">
        <f t="shared" si="10"/>
        <v>4183.0879999999997</v>
      </c>
      <c r="U30" s="34">
        <f t="shared" si="11"/>
        <v>0</v>
      </c>
      <c r="V30" s="6"/>
      <c r="W30" s="6"/>
      <c r="X30" s="23"/>
      <c r="Y30" s="6"/>
    </row>
    <row r="31" spans="1:25" s="9" customFormat="1" ht="15.75" x14ac:dyDescent="0.25">
      <c r="A31" s="1" t="s">
        <v>32</v>
      </c>
      <c r="B31" s="2" t="s">
        <v>63</v>
      </c>
      <c r="C31" s="3">
        <f>N31/M31</f>
        <v>94410.135196443152</v>
      </c>
      <c r="D31" s="3">
        <f t="shared" si="0"/>
        <v>69215.64163962107</v>
      </c>
      <c r="E31" s="3">
        <f t="shared" si="1"/>
        <v>25194.493556822083</v>
      </c>
      <c r="F31" s="3">
        <f t="shared" si="2"/>
        <v>0</v>
      </c>
      <c r="G31" s="3">
        <f>R31/M31</f>
        <v>116692.11214953272</v>
      </c>
      <c r="H31" s="3">
        <f t="shared" si="3"/>
        <v>85551.401869158886</v>
      </c>
      <c r="I31" s="3">
        <f t="shared" si="4"/>
        <v>31140.710280373838</v>
      </c>
      <c r="J31" s="3">
        <f t="shared" si="5"/>
        <v>0</v>
      </c>
      <c r="K31" s="8" t="s">
        <v>64</v>
      </c>
      <c r="L31" s="4" t="s">
        <v>60</v>
      </c>
      <c r="M31" s="13">
        <v>0.214</v>
      </c>
      <c r="N31" s="3">
        <f>(R31/1.03)-4041</f>
        <v>20203.768932038834</v>
      </c>
      <c r="O31" s="3">
        <f t="shared" si="6"/>
        <v>14812.147310878909</v>
      </c>
      <c r="P31" s="3">
        <f t="shared" si="7"/>
        <v>5391.6216211599258</v>
      </c>
      <c r="Q31" s="3">
        <f t="shared" si="8"/>
        <v>0</v>
      </c>
      <c r="R31" s="3">
        <f>18308+(18308*36.4%)</f>
        <v>24972.112000000001</v>
      </c>
      <c r="S31" s="3">
        <f t="shared" si="9"/>
        <v>18308</v>
      </c>
      <c r="T31" s="3">
        <f t="shared" si="10"/>
        <v>6664.112000000001</v>
      </c>
      <c r="U31" s="34">
        <f t="shared" si="11"/>
        <v>0</v>
      </c>
      <c r="V31"/>
      <c r="W31"/>
      <c r="X31"/>
      <c r="Y31"/>
    </row>
    <row r="32" spans="1:25" s="6" customFormat="1" ht="30" x14ac:dyDescent="0.25">
      <c r="A32" s="1" t="s">
        <v>32</v>
      </c>
      <c r="B32" s="2" t="s">
        <v>65</v>
      </c>
      <c r="C32" s="3">
        <f>N32/M32</f>
        <v>57333.333333333328</v>
      </c>
      <c r="D32" s="3">
        <f t="shared" si="0"/>
        <v>42033.23558162267</v>
      </c>
      <c r="E32" s="3">
        <f t="shared" si="1"/>
        <v>15300.097751710658</v>
      </c>
      <c r="F32" s="3">
        <f t="shared" si="2"/>
        <v>0</v>
      </c>
      <c r="G32" s="3">
        <f>R32/M32</f>
        <v>118122.4</v>
      </c>
      <c r="H32" s="3">
        <f t="shared" si="3"/>
        <v>86599.999999999985</v>
      </c>
      <c r="I32" s="3">
        <f t="shared" si="4"/>
        <v>31522.400000000009</v>
      </c>
      <c r="J32" s="3">
        <f t="shared" si="5"/>
        <v>0</v>
      </c>
      <c r="K32" s="8" t="s">
        <v>66</v>
      </c>
      <c r="L32" s="4" t="s">
        <v>60</v>
      </c>
      <c r="M32" s="13">
        <v>0.19500000000000001</v>
      </c>
      <c r="N32" s="3">
        <v>11180</v>
      </c>
      <c r="O32" s="3">
        <f t="shared" si="6"/>
        <v>8196.48093841642</v>
      </c>
      <c r="P32" s="3">
        <f t="shared" si="7"/>
        <v>2983.5190615835786</v>
      </c>
      <c r="Q32" s="3">
        <f t="shared" si="8"/>
        <v>0</v>
      </c>
      <c r="R32" s="3">
        <f>16887+(16887*36.4%)</f>
        <v>23033.867999999999</v>
      </c>
      <c r="S32" s="3">
        <f t="shared" si="9"/>
        <v>16886.999999999996</v>
      </c>
      <c r="T32" s="3">
        <f t="shared" si="10"/>
        <v>6146.8680000000022</v>
      </c>
      <c r="U32" s="34">
        <f t="shared" si="11"/>
        <v>0</v>
      </c>
      <c r="V32"/>
      <c r="W32"/>
      <c r="X32"/>
      <c r="Y32"/>
    </row>
    <row r="33" spans="1:25" s="24" customFormat="1" ht="15.75" x14ac:dyDescent="0.25">
      <c r="A33" s="1" t="s">
        <v>32</v>
      </c>
      <c r="B33" s="20" t="s">
        <v>67</v>
      </c>
      <c r="C33" s="21">
        <v>0</v>
      </c>
      <c r="D33" s="3">
        <f t="shared" si="0"/>
        <v>0</v>
      </c>
      <c r="E33" s="3">
        <f t="shared" si="1"/>
        <v>0</v>
      </c>
      <c r="F33" s="3">
        <f t="shared" si="2"/>
        <v>0</v>
      </c>
      <c r="G33" s="21">
        <f>86400+31450</f>
        <v>117850</v>
      </c>
      <c r="H33" s="3">
        <f t="shared" si="3"/>
        <v>86400.293255131954</v>
      </c>
      <c r="I33" s="3">
        <f t="shared" si="4"/>
        <v>31449.706744868046</v>
      </c>
      <c r="J33" s="3">
        <f t="shared" si="5"/>
        <v>0</v>
      </c>
      <c r="K33" s="22" t="s">
        <v>68</v>
      </c>
      <c r="L33" s="4" t="s">
        <v>69</v>
      </c>
      <c r="M33" s="13">
        <v>0.184</v>
      </c>
      <c r="N33" s="21">
        <v>0</v>
      </c>
      <c r="O33" s="3">
        <f t="shared" si="6"/>
        <v>0</v>
      </c>
      <c r="P33" s="3">
        <f t="shared" si="7"/>
        <v>0</v>
      </c>
      <c r="Q33" s="3">
        <f t="shared" si="8"/>
        <v>0</v>
      </c>
      <c r="R33" s="21">
        <f>15898+5787</f>
        <v>21685</v>
      </c>
      <c r="S33" s="3">
        <f t="shared" si="9"/>
        <v>15897.65395894428</v>
      </c>
      <c r="T33" s="3">
        <f t="shared" si="10"/>
        <v>5786.7460410557205</v>
      </c>
      <c r="U33" s="34">
        <f t="shared" si="11"/>
        <v>0.5999999999994543</v>
      </c>
      <c r="V33" s="6"/>
      <c r="W33" s="6"/>
      <c r="X33" s="23"/>
      <c r="Y33" s="23"/>
    </row>
    <row r="34" spans="1:25" s="14" customFormat="1" ht="15.75" x14ac:dyDescent="0.25">
      <c r="A34" s="1" t="s">
        <v>32</v>
      </c>
      <c r="B34" s="2" t="s">
        <v>70</v>
      </c>
      <c r="C34" s="3">
        <v>149739.88439306361</v>
      </c>
      <c r="D34" s="3">
        <f t="shared" si="0"/>
        <v>109779.97389520792</v>
      </c>
      <c r="E34" s="3">
        <f t="shared" si="1"/>
        <v>39959.910497855686</v>
      </c>
      <c r="F34" s="3">
        <f t="shared" si="2"/>
        <v>0</v>
      </c>
      <c r="G34" s="3">
        <v>282757.98843930638</v>
      </c>
      <c r="H34" s="3">
        <f t="shared" si="3"/>
        <v>207300.57803468208</v>
      </c>
      <c r="I34" s="3">
        <f t="shared" si="4"/>
        <v>75457.410404624301</v>
      </c>
      <c r="J34" s="3">
        <f t="shared" si="5"/>
        <v>0</v>
      </c>
      <c r="K34" s="2" t="s">
        <v>71</v>
      </c>
      <c r="L34" s="4" t="s">
        <v>69</v>
      </c>
      <c r="M34" s="13">
        <v>0.17299999999999999</v>
      </c>
      <c r="N34" s="21">
        <v>25905</v>
      </c>
      <c r="O34" s="3">
        <f t="shared" si="6"/>
        <v>18991.93548387097</v>
      </c>
      <c r="P34" s="3">
        <f t="shared" si="7"/>
        <v>6913.0645161290331</v>
      </c>
      <c r="Q34" s="3">
        <f t="shared" si="8"/>
        <v>0</v>
      </c>
      <c r="R34" s="21">
        <v>48917.131999999998</v>
      </c>
      <c r="S34" s="3">
        <f t="shared" si="9"/>
        <v>35863</v>
      </c>
      <c r="T34" s="3">
        <f t="shared" si="10"/>
        <v>13054.132000000003</v>
      </c>
      <c r="U34" s="34">
        <f t="shared" si="11"/>
        <v>0</v>
      </c>
      <c r="V34" s="6"/>
      <c r="W34" s="6"/>
      <c r="X34" s="23"/>
      <c r="Y34" s="6"/>
    </row>
    <row r="35" spans="1:25" s="6" customFormat="1" ht="15.75" x14ac:dyDescent="0.25">
      <c r="A35" s="1" t="s">
        <v>72</v>
      </c>
      <c r="B35" s="2" t="s">
        <v>73</v>
      </c>
      <c r="C35" s="3">
        <v>170807.03883495144</v>
      </c>
      <c r="D35" s="3">
        <f t="shared" si="0"/>
        <v>125225.101785155</v>
      </c>
      <c r="E35" s="3">
        <f t="shared" si="1"/>
        <v>45581.937049796441</v>
      </c>
      <c r="F35" s="3">
        <f t="shared" si="2"/>
        <v>0</v>
      </c>
      <c r="G35" s="3">
        <v>263896.11111111112</v>
      </c>
      <c r="H35" s="3">
        <f t="shared" si="3"/>
        <v>193472.22222222222</v>
      </c>
      <c r="I35" s="3">
        <f t="shared" si="4"/>
        <v>70423.888888888905</v>
      </c>
      <c r="J35" s="3">
        <f t="shared" si="5"/>
        <v>0</v>
      </c>
      <c r="K35" s="2" t="s">
        <v>74</v>
      </c>
      <c r="L35" s="4" t="s">
        <v>3</v>
      </c>
      <c r="M35" s="13">
        <v>0.216</v>
      </c>
      <c r="N35" s="21">
        <v>36894.320388349508</v>
      </c>
      <c r="O35" s="3">
        <f t="shared" si="6"/>
        <v>27048.62198559348</v>
      </c>
      <c r="P35" s="3">
        <f t="shared" si="7"/>
        <v>9845.698402756032</v>
      </c>
      <c r="Q35" s="3">
        <f t="shared" si="8"/>
        <v>0</v>
      </c>
      <c r="R35" s="21">
        <v>57001.56</v>
      </c>
      <c r="S35" s="3">
        <f t="shared" si="9"/>
        <v>41790</v>
      </c>
      <c r="T35" s="3">
        <f t="shared" si="10"/>
        <v>15211.560000000003</v>
      </c>
      <c r="U35" s="34">
        <f t="shared" si="11"/>
        <v>0</v>
      </c>
      <c r="X35" s="23"/>
    </row>
    <row r="36" spans="1:25" s="6" customFormat="1" ht="15.75" x14ac:dyDescent="0.25">
      <c r="A36" s="1" t="s">
        <v>72</v>
      </c>
      <c r="B36" s="2" t="s">
        <v>75</v>
      </c>
      <c r="C36" s="3">
        <v>54016.463936316628</v>
      </c>
      <c r="D36" s="3">
        <f t="shared" si="0"/>
        <v>39601.513149792248</v>
      </c>
      <c r="E36" s="3">
        <f t="shared" si="1"/>
        <v>14414.95078652438</v>
      </c>
      <c r="F36" s="3">
        <f t="shared" si="2"/>
        <v>0</v>
      </c>
      <c r="G36" s="3">
        <v>83454.850574712647</v>
      </c>
      <c r="H36" s="3">
        <f t="shared" si="3"/>
        <v>61183.908045977012</v>
      </c>
      <c r="I36" s="3">
        <f t="shared" si="4"/>
        <v>22270.942528735635</v>
      </c>
      <c r="J36" s="3">
        <f t="shared" si="5"/>
        <v>0</v>
      </c>
      <c r="K36" s="2" t="s">
        <v>76</v>
      </c>
      <c r="L36" s="4" t="s">
        <v>60</v>
      </c>
      <c r="M36" s="13">
        <v>0.26100000000000001</v>
      </c>
      <c r="N36" s="21">
        <v>14098.29708737864</v>
      </c>
      <c r="O36" s="3">
        <f t="shared" si="6"/>
        <v>10335.994932095777</v>
      </c>
      <c r="P36" s="3">
        <f t="shared" si="7"/>
        <v>3762.3021552828632</v>
      </c>
      <c r="Q36" s="3">
        <f t="shared" si="8"/>
        <v>0</v>
      </c>
      <c r="R36" s="21">
        <v>21781.716</v>
      </c>
      <c r="S36" s="3">
        <f t="shared" si="9"/>
        <v>15969</v>
      </c>
      <c r="T36" s="3">
        <f t="shared" si="10"/>
        <v>5812.7160000000013</v>
      </c>
      <c r="U36" s="34">
        <f t="shared" si="11"/>
        <v>0</v>
      </c>
      <c r="X36" s="23"/>
    </row>
    <row r="37" spans="1:25" ht="15.75" x14ac:dyDescent="0.25">
      <c r="C37" s="35">
        <f>SUM(C2:C36)</f>
        <v>1503554.6125668541</v>
      </c>
      <c r="D37" s="35">
        <f t="shared" ref="D37:U37" si="12">SUM(D2:D36)</f>
        <v>1100830.3611193947</v>
      </c>
      <c r="E37" s="35">
        <f t="shared" si="12"/>
        <v>400702.25144745974</v>
      </c>
      <c r="F37" s="35">
        <f t="shared" si="12"/>
        <v>0</v>
      </c>
      <c r="G37" s="35">
        <f t="shared" si="12"/>
        <v>3073834.3594039469</v>
      </c>
      <c r="H37" s="35">
        <f t="shared" si="12"/>
        <v>2252061.1139325127</v>
      </c>
      <c r="I37" s="35">
        <f t="shared" si="12"/>
        <v>819750.24547143478</v>
      </c>
      <c r="J37" s="35">
        <f t="shared" si="12"/>
        <v>0</v>
      </c>
      <c r="K37" s="35"/>
      <c r="L37" s="35"/>
      <c r="M37" s="35">
        <f t="shared" si="12"/>
        <v>17.329999999999995</v>
      </c>
      <c r="N37" s="35">
        <f t="shared" si="12"/>
        <v>233223.89163728163</v>
      </c>
      <c r="O37" s="35">
        <f t="shared" si="12"/>
        <v>169503.47595988394</v>
      </c>
      <c r="P37" s="35">
        <f t="shared" si="12"/>
        <v>61698.901249397713</v>
      </c>
      <c r="Q37" s="35">
        <f t="shared" si="12"/>
        <v>-0.4855719999915209</v>
      </c>
      <c r="R37" s="35">
        <f t="shared" si="12"/>
        <v>875064.56855999981</v>
      </c>
      <c r="S37" s="35">
        <f t="shared" si="12"/>
        <v>640059.7627624633</v>
      </c>
      <c r="T37" s="35">
        <f t="shared" si="12"/>
        <v>232981.91744553679</v>
      </c>
      <c r="U37" s="35">
        <f t="shared" si="12"/>
        <v>-0.1116479999961939</v>
      </c>
    </row>
    <row r="38" spans="1:25" x14ac:dyDescent="0.25">
      <c r="B38" s="2" t="s">
        <v>86</v>
      </c>
      <c r="H38">
        <v>-73234</v>
      </c>
      <c r="I38">
        <v>73234</v>
      </c>
      <c r="S38">
        <v>-73234</v>
      </c>
      <c r="T38">
        <v>73234</v>
      </c>
    </row>
    <row r="39" spans="1:25" x14ac:dyDescent="0.25">
      <c r="A39" s="1" t="s">
        <v>87</v>
      </c>
      <c r="T39" s="36">
        <f>T37+T38</f>
        <v>306215.91744553682</v>
      </c>
    </row>
  </sheetData>
  <pageMargins left="0.7" right="0.7" top="0.75" bottom="0.75" header="0.3" footer="0.3"/>
  <pageSetup orientation="portrait" r:id="rId1"/>
</worksheet>
</file>

<file path=customXML/item.xml>��< ? x m l   v e r s i o n = " 1 . 0 "   e n c o d i n g = " u t f - 1 6 " ? >  
 < p r o p e r t i e s   x m l n s = " h t t p : / / w w w . i m a n a g e . c o m / w o r k / x m l s c h e m a " >  
     < d o c u m e n t i d > A C T I V E ! 1 5 6 7 6 8 3 7 . 1 < / d o c u m e n t i d >  
     < s e n d e r i d > K E A B E T < / s e n d e r i d >  
     < s e n d e r e m a i l > B K E A T I N G @ G U N S T E R . C O M < / s e n d e r e m a i l >  
     < l a s t m o d i f i e d > 2 0 2 2 - 0 5 - 1 2 T 0 8 : 4 8 : 0 8 . 0 0 0 0 0 0 0 - 0 4 : 0 0 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Chesapeake Utilities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Welch, Kathy</dc:creator>
  <cp:lastModifiedBy>Welch, Kathy</cp:lastModifiedBy>
  <dcterms:created xsi:type="dcterms:W3CDTF">2022-05-12T10:40:46Z</dcterms:created>
  <dcterms:modified xsi:type="dcterms:W3CDTF">2022-05-12T12:48:08Z</dcterms:modified>
</cp:coreProperties>
</file>